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DELL\Downloads\"/>
    </mc:Choice>
  </mc:AlternateContent>
  <bookViews>
    <workbookView xWindow="0" yWindow="75" windowWidth="19440" windowHeight="11760" firstSheet="9" activeTab="9"/>
  </bookViews>
  <sheets>
    <sheet name="Công trình" sheetId="1" state="hidden" r:id="rId1"/>
    <sheet name="Hao phí vật tư" sheetId="2" state="hidden" r:id="rId2"/>
    <sheet name="Vật liệu" sheetId="3" state="hidden" r:id="rId3"/>
    <sheet name="Nhân công" sheetId="4" state="hidden" r:id="rId4"/>
    <sheet name="Máy thi công" sheetId="5" state="hidden" r:id="rId5"/>
    <sheet name="TH dự toán hạng mục" sheetId="6" state="hidden" r:id="rId6"/>
    <sheet name="TH dự toán công trình" sheetId="7" state="hidden" r:id="rId7"/>
    <sheet name="Đơn giá chi tiết" sheetId="8" state="hidden" r:id="rId8"/>
    <sheet name="Hạng mục chung" sheetId="9" state="hidden" r:id="rId9"/>
    <sheet name="Khoi Luong" sheetId="21" r:id="rId10"/>
    <sheet name="DTOAN" sheetId="18" r:id="rId11"/>
    <sheet name="Dự phòng trượt giá" sheetId="10" state="hidden" r:id="rId12"/>
    <sheet name="Dự toán gói thầu" sheetId="11" state="hidden" r:id="rId13"/>
    <sheet name="Tổng mức đầu tư" sheetId="12" state="hidden" r:id="rId14"/>
    <sheet name="Chi phí thiết bị" sheetId="13" state="hidden" r:id="rId15"/>
    <sheet name="Tổng hợp VL,NC,M" sheetId="14" state="hidden" r:id="rId16"/>
    <sheet name="Hệ số" sheetId="15" state="hidden" r:id="rId17"/>
  </sheets>
  <functionGroups builtInGroupCount="18"/>
  <definedNames>
    <definedName name="_xlnm.Print_Titles" localSheetId="0">'Công trình'!$4:$5</definedName>
    <definedName name="_xlnm.Print_Titles" localSheetId="14">'Chi phí thiết bị'!$4:$5</definedName>
    <definedName name="_xlnm.Print_Titles" localSheetId="10">DTOAN!$4:$5</definedName>
    <definedName name="_xlnm.Print_Titles" localSheetId="12">'Dự toán gói thầu'!$6:$6</definedName>
    <definedName name="_xlnm.Print_Titles" localSheetId="7">'Đơn giá chi tiết'!$5:$5</definedName>
    <definedName name="_xlnm.Print_Titles" localSheetId="8">'Hạng mục chung'!$6:$6</definedName>
    <definedName name="_xlnm.Print_Titles" localSheetId="1">'Hao phí vật tư'!$5:$6</definedName>
    <definedName name="_xlnm.Print_Titles" localSheetId="4">'Máy thi công'!$5:$5</definedName>
    <definedName name="_xlnm.Print_Titles" localSheetId="3">'Nhân công'!$5:$5</definedName>
    <definedName name="_xlnm.Print_Titles" localSheetId="15">'Tổng hợp VL,NC,M'!$4:$4</definedName>
    <definedName name="_xlnm.Print_Titles" localSheetId="13">'Tổng mức đầu tư'!$10:$10</definedName>
    <definedName name="_xlnm.Print_Titles" localSheetId="6">'TH dự toán công trình'!$4:$4</definedName>
    <definedName name="_xlnm.Print_Titles" localSheetId="5">'TH dự toán hạng mục'!$5:$5</definedName>
    <definedName name="_xlnm.Print_Titles" localSheetId="2">'Vật liệu'!$6:$7</definedName>
  </definedNames>
  <calcPr calcId="152511" calcMode="manual" concurrentCalc="0"/>
</workbook>
</file>

<file path=xl/calcChain.xml><?xml version="1.0" encoding="utf-8"?>
<calcChain xmlns="http://schemas.openxmlformats.org/spreadsheetml/2006/main">
  <c r="K14" i="21" l="1"/>
  <c r="K15" i="21"/>
  <c r="K21" i="21"/>
  <c r="K23" i="21"/>
  <c r="K27" i="21"/>
  <c r="L13" i="21"/>
  <c r="A6" i="21"/>
  <c r="A11" i="21"/>
  <c r="A13" i="21"/>
  <c r="J7" i="21"/>
  <c r="J8" i="21"/>
  <c r="J9" i="21"/>
  <c r="J10" i="21"/>
  <c r="J6" i="21"/>
  <c r="F12" i="21"/>
  <c r="K12" i="21"/>
  <c r="L11" i="21"/>
  <c r="K10" i="21"/>
  <c r="K9" i="21"/>
  <c r="K8" i="21"/>
  <c r="K7" i="21"/>
  <c r="L6" i="21"/>
  <c r="K143" i="18"/>
  <c r="K142" i="18"/>
  <c r="E143" i="18"/>
  <c r="J143" i="18"/>
  <c r="J142" i="18"/>
  <c r="E142" i="18"/>
  <c r="M333" i="18"/>
  <c r="U333" i="18"/>
  <c r="M334" i="18"/>
  <c r="U334" i="18"/>
  <c r="M335" i="18"/>
  <c r="U335" i="18"/>
  <c r="M336" i="18"/>
  <c r="U336" i="18"/>
  <c r="U337" i="18"/>
  <c r="M338" i="18"/>
  <c r="U338" i="18"/>
  <c r="M339" i="18"/>
  <c r="U339" i="18"/>
  <c r="U341" i="18"/>
  <c r="T333" i="18"/>
  <c r="T334" i="18"/>
  <c r="T335" i="18"/>
  <c r="T336" i="18"/>
  <c r="T337" i="18"/>
  <c r="T338" i="18"/>
  <c r="T339" i="18"/>
  <c r="T341" i="18"/>
  <c r="S333" i="18"/>
  <c r="S334" i="18"/>
  <c r="S335" i="18"/>
  <c r="S336" i="18"/>
  <c r="S337" i="18"/>
  <c r="S338" i="18"/>
  <c r="S339" i="18"/>
  <c r="S341" i="18"/>
  <c r="R333" i="18"/>
  <c r="R334" i="18"/>
  <c r="R335" i="18"/>
  <c r="R336" i="18"/>
  <c r="R337" i="18"/>
  <c r="R338" i="18"/>
  <c r="R339" i="18"/>
  <c r="R341" i="18"/>
  <c r="A329" i="18"/>
  <c r="U7" i="18"/>
  <c r="U8" i="18"/>
  <c r="U9" i="18"/>
  <c r="U10" i="18"/>
  <c r="M11" i="18"/>
  <c r="U11" i="18"/>
  <c r="M12" i="18"/>
  <c r="U12" i="18"/>
  <c r="M13" i="18"/>
  <c r="U13" i="18"/>
  <c r="M14" i="18"/>
  <c r="U14" i="18"/>
  <c r="M15" i="18"/>
  <c r="U15" i="18"/>
  <c r="M16" i="18"/>
  <c r="U16" i="18"/>
  <c r="U18" i="18"/>
  <c r="M19" i="18"/>
  <c r="U19" i="18"/>
  <c r="M20" i="18"/>
  <c r="U20" i="18"/>
  <c r="M22" i="18"/>
  <c r="U22" i="18"/>
  <c r="U24" i="18"/>
  <c r="U25" i="18"/>
  <c r="M26" i="18"/>
  <c r="U26" i="18"/>
  <c r="M28" i="18"/>
  <c r="U28" i="18"/>
  <c r="U30" i="18"/>
  <c r="M31" i="18"/>
  <c r="U31" i="18"/>
  <c r="M32" i="18"/>
  <c r="U32" i="18"/>
  <c r="M33" i="18"/>
  <c r="U33" i="18"/>
  <c r="U34" i="18"/>
  <c r="M35" i="18"/>
  <c r="U35" i="18"/>
  <c r="M36" i="18"/>
  <c r="U36" i="18"/>
  <c r="M37" i="18"/>
  <c r="U37" i="18"/>
  <c r="M39" i="18"/>
  <c r="U39" i="18"/>
  <c r="U40" i="18"/>
  <c r="U41" i="18"/>
  <c r="M42" i="18"/>
  <c r="U42" i="18"/>
  <c r="U43" i="18"/>
  <c r="U44" i="18"/>
  <c r="U45" i="18"/>
  <c r="U47" i="18"/>
  <c r="M48" i="18"/>
  <c r="U48" i="18"/>
  <c r="M49" i="18"/>
  <c r="U49" i="18"/>
  <c r="M50" i="18"/>
  <c r="U50" i="18"/>
  <c r="M52" i="18"/>
  <c r="U52" i="18"/>
  <c r="M53" i="18"/>
  <c r="U53" i="18"/>
  <c r="U54" i="18"/>
  <c r="M55" i="18"/>
  <c r="U55" i="18"/>
  <c r="M56" i="18"/>
  <c r="U56" i="18"/>
  <c r="U57" i="18"/>
  <c r="M58" i="18"/>
  <c r="U58" i="18"/>
  <c r="M59" i="18"/>
  <c r="U59" i="18"/>
  <c r="M60" i="18"/>
  <c r="U60" i="18"/>
  <c r="M61" i="18"/>
  <c r="U61" i="18"/>
  <c r="U63" i="18"/>
  <c r="M64" i="18"/>
  <c r="U64" i="18"/>
  <c r="M65" i="18"/>
  <c r="U65" i="18"/>
  <c r="U68" i="18"/>
  <c r="M69" i="18"/>
  <c r="U69" i="18"/>
  <c r="M70" i="18"/>
  <c r="U70" i="18"/>
  <c r="M71" i="18"/>
  <c r="U71" i="18"/>
  <c r="M72" i="18"/>
  <c r="U72" i="18"/>
  <c r="M73" i="18"/>
  <c r="U73" i="18"/>
  <c r="M74" i="18"/>
  <c r="U74" i="18"/>
  <c r="M75" i="18"/>
  <c r="U75" i="18"/>
  <c r="U76" i="18"/>
  <c r="M77" i="18"/>
  <c r="U77" i="18"/>
  <c r="U79" i="18"/>
  <c r="M80" i="18"/>
  <c r="U80" i="18"/>
  <c r="M81" i="18"/>
  <c r="U81" i="18"/>
  <c r="M82" i="18"/>
  <c r="U82" i="18"/>
  <c r="M83" i="18"/>
  <c r="U83" i="18"/>
  <c r="M84" i="18"/>
  <c r="U84" i="18"/>
  <c r="M85" i="18"/>
  <c r="U85" i="18"/>
  <c r="M86" i="18"/>
  <c r="U86" i="18"/>
  <c r="U87" i="18"/>
  <c r="U88" i="18"/>
  <c r="U90" i="18"/>
  <c r="U91" i="18"/>
  <c r="U92" i="18"/>
  <c r="U93" i="18"/>
  <c r="U94" i="18"/>
  <c r="U95" i="18"/>
  <c r="U96" i="18"/>
  <c r="U97" i="18"/>
  <c r="U98" i="18"/>
  <c r="U99" i="18"/>
  <c r="M102" i="18"/>
  <c r="U102" i="18"/>
  <c r="U103" i="18"/>
  <c r="U104" i="18"/>
  <c r="U106" i="18"/>
  <c r="M107" i="18"/>
  <c r="U107" i="18"/>
  <c r="U108" i="18"/>
  <c r="U109" i="18"/>
  <c r="U110" i="18"/>
  <c r="M111" i="18"/>
  <c r="U111" i="18"/>
  <c r="M112" i="18"/>
  <c r="U112" i="18"/>
  <c r="U113" i="18"/>
  <c r="M115" i="18"/>
  <c r="U115" i="18"/>
  <c r="M116" i="18"/>
  <c r="U116" i="18"/>
  <c r="U118" i="18"/>
  <c r="M120" i="18"/>
  <c r="U120" i="18"/>
  <c r="M121" i="18"/>
  <c r="U121" i="18"/>
  <c r="M123" i="18"/>
  <c r="U123" i="18"/>
  <c r="M124" i="18"/>
  <c r="U124" i="18"/>
  <c r="M125" i="18"/>
  <c r="U125" i="18"/>
  <c r="M126" i="18"/>
  <c r="U126" i="18"/>
  <c r="M127" i="18"/>
  <c r="U127" i="18"/>
  <c r="M129" i="18"/>
  <c r="U129" i="18"/>
  <c r="M131" i="18"/>
  <c r="U131" i="18"/>
  <c r="M132" i="18"/>
  <c r="U132" i="18"/>
  <c r="M134" i="18"/>
  <c r="U134" i="18"/>
  <c r="M135" i="18"/>
  <c r="U135" i="18"/>
  <c r="U136" i="18"/>
  <c r="U137" i="18"/>
  <c r="M138" i="18"/>
  <c r="U138" i="18"/>
  <c r="M140" i="18"/>
  <c r="U140" i="18"/>
  <c r="M142" i="18"/>
  <c r="U142" i="18"/>
  <c r="M143" i="18"/>
  <c r="U143" i="18"/>
  <c r="M144" i="18"/>
  <c r="U144" i="18"/>
  <c r="M146" i="18"/>
  <c r="U146" i="18"/>
  <c r="M147" i="18"/>
  <c r="U147" i="18"/>
  <c r="M148" i="18"/>
  <c r="U148" i="18"/>
  <c r="M150" i="18"/>
  <c r="U150" i="18"/>
  <c r="M151" i="18"/>
  <c r="U151" i="18"/>
  <c r="U152" i="18"/>
  <c r="M153" i="18"/>
  <c r="U153" i="18"/>
  <c r="U154" i="18"/>
  <c r="M155" i="18"/>
  <c r="U155" i="18"/>
  <c r="U157" i="18"/>
  <c r="M158" i="18"/>
  <c r="U158" i="18"/>
  <c r="M159" i="18"/>
  <c r="U159" i="18"/>
  <c r="M160" i="18"/>
  <c r="U160" i="18"/>
  <c r="M161" i="18"/>
  <c r="U161" i="18"/>
  <c r="U162" i="18"/>
  <c r="U163" i="18"/>
  <c r="M164" i="18"/>
  <c r="U164" i="18"/>
  <c r="U165" i="18"/>
  <c r="M166" i="18"/>
  <c r="U166" i="18"/>
  <c r="M168" i="18"/>
  <c r="U168" i="18"/>
  <c r="M169" i="18"/>
  <c r="U169" i="18"/>
  <c r="M171" i="18"/>
  <c r="U171" i="18"/>
  <c r="M172" i="18"/>
  <c r="U172" i="18"/>
  <c r="M173" i="18"/>
  <c r="U173" i="18"/>
  <c r="M174" i="18"/>
  <c r="U174" i="18"/>
  <c r="M175" i="18"/>
  <c r="U175" i="18"/>
  <c r="M177" i="18"/>
  <c r="U177" i="18"/>
  <c r="U178" i="18"/>
  <c r="M179" i="18"/>
  <c r="U179" i="18"/>
  <c r="U180" i="18"/>
  <c r="U181" i="18"/>
  <c r="U182" i="18"/>
  <c r="M185" i="18"/>
  <c r="U185" i="18"/>
  <c r="U186" i="18"/>
  <c r="M187" i="18"/>
  <c r="U187" i="18"/>
  <c r="U188" i="18"/>
  <c r="U189" i="18"/>
  <c r="M191" i="18"/>
  <c r="M190" i="18"/>
  <c r="U190" i="18"/>
  <c r="U191" i="18"/>
  <c r="M192" i="18"/>
  <c r="U192" i="18"/>
  <c r="M193" i="18"/>
  <c r="U193" i="18"/>
  <c r="M194" i="18"/>
  <c r="U194" i="18"/>
  <c r="M195" i="18"/>
  <c r="U195" i="18"/>
  <c r="U197" i="18"/>
  <c r="M198" i="18"/>
  <c r="U198" i="18"/>
  <c r="U199" i="18"/>
  <c r="M200" i="18"/>
  <c r="U200" i="18"/>
  <c r="M201" i="18"/>
  <c r="U201" i="18"/>
  <c r="M202" i="18"/>
  <c r="U202" i="18"/>
  <c r="U204" i="18"/>
  <c r="U205" i="18"/>
  <c r="U206" i="18"/>
  <c r="U207" i="18"/>
  <c r="U208" i="18"/>
  <c r="U209" i="18"/>
  <c r="U210" i="18"/>
  <c r="M211" i="18"/>
  <c r="U211" i="18"/>
  <c r="M212" i="18"/>
  <c r="U212" i="18"/>
  <c r="M213" i="18"/>
  <c r="U213" i="18"/>
  <c r="M215" i="18"/>
  <c r="U215" i="18"/>
  <c r="M217" i="18"/>
  <c r="U217" i="18"/>
  <c r="M219" i="18"/>
  <c r="U219" i="18"/>
  <c r="M221" i="18"/>
  <c r="U221" i="18"/>
  <c r="U224" i="18"/>
  <c r="U225" i="18"/>
  <c r="U226" i="18"/>
  <c r="U227" i="18"/>
  <c r="U228" i="18"/>
  <c r="M229" i="18"/>
  <c r="U229" i="18"/>
  <c r="M231" i="18"/>
  <c r="U231" i="18"/>
  <c r="M232" i="18"/>
  <c r="U232" i="18"/>
  <c r="M233" i="18"/>
  <c r="U233" i="18"/>
  <c r="U234" i="18"/>
  <c r="U236" i="18"/>
  <c r="M237" i="18"/>
  <c r="U237" i="18"/>
  <c r="M238" i="18"/>
  <c r="U238" i="18"/>
  <c r="M239" i="18"/>
  <c r="U239" i="18"/>
  <c r="M240" i="18"/>
  <c r="U240" i="18"/>
  <c r="M241" i="18"/>
  <c r="U241" i="18"/>
  <c r="M242" i="18"/>
  <c r="U242" i="18"/>
  <c r="M243" i="18"/>
  <c r="U243" i="18"/>
  <c r="M244" i="18"/>
  <c r="U244" i="18"/>
  <c r="U245" i="18"/>
  <c r="U246" i="18"/>
  <c r="U247" i="18"/>
  <c r="M249" i="18"/>
  <c r="U249" i="18"/>
  <c r="M250" i="18"/>
  <c r="U250" i="18"/>
  <c r="M252" i="18"/>
  <c r="U252" i="18"/>
  <c r="M253" i="18"/>
  <c r="U253" i="18"/>
  <c r="M254" i="18"/>
  <c r="U254" i="18"/>
  <c r="M255" i="18"/>
  <c r="U255" i="18"/>
  <c r="M256" i="18"/>
  <c r="U256" i="18"/>
  <c r="M257" i="18"/>
  <c r="U257" i="18"/>
  <c r="U258" i="18"/>
  <c r="M259" i="18"/>
  <c r="U259" i="18"/>
  <c r="M260" i="18"/>
  <c r="U260" i="18"/>
  <c r="U261" i="18"/>
  <c r="M262" i="18"/>
  <c r="U262" i="18"/>
  <c r="U263" i="18"/>
  <c r="M264" i="18"/>
  <c r="U264" i="18"/>
  <c r="U266" i="18"/>
  <c r="M267" i="18"/>
  <c r="U267" i="18"/>
  <c r="M268" i="18"/>
  <c r="U268" i="18"/>
  <c r="M269" i="18"/>
  <c r="U269" i="18"/>
  <c r="U270" i="18"/>
  <c r="U271" i="18"/>
  <c r="M273" i="18"/>
  <c r="U273" i="18"/>
  <c r="U274" i="18"/>
  <c r="M275" i="18"/>
  <c r="U275" i="18"/>
  <c r="M276" i="18"/>
  <c r="U276" i="18"/>
  <c r="U278" i="18"/>
  <c r="U279" i="18"/>
  <c r="U280" i="18"/>
  <c r="U281" i="18"/>
  <c r="M282" i="18"/>
  <c r="U282" i="18"/>
  <c r="U283" i="18"/>
  <c r="U284" i="18"/>
  <c r="U286" i="18"/>
  <c r="U287" i="18"/>
  <c r="U288" i="18"/>
  <c r="U289" i="18"/>
  <c r="U290" i="18"/>
  <c r="U291" i="18"/>
  <c r="U292" i="18"/>
  <c r="U293" i="18"/>
  <c r="U294" i="18"/>
  <c r="U295" i="18"/>
  <c r="U296" i="18"/>
  <c r="M297" i="18"/>
  <c r="U297" i="18"/>
  <c r="M298" i="18"/>
  <c r="U298" i="18"/>
  <c r="U300" i="18"/>
  <c r="U301" i="18"/>
  <c r="U302" i="18"/>
  <c r="U303" i="18"/>
  <c r="U304" i="18"/>
  <c r="U305" i="18"/>
  <c r="U306" i="18"/>
  <c r="U307" i="18"/>
  <c r="U308" i="18"/>
  <c r="M309" i="18"/>
  <c r="U309" i="18"/>
  <c r="U311" i="18"/>
  <c r="U312" i="18"/>
  <c r="M313" i="18"/>
  <c r="U313" i="18"/>
  <c r="U314" i="18"/>
  <c r="U315" i="18"/>
  <c r="U316" i="18"/>
  <c r="U317" i="18"/>
  <c r="U319" i="18"/>
  <c r="U320" i="18"/>
  <c r="U321" i="18"/>
  <c r="U322" i="18"/>
  <c r="U323" i="18"/>
  <c r="U325" i="18"/>
  <c r="T7" i="18"/>
  <c r="T8" i="18"/>
  <c r="T9" i="18"/>
  <c r="T10" i="18"/>
  <c r="T11" i="18"/>
  <c r="T12" i="18"/>
  <c r="T13" i="18"/>
  <c r="T14" i="18"/>
  <c r="T15" i="18"/>
  <c r="T16" i="18"/>
  <c r="T18" i="18"/>
  <c r="T19" i="18"/>
  <c r="T20" i="18"/>
  <c r="T22" i="18"/>
  <c r="T24" i="18"/>
  <c r="T25" i="18"/>
  <c r="T26" i="18"/>
  <c r="T28" i="18"/>
  <c r="T30" i="18"/>
  <c r="T31" i="18"/>
  <c r="T32" i="18"/>
  <c r="T33" i="18"/>
  <c r="T34" i="18"/>
  <c r="T35" i="18"/>
  <c r="T36" i="18"/>
  <c r="T37" i="18"/>
  <c r="T39" i="18"/>
  <c r="T40" i="18"/>
  <c r="T41" i="18"/>
  <c r="T42" i="18"/>
  <c r="T43" i="18"/>
  <c r="T44" i="18"/>
  <c r="T45" i="18"/>
  <c r="T47" i="18"/>
  <c r="T48" i="18"/>
  <c r="T49" i="18"/>
  <c r="T50" i="18"/>
  <c r="T52" i="18"/>
  <c r="T53" i="18"/>
  <c r="T54" i="18"/>
  <c r="T55" i="18"/>
  <c r="T56" i="18"/>
  <c r="T57" i="18"/>
  <c r="T58" i="18"/>
  <c r="T59" i="18"/>
  <c r="T60" i="18"/>
  <c r="T61" i="18"/>
  <c r="T63" i="18"/>
  <c r="T64" i="18"/>
  <c r="T65" i="18"/>
  <c r="T68" i="18"/>
  <c r="T69" i="18"/>
  <c r="T70" i="18"/>
  <c r="T71" i="18"/>
  <c r="T72" i="18"/>
  <c r="T73" i="18"/>
  <c r="T74" i="18"/>
  <c r="T75" i="18"/>
  <c r="T76" i="18"/>
  <c r="T77" i="18"/>
  <c r="T79" i="18"/>
  <c r="T80" i="18"/>
  <c r="T81" i="18"/>
  <c r="T82" i="18"/>
  <c r="T83" i="18"/>
  <c r="T84" i="18"/>
  <c r="T85" i="18"/>
  <c r="T86" i="18"/>
  <c r="T87" i="18"/>
  <c r="T88" i="18"/>
  <c r="T90" i="18"/>
  <c r="T91" i="18"/>
  <c r="T92" i="18"/>
  <c r="T93" i="18"/>
  <c r="T94" i="18"/>
  <c r="T95" i="18"/>
  <c r="T96" i="18"/>
  <c r="T97" i="18"/>
  <c r="T98" i="18"/>
  <c r="T99" i="18"/>
  <c r="T102" i="18"/>
  <c r="T103" i="18"/>
  <c r="T104" i="18"/>
  <c r="T106" i="18"/>
  <c r="T107" i="18"/>
  <c r="T108" i="18"/>
  <c r="T109" i="18"/>
  <c r="T110" i="18"/>
  <c r="T111" i="18"/>
  <c r="T112" i="18"/>
  <c r="T113" i="18"/>
  <c r="T115" i="18"/>
  <c r="T116" i="18"/>
  <c r="T118" i="18"/>
  <c r="T120" i="18"/>
  <c r="T121" i="18"/>
  <c r="T123" i="18"/>
  <c r="T124" i="18"/>
  <c r="T125" i="18"/>
  <c r="T126" i="18"/>
  <c r="T127" i="18"/>
  <c r="T129" i="18"/>
  <c r="T131" i="18"/>
  <c r="T132" i="18"/>
  <c r="T134" i="18"/>
  <c r="T135" i="18"/>
  <c r="T136" i="18"/>
  <c r="T137" i="18"/>
  <c r="T138" i="18"/>
  <c r="T140" i="18"/>
  <c r="T142" i="18"/>
  <c r="T143" i="18"/>
  <c r="T144" i="18"/>
  <c r="T146" i="18"/>
  <c r="T147" i="18"/>
  <c r="T148" i="18"/>
  <c r="T150" i="18"/>
  <c r="T151" i="18"/>
  <c r="T152" i="18"/>
  <c r="T153" i="18"/>
  <c r="T154" i="18"/>
  <c r="T155" i="18"/>
  <c r="T157" i="18"/>
  <c r="T158" i="18"/>
  <c r="T159" i="18"/>
  <c r="T160" i="18"/>
  <c r="T161" i="18"/>
  <c r="T162" i="18"/>
  <c r="T163" i="18"/>
  <c r="T164" i="18"/>
  <c r="T165" i="18"/>
  <c r="T166" i="18"/>
  <c r="T168" i="18"/>
  <c r="T169" i="18"/>
  <c r="T171" i="18"/>
  <c r="T172" i="18"/>
  <c r="T173" i="18"/>
  <c r="T174" i="18"/>
  <c r="T175" i="18"/>
  <c r="T177" i="18"/>
  <c r="T178" i="18"/>
  <c r="T179" i="18"/>
  <c r="T180" i="18"/>
  <c r="T181" i="18"/>
  <c r="T182" i="18"/>
  <c r="T185" i="18"/>
  <c r="T186" i="18"/>
  <c r="T187" i="18"/>
  <c r="T188" i="18"/>
  <c r="T189" i="18"/>
  <c r="T190" i="18"/>
  <c r="T191" i="18"/>
  <c r="T192" i="18"/>
  <c r="T193" i="18"/>
  <c r="T194" i="18"/>
  <c r="T195" i="18"/>
  <c r="T197" i="18"/>
  <c r="T198" i="18"/>
  <c r="T199" i="18"/>
  <c r="T200" i="18"/>
  <c r="T201" i="18"/>
  <c r="T202" i="18"/>
  <c r="T204" i="18"/>
  <c r="T205" i="18"/>
  <c r="T206" i="18"/>
  <c r="T207" i="18"/>
  <c r="T208" i="18"/>
  <c r="T209" i="18"/>
  <c r="T210" i="18"/>
  <c r="T211" i="18"/>
  <c r="T212" i="18"/>
  <c r="T213" i="18"/>
  <c r="T215" i="18"/>
  <c r="T217" i="18"/>
  <c r="T219" i="18"/>
  <c r="T221" i="18"/>
  <c r="T224" i="18"/>
  <c r="T225" i="18"/>
  <c r="T226" i="18"/>
  <c r="T227" i="18"/>
  <c r="T228" i="18"/>
  <c r="T229" i="18"/>
  <c r="T231" i="18"/>
  <c r="T232" i="18"/>
  <c r="T233" i="18"/>
  <c r="T234" i="18"/>
  <c r="T236" i="18"/>
  <c r="T237" i="18"/>
  <c r="T238" i="18"/>
  <c r="T239" i="18"/>
  <c r="T240" i="18"/>
  <c r="T241" i="18"/>
  <c r="T242" i="18"/>
  <c r="T243" i="18"/>
  <c r="T244" i="18"/>
  <c r="T245" i="18"/>
  <c r="T246" i="18"/>
  <c r="T247" i="18"/>
  <c r="T249" i="18"/>
  <c r="T250" i="18"/>
  <c r="T252" i="18"/>
  <c r="T253" i="18"/>
  <c r="T254" i="18"/>
  <c r="T255" i="18"/>
  <c r="T256" i="18"/>
  <c r="T257" i="18"/>
  <c r="T258" i="18"/>
  <c r="T259" i="18"/>
  <c r="T260" i="18"/>
  <c r="T261" i="18"/>
  <c r="T262" i="18"/>
  <c r="T263" i="18"/>
  <c r="T264" i="18"/>
  <c r="T266" i="18"/>
  <c r="T267" i="18"/>
  <c r="T268" i="18"/>
  <c r="T269" i="18"/>
  <c r="T270" i="18"/>
  <c r="T271" i="18"/>
  <c r="T273" i="18"/>
  <c r="T274" i="18"/>
  <c r="T275" i="18"/>
  <c r="T276" i="18"/>
  <c r="T278" i="18"/>
  <c r="T279" i="18"/>
  <c r="T280" i="18"/>
  <c r="T281" i="18"/>
  <c r="T282" i="18"/>
  <c r="T283" i="18"/>
  <c r="T284" i="18"/>
  <c r="T286" i="18"/>
  <c r="T287" i="18"/>
  <c r="T288" i="18"/>
  <c r="T289" i="18"/>
  <c r="T290" i="18"/>
  <c r="T291" i="18"/>
  <c r="T292" i="18"/>
  <c r="T293" i="18"/>
  <c r="T294" i="18"/>
  <c r="T295" i="18"/>
  <c r="T296" i="18"/>
  <c r="T297" i="18"/>
  <c r="T298" i="18"/>
  <c r="T300" i="18"/>
  <c r="T301" i="18"/>
  <c r="T302" i="18"/>
  <c r="T303" i="18"/>
  <c r="T304" i="18"/>
  <c r="T305" i="18"/>
  <c r="T306" i="18"/>
  <c r="T307" i="18"/>
  <c r="T308" i="18"/>
  <c r="T309" i="18"/>
  <c r="T311" i="18"/>
  <c r="T312" i="18"/>
  <c r="T313" i="18"/>
  <c r="T314" i="18"/>
  <c r="T315" i="18"/>
  <c r="T316" i="18"/>
  <c r="T317" i="18"/>
  <c r="T319" i="18"/>
  <c r="T320" i="18"/>
  <c r="T321" i="18"/>
  <c r="T322" i="18"/>
  <c r="T323" i="18"/>
  <c r="T325" i="18"/>
  <c r="S7" i="18"/>
  <c r="S8" i="18"/>
  <c r="S9" i="18"/>
  <c r="S10" i="18"/>
  <c r="S11" i="18"/>
  <c r="S12" i="18"/>
  <c r="S13" i="18"/>
  <c r="S14" i="18"/>
  <c r="S15" i="18"/>
  <c r="S16" i="18"/>
  <c r="S18" i="18"/>
  <c r="S19" i="18"/>
  <c r="S20" i="18"/>
  <c r="S22" i="18"/>
  <c r="S24" i="18"/>
  <c r="S25" i="18"/>
  <c r="S26" i="18"/>
  <c r="S28" i="18"/>
  <c r="S30" i="18"/>
  <c r="S31" i="18"/>
  <c r="S32" i="18"/>
  <c r="S33" i="18"/>
  <c r="S34" i="18"/>
  <c r="S35" i="18"/>
  <c r="S36" i="18"/>
  <c r="S37" i="18"/>
  <c r="S39" i="18"/>
  <c r="S40" i="18"/>
  <c r="S41" i="18"/>
  <c r="S42" i="18"/>
  <c r="S43" i="18"/>
  <c r="S44" i="18"/>
  <c r="S45" i="18"/>
  <c r="S47" i="18"/>
  <c r="S48" i="18"/>
  <c r="S49" i="18"/>
  <c r="S50" i="18"/>
  <c r="S52" i="18"/>
  <c r="S53" i="18"/>
  <c r="S54" i="18"/>
  <c r="S55" i="18"/>
  <c r="S56" i="18"/>
  <c r="S57" i="18"/>
  <c r="S58" i="18"/>
  <c r="S59" i="18"/>
  <c r="S60" i="18"/>
  <c r="S61" i="18"/>
  <c r="S63" i="18"/>
  <c r="S64" i="18"/>
  <c r="S65" i="18"/>
  <c r="S68" i="18"/>
  <c r="S69" i="18"/>
  <c r="S70" i="18"/>
  <c r="S71" i="18"/>
  <c r="S72" i="18"/>
  <c r="S73" i="18"/>
  <c r="S74" i="18"/>
  <c r="S75" i="18"/>
  <c r="S76" i="18"/>
  <c r="S77" i="18"/>
  <c r="S79" i="18"/>
  <c r="S80" i="18"/>
  <c r="S81" i="18"/>
  <c r="S82" i="18"/>
  <c r="S83" i="18"/>
  <c r="S84" i="18"/>
  <c r="S85" i="18"/>
  <c r="S86" i="18"/>
  <c r="S87" i="18"/>
  <c r="S88" i="18"/>
  <c r="S90" i="18"/>
  <c r="S91" i="18"/>
  <c r="S92" i="18"/>
  <c r="S93" i="18"/>
  <c r="S94" i="18"/>
  <c r="S95" i="18"/>
  <c r="S96" i="18"/>
  <c r="S97" i="18"/>
  <c r="S98" i="18"/>
  <c r="S99" i="18"/>
  <c r="S102" i="18"/>
  <c r="S103" i="18"/>
  <c r="S104" i="18"/>
  <c r="S106" i="18"/>
  <c r="S107" i="18"/>
  <c r="S108" i="18"/>
  <c r="S109" i="18"/>
  <c r="S110" i="18"/>
  <c r="S111" i="18"/>
  <c r="S112" i="18"/>
  <c r="S113" i="18"/>
  <c r="S115" i="18"/>
  <c r="S116" i="18"/>
  <c r="S118" i="18"/>
  <c r="S120" i="18"/>
  <c r="S121" i="18"/>
  <c r="S123" i="18"/>
  <c r="S124" i="18"/>
  <c r="S125" i="18"/>
  <c r="S126" i="18"/>
  <c r="S127" i="18"/>
  <c r="S129" i="18"/>
  <c r="S131" i="18"/>
  <c r="S132" i="18"/>
  <c r="S134" i="18"/>
  <c r="S135" i="18"/>
  <c r="S136" i="18"/>
  <c r="S137" i="18"/>
  <c r="S138" i="18"/>
  <c r="S140" i="18"/>
  <c r="S142" i="18"/>
  <c r="S143" i="18"/>
  <c r="S144" i="18"/>
  <c r="S146" i="18"/>
  <c r="S147" i="18"/>
  <c r="S148" i="18"/>
  <c r="S150" i="18"/>
  <c r="S151" i="18"/>
  <c r="S152" i="18"/>
  <c r="S153" i="18"/>
  <c r="S154" i="18"/>
  <c r="S155" i="18"/>
  <c r="S157" i="18"/>
  <c r="S158" i="18"/>
  <c r="S159" i="18"/>
  <c r="S160" i="18"/>
  <c r="S161" i="18"/>
  <c r="S162" i="18"/>
  <c r="S163" i="18"/>
  <c r="S164" i="18"/>
  <c r="S165" i="18"/>
  <c r="S166" i="18"/>
  <c r="S168" i="18"/>
  <c r="S169" i="18"/>
  <c r="S171" i="18"/>
  <c r="S172" i="18"/>
  <c r="S173" i="18"/>
  <c r="S174" i="18"/>
  <c r="S175" i="18"/>
  <c r="S177" i="18"/>
  <c r="S178" i="18"/>
  <c r="S179" i="18"/>
  <c r="S180" i="18"/>
  <c r="S181" i="18"/>
  <c r="S182" i="18"/>
  <c r="S185" i="18"/>
  <c r="S186" i="18"/>
  <c r="S187" i="18"/>
  <c r="S188" i="18"/>
  <c r="S189" i="18"/>
  <c r="S190" i="18"/>
  <c r="S191" i="18"/>
  <c r="S192" i="18"/>
  <c r="S193" i="18"/>
  <c r="S194" i="18"/>
  <c r="S195" i="18"/>
  <c r="S197" i="18"/>
  <c r="S198" i="18"/>
  <c r="S199" i="18"/>
  <c r="S200" i="18"/>
  <c r="S201" i="18"/>
  <c r="S202" i="18"/>
  <c r="S204" i="18"/>
  <c r="S205" i="18"/>
  <c r="S206" i="18"/>
  <c r="S207" i="18"/>
  <c r="S208" i="18"/>
  <c r="S209" i="18"/>
  <c r="S210" i="18"/>
  <c r="S211" i="18"/>
  <c r="S212" i="18"/>
  <c r="S213" i="18"/>
  <c r="S215" i="18"/>
  <c r="S217" i="18"/>
  <c r="S219" i="18"/>
  <c r="S221" i="18"/>
  <c r="S224" i="18"/>
  <c r="S225" i="18"/>
  <c r="S226" i="18"/>
  <c r="S227" i="18"/>
  <c r="S228" i="18"/>
  <c r="S229" i="18"/>
  <c r="S231" i="18"/>
  <c r="S232" i="18"/>
  <c r="S233" i="18"/>
  <c r="S234" i="18"/>
  <c r="S236" i="18"/>
  <c r="S237" i="18"/>
  <c r="S238" i="18"/>
  <c r="S239" i="18"/>
  <c r="S240" i="18"/>
  <c r="S241" i="18"/>
  <c r="S242" i="18"/>
  <c r="S243" i="18"/>
  <c r="S244" i="18"/>
  <c r="S245" i="18"/>
  <c r="S246" i="18"/>
  <c r="S247" i="18"/>
  <c r="S249" i="18"/>
  <c r="S250" i="18"/>
  <c r="S252" i="18"/>
  <c r="S253" i="18"/>
  <c r="S254" i="18"/>
  <c r="S255" i="18"/>
  <c r="S256" i="18"/>
  <c r="S257" i="18"/>
  <c r="S258" i="18"/>
  <c r="S259" i="18"/>
  <c r="S260" i="18"/>
  <c r="S261" i="18"/>
  <c r="S262" i="18"/>
  <c r="S263" i="18"/>
  <c r="S264" i="18"/>
  <c r="S266" i="18"/>
  <c r="S267" i="18"/>
  <c r="S268" i="18"/>
  <c r="S269" i="18"/>
  <c r="S270" i="18"/>
  <c r="S271" i="18"/>
  <c r="S273" i="18"/>
  <c r="S274" i="18"/>
  <c r="S275" i="18"/>
  <c r="S276" i="18"/>
  <c r="S278" i="18"/>
  <c r="S279" i="18"/>
  <c r="S280" i="18"/>
  <c r="S281" i="18"/>
  <c r="S282" i="18"/>
  <c r="S283" i="18"/>
  <c r="S284" i="18"/>
  <c r="S286" i="18"/>
  <c r="S287" i="18"/>
  <c r="S288" i="18"/>
  <c r="S289" i="18"/>
  <c r="S290" i="18"/>
  <c r="S291" i="18"/>
  <c r="S292" i="18"/>
  <c r="S293" i="18"/>
  <c r="S294" i="18"/>
  <c r="S295" i="18"/>
  <c r="S296" i="18"/>
  <c r="S297" i="18"/>
  <c r="S298" i="18"/>
  <c r="S300" i="18"/>
  <c r="S301" i="18"/>
  <c r="S302" i="18"/>
  <c r="S303" i="18"/>
  <c r="S304" i="18"/>
  <c r="S305" i="18"/>
  <c r="S306" i="18"/>
  <c r="S307" i="18"/>
  <c r="S308" i="18"/>
  <c r="S309" i="18"/>
  <c r="S311" i="18"/>
  <c r="S312" i="18"/>
  <c r="S313" i="18"/>
  <c r="S314" i="18"/>
  <c r="S315" i="18"/>
  <c r="S316" i="18"/>
  <c r="S317" i="18"/>
  <c r="S319" i="18"/>
  <c r="S320" i="18"/>
  <c r="S321" i="18"/>
  <c r="S322" i="18"/>
  <c r="S323" i="18"/>
  <c r="S325" i="18"/>
  <c r="R7" i="18"/>
  <c r="R8" i="18"/>
  <c r="R9" i="18"/>
  <c r="R10" i="18"/>
  <c r="R11" i="18"/>
  <c r="R12" i="18"/>
  <c r="R13" i="18"/>
  <c r="R14" i="18"/>
  <c r="R15" i="18"/>
  <c r="R16" i="18"/>
  <c r="R18" i="18"/>
  <c r="R19" i="18"/>
  <c r="R20" i="18"/>
  <c r="R22" i="18"/>
  <c r="R24" i="18"/>
  <c r="R25" i="18"/>
  <c r="R26" i="18"/>
  <c r="R28" i="18"/>
  <c r="R30" i="18"/>
  <c r="R31" i="18"/>
  <c r="R32" i="18"/>
  <c r="R33" i="18"/>
  <c r="R34" i="18"/>
  <c r="R35" i="18"/>
  <c r="R36" i="18"/>
  <c r="R37" i="18"/>
  <c r="R39" i="18"/>
  <c r="R40" i="18"/>
  <c r="R41" i="18"/>
  <c r="R42" i="18"/>
  <c r="R43" i="18"/>
  <c r="R44" i="18"/>
  <c r="R45" i="18"/>
  <c r="R47" i="18"/>
  <c r="R48" i="18"/>
  <c r="R49" i="18"/>
  <c r="R50" i="18"/>
  <c r="R52" i="18"/>
  <c r="R53" i="18"/>
  <c r="R54" i="18"/>
  <c r="R55" i="18"/>
  <c r="R56" i="18"/>
  <c r="R57" i="18"/>
  <c r="R58" i="18"/>
  <c r="R59" i="18"/>
  <c r="R60" i="18"/>
  <c r="R61" i="18"/>
  <c r="R63" i="18"/>
  <c r="R64" i="18"/>
  <c r="R65" i="18"/>
  <c r="R68" i="18"/>
  <c r="R69" i="18"/>
  <c r="R70" i="18"/>
  <c r="R71" i="18"/>
  <c r="R72" i="18"/>
  <c r="R73" i="18"/>
  <c r="R74" i="18"/>
  <c r="R75" i="18"/>
  <c r="R76" i="18"/>
  <c r="R77" i="18"/>
  <c r="R79" i="18"/>
  <c r="R80" i="18"/>
  <c r="R81" i="18"/>
  <c r="R82" i="18"/>
  <c r="R83" i="18"/>
  <c r="R84" i="18"/>
  <c r="R85" i="18"/>
  <c r="R86" i="18"/>
  <c r="R87" i="18"/>
  <c r="R88" i="18"/>
  <c r="R90" i="18"/>
  <c r="R91" i="18"/>
  <c r="R92" i="18"/>
  <c r="R93" i="18"/>
  <c r="R94" i="18"/>
  <c r="R95" i="18"/>
  <c r="R96" i="18"/>
  <c r="R97" i="18"/>
  <c r="R98" i="18"/>
  <c r="R99" i="18"/>
  <c r="R102" i="18"/>
  <c r="R103" i="18"/>
  <c r="R104" i="18"/>
  <c r="R106" i="18"/>
  <c r="R107" i="18"/>
  <c r="R108" i="18"/>
  <c r="R109" i="18"/>
  <c r="R110" i="18"/>
  <c r="R111" i="18"/>
  <c r="R112" i="18"/>
  <c r="R113" i="18"/>
  <c r="R115" i="18"/>
  <c r="R116" i="18"/>
  <c r="R118" i="18"/>
  <c r="R120" i="18"/>
  <c r="R121" i="18"/>
  <c r="R123" i="18"/>
  <c r="R124" i="18"/>
  <c r="R125" i="18"/>
  <c r="R126" i="18"/>
  <c r="R127" i="18"/>
  <c r="R129" i="18"/>
  <c r="R131" i="18"/>
  <c r="R132" i="18"/>
  <c r="R134" i="18"/>
  <c r="R135" i="18"/>
  <c r="R136" i="18"/>
  <c r="R137" i="18"/>
  <c r="R138" i="18"/>
  <c r="R140" i="18"/>
  <c r="R142" i="18"/>
  <c r="R143" i="18"/>
  <c r="R144" i="18"/>
  <c r="R146" i="18"/>
  <c r="R147" i="18"/>
  <c r="R148" i="18"/>
  <c r="R150" i="18"/>
  <c r="R151" i="18"/>
  <c r="R152" i="18"/>
  <c r="R153" i="18"/>
  <c r="R154" i="18"/>
  <c r="R155" i="18"/>
  <c r="R157" i="18"/>
  <c r="R158" i="18"/>
  <c r="R159" i="18"/>
  <c r="R160" i="18"/>
  <c r="R161" i="18"/>
  <c r="R162" i="18"/>
  <c r="R163" i="18"/>
  <c r="R164" i="18"/>
  <c r="R165" i="18"/>
  <c r="R166" i="18"/>
  <c r="R168" i="18"/>
  <c r="R169" i="18"/>
  <c r="R171" i="18"/>
  <c r="R172" i="18"/>
  <c r="R173" i="18"/>
  <c r="R174" i="18"/>
  <c r="R175" i="18"/>
  <c r="R177" i="18"/>
  <c r="R178" i="18"/>
  <c r="R179" i="18"/>
  <c r="R180" i="18"/>
  <c r="R181" i="18"/>
  <c r="R182" i="18"/>
  <c r="R185" i="18"/>
  <c r="R186" i="18"/>
  <c r="R187" i="18"/>
  <c r="R188" i="18"/>
  <c r="R189" i="18"/>
  <c r="R190" i="18"/>
  <c r="R191" i="18"/>
  <c r="R192" i="18"/>
  <c r="R193" i="18"/>
  <c r="R194" i="18"/>
  <c r="R195" i="18"/>
  <c r="R197" i="18"/>
  <c r="R198" i="18"/>
  <c r="R199" i="18"/>
  <c r="R200" i="18"/>
  <c r="R201" i="18"/>
  <c r="R202" i="18"/>
  <c r="R204" i="18"/>
  <c r="R205" i="18"/>
  <c r="R206" i="18"/>
  <c r="R207" i="18"/>
  <c r="R208" i="18"/>
  <c r="R209" i="18"/>
  <c r="R210" i="18"/>
  <c r="R211" i="18"/>
  <c r="R212" i="18"/>
  <c r="R213" i="18"/>
  <c r="R215" i="18"/>
  <c r="R217" i="18"/>
  <c r="R219" i="18"/>
  <c r="R221" i="18"/>
  <c r="R224" i="18"/>
  <c r="R225" i="18"/>
  <c r="R226" i="18"/>
  <c r="R227" i="18"/>
  <c r="R228" i="18"/>
  <c r="R229" i="18"/>
  <c r="R231" i="18"/>
  <c r="R232" i="18"/>
  <c r="R233" i="18"/>
  <c r="R234" i="18"/>
  <c r="R236" i="18"/>
  <c r="R237" i="18"/>
  <c r="R238" i="18"/>
  <c r="R239" i="18"/>
  <c r="R240" i="18"/>
  <c r="R241" i="18"/>
  <c r="R242" i="18"/>
  <c r="R243" i="18"/>
  <c r="R244" i="18"/>
  <c r="R245" i="18"/>
  <c r="R246" i="18"/>
  <c r="R247" i="18"/>
  <c r="R249" i="18"/>
  <c r="R250" i="18"/>
  <c r="R252" i="18"/>
  <c r="R253" i="18"/>
  <c r="R254" i="18"/>
  <c r="R255" i="18"/>
  <c r="R256" i="18"/>
  <c r="R257" i="18"/>
  <c r="R258" i="18"/>
  <c r="R259" i="18"/>
  <c r="R260" i="18"/>
  <c r="R261" i="18"/>
  <c r="R262" i="18"/>
  <c r="R263" i="18"/>
  <c r="R264" i="18"/>
  <c r="R266" i="18"/>
  <c r="R267" i="18"/>
  <c r="R268" i="18"/>
  <c r="R269" i="18"/>
  <c r="R270" i="18"/>
  <c r="R271" i="18"/>
  <c r="R273" i="18"/>
  <c r="R274" i="18"/>
  <c r="R275" i="18"/>
  <c r="R276" i="18"/>
  <c r="R278" i="18"/>
  <c r="R279" i="18"/>
  <c r="R280" i="18"/>
  <c r="R281" i="18"/>
  <c r="R282" i="18"/>
  <c r="R283" i="18"/>
  <c r="R284" i="18"/>
  <c r="R286" i="18"/>
  <c r="R287" i="18"/>
  <c r="R288" i="18"/>
  <c r="R289" i="18"/>
  <c r="R290" i="18"/>
  <c r="R291" i="18"/>
  <c r="R292" i="18"/>
  <c r="R293" i="18"/>
  <c r="R294" i="18"/>
  <c r="R295" i="18"/>
  <c r="R296" i="18"/>
  <c r="R297" i="18"/>
  <c r="R298" i="18"/>
  <c r="R300" i="18"/>
  <c r="R301" i="18"/>
  <c r="R302" i="18"/>
  <c r="R303" i="18"/>
  <c r="R304" i="18"/>
  <c r="R305" i="18"/>
  <c r="R306" i="18"/>
  <c r="R307" i="18"/>
  <c r="R308" i="18"/>
  <c r="R309" i="18"/>
  <c r="R311" i="18"/>
  <c r="R312" i="18"/>
  <c r="R313" i="18"/>
  <c r="R314" i="18"/>
  <c r="R315" i="18"/>
  <c r="R316" i="18"/>
  <c r="R317" i="18"/>
  <c r="R319" i="18"/>
  <c r="R320" i="18"/>
  <c r="R321" i="18"/>
  <c r="R322" i="18"/>
  <c r="R323" i="18"/>
  <c r="R325" i="18"/>
  <c r="AA323" i="18"/>
  <c r="AA322" i="18"/>
  <c r="AA321" i="18"/>
  <c r="AA320" i="18"/>
  <c r="AA319" i="18"/>
  <c r="AB99" i="18"/>
  <c r="AB98" i="18"/>
  <c r="AB97" i="18"/>
  <c r="AB96" i="18"/>
  <c r="AB95" i="18"/>
  <c r="AB94" i="18"/>
  <c r="AB93" i="18"/>
  <c r="AB92" i="18"/>
  <c r="AB91" i="18"/>
  <c r="AB90" i="18"/>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7" i="1"/>
  <c r="G67" i="6"/>
  <c r="F67" i="6"/>
  <c r="A4" i="9"/>
  <c r="F14" i="9"/>
  <c r="F13" i="9"/>
  <c r="R7" i="1"/>
  <c r="R8" i="1"/>
  <c r="R9" i="1"/>
  <c r="R10" i="1"/>
  <c r="K11" i="1"/>
  <c r="R11" i="1"/>
  <c r="K12" i="1"/>
  <c r="R12" i="1"/>
  <c r="K13" i="1"/>
  <c r="R13" i="1"/>
  <c r="K14" i="1"/>
  <c r="R14" i="1"/>
  <c r="K15" i="1"/>
  <c r="R15" i="1"/>
  <c r="K16" i="1"/>
  <c r="R18" i="1"/>
  <c r="K19" i="1"/>
  <c r="K20" i="1"/>
  <c r="K22" i="1"/>
  <c r="F155" i="2"/>
  <c r="R24" i="1"/>
  <c r="R25" i="1"/>
  <c r="S25" i="1"/>
  <c r="T25" i="1"/>
  <c r="K26" i="1"/>
  <c r="K28" i="1"/>
  <c r="R30" i="1"/>
  <c r="K31" i="1"/>
  <c r="R31" i="1"/>
  <c r="K32" i="1"/>
  <c r="R32" i="1"/>
  <c r="K33" i="1"/>
  <c r="R34" i="1"/>
  <c r="K35" i="1"/>
  <c r="R35" i="1"/>
  <c r="K36" i="1"/>
  <c r="R36" i="1"/>
  <c r="K37" i="1"/>
  <c r="R37" i="1"/>
  <c r="K39" i="1"/>
  <c r="R39" i="1"/>
  <c r="R40" i="1"/>
  <c r="S40" i="1"/>
  <c r="T40" i="1"/>
  <c r="R41" i="1"/>
  <c r="S41" i="1"/>
  <c r="T41" i="1"/>
  <c r="K42" i="1"/>
  <c r="R42" i="1"/>
  <c r="R43" i="1"/>
  <c r="R44" i="1"/>
  <c r="R45" i="1"/>
  <c r="T45" i="1"/>
  <c r="R47" i="1"/>
  <c r="T47" i="1"/>
  <c r="K48" i="1"/>
  <c r="F356" i="2"/>
  <c r="K49" i="1"/>
  <c r="R49" i="1"/>
  <c r="K50" i="1"/>
  <c r="T50" i="1"/>
  <c r="R50" i="1"/>
  <c r="K52" i="1"/>
  <c r="R52" i="1"/>
  <c r="K53" i="1"/>
  <c r="R53" i="1"/>
  <c r="T53" i="1"/>
  <c r="R54" i="1"/>
  <c r="T54" i="1"/>
  <c r="K55" i="1"/>
  <c r="T55" i="1"/>
  <c r="K56" i="1"/>
  <c r="R57" i="1"/>
  <c r="K58" i="1"/>
  <c r="K59" i="1"/>
  <c r="K60" i="1"/>
  <c r="F453" i="2"/>
  <c r="K61" i="1"/>
  <c r="R63" i="1"/>
  <c r="K64" i="1"/>
  <c r="R64" i="1"/>
  <c r="K65" i="1"/>
  <c r="R68" i="1"/>
  <c r="K69" i="1"/>
  <c r="R69" i="1"/>
  <c r="K70" i="1"/>
  <c r="K71" i="1"/>
  <c r="R71" i="1"/>
  <c r="K72" i="1"/>
  <c r="K73" i="1"/>
  <c r="R73" i="1"/>
  <c r="K74" i="1"/>
  <c r="K75" i="1"/>
  <c r="R75" i="1"/>
  <c r="R76" i="1"/>
  <c r="K77" i="1"/>
  <c r="R79" i="1"/>
  <c r="K80" i="1"/>
  <c r="R80" i="1"/>
  <c r="K81" i="1"/>
  <c r="K82" i="1"/>
  <c r="R82" i="1"/>
  <c r="K83" i="1"/>
  <c r="R83" i="1"/>
  <c r="K84" i="1"/>
  <c r="R84" i="1"/>
  <c r="K85" i="1"/>
  <c r="R85" i="1"/>
  <c r="K86" i="1"/>
  <c r="R86" i="1"/>
  <c r="R87" i="1"/>
  <c r="R88" i="1"/>
  <c r="K91" i="1"/>
  <c r="F736" i="2"/>
  <c r="K738" i="2"/>
  <c r="R92" i="1"/>
  <c r="R93" i="1"/>
  <c r="R95" i="1"/>
  <c r="K96" i="1"/>
  <c r="R96" i="1"/>
  <c r="R97" i="1"/>
  <c r="T97" i="1"/>
  <c r="R98" i="1"/>
  <c r="R99" i="1"/>
  <c r="T99" i="1"/>
  <c r="K100" i="1"/>
  <c r="R100" i="1"/>
  <c r="K101" i="1"/>
  <c r="R102" i="1"/>
  <c r="S102" i="1"/>
  <c r="T102" i="1"/>
  <c r="K104" i="1"/>
  <c r="R104" i="1"/>
  <c r="K105" i="1"/>
  <c r="R105" i="1"/>
  <c r="R107" i="1"/>
  <c r="K109" i="1"/>
  <c r="F863" i="2"/>
  <c r="K110" i="1"/>
  <c r="S110" i="1"/>
  <c r="K114" i="1"/>
  <c r="R114" i="1"/>
  <c r="K115" i="1"/>
  <c r="R115" i="1"/>
  <c r="K116" i="1"/>
  <c r="K120" i="1"/>
  <c r="R120" i="1"/>
  <c r="K121" i="1"/>
  <c r="R125" i="1"/>
  <c r="R126" i="1"/>
  <c r="K127" i="1"/>
  <c r="F997" i="2"/>
  <c r="J999" i="2"/>
  <c r="K129" i="1"/>
  <c r="R129" i="1"/>
  <c r="K131" i="1"/>
  <c r="R131" i="1"/>
  <c r="K132" i="1"/>
  <c r="R132" i="1"/>
  <c r="K133" i="1"/>
  <c r="S133" i="1"/>
  <c r="R133" i="1"/>
  <c r="T133" i="1"/>
  <c r="K135" i="1"/>
  <c r="R135" i="1"/>
  <c r="K136" i="1"/>
  <c r="K137" i="1"/>
  <c r="T137" i="1"/>
  <c r="S137" i="1"/>
  <c r="R141" i="1"/>
  <c r="S141" i="1"/>
  <c r="T141" i="1"/>
  <c r="K142" i="1"/>
  <c r="R142" i="1"/>
  <c r="R143" i="1"/>
  <c r="K144" i="1"/>
  <c r="S144" i="1"/>
  <c r="Q146" i="1"/>
  <c r="R146" i="1"/>
  <c r="K147" i="1"/>
  <c r="F1111" i="2"/>
  <c r="K149" i="1"/>
  <c r="R149" i="1"/>
  <c r="K150" i="1"/>
  <c r="T150" i="1"/>
  <c r="R151" i="1"/>
  <c r="T151" i="1"/>
  <c r="R152" i="1"/>
  <c r="T152" i="1"/>
  <c r="K153" i="1"/>
  <c r="R153" i="1"/>
  <c r="R154" i="1"/>
  <c r="K155" i="1"/>
  <c r="R155" i="1"/>
  <c r="K157" i="1"/>
  <c r="R157" i="1"/>
  <c r="K158" i="1"/>
  <c r="K162" i="1"/>
  <c r="R162" i="1"/>
  <c r="K163" i="1"/>
  <c r="R163" i="1"/>
  <c r="K164" i="1"/>
  <c r="R167" i="1"/>
  <c r="K168" i="1"/>
  <c r="R168" i="1"/>
  <c r="R169" i="1"/>
  <c r="T169" i="1"/>
  <c r="R170" i="1"/>
  <c r="T170" i="1"/>
  <c r="Q171" i="1"/>
  <c r="R171" i="1"/>
  <c r="T171" i="1"/>
  <c r="K174" i="1"/>
  <c r="R175" i="1"/>
  <c r="K176" i="1"/>
  <c r="R176" i="1"/>
  <c r="R177" i="1"/>
  <c r="R178" i="1"/>
  <c r="T178" i="1"/>
  <c r="K180" i="1"/>
  <c r="T180" i="1"/>
  <c r="K181" i="1"/>
  <c r="R181" i="1"/>
  <c r="K182" i="1"/>
  <c r="K183" i="1"/>
  <c r="R183" i="1"/>
  <c r="K184" i="1"/>
  <c r="R184" i="1"/>
  <c r="R186" i="1"/>
  <c r="K187" i="1"/>
  <c r="R188" i="1"/>
  <c r="T188" i="1"/>
  <c r="K189" i="1"/>
  <c r="K190" i="1"/>
  <c r="R190" i="1"/>
  <c r="K191" i="1"/>
  <c r="R193" i="1"/>
  <c r="R194" i="1"/>
  <c r="S194" i="1"/>
  <c r="T194" i="1"/>
  <c r="R195" i="1"/>
  <c r="S195" i="1"/>
  <c r="T195" i="1"/>
  <c r="R196" i="1"/>
  <c r="R197" i="1"/>
  <c r="R198" i="1"/>
  <c r="R199" i="1"/>
  <c r="S199" i="1"/>
  <c r="T199" i="1"/>
  <c r="K200" i="1"/>
  <c r="R200" i="1"/>
  <c r="K201" i="1"/>
  <c r="R201" i="1"/>
  <c r="K202" i="1"/>
  <c r="R202" i="1"/>
  <c r="K204" i="1"/>
  <c r="R204" i="1"/>
  <c r="K206" i="1"/>
  <c r="R206" i="1"/>
  <c r="K208" i="1"/>
  <c r="K210" i="1"/>
  <c r="R210" i="1"/>
  <c r="R213" i="1"/>
  <c r="T213" i="1"/>
  <c r="R214" i="1"/>
  <c r="S214" i="1"/>
  <c r="T214" i="1"/>
  <c r="R215" i="1"/>
  <c r="S215" i="1"/>
  <c r="T215" i="1"/>
  <c r="R216" i="1"/>
  <c r="S216" i="1"/>
  <c r="T216" i="1"/>
  <c r="R217" i="1"/>
  <c r="K218" i="1"/>
  <c r="R218" i="1"/>
  <c r="K220" i="1"/>
  <c r="R220" i="1"/>
  <c r="K221" i="1"/>
  <c r="K222" i="1"/>
  <c r="R222" i="1"/>
  <c r="T222" i="1"/>
  <c r="R223" i="1"/>
  <c r="S223" i="1"/>
  <c r="T223" i="1"/>
  <c r="R225" i="1"/>
  <c r="K226" i="1"/>
  <c r="R226" i="1"/>
  <c r="K227" i="1"/>
  <c r="K228" i="1"/>
  <c r="K229" i="1"/>
  <c r="K230" i="1"/>
  <c r="F1737" i="2"/>
  <c r="K231" i="1"/>
  <c r="K232" i="1"/>
  <c r="K233" i="1"/>
  <c r="R234" i="1"/>
  <c r="R235" i="1"/>
  <c r="R236" i="1"/>
  <c r="K238" i="1"/>
  <c r="Q238" i="1"/>
  <c r="R238" i="1"/>
  <c r="K239" i="1"/>
  <c r="R239" i="1"/>
  <c r="K241" i="1"/>
  <c r="R241" i="1"/>
  <c r="K242" i="1"/>
  <c r="R242" i="1"/>
  <c r="K243" i="1"/>
  <c r="Q243" i="1"/>
  <c r="K244" i="1"/>
  <c r="K245" i="1"/>
  <c r="K246" i="1"/>
  <c r="R247" i="1"/>
  <c r="K248" i="1"/>
  <c r="R248" i="1"/>
  <c r="K249" i="1"/>
  <c r="R249" i="1"/>
  <c r="R250" i="1"/>
  <c r="K251" i="1"/>
  <c r="R251" i="1"/>
  <c r="R252" i="1"/>
  <c r="T252" i="1"/>
  <c r="K253" i="1"/>
  <c r="R255" i="1"/>
  <c r="K256" i="1"/>
  <c r="R256" i="1"/>
  <c r="K257" i="1"/>
  <c r="R257" i="1"/>
  <c r="K258" i="1"/>
  <c r="R258" i="1"/>
  <c r="R259" i="1"/>
  <c r="T259" i="1"/>
  <c r="R260" i="1"/>
  <c r="T260" i="1"/>
  <c r="K262" i="1"/>
  <c r="R262" i="1"/>
  <c r="R263" i="1"/>
  <c r="K264" i="1"/>
  <c r="R264" i="1"/>
  <c r="K265" i="1"/>
  <c r="R265" i="1"/>
  <c r="R267" i="1"/>
  <c r="R268" i="1"/>
  <c r="R269" i="1"/>
  <c r="R270" i="1"/>
  <c r="S270" i="1"/>
  <c r="T270" i="1"/>
  <c r="K271" i="1"/>
  <c r="R271" i="1"/>
  <c r="Q272" i="1"/>
  <c r="R272" i="1"/>
  <c r="T272" i="1"/>
  <c r="R273" i="1"/>
  <c r="R275" i="1"/>
  <c r="T275" i="1"/>
  <c r="R276" i="1"/>
  <c r="S276" i="1"/>
  <c r="T276" i="1"/>
  <c r="R277" i="1"/>
  <c r="S277" i="1"/>
  <c r="T277" i="1"/>
  <c r="R278" i="1"/>
  <c r="S278" i="1"/>
  <c r="T278" i="1"/>
  <c r="R279" i="1"/>
  <c r="S279" i="1"/>
  <c r="T279" i="1"/>
  <c r="R280" i="1"/>
  <c r="S280" i="1"/>
  <c r="T280" i="1"/>
  <c r="R281" i="1"/>
  <c r="S281" i="1"/>
  <c r="T281" i="1"/>
  <c r="R282" i="1"/>
  <c r="S282" i="1"/>
  <c r="T282" i="1"/>
  <c r="R283" i="1"/>
  <c r="T283" i="1"/>
  <c r="R284" i="1"/>
  <c r="R285" i="1"/>
  <c r="K286" i="1"/>
  <c r="R286" i="1"/>
  <c r="K287" i="1"/>
  <c r="R287" i="1"/>
  <c r="R289" i="1"/>
  <c r="T289" i="1"/>
  <c r="R290" i="1"/>
  <c r="R291" i="1"/>
  <c r="R292" i="1"/>
  <c r="T292" i="1"/>
  <c r="R293" i="1"/>
  <c r="S293" i="1"/>
  <c r="T293" i="1"/>
  <c r="R294" i="1"/>
  <c r="S294" i="1"/>
  <c r="T294" i="1"/>
  <c r="R295" i="1"/>
  <c r="R296" i="1"/>
  <c r="Q297" i="1"/>
  <c r="R297" i="1"/>
  <c r="T297" i="1"/>
  <c r="K298" i="1"/>
  <c r="R298" i="1"/>
  <c r="R300" i="1"/>
  <c r="R301" i="1"/>
  <c r="K302" i="1"/>
  <c r="R303" i="1"/>
  <c r="T303" i="1"/>
  <c r="R304" i="1"/>
  <c r="T304" i="1"/>
  <c r="R305" i="1"/>
  <c r="T305" i="1"/>
  <c r="Q306" i="1"/>
  <c r="R306" i="1"/>
  <c r="T306" i="1"/>
  <c r="A312" i="1"/>
  <c r="K316" i="1"/>
  <c r="K317" i="1"/>
  <c r="K318" i="1"/>
  <c r="K319" i="1"/>
  <c r="R320" i="1"/>
  <c r="K321" i="1"/>
  <c r="R321" i="1"/>
  <c r="A7" i="2"/>
  <c r="B7" i="2"/>
  <c r="D7" i="2"/>
  <c r="E7" i="2"/>
  <c r="F7" i="2"/>
  <c r="K18" i="2"/>
  <c r="B9" i="2"/>
  <c r="D9" i="2"/>
  <c r="E9" i="2"/>
  <c r="B10" i="2"/>
  <c r="D10" i="2"/>
  <c r="E10" i="2"/>
  <c r="B11" i="2"/>
  <c r="D11" i="2"/>
  <c r="E11" i="2"/>
  <c r="B12" i="2"/>
  <c r="D12" i="2"/>
  <c r="E12" i="2"/>
  <c r="B13" i="2"/>
  <c r="D13" i="2"/>
  <c r="E13" i="2"/>
  <c r="B14" i="2"/>
  <c r="D14" i="2"/>
  <c r="E14" i="2"/>
  <c r="B15" i="2"/>
  <c r="D15" i="2"/>
  <c r="E15" i="2"/>
  <c r="B16" i="2"/>
  <c r="D16" i="2"/>
  <c r="E16" i="2"/>
  <c r="B18" i="2"/>
  <c r="E18" i="2"/>
  <c r="B20" i="2"/>
  <c r="D20" i="2"/>
  <c r="E20" i="2"/>
  <c r="B21" i="2"/>
  <c r="D21" i="2"/>
  <c r="E21" i="2"/>
  <c r="A22" i="2"/>
  <c r="B22" i="2"/>
  <c r="D22" i="2"/>
  <c r="E22" i="2"/>
  <c r="F22" i="2"/>
  <c r="B24" i="2"/>
  <c r="D24" i="2"/>
  <c r="E24" i="2"/>
  <c r="J24" i="2"/>
  <c r="B25" i="2"/>
  <c r="D25" i="2"/>
  <c r="E25" i="2"/>
  <c r="J25" i="2"/>
  <c r="B26" i="2"/>
  <c r="D26" i="2"/>
  <c r="E26" i="2"/>
  <c r="J26" i="2"/>
  <c r="B27" i="2"/>
  <c r="D27" i="2"/>
  <c r="E27" i="2"/>
  <c r="J27" i="2"/>
  <c r="B28" i="2"/>
  <c r="D28" i="2"/>
  <c r="E28" i="2"/>
  <c r="J28" i="2"/>
  <c r="B29" i="2"/>
  <c r="D29" i="2"/>
  <c r="E29" i="2"/>
  <c r="J29" i="2"/>
  <c r="B30" i="2"/>
  <c r="D30" i="2"/>
  <c r="E30" i="2"/>
  <c r="J30" i="2"/>
  <c r="B31" i="2"/>
  <c r="D31" i="2"/>
  <c r="E31" i="2"/>
  <c r="B33" i="2"/>
  <c r="E33" i="2"/>
  <c r="B35" i="2"/>
  <c r="D35" i="2"/>
  <c r="E35" i="2"/>
  <c r="B36" i="2"/>
  <c r="D36" i="2"/>
  <c r="E36" i="2"/>
  <c r="B37" i="2"/>
  <c r="D37" i="2"/>
  <c r="E37" i="2"/>
  <c r="A38" i="2"/>
  <c r="B38" i="2"/>
  <c r="D38" i="2"/>
  <c r="E38" i="2"/>
  <c r="F38" i="2"/>
  <c r="B40" i="2"/>
  <c r="D40" i="2"/>
  <c r="E40" i="2"/>
  <c r="J40" i="2"/>
  <c r="B41" i="2"/>
  <c r="D41" i="2"/>
  <c r="E41" i="2"/>
  <c r="J41" i="2"/>
  <c r="B42" i="2"/>
  <c r="D42" i="2"/>
  <c r="E42" i="2"/>
  <c r="J42" i="2"/>
  <c r="B43" i="2"/>
  <c r="D43" i="2"/>
  <c r="E43" i="2"/>
  <c r="J43" i="2"/>
  <c r="B44" i="2"/>
  <c r="D44" i="2"/>
  <c r="E44" i="2"/>
  <c r="B46" i="2"/>
  <c r="E46" i="2"/>
  <c r="K46" i="2"/>
  <c r="B48" i="2"/>
  <c r="D48" i="2"/>
  <c r="E48" i="2"/>
  <c r="L48" i="2"/>
  <c r="B49" i="2"/>
  <c r="D49" i="2"/>
  <c r="E49" i="2"/>
  <c r="L49" i="2"/>
  <c r="A50" i="2"/>
  <c r="B50" i="2"/>
  <c r="D50" i="2"/>
  <c r="E50" i="2"/>
  <c r="F50" i="2"/>
  <c r="B52" i="2"/>
  <c r="D52" i="2"/>
  <c r="E52" i="2"/>
  <c r="J52" i="2"/>
  <c r="B53" i="2"/>
  <c r="D53" i="2"/>
  <c r="E53" i="2"/>
  <c r="J53" i="2"/>
  <c r="B54" i="2"/>
  <c r="D54" i="2"/>
  <c r="E54" i="2"/>
  <c r="J54" i="2"/>
  <c r="B55" i="2"/>
  <c r="D55" i="2"/>
  <c r="E55" i="2"/>
  <c r="J55" i="2"/>
  <c r="B57" i="2"/>
  <c r="E57" i="2"/>
  <c r="B59" i="2"/>
  <c r="D59" i="2"/>
  <c r="E59" i="2"/>
  <c r="B60" i="2"/>
  <c r="D60" i="2"/>
  <c r="E60" i="2"/>
  <c r="A61" i="2"/>
  <c r="B61" i="2"/>
  <c r="D61" i="2"/>
  <c r="E61" i="2"/>
  <c r="F61" i="2"/>
  <c r="B63" i="2"/>
  <c r="D63" i="2"/>
  <c r="E63" i="2"/>
  <c r="J63" i="2"/>
  <c r="B64" i="2"/>
  <c r="D64" i="2"/>
  <c r="E64" i="2"/>
  <c r="J64" i="2"/>
  <c r="B65" i="2"/>
  <c r="D65" i="2"/>
  <c r="E65" i="2"/>
  <c r="J65" i="2"/>
  <c r="B67" i="2"/>
  <c r="E67" i="2"/>
  <c r="B69" i="2"/>
  <c r="D69" i="2"/>
  <c r="E69" i="2"/>
  <c r="B70" i="2"/>
  <c r="D70" i="2"/>
  <c r="E70" i="2"/>
  <c r="A71" i="2"/>
  <c r="B71" i="2"/>
  <c r="D71" i="2"/>
  <c r="E71" i="2"/>
  <c r="F71" i="2"/>
  <c r="J75" i="2"/>
  <c r="H690" i="3"/>
  <c r="B73" i="2"/>
  <c r="D73" i="2"/>
  <c r="E73" i="2"/>
  <c r="J73" i="2"/>
  <c r="H452" i="3"/>
  <c r="S452" i="3"/>
  <c r="B74" i="2"/>
  <c r="D74" i="2"/>
  <c r="E74" i="2"/>
  <c r="J74" i="2"/>
  <c r="H223" i="3"/>
  <c r="B75" i="2"/>
  <c r="D75" i="2"/>
  <c r="E75" i="2"/>
  <c r="B77" i="2"/>
  <c r="E77" i="2"/>
  <c r="B79" i="2"/>
  <c r="D79" i="2"/>
  <c r="E79" i="2"/>
  <c r="B80" i="2"/>
  <c r="D80" i="2"/>
  <c r="E80" i="2"/>
  <c r="A81" i="2"/>
  <c r="B81" i="2"/>
  <c r="D81" i="2"/>
  <c r="E81" i="2"/>
  <c r="F81" i="2"/>
  <c r="B83" i="2"/>
  <c r="D83" i="2"/>
  <c r="E83" i="2"/>
  <c r="J83" i="2"/>
  <c r="B84" i="2"/>
  <c r="D84" i="2"/>
  <c r="E84" i="2"/>
  <c r="J84" i="2"/>
  <c r="B85" i="2"/>
  <c r="D85" i="2"/>
  <c r="E85" i="2"/>
  <c r="J85" i="2"/>
  <c r="B87" i="2"/>
  <c r="E87" i="2"/>
  <c r="B89" i="2"/>
  <c r="D89" i="2"/>
  <c r="E89" i="2"/>
  <c r="B90" i="2"/>
  <c r="D90" i="2"/>
  <c r="E90" i="2"/>
  <c r="A91" i="2"/>
  <c r="B91" i="2"/>
  <c r="D91" i="2"/>
  <c r="E91" i="2"/>
  <c r="F91" i="2"/>
  <c r="B93" i="2"/>
  <c r="D93" i="2"/>
  <c r="E93" i="2"/>
  <c r="J93" i="2"/>
  <c r="B94" i="2"/>
  <c r="D94" i="2"/>
  <c r="E94" i="2"/>
  <c r="J94" i="2"/>
  <c r="B95" i="2"/>
  <c r="D95" i="2"/>
  <c r="E95" i="2"/>
  <c r="J95" i="2"/>
  <c r="B97" i="2"/>
  <c r="E97" i="2"/>
  <c r="B99" i="2"/>
  <c r="D99" i="2"/>
  <c r="E99" i="2"/>
  <c r="B100" i="2"/>
  <c r="D100" i="2"/>
  <c r="E100" i="2"/>
  <c r="A101" i="2"/>
  <c r="B101" i="2"/>
  <c r="D101" i="2"/>
  <c r="E101" i="2"/>
  <c r="F101" i="2"/>
  <c r="K107" i="2"/>
  <c r="I131" i="4"/>
  <c r="P131" i="4"/>
  <c r="B103" i="2"/>
  <c r="D103" i="2"/>
  <c r="E103" i="2"/>
  <c r="J103" i="2"/>
  <c r="H557" i="3"/>
  <c r="B104" i="2"/>
  <c r="D104" i="2"/>
  <c r="E104" i="2"/>
  <c r="J104" i="2"/>
  <c r="H607" i="3"/>
  <c r="B105" i="2"/>
  <c r="D105" i="2"/>
  <c r="E105" i="2"/>
  <c r="B107" i="2"/>
  <c r="E107" i="2"/>
  <c r="A108" i="2"/>
  <c r="B108" i="2"/>
  <c r="D108" i="2"/>
  <c r="E108" i="2"/>
  <c r="B110" i="2"/>
  <c r="D110" i="2"/>
  <c r="E110" i="2"/>
  <c r="B111" i="2"/>
  <c r="D111" i="2"/>
  <c r="E111" i="2"/>
  <c r="B112" i="2"/>
  <c r="D112" i="2"/>
  <c r="E112" i="2"/>
  <c r="B113" i="2"/>
  <c r="D113" i="2"/>
  <c r="E113" i="2"/>
  <c r="B114" i="2"/>
  <c r="D114" i="2"/>
  <c r="E114" i="2"/>
  <c r="B116" i="2"/>
  <c r="E116" i="2"/>
  <c r="B118" i="2"/>
  <c r="D118" i="2"/>
  <c r="E118" i="2"/>
  <c r="B119" i="2"/>
  <c r="D119" i="2"/>
  <c r="E119" i="2"/>
  <c r="B120" i="2"/>
  <c r="D120" i="2"/>
  <c r="E120" i="2"/>
  <c r="A121" i="2"/>
  <c r="B121" i="2"/>
  <c r="D121" i="2"/>
  <c r="E121" i="2"/>
  <c r="F121" i="2"/>
  <c r="B123" i="2"/>
  <c r="D123" i="2"/>
  <c r="E123" i="2"/>
  <c r="J123" i="2"/>
  <c r="B124" i="2"/>
  <c r="D124" i="2"/>
  <c r="E124" i="2"/>
  <c r="J124" i="2"/>
  <c r="B125" i="2"/>
  <c r="D125" i="2"/>
  <c r="E125" i="2"/>
  <c r="J125" i="2"/>
  <c r="B126" i="2"/>
  <c r="D126" i="2"/>
  <c r="E126" i="2"/>
  <c r="J126" i="2"/>
  <c r="B127" i="2"/>
  <c r="D127" i="2"/>
  <c r="E127" i="2"/>
  <c r="B129" i="2"/>
  <c r="E129" i="2"/>
  <c r="K129" i="2"/>
  <c r="B131" i="2"/>
  <c r="D131" i="2"/>
  <c r="E131" i="2"/>
  <c r="L131" i="2"/>
  <c r="B132" i="2"/>
  <c r="D132" i="2"/>
  <c r="E132" i="2"/>
  <c r="L132" i="2"/>
  <c r="B133" i="2"/>
  <c r="D133" i="2"/>
  <c r="E133" i="2"/>
  <c r="L133" i="2"/>
  <c r="A134" i="2"/>
  <c r="B134" i="2"/>
  <c r="D134" i="2"/>
  <c r="E134" i="2"/>
  <c r="F134" i="2"/>
  <c r="B136" i="2"/>
  <c r="D136" i="2"/>
  <c r="E136" i="2"/>
  <c r="J136" i="2"/>
  <c r="B137" i="2"/>
  <c r="D137" i="2"/>
  <c r="E137" i="2"/>
  <c r="J137" i="2"/>
  <c r="B138" i="2"/>
  <c r="D138" i="2"/>
  <c r="E138" i="2"/>
  <c r="J138" i="2"/>
  <c r="B139" i="2"/>
  <c r="D139" i="2"/>
  <c r="E139" i="2"/>
  <c r="J139" i="2"/>
  <c r="B140" i="2"/>
  <c r="D140" i="2"/>
  <c r="E140" i="2"/>
  <c r="B142" i="2"/>
  <c r="E142" i="2"/>
  <c r="B144" i="2"/>
  <c r="D144" i="2"/>
  <c r="E144" i="2"/>
  <c r="B145" i="2"/>
  <c r="D145" i="2"/>
  <c r="E145" i="2"/>
  <c r="B146" i="2"/>
  <c r="D146" i="2"/>
  <c r="E146" i="2"/>
  <c r="A147" i="2"/>
  <c r="B147" i="2"/>
  <c r="D147" i="2"/>
  <c r="E147" i="2"/>
  <c r="F147" i="2"/>
  <c r="B149" i="2"/>
  <c r="D149" i="2"/>
  <c r="E149" i="2"/>
  <c r="B150" i="2"/>
  <c r="D150" i="2"/>
  <c r="E150" i="2"/>
  <c r="B152" i="2"/>
  <c r="E152" i="2"/>
  <c r="B154" i="2"/>
  <c r="D154" i="2"/>
  <c r="E154" i="2"/>
  <c r="A155" i="2"/>
  <c r="B155" i="2"/>
  <c r="D155" i="2"/>
  <c r="E155" i="2"/>
  <c r="K161" i="2"/>
  <c r="I52" i="4"/>
  <c r="B157" i="2"/>
  <c r="D157" i="2"/>
  <c r="E157" i="2"/>
  <c r="J157" i="2"/>
  <c r="H457" i="3"/>
  <c r="B158" i="2"/>
  <c r="D158" i="2"/>
  <c r="E158" i="2"/>
  <c r="J158" i="2"/>
  <c r="H227" i="3"/>
  <c r="B159" i="2"/>
  <c r="D159" i="2"/>
  <c r="E159" i="2"/>
  <c r="J159" i="2"/>
  <c r="H668" i="3"/>
  <c r="B161" i="2"/>
  <c r="E161" i="2"/>
  <c r="B163" i="2"/>
  <c r="D163" i="2"/>
  <c r="E163" i="2"/>
  <c r="B164" i="2"/>
  <c r="D164" i="2"/>
  <c r="E164" i="2"/>
  <c r="A165" i="2"/>
  <c r="B165" i="2"/>
  <c r="D165" i="2"/>
  <c r="E165" i="2"/>
  <c r="F165" i="2"/>
  <c r="K171" i="2"/>
  <c r="B167" i="2"/>
  <c r="D167" i="2"/>
  <c r="E167" i="2"/>
  <c r="B168" i="2"/>
  <c r="D168" i="2"/>
  <c r="E168" i="2"/>
  <c r="B169" i="2"/>
  <c r="D169" i="2"/>
  <c r="E169" i="2"/>
  <c r="B171" i="2"/>
  <c r="E171" i="2"/>
  <c r="B173" i="2"/>
  <c r="D173" i="2"/>
  <c r="E173" i="2"/>
  <c r="B174" i="2"/>
  <c r="D174" i="2"/>
  <c r="E174" i="2"/>
  <c r="A175" i="2"/>
  <c r="B175" i="2"/>
  <c r="D175" i="2"/>
  <c r="E175" i="2"/>
  <c r="F175" i="2"/>
  <c r="B177" i="2"/>
  <c r="D177" i="2"/>
  <c r="E177" i="2"/>
  <c r="J177" i="2"/>
  <c r="A178" i="2"/>
  <c r="B178" i="2"/>
  <c r="D178" i="2"/>
  <c r="E178" i="2"/>
  <c r="F178" i="2"/>
  <c r="B180" i="2"/>
  <c r="D180" i="2"/>
  <c r="E180" i="2"/>
  <c r="B181" i="2"/>
  <c r="D181" i="2"/>
  <c r="E181" i="2"/>
  <c r="B182" i="2"/>
  <c r="D182" i="2"/>
  <c r="E182" i="2"/>
  <c r="B183" i="2"/>
  <c r="D183" i="2"/>
  <c r="E183" i="2"/>
  <c r="B184" i="2"/>
  <c r="D184" i="2"/>
  <c r="E184" i="2"/>
  <c r="B185" i="2"/>
  <c r="D185" i="2"/>
  <c r="E185" i="2"/>
  <c r="B187" i="2"/>
  <c r="E187" i="2"/>
  <c r="B189" i="2"/>
  <c r="D189" i="2"/>
  <c r="E189" i="2"/>
  <c r="B190" i="2"/>
  <c r="D190" i="2"/>
  <c r="E190" i="2"/>
  <c r="B191" i="2"/>
  <c r="D191" i="2"/>
  <c r="E191" i="2"/>
  <c r="B192" i="2"/>
  <c r="D192" i="2"/>
  <c r="E192" i="2"/>
  <c r="A193" i="2"/>
  <c r="B193" i="2"/>
  <c r="D193" i="2"/>
  <c r="E193" i="2"/>
  <c r="F193" i="2"/>
  <c r="K198" i="2"/>
  <c r="B195" i="2"/>
  <c r="D195" i="2"/>
  <c r="E195" i="2"/>
  <c r="J195" i="2"/>
  <c r="B196" i="2"/>
  <c r="D196" i="2"/>
  <c r="E196" i="2"/>
  <c r="B198" i="2"/>
  <c r="E198" i="2"/>
  <c r="A199" i="2"/>
  <c r="B199" i="2"/>
  <c r="D199" i="2"/>
  <c r="E199" i="2"/>
  <c r="F199" i="2"/>
  <c r="B201" i="2"/>
  <c r="D201" i="2"/>
  <c r="E201" i="2"/>
  <c r="J201" i="2"/>
  <c r="B202" i="2"/>
  <c r="D202" i="2"/>
  <c r="E202" i="2"/>
  <c r="J202" i="2"/>
  <c r="B203" i="2"/>
  <c r="D203" i="2"/>
  <c r="E203" i="2"/>
  <c r="J203" i="2"/>
  <c r="B204" i="2"/>
  <c r="D204" i="2"/>
  <c r="E204" i="2"/>
  <c r="J204" i="2"/>
  <c r="B205" i="2"/>
  <c r="D205" i="2"/>
  <c r="E205" i="2"/>
  <c r="J205" i="2"/>
  <c r="B206" i="2"/>
  <c r="D206" i="2"/>
  <c r="E206" i="2"/>
  <c r="J206" i="2"/>
  <c r="B207" i="2"/>
  <c r="D207" i="2"/>
  <c r="E207" i="2"/>
  <c r="J207" i="2"/>
  <c r="B208" i="2"/>
  <c r="D208" i="2"/>
  <c r="E208" i="2"/>
  <c r="B210" i="2"/>
  <c r="E210" i="2"/>
  <c r="B212" i="2"/>
  <c r="D212" i="2"/>
  <c r="E212" i="2"/>
  <c r="B213" i="2"/>
  <c r="D213" i="2"/>
  <c r="E213" i="2"/>
  <c r="A214" i="2"/>
  <c r="B214" i="2"/>
  <c r="D214" i="2"/>
  <c r="E214" i="2"/>
  <c r="F214" i="2"/>
  <c r="B216" i="2"/>
  <c r="D216" i="2"/>
  <c r="E216" i="2"/>
  <c r="B217" i="2"/>
  <c r="D217" i="2"/>
  <c r="E217" i="2"/>
  <c r="B218" i="2"/>
  <c r="D218" i="2"/>
  <c r="E218" i="2"/>
  <c r="B219" i="2"/>
  <c r="D219" i="2"/>
  <c r="E219" i="2"/>
  <c r="B220" i="2"/>
  <c r="D220" i="2"/>
  <c r="E220" i="2"/>
  <c r="B222" i="2"/>
  <c r="E222" i="2"/>
  <c r="B224" i="2"/>
  <c r="D224" i="2"/>
  <c r="E224" i="2"/>
  <c r="B225" i="2"/>
  <c r="D225" i="2"/>
  <c r="E225" i="2"/>
  <c r="B226" i="2"/>
  <c r="D226" i="2"/>
  <c r="E226" i="2"/>
  <c r="A227" i="2"/>
  <c r="B227" i="2"/>
  <c r="D227" i="2"/>
  <c r="E227" i="2"/>
  <c r="F227" i="2"/>
  <c r="K232" i="2"/>
  <c r="B229" i="2"/>
  <c r="D229" i="2"/>
  <c r="E229" i="2"/>
  <c r="B230" i="2"/>
  <c r="D230" i="2"/>
  <c r="E230" i="2"/>
  <c r="B232" i="2"/>
  <c r="E232" i="2"/>
  <c r="B234" i="2"/>
  <c r="D234" i="2"/>
  <c r="E234" i="2"/>
  <c r="A235" i="2"/>
  <c r="B235" i="2"/>
  <c r="D235" i="2"/>
  <c r="E235" i="2"/>
  <c r="B237" i="2"/>
  <c r="D237" i="2"/>
  <c r="E237" i="2"/>
  <c r="B238" i="2"/>
  <c r="D238" i="2"/>
  <c r="E238" i="2"/>
  <c r="B239" i="2"/>
  <c r="D239" i="2"/>
  <c r="E239" i="2"/>
  <c r="B241" i="2"/>
  <c r="E241" i="2"/>
  <c r="B243" i="2"/>
  <c r="D243" i="2"/>
  <c r="E243" i="2"/>
  <c r="B244" i="2"/>
  <c r="D244" i="2"/>
  <c r="E244" i="2"/>
  <c r="A245" i="2"/>
  <c r="B245" i="2"/>
  <c r="D245" i="2"/>
  <c r="E245" i="2"/>
  <c r="F245" i="2"/>
  <c r="L257" i="2"/>
  <c r="B247" i="2"/>
  <c r="D247" i="2"/>
  <c r="E247" i="2"/>
  <c r="J247" i="2"/>
  <c r="B248" i="2"/>
  <c r="D248" i="2"/>
  <c r="E248" i="2"/>
  <c r="J248" i="2"/>
  <c r="B249" i="2"/>
  <c r="D249" i="2"/>
  <c r="E249" i="2"/>
  <c r="J249" i="2"/>
  <c r="B250" i="2"/>
  <c r="D250" i="2"/>
  <c r="E250" i="2"/>
  <c r="J250" i="2"/>
  <c r="B251" i="2"/>
  <c r="D251" i="2"/>
  <c r="E251" i="2"/>
  <c r="B253" i="2"/>
  <c r="E253" i="2"/>
  <c r="K253" i="2"/>
  <c r="I100" i="4"/>
  <c r="B255" i="2"/>
  <c r="D255" i="2"/>
  <c r="E255" i="2"/>
  <c r="B256" i="2"/>
  <c r="D256" i="2"/>
  <c r="E256" i="2"/>
  <c r="L256" i="2"/>
  <c r="G257" i="5"/>
  <c r="B257" i="2"/>
  <c r="D257" i="2"/>
  <c r="E257" i="2"/>
  <c r="A258" i="2"/>
  <c r="B258" i="2"/>
  <c r="D258" i="2"/>
  <c r="E258" i="2"/>
  <c r="F258" i="2"/>
  <c r="B260" i="2"/>
  <c r="D260" i="2"/>
  <c r="E260" i="2"/>
  <c r="J260" i="2"/>
  <c r="B261" i="2"/>
  <c r="D261" i="2"/>
  <c r="E261" i="2"/>
  <c r="J261" i="2"/>
  <c r="B262" i="2"/>
  <c r="D262" i="2"/>
  <c r="E262" i="2"/>
  <c r="J262" i="2"/>
  <c r="B263" i="2"/>
  <c r="D263" i="2"/>
  <c r="E263" i="2"/>
  <c r="J263" i="2"/>
  <c r="B264" i="2"/>
  <c r="D264" i="2"/>
  <c r="E264" i="2"/>
  <c r="B266" i="2"/>
  <c r="E266" i="2"/>
  <c r="B268" i="2"/>
  <c r="D268" i="2"/>
  <c r="E268" i="2"/>
  <c r="B269" i="2"/>
  <c r="D269" i="2"/>
  <c r="E269" i="2"/>
  <c r="B270" i="2"/>
  <c r="D270" i="2"/>
  <c r="E270" i="2"/>
  <c r="A271" i="2"/>
  <c r="B271" i="2"/>
  <c r="D271" i="2"/>
  <c r="E271" i="2"/>
  <c r="F271" i="2"/>
  <c r="B273" i="2"/>
  <c r="D273" i="2"/>
  <c r="E273" i="2"/>
  <c r="B274" i="2"/>
  <c r="D274" i="2"/>
  <c r="E274" i="2"/>
  <c r="B276" i="2"/>
  <c r="E276" i="2"/>
  <c r="B278" i="2"/>
  <c r="D278" i="2"/>
  <c r="E278" i="2"/>
  <c r="A279" i="2"/>
  <c r="B279" i="2"/>
  <c r="D279" i="2"/>
  <c r="E279" i="2"/>
  <c r="F279" i="2"/>
  <c r="B281" i="2"/>
  <c r="D281" i="2"/>
  <c r="E281" i="2"/>
  <c r="B282" i="2"/>
  <c r="D282" i="2"/>
  <c r="E282" i="2"/>
  <c r="B283" i="2"/>
  <c r="D283" i="2"/>
  <c r="E283" i="2"/>
  <c r="B285" i="2"/>
  <c r="E285" i="2"/>
  <c r="B287" i="2"/>
  <c r="D287" i="2"/>
  <c r="E287" i="2"/>
  <c r="B288" i="2"/>
  <c r="D288" i="2"/>
  <c r="E288" i="2"/>
  <c r="A289" i="2"/>
  <c r="B289" i="2"/>
  <c r="D289" i="2"/>
  <c r="E289" i="2"/>
  <c r="F289" i="2"/>
  <c r="K299" i="2"/>
  <c r="B291" i="2"/>
  <c r="D291" i="2"/>
  <c r="E291" i="2"/>
  <c r="B292" i="2"/>
  <c r="D292" i="2"/>
  <c r="E292" i="2"/>
  <c r="B293" i="2"/>
  <c r="D293" i="2"/>
  <c r="E293" i="2"/>
  <c r="B294" i="2"/>
  <c r="D294" i="2"/>
  <c r="E294" i="2"/>
  <c r="B295" i="2"/>
  <c r="D295" i="2"/>
  <c r="E295" i="2"/>
  <c r="B296" i="2"/>
  <c r="D296" i="2"/>
  <c r="E296" i="2"/>
  <c r="B297" i="2"/>
  <c r="D297" i="2"/>
  <c r="E297" i="2"/>
  <c r="B299" i="2"/>
  <c r="E299" i="2"/>
  <c r="B301" i="2"/>
  <c r="D301" i="2"/>
  <c r="E301" i="2"/>
  <c r="B302" i="2"/>
  <c r="D302" i="2"/>
  <c r="E302" i="2"/>
  <c r="B303" i="2"/>
  <c r="D303" i="2"/>
  <c r="E303" i="2"/>
  <c r="B304" i="2"/>
  <c r="D304" i="2"/>
  <c r="E304" i="2"/>
  <c r="A305" i="2"/>
  <c r="B305" i="2"/>
  <c r="D305" i="2"/>
  <c r="E305" i="2"/>
  <c r="F305" i="2"/>
  <c r="B307" i="2"/>
  <c r="D307" i="2"/>
  <c r="E307" i="2"/>
  <c r="J307" i="2"/>
  <c r="A308" i="2"/>
  <c r="B308" i="2"/>
  <c r="D308" i="2"/>
  <c r="E308" i="2"/>
  <c r="F308" i="2"/>
  <c r="B310" i="2"/>
  <c r="D310" i="2"/>
  <c r="E310" i="2"/>
  <c r="J310" i="2"/>
  <c r="A311" i="2"/>
  <c r="B311" i="2"/>
  <c r="D311" i="2"/>
  <c r="E311" i="2"/>
  <c r="F311" i="2"/>
  <c r="K318" i="2"/>
  <c r="B313" i="2"/>
  <c r="D313" i="2"/>
  <c r="E313" i="2"/>
  <c r="J313" i="2"/>
  <c r="B314" i="2"/>
  <c r="D314" i="2"/>
  <c r="E314" i="2"/>
  <c r="J314" i="2"/>
  <c r="B315" i="2"/>
  <c r="D315" i="2"/>
  <c r="E315" i="2"/>
  <c r="J315" i="2"/>
  <c r="B316" i="2"/>
  <c r="D316" i="2"/>
  <c r="E316" i="2"/>
  <c r="B318" i="2"/>
  <c r="E318" i="2"/>
  <c r="A319" i="2"/>
  <c r="B319" i="2"/>
  <c r="D319" i="2"/>
  <c r="E319" i="2"/>
  <c r="F319" i="2"/>
  <c r="J322" i="2"/>
  <c r="B321" i="2"/>
  <c r="D321" i="2"/>
  <c r="E321" i="2"/>
  <c r="J321" i="2"/>
  <c r="H724" i="3"/>
  <c r="B322" i="2"/>
  <c r="D322" i="2"/>
  <c r="E322" i="2"/>
  <c r="H57" i="3"/>
  <c r="B323" i="2"/>
  <c r="D323" i="2"/>
  <c r="E323" i="2"/>
  <c r="J323" i="2"/>
  <c r="H145" i="3"/>
  <c r="B324" i="2"/>
  <c r="D324" i="2"/>
  <c r="E324" i="2"/>
  <c r="B325" i="2"/>
  <c r="D325" i="2"/>
  <c r="E325" i="2"/>
  <c r="B327" i="2"/>
  <c r="E327" i="2"/>
  <c r="B329" i="2"/>
  <c r="D329" i="2"/>
  <c r="E329" i="2"/>
  <c r="B330" i="2"/>
  <c r="D330" i="2"/>
  <c r="E330" i="2"/>
  <c r="A331" i="2"/>
  <c r="B331" i="2"/>
  <c r="D331" i="2"/>
  <c r="E331" i="2"/>
  <c r="F331" i="2"/>
  <c r="B333" i="2"/>
  <c r="D333" i="2"/>
  <c r="E333" i="2"/>
  <c r="J333" i="2"/>
  <c r="B334" i="2"/>
  <c r="D334" i="2"/>
  <c r="E334" i="2"/>
  <c r="J334" i="2"/>
  <c r="B335" i="2"/>
  <c r="D335" i="2"/>
  <c r="E335" i="2"/>
  <c r="J335" i="2"/>
  <c r="B336" i="2"/>
  <c r="D336" i="2"/>
  <c r="E336" i="2"/>
  <c r="J336" i="2"/>
  <c r="B337" i="2"/>
  <c r="D337" i="2"/>
  <c r="E337" i="2"/>
  <c r="B339" i="2"/>
  <c r="E339" i="2"/>
  <c r="B341" i="2"/>
  <c r="D341" i="2"/>
  <c r="E341" i="2"/>
  <c r="B342" i="2"/>
  <c r="D342" i="2"/>
  <c r="E342" i="2"/>
  <c r="A343" i="2"/>
  <c r="B343" i="2"/>
  <c r="D343" i="2"/>
  <c r="E343" i="2"/>
  <c r="F343" i="2"/>
  <c r="B345" i="2"/>
  <c r="D345" i="2"/>
  <c r="E345" i="2"/>
  <c r="B346" i="2"/>
  <c r="D346" i="2"/>
  <c r="E346" i="2"/>
  <c r="B347" i="2"/>
  <c r="D347" i="2"/>
  <c r="E347" i="2"/>
  <c r="B349" i="2"/>
  <c r="E349" i="2"/>
  <c r="A350" i="2"/>
  <c r="B350" i="2"/>
  <c r="D350" i="2"/>
  <c r="E350" i="2"/>
  <c r="F350" i="2"/>
  <c r="K355" i="2"/>
  <c r="B352" i="2"/>
  <c r="D352" i="2"/>
  <c r="E352" i="2"/>
  <c r="B353" i="2"/>
  <c r="D353" i="2"/>
  <c r="E353" i="2"/>
  <c r="B355" i="2"/>
  <c r="E355" i="2"/>
  <c r="A356" i="2"/>
  <c r="B356" i="2"/>
  <c r="D356" i="2"/>
  <c r="E356" i="2"/>
  <c r="K361" i="2"/>
  <c r="B358" i="2"/>
  <c r="D358" i="2"/>
  <c r="E358" i="2"/>
  <c r="J358" i="2"/>
  <c r="B359" i="2"/>
  <c r="D359" i="2"/>
  <c r="E359" i="2"/>
  <c r="J359" i="2"/>
  <c r="B361" i="2"/>
  <c r="E361" i="2"/>
  <c r="A362" i="2"/>
  <c r="B362" i="2"/>
  <c r="D362" i="2"/>
  <c r="E362" i="2"/>
  <c r="F362" i="2"/>
  <c r="K367" i="2"/>
  <c r="B364" i="2"/>
  <c r="D364" i="2"/>
  <c r="E364" i="2"/>
  <c r="J364" i="2"/>
  <c r="B365" i="2"/>
  <c r="D365" i="2"/>
  <c r="E365" i="2"/>
  <c r="B367" i="2"/>
  <c r="E367" i="2"/>
  <c r="A368" i="2"/>
  <c r="B368" i="2"/>
  <c r="D368" i="2"/>
  <c r="E368" i="2"/>
  <c r="F368" i="2"/>
  <c r="B370" i="2"/>
  <c r="D370" i="2"/>
  <c r="E370" i="2"/>
  <c r="B371" i="2"/>
  <c r="D371" i="2"/>
  <c r="E371" i="2"/>
  <c r="B372" i="2"/>
  <c r="D372" i="2"/>
  <c r="E372" i="2"/>
  <c r="B373" i="2"/>
  <c r="D373" i="2"/>
  <c r="E373" i="2"/>
  <c r="B375" i="2"/>
  <c r="E375" i="2"/>
  <c r="A376" i="2"/>
  <c r="B376" i="2"/>
  <c r="D376" i="2"/>
  <c r="E376" i="2"/>
  <c r="F376" i="2"/>
  <c r="B378" i="2"/>
  <c r="D378" i="2"/>
  <c r="E378" i="2"/>
  <c r="J378" i="2"/>
  <c r="H726" i="3"/>
  <c r="B379" i="2"/>
  <c r="D379" i="2"/>
  <c r="E379" i="2"/>
  <c r="J379" i="2"/>
  <c r="H59" i="3"/>
  <c r="B380" i="2"/>
  <c r="D380" i="2"/>
  <c r="E380" i="2"/>
  <c r="J380" i="2"/>
  <c r="H147" i="3"/>
  <c r="B381" i="2"/>
  <c r="D381" i="2"/>
  <c r="E381" i="2"/>
  <c r="J381" i="2"/>
  <c r="H358" i="3"/>
  <c r="B382" i="2"/>
  <c r="D382" i="2"/>
  <c r="E382" i="2"/>
  <c r="B384" i="2"/>
  <c r="E384" i="2"/>
  <c r="B386" i="2"/>
  <c r="D386" i="2"/>
  <c r="E386" i="2"/>
  <c r="A387" i="2"/>
  <c r="B387" i="2"/>
  <c r="D387" i="2"/>
  <c r="E387" i="2"/>
  <c r="F387" i="2"/>
  <c r="K392" i="2"/>
  <c r="B389" i="2"/>
  <c r="D389" i="2"/>
  <c r="E389" i="2"/>
  <c r="B390" i="2"/>
  <c r="D390" i="2"/>
  <c r="E390" i="2"/>
  <c r="B392" i="2"/>
  <c r="E392" i="2"/>
  <c r="A393" i="2"/>
  <c r="B393" i="2"/>
  <c r="D393" i="2"/>
  <c r="E393" i="2"/>
  <c r="F393" i="2"/>
  <c r="K398" i="2"/>
  <c r="B395" i="2"/>
  <c r="D395" i="2"/>
  <c r="E395" i="2"/>
  <c r="B396" i="2"/>
  <c r="D396" i="2"/>
  <c r="E396" i="2"/>
  <c r="B398" i="2"/>
  <c r="E398" i="2"/>
  <c r="A399" i="2"/>
  <c r="B399" i="2"/>
  <c r="D399" i="2"/>
  <c r="E399" i="2"/>
  <c r="F399" i="2"/>
  <c r="K406" i="2"/>
  <c r="B401" i="2"/>
  <c r="D401" i="2"/>
  <c r="E401" i="2"/>
  <c r="J401" i="2"/>
  <c r="B402" i="2"/>
  <c r="D402" i="2"/>
  <c r="E402" i="2"/>
  <c r="J402" i="2"/>
  <c r="B403" i="2"/>
  <c r="D403" i="2"/>
  <c r="E403" i="2"/>
  <c r="J403" i="2"/>
  <c r="B404" i="2"/>
  <c r="D404" i="2"/>
  <c r="E404" i="2"/>
  <c r="B406" i="2"/>
  <c r="E406" i="2"/>
  <c r="A407" i="2"/>
  <c r="B407" i="2"/>
  <c r="D407" i="2"/>
  <c r="E407" i="2"/>
  <c r="B409" i="2"/>
  <c r="D409" i="2"/>
  <c r="E409" i="2"/>
  <c r="B410" i="2"/>
  <c r="D410" i="2"/>
  <c r="E410" i="2"/>
  <c r="B411" i="2"/>
  <c r="D411" i="2"/>
  <c r="E411" i="2"/>
  <c r="B412" i="2"/>
  <c r="D412" i="2"/>
  <c r="E412" i="2"/>
  <c r="B414" i="2"/>
  <c r="E414" i="2"/>
  <c r="B416" i="2"/>
  <c r="D416" i="2"/>
  <c r="E416" i="2"/>
  <c r="B417" i="2"/>
  <c r="D417" i="2"/>
  <c r="E417" i="2"/>
  <c r="A418" i="2"/>
  <c r="B418" i="2"/>
  <c r="D418" i="2"/>
  <c r="E418" i="2"/>
  <c r="F418" i="2"/>
  <c r="B420" i="2"/>
  <c r="D420" i="2"/>
  <c r="E420" i="2"/>
  <c r="J420" i="2"/>
  <c r="B421" i="2"/>
  <c r="D421" i="2"/>
  <c r="E421" i="2"/>
  <c r="J421" i="2"/>
  <c r="H61" i="3"/>
  <c r="B422" i="2"/>
  <c r="D422" i="2"/>
  <c r="E422" i="2"/>
  <c r="J422" i="2"/>
  <c r="B423" i="2"/>
  <c r="D423" i="2"/>
  <c r="E423" i="2"/>
  <c r="J423" i="2"/>
  <c r="H360" i="3"/>
  <c r="B424" i="2"/>
  <c r="D424" i="2"/>
  <c r="E424" i="2"/>
  <c r="B426" i="2"/>
  <c r="E426" i="2"/>
  <c r="B428" i="2"/>
  <c r="D428" i="2"/>
  <c r="E428" i="2"/>
  <c r="B429" i="2"/>
  <c r="D429" i="2"/>
  <c r="E429" i="2"/>
  <c r="B430" i="2"/>
  <c r="D430" i="2"/>
  <c r="E430" i="2"/>
  <c r="A431" i="2"/>
  <c r="B431" i="2"/>
  <c r="D431" i="2"/>
  <c r="E431" i="2"/>
  <c r="F431" i="2"/>
  <c r="K437" i="2"/>
  <c r="B433" i="2"/>
  <c r="D433" i="2"/>
  <c r="E433" i="2"/>
  <c r="J433" i="2"/>
  <c r="B434" i="2"/>
  <c r="D434" i="2"/>
  <c r="E434" i="2"/>
  <c r="J434" i="2"/>
  <c r="H62" i="3"/>
  <c r="S62" i="3"/>
  <c r="B435" i="2"/>
  <c r="D435" i="2"/>
  <c r="E435" i="2"/>
  <c r="J435" i="2"/>
  <c r="H361" i="3"/>
  <c r="B437" i="2"/>
  <c r="E437" i="2"/>
  <c r="B439" i="2"/>
  <c r="D439" i="2"/>
  <c r="E439" i="2"/>
  <c r="A440" i="2"/>
  <c r="B440" i="2"/>
  <c r="D440" i="2"/>
  <c r="E440" i="2"/>
  <c r="F440" i="2"/>
  <c r="K448" i="2"/>
  <c r="B442" i="2"/>
  <c r="D442" i="2"/>
  <c r="E442" i="2"/>
  <c r="B443" i="2"/>
  <c r="D443" i="2"/>
  <c r="E443" i="2"/>
  <c r="B444" i="2"/>
  <c r="D444" i="2"/>
  <c r="E444" i="2"/>
  <c r="B445" i="2"/>
  <c r="D445" i="2"/>
  <c r="E445" i="2"/>
  <c r="B446" i="2"/>
  <c r="D446" i="2"/>
  <c r="E446" i="2"/>
  <c r="B448" i="2"/>
  <c r="E448" i="2"/>
  <c r="B450" i="2"/>
  <c r="D450" i="2"/>
  <c r="E450" i="2"/>
  <c r="B451" i="2"/>
  <c r="D451" i="2"/>
  <c r="E451" i="2"/>
  <c r="B452" i="2"/>
  <c r="D452" i="2"/>
  <c r="E452" i="2"/>
  <c r="A453" i="2"/>
  <c r="B453" i="2"/>
  <c r="D453" i="2"/>
  <c r="E453" i="2"/>
  <c r="B455" i="2"/>
  <c r="D455" i="2"/>
  <c r="E455" i="2"/>
  <c r="B456" i="2"/>
  <c r="D456" i="2"/>
  <c r="E456" i="2"/>
  <c r="B458" i="2"/>
  <c r="E458" i="2"/>
  <c r="B460" i="2"/>
  <c r="D460" i="2"/>
  <c r="E460" i="2"/>
  <c r="A461" i="2"/>
  <c r="B461" i="2"/>
  <c r="D461" i="2"/>
  <c r="E461" i="2"/>
  <c r="F461" i="2"/>
  <c r="K467" i="2"/>
  <c r="B463" i="2"/>
  <c r="D463" i="2"/>
  <c r="E463" i="2"/>
  <c r="J463" i="2"/>
  <c r="B464" i="2"/>
  <c r="D464" i="2"/>
  <c r="E464" i="2"/>
  <c r="J464" i="2"/>
  <c r="B465" i="2"/>
  <c r="D465" i="2"/>
  <c r="E465" i="2"/>
  <c r="J465" i="2"/>
  <c r="B467" i="2"/>
  <c r="E467" i="2"/>
  <c r="B469" i="2"/>
  <c r="D469" i="2"/>
  <c r="E469" i="2"/>
  <c r="B470" i="2"/>
  <c r="D470" i="2"/>
  <c r="E470" i="2"/>
  <c r="A471" i="2"/>
  <c r="B471" i="2"/>
  <c r="D471" i="2"/>
  <c r="E471" i="2"/>
  <c r="F471" i="2"/>
  <c r="B473" i="2"/>
  <c r="D473" i="2"/>
  <c r="E473" i="2"/>
  <c r="J473" i="2"/>
  <c r="B474" i="2"/>
  <c r="D474" i="2"/>
  <c r="E474" i="2"/>
  <c r="J474" i="2"/>
  <c r="B475" i="2"/>
  <c r="D475" i="2"/>
  <c r="E475" i="2"/>
  <c r="J475" i="2"/>
  <c r="B476" i="2"/>
  <c r="D476" i="2"/>
  <c r="E476" i="2"/>
  <c r="J476" i="2"/>
  <c r="B477" i="2"/>
  <c r="D477" i="2"/>
  <c r="E477" i="2"/>
  <c r="J477" i="2"/>
  <c r="B478" i="2"/>
  <c r="D478" i="2"/>
  <c r="E478" i="2"/>
  <c r="J478" i="2"/>
  <c r="B479" i="2"/>
  <c r="D479" i="2"/>
  <c r="E479" i="2"/>
  <c r="J479" i="2"/>
  <c r="B480" i="2"/>
  <c r="D480" i="2"/>
  <c r="E480" i="2"/>
  <c r="B482" i="2"/>
  <c r="E482" i="2"/>
  <c r="B484" i="2"/>
  <c r="D484" i="2"/>
  <c r="E484" i="2"/>
  <c r="B485" i="2"/>
  <c r="D485" i="2"/>
  <c r="E485" i="2"/>
  <c r="A486" i="2"/>
  <c r="B486" i="2"/>
  <c r="D486" i="2"/>
  <c r="E486" i="2"/>
  <c r="F486" i="2"/>
  <c r="B488" i="2"/>
  <c r="D488" i="2"/>
  <c r="E488" i="2"/>
  <c r="J488" i="2"/>
  <c r="B489" i="2"/>
  <c r="D489" i="2"/>
  <c r="E489" i="2"/>
  <c r="J489" i="2"/>
  <c r="B490" i="2"/>
  <c r="D490" i="2"/>
  <c r="E490" i="2"/>
  <c r="J490" i="2"/>
  <c r="B492" i="2"/>
  <c r="E492" i="2"/>
  <c r="B494" i="2"/>
  <c r="D494" i="2"/>
  <c r="E494" i="2"/>
  <c r="A495" i="2"/>
  <c r="B495" i="2"/>
  <c r="D495" i="2"/>
  <c r="E495" i="2"/>
  <c r="B497" i="2"/>
  <c r="D497" i="2"/>
  <c r="E497" i="2"/>
  <c r="B498" i="2"/>
  <c r="D498" i="2"/>
  <c r="E498" i="2"/>
  <c r="B499" i="2"/>
  <c r="D499" i="2"/>
  <c r="E499" i="2"/>
  <c r="B500" i="2"/>
  <c r="D500" i="2"/>
  <c r="E500" i="2"/>
  <c r="B501" i="2"/>
  <c r="D501" i="2"/>
  <c r="E501" i="2"/>
  <c r="B503" i="2"/>
  <c r="E503" i="2"/>
  <c r="A504" i="2"/>
  <c r="B504" i="2"/>
  <c r="D504" i="2"/>
  <c r="E504" i="2"/>
  <c r="F504" i="2"/>
  <c r="J507" i="2"/>
  <c r="B506" i="2"/>
  <c r="D506" i="2"/>
  <c r="E506" i="2"/>
  <c r="J506" i="2"/>
  <c r="H732" i="3"/>
  <c r="B507" i="2"/>
  <c r="D507" i="2"/>
  <c r="E507" i="2"/>
  <c r="H65" i="3"/>
  <c r="B508" i="2"/>
  <c r="D508" i="2"/>
  <c r="E508" i="2"/>
  <c r="J508" i="2"/>
  <c r="H150" i="3"/>
  <c r="B509" i="2"/>
  <c r="D509" i="2"/>
  <c r="E509" i="2"/>
  <c r="B510" i="2"/>
  <c r="D510" i="2"/>
  <c r="E510" i="2"/>
  <c r="B512" i="2"/>
  <c r="E512" i="2"/>
  <c r="B514" i="2"/>
  <c r="D514" i="2"/>
  <c r="E514" i="2"/>
  <c r="B515" i="2"/>
  <c r="D515" i="2"/>
  <c r="E515" i="2"/>
  <c r="B516" i="2"/>
  <c r="D516" i="2"/>
  <c r="E516" i="2"/>
  <c r="A517" i="2"/>
  <c r="B517" i="2"/>
  <c r="D517" i="2"/>
  <c r="E517" i="2"/>
  <c r="F517" i="2"/>
  <c r="B519" i="2"/>
  <c r="D519" i="2"/>
  <c r="E519" i="2"/>
  <c r="J519" i="2"/>
  <c r="B520" i="2"/>
  <c r="D520" i="2"/>
  <c r="E520" i="2"/>
  <c r="J520" i="2"/>
  <c r="B522" i="2"/>
  <c r="E522" i="2"/>
  <c r="K522" i="2"/>
  <c r="B524" i="2"/>
  <c r="D524" i="2"/>
  <c r="E524" i="2"/>
  <c r="L524" i="2"/>
  <c r="A525" i="2"/>
  <c r="B525" i="2"/>
  <c r="D525" i="2"/>
  <c r="E525" i="2"/>
  <c r="B527" i="2"/>
  <c r="D527" i="2"/>
  <c r="E527" i="2"/>
  <c r="B528" i="2"/>
  <c r="D528" i="2"/>
  <c r="E528" i="2"/>
  <c r="B529" i="2"/>
  <c r="D529" i="2"/>
  <c r="E529" i="2"/>
  <c r="B531" i="2"/>
  <c r="E531" i="2"/>
  <c r="B533" i="2"/>
  <c r="D533" i="2"/>
  <c r="E533" i="2"/>
  <c r="B534" i="2"/>
  <c r="D534" i="2"/>
  <c r="E534" i="2"/>
  <c r="A535" i="2"/>
  <c r="B535" i="2"/>
  <c r="D535" i="2"/>
  <c r="E535" i="2"/>
  <c r="F535" i="2"/>
  <c r="K541" i="2"/>
  <c r="B537" i="2"/>
  <c r="D537" i="2"/>
  <c r="E537" i="2"/>
  <c r="J537" i="2"/>
  <c r="B538" i="2"/>
  <c r="D538" i="2"/>
  <c r="E538" i="2"/>
  <c r="J538" i="2"/>
  <c r="B539" i="2"/>
  <c r="D539" i="2"/>
  <c r="E539" i="2"/>
  <c r="J539" i="2"/>
  <c r="B541" i="2"/>
  <c r="E541" i="2"/>
  <c r="B543" i="2"/>
  <c r="D543" i="2"/>
  <c r="E543" i="2"/>
  <c r="B544" i="2"/>
  <c r="D544" i="2"/>
  <c r="E544" i="2"/>
  <c r="A545" i="2"/>
  <c r="B545" i="2"/>
  <c r="D545" i="2"/>
  <c r="E545" i="2"/>
  <c r="B547" i="2"/>
  <c r="D547" i="2"/>
  <c r="E547" i="2"/>
  <c r="B548" i="2"/>
  <c r="D548" i="2"/>
  <c r="E548" i="2"/>
  <c r="B549" i="2"/>
  <c r="D549" i="2"/>
  <c r="E549" i="2"/>
  <c r="B550" i="2"/>
  <c r="D550" i="2"/>
  <c r="E550" i="2"/>
  <c r="B551" i="2"/>
  <c r="D551" i="2"/>
  <c r="E551" i="2"/>
  <c r="B552" i="2"/>
  <c r="D552" i="2"/>
  <c r="E552" i="2"/>
  <c r="B553" i="2"/>
  <c r="D553" i="2"/>
  <c r="E553" i="2"/>
  <c r="B555" i="2"/>
  <c r="E555" i="2"/>
  <c r="B557" i="2"/>
  <c r="D557" i="2"/>
  <c r="E557" i="2"/>
  <c r="B558" i="2"/>
  <c r="D558" i="2"/>
  <c r="E558" i="2"/>
  <c r="B559" i="2"/>
  <c r="D559" i="2"/>
  <c r="E559" i="2"/>
  <c r="B560" i="2"/>
  <c r="D560" i="2"/>
  <c r="E560" i="2"/>
  <c r="A561" i="2"/>
  <c r="B561" i="2"/>
  <c r="D561" i="2"/>
  <c r="E561" i="2"/>
  <c r="F561" i="2"/>
  <c r="B563" i="2"/>
  <c r="D563" i="2"/>
  <c r="E563" i="2"/>
  <c r="J563" i="2"/>
  <c r="B564" i="2"/>
  <c r="D564" i="2"/>
  <c r="E564" i="2"/>
  <c r="J564" i="2"/>
  <c r="B565" i="2"/>
  <c r="D565" i="2"/>
  <c r="E565" i="2"/>
  <c r="J565" i="2"/>
  <c r="B566" i="2"/>
  <c r="D566" i="2"/>
  <c r="E566" i="2"/>
  <c r="B568" i="2"/>
  <c r="E568" i="2"/>
  <c r="B570" i="2"/>
  <c r="D570" i="2"/>
  <c r="E570" i="2"/>
  <c r="B571" i="2"/>
  <c r="D571" i="2"/>
  <c r="E571" i="2"/>
  <c r="A572" i="2"/>
  <c r="B572" i="2"/>
  <c r="D572" i="2"/>
  <c r="E572" i="2"/>
  <c r="B574" i="2"/>
  <c r="D574" i="2"/>
  <c r="E574" i="2"/>
  <c r="B575" i="2"/>
  <c r="D575" i="2"/>
  <c r="E575" i="2"/>
  <c r="B576" i="2"/>
  <c r="D576" i="2"/>
  <c r="E576" i="2"/>
  <c r="B577" i="2"/>
  <c r="D577" i="2"/>
  <c r="E577" i="2"/>
  <c r="B578" i="2"/>
  <c r="D578" i="2"/>
  <c r="E578" i="2"/>
  <c r="B579" i="2"/>
  <c r="D579" i="2"/>
  <c r="E579" i="2"/>
  <c r="B580" i="2"/>
  <c r="D580" i="2"/>
  <c r="E580" i="2"/>
  <c r="B582" i="2"/>
  <c r="E582" i="2"/>
  <c r="B584" i="2"/>
  <c r="D584" i="2"/>
  <c r="E584" i="2"/>
  <c r="B585" i="2"/>
  <c r="D585" i="2"/>
  <c r="E585" i="2"/>
  <c r="B586" i="2"/>
  <c r="D586" i="2"/>
  <c r="E586" i="2"/>
  <c r="B587" i="2"/>
  <c r="D587" i="2"/>
  <c r="E587" i="2"/>
  <c r="A588" i="2"/>
  <c r="B588" i="2"/>
  <c r="D588" i="2"/>
  <c r="E588" i="2"/>
  <c r="F588" i="2"/>
  <c r="B590" i="2"/>
  <c r="D590" i="2"/>
  <c r="E590" i="2"/>
  <c r="J590" i="2"/>
  <c r="B591" i="2"/>
  <c r="D591" i="2"/>
  <c r="E591" i="2"/>
  <c r="B593" i="2"/>
  <c r="E593" i="2"/>
  <c r="B595" i="2"/>
  <c r="D595" i="2"/>
  <c r="E595" i="2"/>
  <c r="B596" i="2"/>
  <c r="D596" i="2"/>
  <c r="E596" i="2"/>
  <c r="B597" i="2"/>
  <c r="D597" i="2"/>
  <c r="E597" i="2"/>
  <c r="B598" i="2"/>
  <c r="D598" i="2"/>
  <c r="E598" i="2"/>
  <c r="B599" i="2"/>
  <c r="D599" i="2"/>
  <c r="E599" i="2"/>
  <c r="A600" i="2"/>
  <c r="B600" i="2"/>
  <c r="D600" i="2"/>
  <c r="E600" i="2"/>
  <c r="F600" i="2"/>
  <c r="B602" i="2"/>
  <c r="D602" i="2"/>
  <c r="E602" i="2"/>
  <c r="J602" i="2"/>
  <c r="B603" i="2"/>
  <c r="D603" i="2"/>
  <c r="E603" i="2"/>
  <c r="J603" i="2"/>
  <c r="B604" i="2"/>
  <c r="D604" i="2"/>
  <c r="E604" i="2"/>
  <c r="B606" i="2"/>
  <c r="E606" i="2"/>
  <c r="B608" i="2"/>
  <c r="D608" i="2"/>
  <c r="E608" i="2"/>
  <c r="B609" i="2"/>
  <c r="D609" i="2"/>
  <c r="E609" i="2"/>
  <c r="A610" i="2"/>
  <c r="B610" i="2"/>
  <c r="D610" i="2"/>
  <c r="E610" i="2"/>
  <c r="F610" i="2"/>
  <c r="B612" i="2"/>
  <c r="D612" i="2"/>
  <c r="E612" i="2"/>
  <c r="J612" i="2"/>
  <c r="B614" i="2"/>
  <c r="E614" i="2"/>
  <c r="B616" i="2"/>
  <c r="D616" i="2"/>
  <c r="E616" i="2"/>
  <c r="B617" i="2"/>
  <c r="D617" i="2"/>
  <c r="E617" i="2"/>
  <c r="B618" i="2"/>
  <c r="D618" i="2"/>
  <c r="E618" i="2"/>
  <c r="B619" i="2"/>
  <c r="D619" i="2"/>
  <c r="E619" i="2"/>
  <c r="A620" i="2"/>
  <c r="B620" i="2"/>
  <c r="D620" i="2"/>
  <c r="E620" i="2"/>
  <c r="F620" i="2"/>
  <c r="B622" i="2"/>
  <c r="D622" i="2"/>
  <c r="E622" i="2"/>
  <c r="J622" i="2"/>
  <c r="B623" i="2"/>
  <c r="D623" i="2"/>
  <c r="E623" i="2"/>
  <c r="J623" i="2"/>
  <c r="B624" i="2"/>
  <c r="D624" i="2"/>
  <c r="E624" i="2"/>
  <c r="J624" i="2"/>
  <c r="B625" i="2"/>
  <c r="D625" i="2"/>
  <c r="E625" i="2"/>
  <c r="J625" i="2"/>
  <c r="B626" i="2"/>
  <c r="D626" i="2"/>
  <c r="E626" i="2"/>
  <c r="B628" i="2"/>
  <c r="E628" i="2"/>
  <c r="B630" i="2"/>
  <c r="D630" i="2"/>
  <c r="E630" i="2"/>
  <c r="B631" i="2"/>
  <c r="D631" i="2"/>
  <c r="E631" i="2"/>
  <c r="B632" i="2"/>
  <c r="D632" i="2"/>
  <c r="E632" i="2"/>
  <c r="A633" i="2"/>
  <c r="B633" i="2"/>
  <c r="D633" i="2"/>
  <c r="E633" i="2"/>
  <c r="F633" i="2"/>
  <c r="B635" i="2"/>
  <c r="D635" i="2"/>
  <c r="E635" i="2"/>
  <c r="B636" i="2"/>
  <c r="D636" i="2"/>
  <c r="E636" i="2"/>
  <c r="B638" i="2"/>
  <c r="E638" i="2"/>
  <c r="B640" i="2"/>
  <c r="D640" i="2"/>
  <c r="E640" i="2"/>
  <c r="A641" i="2"/>
  <c r="B641" i="2"/>
  <c r="D641" i="2"/>
  <c r="E641" i="2"/>
  <c r="B643" i="2"/>
  <c r="D643" i="2"/>
  <c r="E643" i="2"/>
  <c r="B644" i="2"/>
  <c r="D644" i="2"/>
  <c r="E644" i="2"/>
  <c r="B645" i="2"/>
  <c r="D645" i="2"/>
  <c r="E645" i="2"/>
  <c r="B647" i="2"/>
  <c r="E647" i="2"/>
  <c r="B649" i="2"/>
  <c r="D649" i="2"/>
  <c r="E649" i="2"/>
  <c r="B650" i="2"/>
  <c r="D650" i="2"/>
  <c r="E650" i="2"/>
  <c r="A651" i="2"/>
  <c r="B651" i="2"/>
  <c r="D651" i="2"/>
  <c r="E651" i="2"/>
  <c r="F651" i="2"/>
  <c r="K657" i="2"/>
  <c r="I66" i="4"/>
  <c r="P66" i="4"/>
  <c r="B653" i="2"/>
  <c r="D653" i="2"/>
  <c r="E653" i="2"/>
  <c r="B654" i="2"/>
  <c r="D654" i="2"/>
  <c r="E654" i="2"/>
  <c r="B655" i="2"/>
  <c r="D655" i="2"/>
  <c r="E655" i="2"/>
  <c r="B657" i="2"/>
  <c r="E657" i="2"/>
  <c r="B659" i="2"/>
  <c r="D659" i="2"/>
  <c r="E659" i="2"/>
  <c r="B660" i="2"/>
  <c r="D660" i="2"/>
  <c r="E660" i="2"/>
  <c r="A661" i="2"/>
  <c r="B661" i="2"/>
  <c r="D661" i="2"/>
  <c r="E661" i="2"/>
  <c r="F661" i="2"/>
  <c r="B663" i="2"/>
  <c r="D663" i="2"/>
  <c r="E663" i="2"/>
  <c r="J663" i="2"/>
  <c r="B664" i="2"/>
  <c r="D664" i="2"/>
  <c r="E664" i="2"/>
  <c r="J664" i="2"/>
  <c r="B665" i="2"/>
  <c r="D665" i="2"/>
  <c r="E665" i="2"/>
  <c r="J665" i="2"/>
  <c r="B666" i="2"/>
  <c r="D666" i="2"/>
  <c r="E666" i="2"/>
  <c r="J666" i="2"/>
  <c r="B667" i="2"/>
  <c r="D667" i="2"/>
  <c r="E667" i="2"/>
  <c r="J667" i="2"/>
  <c r="B668" i="2"/>
  <c r="D668" i="2"/>
  <c r="E668" i="2"/>
  <c r="J668" i="2"/>
  <c r="B669" i="2"/>
  <c r="D669" i="2"/>
  <c r="E669" i="2"/>
  <c r="B671" i="2"/>
  <c r="E671" i="2"/>
  <c r="B673" i="2"/>
  <c r="D673" i="2"/>
  <c r="E673" i="2"/>
  <c r="B674" i="2"/>
  <c r="D674" i="2"/>
  <c r="E674" i="2"/>
  <c r="B675" i="2"/>
  <c r="D675" i="2"/>
  <c r="E675" i="2"/>
  <c r="B676" i="2"/>
  <c r="D676" i="2"/>
  <c r="E676" i="2"/>
  <c r="A677" i="2"/>
  <c r="B677" i="2"/>
  <c r="D677" i="2"/>
  <c r="E677" i="2"/>
  <c r="F677" i="2"/>
  <c r="K684" i="2"/>
  <c r="I98" i="4"/>
  <c r="B679" i="2"/>
  <c r="D679" i="2"/>
  <c r="E679" i="2"/>
  <c r="J679" i="2"/>
  <c r="B680" i="2"/>
  <c r="D680" i="2"/>
  <c r="E680" i="2"/>
  <c r="J680" i="2"/>
  <c r="B681" i="2"/>
  <c r="D681" i="2"/>
  <c r="E681" i="2"/>
  <c r="J681" i="2"/>
  <c r="B682" i="2"/>
  <c r="D682" i="2"/>
  <c r="E682" i="2"/>
  <c r="B684" i="2"/>
  <c r="E684" i="2"/>
  <c r="B686" i="2"/>
  <c r="D686" i="2"/>
  <c r="E686" i="2"/>
  <c r="B687" i="2"/>
  <c r="D687" i="2"/>
  <c r="E687" i="2"/>
  <c r="A688" i="2"/>
  <c r="B688" i="2"/>
  <c r="D688" i="2"/>
  <c r="E688" i="2"/>
  <c r="F688" i="2"/>
  <c r="B690" i="2"/>
  <c r="D690" i="2"/>
  <c r="E690" i="2"/>
  <c r="J690" i="2"/>
  <c r="B691" i="2"/>
  <c r="D691" i="2"/>
  <c r="E691" i="2"/>
  <c r="J691" i="2"/>
  <c r="B692" i="2"/>
  <c r="D692" i="2"/>
  <c r="E692" i="2"/>
  <c r="J692" i="2"/>
  <c r="B693" i="2"/>
  <c r="D693" i="2"/>
  <c r="E693" i="2"/>
  <c r="J693" i="2"/>
  <c r="B694" i="2"/>
  <c r="D694" i="2"/>
  <c r="E694" i="2"/>
  <c r="J694" i="2"/>
  <c r="B695" i="2"/>
  <c r="D695" i="2"/>
  <c r="E695" i="2"/>
  <c r="J695" i="2"/>
  <c r="B696" i="2"/>
  <c r="D696" i="2"/>
  <c r="E696" i="2"/>
  <c r="B698" i="2"/>
  <c r="E698" i="2"/>
  <c r="B700" i="2"/>
  <c r="D700" i="2"/>
  <c r="E700" i="2"/>
  <c r="B701" i="2"/>
  <c r="D701" i="2"/>
  <c r="E701" i="2"/>
  <c r="B702" i="2"/>
  <c r="D702" i="2"/>
  <c r="E702" i="2"/>
  <c r="B703" i="2"/>
  <c r="D703" i="2"/>
  <c r="E703" i="2"/>
  <c r="A704" i="2"/>
  <c r="B704" i="2"/>
  <c r="D704" i="2"/>
  <c r="E704" i="2"/>
  <c r="F704" i="2"/>
  <c r="K709" i="2"/>
  <c r="B706" i="2"/>
  <c r="D706" i="2"/>
  <c r="E706" i="2"/>
  <c r="J706" i="2"/>
  <c r="B707" i="2"/>
  <c r="D707" i="2"/>
  <c r="E707" i="2"/>
  <c r="B709" i="2"/>
  <c r="E709" i="2"/>
  <c r="B711" i="2"/>
  <c r="D711" i="2"/>
  <c r="E711" i="2"/>
  <c r="B712" i="2"/>
  <c r="D712" i="2"/>
  <c r="E712" i="2"/>
  <c r="B713" i="2"/>
  <c r="D713" i="2"/>
  <c r="E713" i="2"/>
  <c r="B714" i="2"/>
  <c r="D714" i="2"/>
  <c r="E714" i="2"/>
  <c r="B715" i="2"/>
  <c r="D715" i="2"/>
  <c r="E715" i="2"/>
  <c r="A716" i="2"/>
  <c r="B716" i="2"/>
  <c r="D716" i="2"/>
  <c r="E716" i="2"/>
  <c r="F716" i="2"/>
  <c r="B718" i="2"/>
  <c r="D718" i="2"/>
  <c r="E718" i="2"/>
  <c r="J718" i="2"/>
  <c r="B719" i="2"/>
  <c r="D719" i="2"/>
  <c r="E719" i="2"/>
  <c r="J719" i="2"/>
  <c r="B720" i="2"/>
  <c r="D720" i="2"/>
  <c r="E720" i="2"/>
  <c r="B722" i="2"/>
  <c r="E722" i="2"/>
  <c r="B724" i="2"/>
  <c r="D724" i="2"/>
  <c r="E724" i="2"/>
  <c r="B725" i="2"/>
  <c r="D725" i="2"/>
  <c r="E725" i="2"/>
  <c r="A726" i="2"/>
  <c r="B726" i="2"/>
  <c r="D726" i="2"/>
  <c r="E726" i="2"/>
  <c r="F726" i="2"/>
  <c r="K730" i="2"/>
  <c r="B728" i="2"/>
  <c r="D728" i="2"/>
  <c r="E728" i="2"/>
  <c r="J728" i="2"/>
  <c r="B730" i="2"/>
  <c r="E730" i="2"/>
  <c r="B732" i="2"/>
  <c r="D732" i="2"/>
  <c r="E732" i="2"/>
  <c r="B733" i="2"/>
  <c r="D733" i="2"/>
  <c r="E733" i="2"/>
  <c r="B734" i="2"/>
  <c r="D734" i="2"/>
  <c r="E734" i="2"/>
  <c r="B735" i="2"/>
  <c r="D735" i="2"/>
  <c r="E735" i="2"/>
  <c r="L735" i="2"/>
  <c r="A736" i="2"/>
  <c r="B736" i="2"/>
  <c r="D736" i="2"/>
  <c r="E736" i="2"/>
  <c r="B738" i="2"/>
  <c r="E738" i="2"/>
  <c r="B740" i="2"/>
  <c r="D740" i="2"/>
  <c r="E740" i="2"/>
  <c r="B741" i="2"/>
  <c r="D741" i="2"/>
  <c r="E741" i="2"/>
  <c r="A742" i="2"/>
  <c r="B742" i="2"/>
  <c r="D742" i="2"/>
  <c r="E742" i="2"/>
  <c r="F742" i="2"/>
  <c r="B744" i="2"/>
  <c r="D744" i="2"/>
  <c r="E744" i="2"/>
  <c r="J744" i="2"/>
  <c r="B745" i="2"/>
  <c r="D745" i="2"/>
  <c r="E745" i="2"/>
  <c r="J745" i="2"/>
  <c r="B746" i="2"/>
  <c r="D746" i="2"/>
  <c r="E746" i="2"/>
  <c r="J746" i="2"/>
  <c r="B747" i="2"/>
  <c r="D747" i="2"/>
  <c r="E747" i="2"/>
  <c r="J747" i="2"/>
  <c r="B749" i="2"/>
  <c r="E749" i="2"/>
  <c r="B751" i="2"/>
  <c r="D751" i="2"/>
  <c r="E751" i="2"/>
  <c r="B752" i="2"/>
  <c r="D752" i="2"/>
  <c r="E752" i="2"/>
  <c r="A753" i="2"/>
  <c r="B753" i="2"/>
  <c r="D753" i="2"/>
  <c r="E753" i="2"/>
  <c r="F753" i="2"/>
  <c r="K757" i="2"/>
  <c r="I217" i="4"/>
  <c r="P217" i="4"/>
  <c r="B755" i="2"/>
  <c r="D755" i="2"/>
  <c r="E755" i="2"/>
  <c r="J755" i="2"/>
  <c r="B757" i="2"/>
  <c r="E757" i="2"/>
  <c r="B759" i="2"/>
  <c r="D759" i="2"/>
  <c r="E759" i="2"/>
  <c r="B760" i="2"/>
  <c r="D760" i="2"/>
  <c r="E760" i="2"/>
  <c r="B761" i="2"/>
  <c r="D761" i="2"/>
  <c r="E761" i="2"/>
  <c r="L761" i="2"/>
  <c r="B762" i="2"/>
  <c r="D762" i="2"/>
  <c r="E762" i="2"/>
  <c r="L762" i="2"/>
  <c r="B763" i="2"/>
  <c r="D763" i="2"/>
  <c r="E763" i="2"/>
  <c r="L763" i="2"/>
  <c r="B764" i="2"/>
  <c r="D764" i="2"/>
  <c r="E764" i="2"/>
  <c r="L764" i="2"/>
  <c r="B765" i="2"/>
  <c r="D765" i="2"/>
  <c r="E765" i="2"/>
  <c r="A766" i="2"/>
  <c r="B766" i="2"/>
  <c r="D766" i="2"/>
  <c r="E766" i="2"/>
  <c r="F766" i="2"/>
  <c r="B768" i="2"/>
  <c r="D768" i="2"/>
  <c r="E768" i="2"/>
  <c r="J768" i="2"/>
  <c r="B770" i="2"/>
  <c r="E770" i="2"/>
  <c r="B772" i="2"/>
  <c r="D772" i="2"/>
  <c r="E772" i="2"/>
  <c r="A773" i="2"/>
  <c r="B773" i="2"/>
  <c r="D773" i="2"/>
  <c r="E773" i="2"/>
  <c r="F773" i="2"/>
  <c r="B775" i="2"/>
  <c r="D775" i="2"/>
  <c r="E775" i="2"/>
  <c r="B776" i="2"/>
  <c r="D776" i="2"/>
  <c r="E776" i="2"/>
  <c r="B777" i="2"/>
  <c r="D777" i="2"/>
  <c r="E777" i="2"/>
  <c r="B778" i="2"/>
  <c r="D778" i="2"/>
  <c r="E778" i="2"/>
  <c r="B780" i="2"/>
  <c r="E780" i="2"/>
  <c r="A781" i="2"/>
  <c r="B781" i="2"/>
  <c r="D781" i="2"/>
  <c r="E781" i="2"/>
  <c r="F781" i="2"/>
  <c r="K786" i="2"/>
  <c r="B783" i="2"/>
  <c r="D783" i="2"/>
  <c r="E783" i="2"/>
  <c r="J783" i="2"/>
  <c r="B784" i="2"/>
  <c r="D784" i="2"/>
  <c r="E784" i="2"/>
  <c r="B786" i="2"/>
  <c r="E786" i="2"/>
  <c r="A787" i="2"/>
  <c r="B787" i="2"/>
  <c r="D787" i="2"/>
  <c r="E787" i="2"/>
  <c r="F787" i="2"/>
  <c r="L797" i="2"/>
  <c r="B789" i="2"/>
  <c r="D789" i="2"/>
  <c r="E789" i="2"/>
  <c r="B791" i="2"/>
  <c r="E791" i="2"/>
  <c r="B793" i="2"/>
  <c r="D793" i="2"/>
  <c r="E793" i="2"/>
  <c r="B794" i="2"/>
  <c r="D794" i="2"/>
  <c r="E794" i="2"/>
  <c r="B795" i="2"/>
  <c r="D795" i="2"/>
  <c r="E795" i="2"/>
  <c r="B796" i="2"/>
  <c r="D796" i="2"/>
  <c r="E796" i="2"/>
  <c r="B797" i="2"/>
  <c r="D797" i="2"/>
  <c r="E797" i="2"/>
  <c r="B798" i="2"/>
  <c r="D798" i="2"/>
  <c r="E798" i="2"/>
  <c r="B799" i="2"/>
  <c r="D799" i="2"/>
  <c r="E799" i="2"/>
  <c r="A800" i="2"/>
  <c r="B800" i="2"/>
  <c r="D800" i="2"/>
  <c r="E800" i="2"/>
  <c r="F800" i="2"/>
  <c r="K806" i="2"/>
  <c r="B802" i="2"/>
  <c r="D802" i="2"/>
  <c r="E802" i="2"/>
  <c r="B803" i="2"/>
  <c r="D803" i="2"/>
  <c r="E803" i="2"/>
  <c r="B804" i="2"/>
  <c r="D804" i="2"/>
  <c r="E804" i="2"/>
  <c r="B806" i="2"/>
  <c r="E806" i="2"/>
  <c r="A807" i="2"/>
  <c r="B807" i="2"/>
  <c r="D807" i="2"/>
  <c r="E807" i="2"/>
  <c r="F807" i="2"/>
  <c r="B809" i="2"/>
  <c r="D809" i="2"/>
  <c r="E809" i="2"/>
  <c r="J809" i="2"/>
  <c r="B811" i="2"/>
  <c r="E811" i="2"/>
  <c r="B813" i="2"/>
  <c r="D813" i="2"/>
  <c r="E813" i="2"/>
  <c r="B814" i="2"/>
  <c r="D814" i="2"/>
  <c r="E814" i="2"/>
  <c r="B815" i="2"/>
  <c r="D815" i="2"/>
  <c r="E815" i="2"/>
  <c r="A816" i="2"/>
  <c r="B816" i="2"/>
  <c r="D816" i="2"/>
  <c r="E816" i="2"/>
  <c r="B818" i="2"/>
  <c r="D818" i="2"/>
  <c r="E818" i="2"/>
  <c r="B819" i="2"/>
  <c r="D819" i="2"/>
  <c r="E819" i="2"/>
  <c r="B821" i="2"/>
  <c r="E821" i="2"/>
  <c r="B823" i="2"/>
  <c r="D823" i="2"/>
  <c r="E823" i="2"/>
  <c r="A824" i="2"/>
  <c r="B824" i="2"/>
  <c r="D824" i="2"/>
  <c r="E824" i="2"/>
  <c r="F824" i="2"/>
  <c r="B826" i="2"/>
  <c r="D826" i="2"/>
  <c r="E826" i="2"/>
  <c r="J826" i="2"/>
  <c r="A827" i="2"/>
  <c r="B827" i="2"/>
  <c r="D827" i="2"/>
  <c r="E827" i="2"/>
  <c r="F827" i="2"/>
  <c r="B829" i="2"/>
  <c r="D829" i="2"/>
  <c r="E829" i="2"/>
  <c r="J829" i="2"/>
  <c r="B830" i="2"/>
  <c r="D830" i="2"/>
  <c r="E830" i="2"/>
  <c r="J830" i="2"/>
  <c r="B831" i="2"/>
  <c r="D831" i="2"/>
  <c r="E831" i="2"/>
  <c r="J831" i="2"/>
  <c r="B832" i="2"/>
  <c r="D832" i="2"/>
  <c r="E832" i="2"/>
  <c r="J832" i="2"/>
  <c r="B833" i="2"/>
  <c r="D833" i="2"/>
  <c r="E833" i="2"/>
  <c r="J833" i="2"/>
  <c r="B834" i="2"/>
  <c r="D834" i="2"/>
  <c r="E834" i="2"/>
  <c r="B836" i="2"/>
  <c r="E836" i="2"/>
  <c r="B838" i="2"/>
  <c r="D838" i="2"/>
  <c r="E838" i="2"/>
  <c r="B839" i="2"/>
  <c r="D839" i="2"/>
  <c r="E839" i="2"/>
  <c r="B840" i="2"/>
  <c r="D840" i="2"/>
  <c r="E840" i="2"/>
  <c r="B841" i="2"/>
  <c r="D841" i="2"/>
  <c r="E841" i="2"/>
  <c r="B842" i="2"/>
  <c r="D842" i="2"/>
  <c r="E842" i="2"/>
  <c r="A843" i="2"/>
  <c r="B843" i="2"/>
  <c r="D843" i="2"/>
  <c r="E843" i="2"/>
  <c r="F843" i="2"/>
  <c r="B845" i="2"/>
  <c r="D845" i="2"/>
  <c r="E845" i="2"/>
  <c r="J845" i="2"/>
  <c r="B846" i="2"/>
  <c r="D846" i="2"/>
  <c r="E846" i="2"/>
  <c r="J846" i="2"/>
  <c r="B847" i="2"/>
  <c r="D847" i="2"/>
  <c r="E847" i="2"/>
  <c r="J847" i="2"/>
  <c r="B848" i="2"/>
  <c r="D848" i="2"/>
  <c r="E848" i="2"/>
  <c r="J848" i="2"/>
  <c r="B849" i="2"/>
  <c r="D849" i="2"/>
  <c r="E849" i="2"/>
  <c r="J849" i="2"/>
  <c r="B850" i="2"/>
  <c r="D850" i="2"/>
  <c r="E850" i="2"/>
  <c r="A851" i="2"/>
  <c r="B851" i="2"/>
  <c r="D851" i="2"/>
  <c r="E851" i="2"/>
  <c r="F851" i="2"/>
  <c r="K856" i="2"/>
  <c r="B853" i="2"/>
  <c r="D853" i="2"/>
  <c r="E853" i="2"/>
  <c r="J853" i="2"/>
  <c r="H113" i="3"/>
  <c r="Q113" i="3"/>
  <c r="B854" i="2"/>
  <c r="D854" i="2"/>
  <c r="E854" i="2"/>
  <c r="B856" i="2"/>
  <c r="E856" i="2"/>
  <c r="B858" i="2"/>
  <c r="D858" i="2"/>
  <c r="E858" i="2"/>
  <c r="B859" i="2"/>
  <c r="D859" i="2"/>
  <c r="E859" i="2"/>
  <c r="B860" i="2"/>
  <c r="D860" i="2"/>
  <c r="E860" i="2"/>
  <c r="B861" i="2"/>
  <c r="D861" i="2"/>
  <c r="E861" i="2"/>
  <c r="B862" i="2"/>
  <c r="D862" i="2"/>
  <c r="E862" i="2"/>
  <c r="A863" i="2"/>
  <c r="B863" i="2"/>
  <c r="D863" i="2"/>
  <c r="E863" i="2"/>
  <c r="B865" i="2"/>
  <c r="D865" i="2"/>
  <c r="E865" i="2"/>
  <c r="B866" i="2"/>
  <c r="D866" i="2"/>
  <c r="E866" i="2"/>
  <c r="B867" i="2"/>
  <c r="D867" i="2"/>
  <c r="E867" i="2"/>
  <c r="B868" i="2"/>
  <c r="D868" i="2"/>
  <c r="E868" i="2"/>
  <c r="B869" i="2"/>
  <c r="D869" i="2"/>
  <c r="E869" i="2"/>
  <c r="B870" i="2"/>
  <c r="D870" i="2"/>
  <c r="E870" i="2"/>
  <c r="B872" i="2"/>
  <c r="E872" i="2"/>
  <c r="B874" i="2"/>
  <c r="D874" i="2"/>
  <c r="E874" i="2"/>
  <c r="B875" i="2"/>
  <c r="D875" i="2"/>
  <c r="E875" i="2"/>
  <c r="B876" i="2"/>
  <c r="D876" i="2"/>
  <c r="E876" i="2"/>
  <c r="A877" i="2"/>
  <c r="B877" i="2"/>
  <c r="D877" i="2"/>
  <c r="E877" i="2"/>
  <c r="F877" i="2"/>
  <c r="B879" i="2"/>
  <c r="D879" i="2"/>
  <c r="E879" i="2"/>
  <c r="J879" i="2"/>
  <c r="B880" i="2"/>
  <c r="D880" i="2"/>
  <c r="E880" i="2"/>
  <c r="J880" i="2"/>
  <c r="B881" i="2"/>
  <c r="D881" i="2"/>
  <c r="E881" i="2"/>
  <c r="J881" i="2"/>
  <c r="B882" i="2"/>
  <c r="D882" i="2"/>
  <c r="E882" i="2"/>
  <c r="J882" i="2"/>
  <c r="B883" i="2"/>
  <c r="D883" i="2"/>
  <c r="E883" i="2"/>
  <c r="J883" i="2"/>
  <c r="B884" i="2"/>
  <c r="D884" i="2"/>
  <c r="E884" i="2"/>
  <c r="A885" i="2"/>
  <c r="B885" i="2"/>
  <c r="D885" i="2"/>
  <c r="E885" i="2"/>
  <c r="B887" i="2"/>
  <c r="D887" i="2"/>
  <c r="E887" i="2"/>
  <c r="B888" i="2"/>
  <c r="D888" i="2"/>
  <c r="E888" i="2"/>
  <c r="B889" i="2"/>
  <c r="D889" i="2"/>
  <c r="E889" i="2"/>
  <c r="B890" i="2"/>
  <c r="D890" i="2"/>
  <c r="E890" i="2"/>
  <c r="B892" i="2"/>
  <c r="E892" i="2"/>
  <c r="B894" i="2"/>
  <c r="D894" i="2"/>
  <c r="E894" i="2"/>
  <c r="B895" i="2"/>
  <c r="D895" i="2"/>
  <c r="E895" i="2"/>
  <c r="A896" i="2"/>
  <c r="B896" i="2"/>
  <c r="D896" i="2"/>
  <c r="E896" i="2"/>
  <c r="B898" i="2"/>
  <c r="D898" i="2"/>
  <c r="E898" i="2"/>
  <c r="B899" i="2"/>
  <c r="D899" i="2"/>
  <c r="E899" i="2"/>
  <c r="B900" i="2"/>
  <c r="D900" i="2"/>
  <c r="E900" i="2"/>
  <c r="B901" i="2"/>
  <c r="D901" i="2"/>
  <c r="E901" i="2"/>
  <c r="B903" i="2"/>
  <c r="E903" i="2"/>
  <c r="B905" i="2"/>
  <c r="D905" i="2"/>
  <c r="E905" i="2"/>
  <c r="B906" i="2"/>
  <c r="D906" i="2"/>
  <c r="E906" i="2"/>
  <c r="A907" i="2"/>
  <c r="B907" i="2"/>
  <c r="D907" i="2"/>
  <c r="E907" i="2"/>
  <c r="F907" i="2"/>
  <c r="B909" i="2"/>
  <c r="D909" i="2"/>
  <c r="E909" i="2"/>
  <c r="J909" i="2"/>
  <c r="B910" i="2"/>
  <c r="D910" i="2"/>
  <c r="E910" i="2"/>
  <c r="B912" i="2"/>
  <c r="E912" i="2"/>
  <c r="B914" i="2"/>
  <c r="D914" i="2"/>
  <c r="E914" i="2"/>
  <c r="B915" i="2"/>
  <c r="D915" i="2"/>
  <c r="E915" i="2"/>
  <c r="A916" i="2"/>
  <c r="B916" i="2"/>
  <c r="D916" i="2"/>
  <c r="E916" i="2"/>
  <c r="F916" i="2"/>
  <c r="B918" i="2"/>
  <c r="D918" i="2"/>
  <c r="E918" i="2"/>
  <c r="J918" i="2"/>
  <c r="B919" i="2"/>
  <c r="D919" i="2"/>
  <c r="E919" i="2"/>
  <c r="B921" i="2"/>
  <c r="E921" i="2"/>
  <c r="B923" i="2"/>
  <c r="D923" i="2"/>
  <c r="E923" i="2"/>
  <c r="B924" i="2"/>
  <c r="D924" i="2"/>
  <c r="E924" i="2"/>
  <c r="A925" i="2"/>
  <c r="B925" i="2"/>
  <c r="D925" i="2"/>
  <c r="E925" i="2"/>
  <c r="B927" i="2"/>
  <c r="D927" i="2"/>
  <c r="E927" i="2"/>
  <c r="B928" i="2"/>
  <c r="D928" i="2"/>
  <c r="E928" i="2"/>
  <c r="A929" i="2"/>
  <c r="B929" i="2"/>
  <c r="D929" i="2"/>
  <c r="E929" i="2"/>
  <c r="B931" i="2"/>
  <c r="E931" i="2"/>
  <c r="B933" i="2"/>
  <c r="D933" i="2"/>
  <c r="E933" i="2"/>
  <c r="B934" i="2"/>
  <c r="D934" i="2"/>
  <c r="E934" i="2"/>
  <c r="A935" i="2"/>
  <c r="B935" i="2"/>
  <c r="D935" i="2"/>
  <c r="E935" i="2"/>
  <c r="F935" i="2"/>
  <c r="B937" i="2"/>
  <c r="D937" i="2"/>
  <c r="E937" i="2"/>
  <c r="J937" i="2"/>
  <c r="B938" i="2"/>
  <c r="D938" i="2"/>
  <c r="E938" i="2"/>
  <c r="J938" i="2"/>
  <c r="H210" i="3"/>
  <c r="B939" i="2"/>
  <c r="D939" i="2"/>
  <c r="E939" i="2"/>
  <c r="J939" i="2"/>
  <c r="B940" i="2"/>
  <c r="D940" i="2"/>
  <c r="E940" i="2"/>
  <c r="J940" i="2"/>
  <c r="B941" i="2"/>
  <c r="D941" i="2"/>
  <c r="E941" i="2"/>
  <c r="J941" i="2"/>
  <c r="B942" i="2"/>
  <c r="D942" i="2"/>
  <c r="E942" i="2"/>
  <c r="B944" i="2"/>
  <c r="E944" i="2"/>
  <c r="B946" i="2"/>
  <c r="D946" i="2"/>
  <c r="E946" i="2"/>
  <c r="B947" i="2"/>
  <c r="D947" i="2"/>
  <c r="E947" i="2"/>
  <c r="B948" i="2"/>
  <c r="D948" i="2"/>
  <c r="E948" i="2"/>
  <c r="A949" i="2"/>
  <c r="B949" i="2"/>
  <c r="D949" i="2"/>
  <c r="E949" i="2"/>
  <c r="F949" i="2"/>
  <c r="B951" i="2"/>
  <c r="D951" i="2"/>
  <c r="E951" i="2"/>
  <c r="J951" i="2"/>
  <c r="B952" i="2"/>
  <c r="D952" i="2"/>
  <c r="E952" i="2"/>
  <c r="J952" i="2"/>
  <c r="B953" i="2"/>
  <c r="D953" i="2"/>
  <c r="E953" i="2"/>
  <c r="J953" i="2"/>
  <c r="B954" i="2"/>
  <c r="D954" i="2"/>
  <c r="E954" i="2"/>
  <c r="J954" i="2"/>
  <c r="B955" i="2"/>
  <c r="D955" i="2"/>
  <c r="E955" i="2"/>
  <c r="J955" i="2"/>
  <c r="B956" i="2"/>
  <c r="D956" i="2"/>
  <c r="E956" i="2"/>
  <c r="A957" i="2"/>
  <c r="B957" i="2"/>
  <c r="D957" i="2"/>
  <c r="E957" i="2"/>
  <c r="B959" i="2"/>
  <c r="D959" i="2"/>
  <c r="E959" i="2"/>
  <c r="B960" i="2"/>
  <c r="D960" i="2"/>
  <c r="E960" i="2"/>
  <c r="B961" i="2"/>
  <c r="D961" i="2"/>
  <c r="E961" i="2"/>
  <c r="B962" i="2"/>
  <c r="D962" i="2"/>
  <c r="E962" i="2"/>
  <c r="B964" i="2"/>
  <c r="E964" i="2"/>
  <c r="B966" i="2"/>
  <c r="D966" i="2"/>
  <c r="E966" i="2"/>
  <c r="B967" i="2"/>
  <c r="D967" i="2"/>
  <c r="E967" i="2"/>
  <c r="A968" i="2"/>
  <c r="B968" i="2"/>
  <c r="D968" i="2"/>
  <c r="E968" i="2"/>
  <c r="B970" i="2"/>
  <c r="D970" i="2"/>
  <c r="E970" i="2"/>
  <c r="B971" i="2"/>
  <c r="D971" i="2"/>
  <c r="E971" i="2"/>
  <c r="B972" i="2"/>
  <c r="D972" i="2"/>
  <c r="E972" i="2"/>
  <c r="B973" i="2"/>
  <c r="D973" i="2"/>
  <c r="E973" i="2"/>
  <c r="B975" i="2"/>
  <c r="E975" i="2"/>
  <c r="B977" i="2"/>
  <c r="D977" i="2"/>
  <c r="E977" i="2"/>
  <c r="B978" i="2"/>
  <c r="D978" i="2"/>
  <c r="E978" i="2"/>
  <c r="A979" i="2"/>
  <c r="B979" i="2"/>
  <c r="D979" i="2"/>
  <c r="E979" i="2"/>
  <c r="F979" i="2"/>
  <c r="B981" i="2"/>
  <c r="D981" i="2"/>
  <c r="E981" i="2"/>
  <c r="J981" i="2"/>
  <c r="B982" i="2"/>
  <c r="D982" i="2"/>
  <c r="E982" i="2"/>
  <c r="B984" i="2"/>
  <c r="E984" i="2"/>
  <c r="B986" i="2"/>
  <c r="D986" i="2"/>
  <c r="E986" i="2"/>
  <c r="B987" i="2"/>
  <c r="D987" i="2"/>
  <c r="E987" i="2"/>
  <c r="A988" i="2"/>
  <c r="B988" i="2"/>
  <c r="D988" i="2"/>
  <c r="E988" i="2"/>
  <c r="F988" i="2"/>
  <c r="B990" i="2"/>
  <c r="D990" i="2"/>
  <c r="E990" i="2"/>
  <c r="J990" i="2"/>
  <c r="B991" i="2"/>
  <c r="D991" i="2"/>
  <c r="E991" i="2"/>
  <c r="B993" i="2"/>
  <c r="E993" i="2"/>
  <c r="B995" i="2"/>
  <c r="D995" i="2"/>
  <c r="E995" i="2"/>
  <c r="B996" i="2"/>
  <c r="D996" i="2"/>
  <c r="E996" i="2"/>
  <c r="A997" i="2"/>
  <c r="B997" i="2"/>
  <c r="D997" i="2"/>
  <c r="E997" i="2"/>
  <c r="B999" i="2"/>
  <c r="D999" i="2"/>
  <c r="E999" i="2"/>
  <c r="B1000" i="2"/>
  <c r="D1000" i="2"/>
  <c r="E1000" i="2"/>
  <c r="A1001" i="2"/>
  <c r="B1001" i="2"/>
  <c r="D1001" i="2"/>
  <c r="E1001" i="2"/>
  <c r="F1001" i="2"/>
  <c r="K1003" i="2"/>
  <c r="B1003" i="2"/>
  <c r="E1003" i="2"/>
  <c r="B1005" i="2"/>
  <c r="D1005" i="2"/>
  <c r="E1005" i="2"/>
  <c r="B1006" i="2"/>
  <c r="D1006" i="2"/>
  <c r="E1006" i="2"/>
  <c r="A1007" i="2"/>
  <c r="B1007" i="2"/>
  <c r="D1007" i="2"/>
  <c r="E1007" i="2"/>
  <c r="F1007" i="2"/>
  <c r="B1009" i="2"/>
  <c r="D1009" i="2"/>
  <c r="E1009" i="2"/>
  <c r="J1009" i="2"/>
  <c r="B1010" i="2"/>
  <c r="D1010" i="2"/>
  <c r="E1010" i="2"/>
  <c r="B1012" i="2"/>
  <c r="E1012" i="2"/>
  <c r="B1014" i="2"/>
  <c r="D1014" i="2"/>
  <c r="E1014" i="2"/>
  <c r="B1015" i="2"/>
  <c r="D1015" i="2"/>
  <c r="E1015" i="2"/>
  <c r="A1016" i="2"/>
  <c r="B1016" i="2"/>
  <c r="D1016" i="2"/>
  <c r="E1016" i="2"/>
  <c r="F1016" i="2"/>
  <c r="K1021" i="2"/>
  <c r="B1018" i="2"/>
  <c r="D1018" i="2"/>
  <c r="E1018" i="2"/>
  <c r="J1018" i="2"/>
  <c r="B1019" i="2"/>
  <c r="D1019" i="2"/>
  <c r="E1019" i="2"/>
  <c r="B1021" i="2"/>
  <c r="E1021" i="2"/>
  <c r="B1023" i="2"/>
  <c r="D1023" i="2"/>
  <c r="E1023" i="2"/>
  <c r="B1024" i="2"/>
  <c r="D1024" i="2"/>
  <c r="E1024" i="2"/>
  <c r="A1025" i="2"/>
  <c r="B1025" i="2"/>
  <c r="D1025" i="2"/>
  <c r="E1025" i="2"/>
  <c r="F1025" i="2"/>
  <c r="B1027" i="2"/>
  <c r="D1027" i="2"/>
  <c r="E1027" i="2"/>
  <c r="J1027" i="2"/>
  <c r="H137" i="3"/>
  <c r="B1028" i="2"/>
  <c r="D1028" i="2"/>
  <c r="E1028" i="2"/>
  <c r="A1029" i="2"/>
  <c r="B1029" i="2"/>
  <c r="D1029" i="2"/>
  <c r="E1029" i="2"/>
  <c r="F1029" i="2"/>
  <c r="K1031" i="2"/>
  <c r="B1031" i="2"/>
  <c r="E1031" i="2"/>
  <c r="B1033" i="2"/>
  <c r="D1033" i="2"/>
  <c r="E1033" i="2"/>
  <c r="B1034" i="2"/>
  <c r="D1034" i="2"/>
  <c r="E1034" i="2"/>
  <c r="B1035" i="2"/>
  <c r="D1035" i="2"/>
  <c r="E1035" i="2"/>
  <c r="A1036" i="2"/>
  <c r="B1036" i="2"/>
  <c r="D1036" i="2"/>
  <c r="E1036" i="2"/>
  <c r="B1038" i="2"/>
  <c r="D1038" i="2"/>
  <c r="E1038" i="2"/>
  <c r="B1039" i="2"/>
  <c r="D1039" i="2"/>
  <c r="E1039" i="2"/>
  <c r="B1040" i="2"/>
  <c r="D1040" i="2"/>
  <c r="E1040" i="2"/>
  <c r="B1041" i="2"/>
  <c r="D1041" i="2"/>
  <c r="E1041" i="2"/>
  <c r="B1042" i="2"/>
  <c r="D1042" i="2"/>
  <c r="E1042" i="2"/>
  <c r="B1043" i="2"/>
  <c r="D1043" i="2"/>
  <c r="E1043" i="2"/>
  <c r="B1045" i="2"/>
  <c r="E1045" i="2"/>
  <c r="B1047" i="2"/>
  <c r="D1047" i="2"/>
  <c r="E1047" i="2"/>
  <c r="B1048" i="2"/>
  <c r="D1048" i="2"/>
  <c r="E1048" i="2"/>
  <c r="B1049" i="2"/>
  <c r="D1049" i="2"/>
  <c r="E1049" i="2"/>
  <c r="A1050" i="2"/>
  <c r="B1050" i="2"/>
  <c r="D1050" i="2"/>
  <c r="E1050" i="2"/>
  <c r="F1050" i="2"/>
  <c r="B1052" i="2"/>
  <c r="D1052" i="2"/>
  <c r="E1052" i="2"/>
  <c r="J1052" i="2"/>
  <c r="B1053" i="2"/>
  <c r="D1053" i="2"/>
  <c r="E1053" i="2"/>
  <c r="J1053" i="2"/>
  <c r="B1054" i="2"/>
  <c r="D1054" i="2"/>
  <c r="E1054" i="2"/>
  <c r="J1054" i="2"/>
  <c r="B1055" i="2"/>
  <c r="D1055" i="2"/>
  <c r="E1055" i="2"/>
  <c r="J1055" i="2"/>
  <c r="B1056" i="2"/>
  <c r="D1056" i="2"/>
  <c r="E1056" i="2"/>
  <c r="J1056" i="2"/>
  <c r="B1057" i="2"/>
  <c r="D1057" i="2"/>
  <c r="E1057" i="2"/>
  <c r="A1058" i="2"/>
  <c r="B1058" i="2"/>
  <c r="D1058" i="2"/>
  <c r="E1058" i="2"/>
  <c r="B1060" i="2"/>
  <c r="D1060" i="2"/>
  <c r="E1060" i="2"/>
  <c r="B1061" i="2"/>
  <c r="D1061" i="2"/>
  <c r="E1061" i="2"/>
  <c r="B1062" i="2"/>
  <c r="D1062" i="2"/>
  <c r="E1062" i="2"/>
  <c r="B1063" i="2"/>
  <c r="D1063" i="2"/>
  <c r="E1063" i="2"/>
  <c r="B1065" i="2"/>
  <c r="E1065" i="2"/>
  <c r="B1067" i="2"/>
  <c r="D1067" i="2"/>
  <c r="E1067" i="2"/>
  <c r="B1068" i="2"/>
  <c r="D1068" i="2"/>
  <c r="E1068" i="2"/>
  <c r="A1069" i="2"/>
  <c r="B1069" i="2"/>
  <c r="D1069" i="2"/>
  <c r="E1069" i="2"/>
  <c r="B1071" i="2"/>
  <c r="D1071" i="2"/>
  <c r="E1071" i="2"/>
  <c r="B1072" i="2"/>
  <c r="D1072" i="2"/>
  <c r="E1072" i="2"/>
  <c r="B1073" i="2"/>
  <c r="D1073" i="2"/>
  <c r="E1073" i="2"/>
  <c r="B1074" i="2"/>
  <c r="D1074" i="2"/>
  <c r="E1074" i="2"/>
  <c r="B1076" i="2"/>
  <c r="E1076" i="2"/>
  <c r="B1078" i="2"/>
  <c r="D1078" i="2"/>
  <c r="E1078" i="2"/>
  <c r="B1079" i="2"/>
  <c r="D1079" i="2"/>
  <c r="E1079" i="2"/>
  <c r="A1080" i="2"/>
  <c r="B1080" i="2"/>
  <c r="D1080" i="2"/>
  <c r="E1080" i="2"/>
  <c r="F1080" i="2"/>
  <c r="B1082" i="2"/>
  <c r="D1082" i="2"/>
  <c r="E1082" i="2"/>
  <c r="J1082" i="2"/>
  <c r="A1083" i="2"/>
  <c r="B1083" i="2"/>
  <c r="D1083" i="2"/>
  <c r="E1083" i="2"/>
  <c r="F1083" i="2"/>
  <c r="B1085" i="2"/>
  <c r="D1085" i="2"/>
  <c r="E1085" i="2"/>
  <c r="J1085" i="2"/>
  <c r="B1086" i="2"/>
  <c r="D1086" i="2"/>
  <c r="E1086" i="2"/>
  <c r="B1088" i="2"/>
  <c r="E1088" i="2"/>
  <c r="K1088" i="2"/>
  <c r="B1090" i="2"/>
  <c r="D1090" i="2"/>
  <c r="E1090" i="2"/>
  <c r="L1090" i="2"/>
  <c r="B1091" i="2"/>
  <c r="D1091" i="2"/>
  <c r="E1091" i="2"/>
  <c r="A1092" i="2"/>
  <c r="B1092" i="2"/>
  <c r="D1092" i="2"/>
  <c r="E1092" i="2"/>
  <c r="F1092" i="2"/>
  <c r="B1094" i="2"/>
  <c r="D1094" i="2"/>
  <c r="E1094" i="2"/>
  <c r="J1094" i="2"/>
  <c r="B1095" i="2"/>
  <c r="D1095" i="2"/>
  <c r="E1095" i="2"/>
  <c r="B1097" i="2"/>
  <c r="E1097" i="2"/>
  <c r="B1099" i="2"/>
  <c r="D1099" i="2"/>
  <c r="E1099" i="2"/>
  <c r="B1100" i="2"/>
  <c r="D1100" i="2"/>
  <c r="E1100" i="2"/>
  <c r="A1101" i="2"/>
  <c r="B1101" i="2"/>
  <c r="D1101" i="2"/>
  <c r="E1101" i="2"/>
  <c r="F1101" i="2"/>
  <c r="B1103" i="2"/>
  <c r="D1103" i="2"/>
  <c r="E1103" i="2"/>
  <c r="J1103" i="2"/>
  <c r="B1104" i="2"/>
  <c r="D1104" i="2"/>
  <c r="E1104" i="2"/>
  <c r="A1105" i="2"/>
  <c r="B1105" i="2"/>
  <c r="D1105" i="2"/>
  <c r="E1105" i="2"/>
  <c r="F1105" i="2"/>
  <c r="B1107" i="2"/>
  <c r="E1107" i="2"/>
  <c r="B1109" i="2"/>
  <c r="D1109" i="2"/>
  <c r="E1109" i="2"/>
  <c r="B1110" i="2"/>
  <c r="D1110" i="2"/>
  <c r="E1110" i="2"/>
  <c r="A1111" i="2"/>
  <c r="B1111" i="2"/>
  <c r="D1111" i="2"/>
  <c r="E1111" i="2"/>
  <c r="B1113" i="2"/>
  <c r="D1113" i="2"/>
  <c r="E1113" i="2"/>
  <c r="B1114" i="2"/>
  <c r="D1114" i="2"/>
  <c r="E1114" i="2"/>
  <c r="B1115" i="2"/>
  <c r="D1115" i="2"/>
  <c r="E1115" i="2"/>
  <c r="B1116" i="2"/>
  <c r="D1116" i="2"/>
  <c r="E1116" i="2"/>
  <c r="B1117" i="2"/>
  <c r="D1117" i="2"/>
  <c r="E1117" i="2"/>
  <c r="B1119" i="2"/>
  <c r="E1119" i="2"/>
  <c r="B1121" i="2"/>
  <c r="D1121" i="2"/>
  <c r="E1121" i="2"/>
  <c r="B1122" i="2"/>
  <c r="D1122" i="2"/>
  <c r="E1122" i="2"/>
  <c r="A1123" i="2"/>
  <c r="B1123" i="2"/>
  <c r="D1123" i="2"/>
  <c r="E1123" i="2"/>
  <c r="B1125" i="2"/>
  <c r="D1125" i="2"/>
  <c r="E1125" i="2"/>
  <c r="B1126" i="2"/>
  <c r="D1126" i="2"/>
  <c r="E1126" i="2"/>
  <c r="B1127" i="2"/>
  <c r="D1127" i="2"/>
  <c r="E1127" i="2"/>
  <c r="B1129" i="2"/>
  <c r="E1129" i="2"/>
  <c r="B1131" i="2"/>
  <c r="D1131" i="2"/>
  <c r="E1131" i="2"/>
  <c r="B1132" i="2"/>
  <c r="D1132" i="2"/>
  <c r="E1132" i="2"/>
  <c r="A1133" i="2"/>
  <c r="B1133" i="2"/>
  <c r="D1133" i="2"/>
  <c r="E1133" i="2"/>
  <c r="F1133" i="2"/>
  <c r="B1135" i="2"/>
  <c r="D1135" i="2"/>
  <c r="E1135" i="2"/>
  <c r="B1136" i="2"/>
  <c r="D1136" i="2"/>
  <c r="E1136" i="2"/>
  <c r="B1137" i="2"/>
  <c r="D1137" i="2"/>
  <c r="E1137" i="2"/>
  <c r="B1138" i="2"/>
  <c r="D1138" i="2"/>
  <c r="E1138" i="2"/>
  <c r="B1140" i="2"/>
  <c r="E1140" i="2"/>
  <c r="A1141" i="2"/>
  <c r="B1141" i="2"/>
  <c r="D1141" i="2"/>
  <c r="E1141" i="2"/>
  <c r="F1141" i="2"/>
  <c r="K1146" i="2"/>
  <c r="B1143" i="2"/>
  <c r="D1143" i="2"/>
  <c r="E1143" i="2"/>
  <c r="B1144" i="2"/>
  <c r="D1144" i="2"/>
  <c r="E1144" i="2"/>
  <c r="B1146" i="2"/>
  <c r="E1146" i="2"/>
  <c r="A1147" i="2"/>
  <c r="B1147" i="2"/>
  <c r="D1147" i="2"/>
  <c r="E1147" i="2"/>
  <c r="F1147" i="2"/>
  <c r="B1149" i="2"/>
  <c r="D1149" i="2"/>
  <c r="E1149" i="2"/>
  <c r="J1149" i="2"/>
  <c r="B1151" i="2"/>
  <c r="E1151" i="2"/>
  <c r="K1151" i="2"/>
  <c r="A1152" i="2"/>
  <c r="B1152" i="2"/>
  <c r="D1152" i="2"/>
  <c r="E1152" i="2"/>
  <c r="F1152" i="2"/>
  <c r="B1154" i="2"/>
  <c r="D1154" i="2"/>
  <c r="E1154" i="2"/>
  <c r="J1154" i="2"/>
  <c r="B1155" i="2"/>
  <c r="D1155" i="2"/>
  <c r="E1155" i="2"/>
  <c r="B1157" i="2"/>
  <c r="E1157" i="2"/>
  <c r="K1157" i="2"/>
  <c r="A1158" i="2"/>
  <c r="B1158" i="2"/>
  <c r="D1158" i="2"/>
  <c r="E1158" i="2"/>
  <c r="F1158" i="2"/>
  <c r="B1160" i="2"/>
  <c r="E1160" i="2"/>
  <c r="B1162" i="2"/>
  <c r="D1162" i="2"/>
  <c r="E1162" i="2"/>
  <c r="B1163" i="2"/>
  <c r="D1163" i="2"/>
  <c r="E1163" i="2"/>
  <c r="A1164" i="2"/>
  <c r="B1164" i="2"/>
  <c r="D1164" i="2"/>
  <c r="E1164" i="2"/>
  <c r="F1164" i="2"/>
  <c r="K1171" i="2"/>
  <c r="B1166" i="2"/>
  <c r="D1166" i="2"/>
  <c r="E1166" i="2"/>
  <c r="J1166" i="2"/>
  <c r="B1167" i="2"/>
  <c r="D1167" i="2"/>
  <c r="E1167" i="2"/>
  <c r="J1167" i="2"/>
  <c r="B1168" i="2"/>
  <c r="D1168" i="2"/>
  <c r="E1168" i="2"/>
  <c r="J1168" i="2"/>
  <c r="B1169" i="2"/>
  <c r="D1169" i="2"/>
  <c r="E1169" i="2"/>
  <c r="B1171" i="2"/>
  <c r="E1171" i="2"/>
  <c r="B1173" i="2"/>
  <c r="D1173" i="2"/>
  <c r="E1173" i="2"/>
  <c r="B1174" i="2"/>
  <c r="D1174" i="2"/>
  <c r="E1174" i="2"/>
  <c r="B1175" i="2"/>
  <c r="D1175" i="2"/>
  <c r="E1175" i="2"/>
  <c r="B1176" i="2"/>
  <c r="D1176" i="2"/>
  <c r="E1176" i="2"/>
  <c r="B1177" i="2"/>
  <c r="D1177" i="2"/>
  <c r="E1177" i="2"/>
  <c r="B1178" i="2"/>
  <c r="D1178" i="2"/>
  <c r="E1178" i="2"/>
  <c r="B1179" i="2"/>
  <c r="D1179" i="2"/>
  <c r="E1179" i="2"/>
  <c r="A1180" i="2"/>
  <c r="B1180" i="2"/>
  <c r="D1180" i="2"/>
  <c r="E1180" i="2"/>
  <c r="F1180" i="2"/>
  <c r="K1182" i="2"/>
  <c r="B1182" i="2"/>
  <c r="E1182" i="2"/>
  <c r="B1184" i="2"/>
  <c r="D1184" i="2"/>
  <c r="E1184" i="2"/>
  <c r="A1185" i="2"/>
  <c r="B1185" i="2"/>
  <c r="D1185" i="2"/>
  <c r="E1185" i="2"/>
  <c r="F1185" i="2"/>
  <c r="K1194" i="2"/>
  <c r="B1187" i="2"/>
  <c r="D1187" i="2"/>
  <c r="E1187" i="2"/>
  <c r="B1188" i="2"/>
  <c r="D1188" i="2"/>
  <c r="E1188" i="2"/>
  <c r="B1189" i="2"/>
  <c r="D1189" i="2"/>
  <c r="E1189" i="2"/>
  <c r="B1190" i="2"/>
  <c r="D1190" i="2"/>
  <c r="E1190" i="2"/>
  <c r="B1191" i="2"/>
  <c r="D1191" i="2"/>
  <c r="E1191" i="2"/>
  <c r="B1192" i="2"/>
  <c r="D1192" i="2"/>
  <c r="E1192" i="2"/>
  <c r="B1194" i="2"/>
  <c r="E1194" i="2"/>
  <c r="B1196" i="2"/>
  <c r="D1196" i="2"/>
  <c r="E1196" i="2"/>
  <c r="B1197" i="2"/>
  <c r="D1197" i="2"/>
  <c r="E1197" i="2"/>
  <c r="B1198" i="2"/>
  <c r="D1198" i="2"/>
  <c r="E1198" i="2"/>
  <c r="A1199" i="2"/>
  <c r="B1199" i="2"/>
  <c r="D1199" i="2"/>
  <c r="E1199" i="2"/>
  <c r="B1201" i="2"/>
  <c r="D1201" i="2"/>
  <c r="E1201" i="2"/>
  <c r="B1202" i="2"/>
  <c r="D1202" i="2"/>
  <c r="E1202" i="2"/>
  <c r="B1203" i="2"/>
  <c r="D1203" i="2"/>
  <c r="E1203" i="2"/>
  <c r="B1204" i="2"/>
  <c r="D1204" i="2"/>
  <c r="E1204" i="2"/>
  <c r="B1205" i="2"/>
  <c r="D1205" i="2"/>
  <c r="E1205" i="2"/>
  <c r="B1206" i="2"/>
  <c r="D1206" i="2"/>
  <c r="E1206" i="2"/>
  <c r="A1207" i="2"/>
  <c r="B1207" i="2"/>
  <c r="D1207" i="2"/>
  <c r="E1207" i="2"/>
  <c r="B1209" i="2"/>
  <c r="D1209" i="2"/>
  <c r="E1209" i="2"/>
  <c r="B1210" i="2"/>
  <c r="D1210" i="2"/>
  <c r="E1210" i="2"/>
  <c r="B1211" i="2"/>
  <c r="D1211" i="2"/>
  <c r="E1211" i="2"/>
  <c r="B1212" i="2"/>
  <c r="D1212" i="2"/>
  <c r="E1212" i="2"/>
  <c r="B1214" i="2"/>
  <c r="E1214" i="2"/>
  <c r="B1216" i="2"/>
  <c r="D1216" i="2"/>
  <c r="E1216" i="2"/>
  <c r="B1217" i="2"/>
  <c r="D1217" i="2"/>
  <c r="E1217" i="2"/>
  <c r="A1218" i="2"/>
  <c r="B1218" i="2"/>
  <c r="D1218" i="2"/>
  <c r="E1218" i="2"/>
  <c r="B1220" i="2"/>
  <c r="D1220" i="2"/>
  <c r="E1220" i="2"/>
  <c r="B1221" i="2"/>
  <c r="D1221" i="2"/>
  <c r="E1221" i="2"/>
  <c r="B1222" i="2"/>
  <c r="D1222" i="2"/>
  <c r="E1222" i="2"/>
  <c r="B1223" i="2"/>
  <c r="D1223" i="2"/>
  <c r="E1223" i="2"/>
  <c r="B1225" i="2"/>
  <c r="E1225" i="2"/>
  <c r="B1227" i="2"/>
  <c r="D1227" i="2"/>
  <c r="E1227" i="2"/>
  <c r="B1228" i="2"/>
  <c r="D1228" i="2"/>
  <c r="E1228" i="2"/>
  <c r="A1229" i="2"/>
  <c r="B1229" i="2"/>
  <c r="D1229" i="2"/>
  <c r="E1229" i="2"/>
  <c r="F1229" i="2"/>
  <c r="B1231" i="2"/>
  <c r="D1231" i="2"/>
  <c r="E1231" i="2"/>
  <c r="J1231" i="2"/>
  <c r="B1232" i="2"/>
  <c r="D1232" i="2"/>
  <c r="E1232" i="2"/>
  <c r="B1234" i="2"/>
  <c r="E1234" i="2"/>
  <c r="B1236" i="2"/>
  <c r="D1236" i="2"/>
  <c r="E1236" i="2"/>
  <c r="B1237" i="2"/>
  <c r="D1237" i="2"/>
  <c r="E1237" i="2"/>
  <c r="A1238" i="2"/>
  <c r="B1238" i="2"/>
  <c r="D1238" i="2"/>
  <c r="E1238" i="2"/>
  <c r="F1238" i="2"/>
  <c r="B1240" i="2"/>
  <c r="D1240" i="2"/>
  <c r="E1240" i="2"/>
  <c r="J1240" i="2"/>
  <c r="B1241" i="2"/>
  <c r="D1241" i="2"/>
  <c r="E1241" i="2"/>
  <c r="B1243" i="2"/>
  <c r="E1243" i="2"/>
  <c r="K1243" i="2"/>
  <c r="B1245" i="2"/>
  <c r="D1245" i="2"/>
  <c r="E1245" i="2"/>
  <c r="L1245" i="2"/>
  <c r="B1246" i="2"/>
  <c r="D1246" i="2"/>
  <c r="E1246" i="2"/>
  <c r="A1247" i="2"/>
  <c r="B1247" i="2"/>
  <c r="D1247" i="2"/>
  <c r="E1247" i="2"/>
  <c r="F1247" i="2"/>
  <c r="B1249" i="2"/>
  <c r="D1249" i="2"/>
  <c r="E1249" i="2"/>
  <c r="J1249" i="2"/>
  <c r="B1250" i="2"/>
  <c r="D1250" i="2"/>
  <c r="E1250" i="2"/>
  <c r="A1251" i="2"/>
  <c r="B1251" i="2"/>
  <c r="D1251" i="2"/>
  <c r="E1251" i="2"/>
  <c r="B1253" i="2"/>
  <c r="E1253" i="2"/>
  <c r="B1255" i="2"/>
  <c r="D1255" i="2"/>
  <c r="E1255" i="2"/>
  <c r="B1256" i="2"/>
  <c r="D1256" i="2"/>
  <c r="E1256" i="2"/>
  <c r="A1257" i="2"/>
  <c r="B1257" i="2"/>
  <c r="D1257" i="2"/>
  <c r="E1257" i="2"/>
  <c r="F1257" i="2"/>
  <c r="K1265" i="2"/>
  <c r="I20" i="4"/>
  <c r="B1259" i="2"/>
  <c r="D1259" i="2"/>
  <c r="E1259" i="2"/>
  <c r="B1260" i="2"/>
  <c r="D1260" i="2"/>
  <c r="E1260" i="2"/>
  <c r="B1261" i="2"/>
  <c r="D1261" i="2"/>
  <c r="E1261" i="2"/>
  <c r="B1262" i="2"/>
  <c r="D1262" i="2"/>
  <c r="E1262" i="2"/>
  <c r="B1263" i="2"/>
  <c r="D1263" i="2"/>
  <c r="E1263" i="2"/>
  <c r="B1265" i="2"/>
  <c r="E1265" i="2"/>
  <c r="B1267" i="2"/>
  <c r="D1267" i="2"/>
  <c r="E1267" i="2"/>
  <c r="A1268" i="2"/>
  <c r="B1268" i="2"/>
  <c r="D1268" i="2"/>
  <c r="E1268" i="2"/>
  <c r="F1268" i="2"/>
  <c r="B1270" i="2"/>
  <c r="D1270" i="2"/>
  <c r="E1270" i="2"/>
  <c r="J1270" i="2"/>
  <c r="B1271" i="2"/>
  <c r="D1271" i="2"/>
  <c r="E1271" i="2"/>
  <c r="J1271" i="2"/>
  <c r="B1272" i="2"/>
  <c r="D1272" i="2"/>
  <c r="E1272" i="2"/>
  <c r="J1272" i="2"/>
  <c r="B1273" i="2"/>
  <c r="D1273" i="2"/>
  <c r="E1273" i="2"/>
  <c r="B1275" i="2"/>
  <c r="E1275" i="2"/>
  <c r="B1277" i="2"/>
  <c r="D1277" i="2"/>
  <c r="E1277" i="2"/>
  <c r="B1278" i="2"/>
  <c r="D1278" i="2"/>
  <c r="E1278" i="2"/>
  <c r="A1279" i="2"/>
  <c r="B1279" i="2"/>
  <c r="D1279" i="2"/>
  <c r="E1279" i="2"/>
  <c r="F1279" i="2"/>
  <c r="K1286" i="2"/>
  <c r="B1281" i="2"/>
  <c r="D1281" i="2"/>
  <c r="E1281" i="2"/>
  <c r="B1282" i="2"/>
  <c r="D1282" i="2"/>
  <c r="E1282" i="2"/>
  <c r="B1283" i="2"/>
  <c r="D1283" i="2"/>
  <c r="E1283" i="2"/>
  <c r="B1284" i="2"/>
  <c r="D1284" i="2"/>
  <c r="E1284" i="2"/>
  <c r="B1286" i="2"/>
  <c r="E1286" i="2"/>
  <c r="A1287" i="2"/>
  <c r="B1287" i="2"/>
  <c r="D1287" i="2"/>
  <c r="E1287" i="2"/>
  <c r="F1287" i="2"/>
  <c r="B1289" i="2"/>
  <c r="D1289" i="2"/>
  <c r="E1289" i="2"/>
  <c r="B1290" i="2"/>
  <c r="D1290" i="2"/>
  <c r="E1290" i="2"/>
  <c r="B1292" i="2"/>
  <c r="E1292" i="2"/>
  <c r="A1293" i="2"/>
  <c r="B1293" i="2"/>
  <c r="D1293" i="2"/>
  <c r="E1293" i="2"/>
  <c r="F1293" i="2"/>
  <c r="K1295" i="2"/>
  <c r="B1295" i="2"/>
  <c r="E1295" i="2"/>
  <c r="A1296" i="2"/>
  <c r="B1296" i="2"/>
  <c r="D1296" i="2"/>
  <c r="E1296" i="2"/>
  <c r="F1296" i="2"/>
  <c r="B1298" i="2"/>
  <c r="D1298" i="2"/>
  <c r="E1298" i="2"/>
  <c r="J1298" i="2"/>
  <c r="B1299" i="2"/>
  <c r="D1299" i="2"/>
  <c r="E1299" i="2"/>
  <c r="J1299" i="2"/>
  <c r="B1300" i="2"/>
  <c r="D1300" i="2"/>
  <c r="E1300" i="2"/>
  <c r="J1300" i="2"/>
  <c r="B1301" i="2"/>
  <c r="D1301" i="2"/>
  <c r="E1301" i="2"/>
  <c r="J1301" i="2"/>
  <c r="B1302" i="2"/>
  <c r="D1302" i="2"/>
  <c r="E1302" i="2"/>
  <c r="B1304" i="2"/>
  <c r="E1304" i="2"/>
  <c r="B1306" i="2"/>
  <c r="D1306" i="2"/>
  <c r="E1306" i="2"/>
  <c r="B1307" i="2"/>
  <c r="D1307" i="2"/>
  <c r="E1307" i="2"/>
  <c r="B1308" i="2"/>
  <c r="D1308" i="2"/>
  <c r="E1308" i="2"/>
  <c r="B1309" i="2"/>
  <c r="D1309" i="2"/>
  <c r="E1309" i="2"/>
  <c r="A1310" i="2"/>
  <c r="B1310" i="2"/>
  <c r="D1310" i="2"/>
  <c r="E1310" i="2"/>
  <c r="F1310" i="2"/>
  <c r="B1312" i="2"/>
  <c r="D1312" i="2"/>
  <c r="E1312" i="2"/>
  <c r="J1312" i="2"/>
  <c r="B1313" i="2"/>
  <c r="D1313" i="2"/>
  <c r="E1313" i="2"/>
  <c r="J1313" i="2"/>
  <c r="B1314" i="2"/>
  <c r="D1314" i="2"/>
  <c r="E1314" i="2"/>
  <c r="J1314" i="2"/>
  <c r="B1315" i="2"/>
  <c r="D1315" i="2"/>
  <c r="E1315" i="2"/>
  <c r="J1315" i="2"/>
  <c r="B1316" i="2"/>
  <c r="D1316" i="2"/>
  <c r="E1316" i="2"/>
  <c r="J1316" i="2"/>
  <c r="B1317" i="2"/>
  <c r="D1317" i="2"/>
  <c r="E1317" i="2"/>
  <c r="J1317" i="2"/>
  <c r="B1318" i="2"/>
  <c r="D1318" i="2"/>
  <c r="E1318" i="2"/>
  <c r="J1318" i="2"/>
  <c r="B1319" i="2"/>
  <c r="D1319" i="2"/>
  <c r="E1319" i="2"/>
  <c r="B1321" i="2"/>
  <c r="E1321" i="2"/>
  <c r="B1323" i="2"/>
  <c r="D1323" i="2"/>
  <c r="E1323" i="2"/>
  <c r="B1324" i="2"/>
  <c r="D1324" i="2"/>
  <c r="E1324" i="2"/>
  <c r="A1325" i="2"/>
  <c r="B1325" i="2"/>
  <c r="D1325" i="2"/>
  <c r="E1325" i="2"/>
  <c r="F1325" i="2"/>
  <c r="J1329" i="2"/>
  <c r="B1327" i="2"/>
  <c r="D1327" i="2"/>
  <c r="E1327" i="2"/>
  <c r="B1328" i="2"/>
  <c r="D1328" i="2"/>
  <c r="E1328" i="2"/>
  <c r="B1329" i="2"/>
  <c r="D1329" i="2"/>
  <c r="E1329" i="2"/>
  <c r="B1331" i="2"/>
  <c r="E1331" i="2"/>
  <c r="B1333" i="2"/>
  <c r="D1333" i="2"/>
  <c r="E1333" i="2"/>
  <c r="A1334" i="2"/>
  <c r="B1334" i="2"/>
  <c r="D1334" i="2"/>
  <c r="E1334" i="2"/>
  <c r="F1334" i="2"/>
  <c r="B1336" i="2"/>
  <c r="D1336" i="2"/>
  <c r="E1336" i="2"/>
  <c r="J1336" i="2"/>
  <c r="H718" i="3"/>
  <c r="B1337" i="2"/>
  <c r="D1337" i="2"/>
  <c r="E1337" i="2"/>
  <c r="B1338" i="2"/>
  <c r="D1338" i="2"/>
  <c r="E1338" i="2"/>
  <c r="B1339" i="2"/>
  <c r="D1339" i="2"/>
  <c r="E1339" i="2"/>
  <c r="B1341" i="2"/>
  <c r="E1341" i="2"/>
  <c r="B1343" i="2"/>
  <c r="D1343" i="2"/>
  <c r="E1343" i="2"/>
  <c r="B1344" i="2"/>
  <c r="D1344" i="2"/>
  <c r="E1344" i="2"/>
  <c r="A1345" i="2"/>
  <c r="B1345" i="2"/>
  <c r="D1345" i="2"/>
  <c r="E1345" i="2"/>
  <c r="F1345" i="2"/>
  <c r="K1350" i="2"/>
  <c r="B1347" i="2"/>
  <c r="D1347" i="2"/>
  <c r="E1347" i="2"/>
  <c r="B1348" i="2"/>
  <c r="D1348" i="2"/>
  <c r="E1348" i="2"/>
  <c r="B1350" i="2"/>
  <c r="E1350" i="2"/>
  <c r="A1351" i="2"/>
  <c r="B1351" i="2"/>
  <c r="D1351" i="2"/>
  <c r="E1351" i="2"/>
  <c r="B1353" i="2"/>
  <c r="D1353" i="2"/>
  <c r="E1353" i="2"/>
  <c r="B1354" i="2"/>
  <c r="D1354" i="2"/>
  <c r="E1354" i="2"/>
  <c r="B1355" i="2"/>
  <c r="D1355" i="2"/>
  <c r="E1355" i="2"/>
  <c r="B1356" i="2"/>
  <c r="D1356" i="2"/>
  <c r="E1356" i="2"/>
  <c r="B1357" i="2"/>
  <c r="D1357" i="2"/>
  <c r="E1357" i="2"/>
  <c r="B1358" i="2"/>
  <c r="D1358" i="2"/>
  <c r="E1358" i="2"/>
  <c r="B1360" i="2"/>
  <c r="E1360" i="2"/>
  <c r="B1362" i="2"/>
  <c r="D1362" i="2"/>
  <c r="E1362" i="2"/>
  <c r="B1363" i="2"/>
  <c r="D1363" i="2"/>
  <c r="E1363" i="2"/>
  <c r="B1364" i="2"/>
  <c r="D1364" i="2"/>
  <c r="E1364" i="2"/>
  <c r="B1365" i="2"/>
  <c r="D1365" i="2"/>
  <c r="E1365" i="2"/>
  <c r="A1366" i="2"/>
  <c r="B1366" i="2"/>
  <c r="D1366" i="2"/>
  <c r="E1366" i="2"/>
  <c r="F1366" i="2"/>
  <c r="B1368" i="2"/>
  <c r="D1368" i="2"/>
  <c r="E1368" i="2"/>
  <c r="J1368" i="2"/>
  <c r="B1369" i="2"/>
  <c r="D1369" i="2"/>
  <c r="E1369" i="2"/>
  <c r="J1369" i="2"/>
  <c r="B1370" i="2"/>
  <c r="D1370" i="2"/>
  <c r="E1370" i="2"/>
  <c r="B1372" i="2"/>
  <c r="E1372" i="2"/>
  <c r="K1372" i="2"/>
  <c r="A1373" i="2"/>
  <c r="B1373" i="2"/>
  <c r="D1373" i="2"/>
  <c r="E1373" i="2"/>
  <c r="F1373" i="2"/>
  <c r="K1379" i="2"/>
  <c r="B1375" i="2"/>
  <c r="D1375" i="2"/>
  <c r="E1375" i="2"/>
  <c r="B1376" i="2"/>
  <c r="D1376" i="2"/>
  <c r="E1376" i="2"/>
  <c r="B1377" i="2"/>
  <c r="D1377" i="2"/>
  <c r="E1377" i="2"/>
  <c r="B1379" i="2"/>
  <c r="E1379" i="2"/>
  <c r="B1381" i="2"/>
  <c r="D1381" i="2"/>
  <c r="E1381" i="2"/>
  <c r="B1382" i="2"/>
  <c r="D1382" i="2"/>
  <c r="E1382" i="2"/>
  <c r="B1383" i="2"/>
  <c r="D1383" i="2"/>
  <c r="E1383" i="2"/>
  <c r="A1384" i="2"/>
  <c r="B1384" i="2"/>
  <c r="D1384" i="2"/>
  <c r="E1384" i="2"/>
  <c r="B1386" i="2"/>
  <c r="D1386" i="2"/>
  <c r="E1386" i="2"/>
  <c r="B1387" i="2"/>
  <c r="D1387" i="2"/>
  <c r="E1387" i="2"/>
  <c r="B1388" i="2"/>
  <c r="D1388" i="2"/>
  <c r="E1388" i="2"/>
  <c r="B1390" i="2"/>
  <c r="E1390" i="2"/>
  <c r="B1392" i="2"/>
  <c r="D1392" i="2"/>
  <c r="E1392" i="2"/>
  <c r="B1393" i="2"/>
  <c r="D1393" i="2"/>
  <c r="E1393" i="2"/>
  <c r="B1394" i="2"/>
  <c r="D1394" i="2"/>
  <c r="E1394" i="2"/>
  <c r="A1395" i="2"/>
  <c r="B1395" i="2"/>
  <c r="D1395" i="2"/>
  <c r="E1395" i="2"/>
  <c r="F1395" i="2"/>
  <c r="B1397" i="2"/>
  <c r="D1397" i="2"/>
  <c r="E1397" i="2"/>
  <c r="B1398" i="2"/>
  <c r="D1398" i="2"/>
  <c r="E1398" i="2"/>
  <c r="B1400" i="2"/>
  <c r="E1400" i="2"/>
  <c r="B1402" i="2"/>
  <c r="D1402" i="2"/>
  <c r="E1402" i="2"/>
  <c r="A1403" i="2"/>
  <c r="B1403" i="2"/>
  <c r="D1403" i="2"/>
  <c r="E1403" i="2"/>
  <c r="F1403" i="2"/>
  <c r="K1409" i="2"/>
  <c r="B1405" i="2"/>
  <c r="D1405" i="2"/>
  <c r="E1405" i="2"/>
  <c r="B1406" i="2"/>
  <c r="D1406" i="2"/>
  <c r="E1406" i="2"/>
  <c r="B1407" i="2"/>
  <c r="D1407" i="2"/>
  <c r="E1407" i="2"/>
  <c r="B1409" i="2"/>
  <c r="E1409" i="2"/>
  <c r="B1411" i="2"/>
  <c r="D1411" i="2"/>
  <c r="E1411" i="2"/>
  <c r="B1412" i="2"/>
  <c r="D1412" i="2"/>
  <c r="E1412" i="2"/>
  <c r="A1413" i="2"/>
  <c r="B1413" i="2"/>
  <c r="D1413" i="2"/>
  <c r="E1413" i="2"/>
  <c r="F1413" i="2"/>
  <c r="B1415" i="2"/>
  <c r="D1415" i="2"/>
  <c r="E1415" i="2"/>
  <c r="J1415" i="2"/>
  <c r="B1416" i="2"/>
  <c r="D1416" i="2"/>
  <c r="E1416" i="2"/>
  <c r="J1416" i="2"/>
  <c r="B1417" i="2"/>
  <c r="D1417" i="2"/>
  <c r="E1417" i="2"/>
  <c r="J1417" i="2"/>
  <c r="B1418" i="2"/>
  <c r="D1418" i="2"/>
  <c r="E1418" i="2"/>
  <c r="J1418" i="2"/>
  <c r="B1419" i="2"/>
  <c r="D1419" i="2"/>
  <c r="E1419" i="2"/>
  <c r="B1421" i="2"/>
  <c r="E1421" i="2"/>
  <c r="B1423" i="2"/>
  <c r="D1423" i="2"/>
  <c r="E1423" i="2"/>
  <c r="B1424" i="2"/>
  <c r="D1424" i="2"/>
  <c r="E1424" i="2"/>
  <c r="B1425" i="2"/>
  <c r="D1425" i="2"/>
  <c r="E1425" i="2"/>
  <c r="B1426" i="2"/>
  <c r="D1426" i="2"/>
  <c r="E1426" i="2"/>
  <c r="A1427" i="2"/>
  <c r="B1427" i="2"/>
  <c r="D1427" i="2"/>
  <c r="E1427" i="2"/>
  <c r="B1429" i="2"/>
  <c r="D1429" i="2"/>
  <c r="E1429" i="2"/>
  <c r="B1430" i="2"/>
  <c r="D1430" i="2"/>
  <c r="E1430" i="2"/>
  <c r="B1431" i="2"/>
  <c r="D1431" i="2"/>
  <c r="E1431" i="2"/>
  <c r="B1433" i="2"/>
  <c r="E1433" i="2"/>
  <c r="B1435" i="2"/>
  <c r="D1435" i="2"/>
  <c r="E1435" i="2"/>
  <c r="A1436" i="2"/>
  <c r="B1436" i="2"/>
  <c r="D1436" i="2"/>
  <c r="E1436" i="2"/>
  <c r="F1436" i="2"/>
  <c r="B1438" i="2"/>
  <c r="D1438" i="2"/>
  <c r="E1438" i="2"/>
  <c r="J1438" i="2"/>
  <c r="B1439" i="2"/>
  <c r="D1439" i="2"/>
  <c r="E1439" i="2"/>
  <c r="B1441" i="2"/>
  <c r="E1441" i="2"/>
  <c r="K1441" i="2"/>
  <c r="A1442" i="2"/>
  <c r="B1442" i="2"/>
  <c r="D1442" i="2"/>
  <c r="E1442" i="2"/>
  <c r="B1444" i="2"/>
  <c r="D1444" i="2"/>
  <c r="E1444" i="2"/>
  <c r="B1445" i="2"/>
  <c r="D1445" i="2"/>
  <c r="E1445" i="2"/>
  <c r="B1446" i="2"/>
  <c r="D1446" i="2"/>
  <c r="E1446" i="2"/>
  <c r="B1447" i="2"/>
  <c r="D1447" i="2"/>
  <c r="E1447" i="2"/>
  <c r="B1448" i="2"/>
  <c r="D1448" i="2"/>
  <c r="E1448" i="2"/>
  <c r="B1449" i="2"/>
  <c r="D1449" i="2"/>
  <c r="E1449" i="2"/>
  <c r="B1451" i="2"/>
  <c r="E1451" i="2"/>
  <c r="B1453" i="2"/>
  <c r="D1453" i="2"/>
  <c r="E1453" i="2"/>
  <c r="B1454" i="2"/>
  <c r="D1454" i="2"/>
  <c r="E1454" i="2"/>
  <c r="B1455" i="2"/>
  <c r="D1455" i="2"/>
  <c r="E1455" i="2"/>
  <c r="B1456" i="2"/>
  <c r="D1456" i="2"/>
  <c r="E1456" i="2"/>
  <c r="A1457" i="2"/>
  <c r="B1457" i="2"/>
  <c r="D1457" i="2"/>
  <c r="E1457" i="2"/>
  <c r="F1457" i="2"/>
  <c r="B1459" i="2"/>
  <c r="D1459" i="2"/>
  <c r="E1459" i="2"/>
  <c r="J1459" i="2"/>
  <c r="B1460" i="2"/>
  <c r="D1460" i="2"/>
  <c r="E1460" i="2"/>
  <c r="J1460" i="2"/>
  <c r="B1461" i="2"/>
  <c r="D1461" i="2"/>
  <c r="E1461" i="2"/>
  <c r="J1461" i="2"/>
  <c r="B1463" i="2"/>
  <c r="E1463" i="2"/>
  <c r="B1465" i="2"/>
  <c r="D1465" i="2"/>
  <c r="E1465" i="2"/>
  <c r="B1466" i="2"/>
  <c r="D1466" i="2"/>
  <c r="E1466" i="2"/>
  <c r="B1467" i="2"/>
  <c r="D1467" i="2"/>
  <c r="E1467" i="2"/>
  <c r="A1468" i="2"/>
  <c r="B1468" i="2"/>
  <c r="D1468" i="2"/>
  <c r="E1468" i="2"/>
  <c r="B1470" i="2"/>
  <c r="D1470" i="2"/>
  <c r="E1470" i="2"/>
  <c r="B1471" i="2"/>
  <c r="D1471" i="2"/>
  <c r="E1471" i="2"/>
  <c r="B1472" i="2"/>
  <c r="D1472" i="2"/>
  <c r="E1472" i="2"/>
  <c r="B1474" i="2"/>
  <c r="E1474" i="2"/>
  <c r="B1476" i="2"/>
  <c r="D1476" i="2"/>
  <c r="E1476" i="2"/>
  <c r="B1477" i="2"/>
  <c r="D1477" i="2"/>
  <c r="E1477" i="2"/>
  <c r="B1478" i="2"/>
  <c r="D1478" i="2"/>
  <c r="E1478" i="2"/>
  <c r="A1479" i="2"/>
  <c r="B1479" i="2"/>
  <c r="D1479" i="2"/>
  <c r="E1479" i="2"/>
  <c r="F1479" i="2"/>
  <c r="B1481" i="2"/>
  <c r="D1481" i="2"/>
  <c r="E1481" i="2"/>
  <c r="J1481" i="2"/>
  <c r="B1482" i="2"/>
  <c r="D1482" i="2"/>
  <c r="E1482" i="2"/>
  <c r="B1484" i="2"/>
  <c r="E1484" i="2"/>
  <c r="B1486" i="2"/>
  <c r="D1486" i="2"/>
  <c r="E1486" i="2"/>
  <c r="B1487" i="2"/>
  <c r="D1487" i="2"/>
  <c r="E1487" i="2"/>
  <c r="A1488" i="2"/>
  <c r="B1488" i="2"/>
  <c r="D1488" i="2"/>
  <c r="E1488" i="2"/>
  <c r="F1488" i="2"/>
  <c r="B1490" i="2"/>
  <c r="D1490" i="2"/>
  <c r="E1490" i="2"/>
  <c r="J1490" i="2"/>
  <c r="A1491" i="2"/>
  <c r="B1491" i="2"/>
  <c r="D1491" i="2"/>
  <c r="E1491" i="2"/>
  <c r="F1491" i="2"/>
  <c r="B1493" i="2"/>
  <c r="D1493" i="2"/>
  <c r="E1493" i="2"/>
  <c r="J1493" i="2"/>
  <c r="A1494" i="2"/>
  <c r="B1494" i="2"/>
  <c r="D1494" i="2"/>
  <c r="E1494" i="2"/>
  <c r="F1494" i="2"/>
  <c r="J1498" i="2"/>
  <c r="B1496" i="2"/>
  <c r="D1496" i="2"/>
  <c r="E1496" i="2"/>
  <c r="J1496" i="2"/>
  <c r="B1497" i="2"/>
  <c r="D1497" i="2"/>
  <c r="E1497" i="2"/>
  <c r="J1497" i="2"/>
  <c r="H75" i="3"/>
  <c r="S75" i="3"/>
  <c r="B1498" i="2"/>
  <c r="D1498" i="2"/>
  <c r="E1498" i="2"/>
  <c r="B1499" i="2"/>
  <c r="D1499" i="2"/>
  <c r="E1499" i="2"/>
  <c r="B1500" i="2"/>
  <c r="D1500" i="2"/>
  <c r="E1500" i="2"/>
  <c r="B1501" i="2"/>
  <c r="D1501" i="2"/>
  <c r="E1501" i="2"/>
  <c r="B1503" i="2"/>
  <c r="E1503" i="2"/>
  <c r="B1505" i="2"/>
  <c r="D1505" i="2"/>
  <c r="E1505" i="2"/>
  <c r="B1506" i="2"/>
  <c r="D1506" i="2"/>
  <c r="E1506" i="2"/>
  <c r="B1507" i="2"/>
  <c r="D1507" i="2"/>
  <c r="E1507" i="2"/>
  <c r="A1508" i="2"/>
  <c r="B1508" i="2"/>
  <c r="D1508" i="2"/>
  <c r="E1508" i="2"/>
  <c r="F1508" i="2"/>
  <c r="B1510" i="2"/>
  <c r="D1510" i="2"/>
  <c r="E1510" i="2"/>
  <c r="J1510" i="2"/>
  <c r="B1511" i="2"/>
  <c r="D1511" i="2"/>
  <c r="E1511" i="2"/>
  <c r="J1511" i="2"/>
  <c r="B1512" i="2"/>
  <c r="D1512" i="2"/>
  <c r="E1512" i="2"/>
  <c r="J1512" i="2"/>
  <c r="B1513" i="2"/>
  <c r="D1513" i="2"/>
  <c r="E1513" i="2"/>
  <c r="J1513" i="2"/>
  <c r="B1514" i="2"/>
  <c r="D1514" i="2"/>
  <c r="E1514" i="2"/>
  <c r="B1516" i="2"/>
  <c r="E1516" i="2"/>
  <c r="B1518" i="2"/>
  <c r="D1518" i="2"/>
  <c r="E1518" i="2"/>
  <c r="B1519" i="2"/>
  <c r="D1519" i="2"/>
  <c r="E1519" i="2"/>
  <c r="B1520" i="2"/>
  <c r="D1520" i="2"/>
  <c r="E1520" i="2"/>
  <c r="B1521" i="2"/>
  <c r="D1521" i="2"/>
  <c r="E1521" i="2"/>
  <c r="B1522" i="2"/>
  <c r="D1522" i="2"/>
  <c r="E1522" i="2"/>
  <c r="A1523" i="2"/>
  <c r="B1523" i="2"/>
  <c r="D1523" i="2"/>
  <c r="E1523" i="2"/>
  <c r="F1523" i="2"/>
  <c r="B1525" i="2"/>
  <c r="D1525" i="2"/>
  <c r="E1525" i="2"/>
  <c r="J1525" i="2"/>
  <c r="B1526" i="2"/>
  <c r="D1526" i="2"/>
  <c r="E1526" i="2"/>
  <c r="J1526" i="2"/>
  <c r="B1527" i="2"/>
  <c r="D1527" i="2"/>
  <c r="E1527" i="2"/>
  <c r="J1527" i="2"/>
  <c r="B1528" i="2"/>
  <c r="D1528" i="2"/>
  <c r="E1528" i="2"/>
  <c r="J1528" i="2"/>
  <c r="B1529" i="2"/>
  <c r="D1529" i="2"/>
  <c r="E1529" i="2"/>
  <c r="J1529" i="2"/>
  <c r="B1531" i="2"/>
  <c r="E1531" i="2"/>
  <c r="B1533" i="2"/>
  <c r="D1533" i="2"/>
  <c r="E1533" i="2"/>
  <c r="A1534" i="2"/>
  <c r="B1534" i="2"/>
  <c r="D1534" i="2"/>
  <c r="E1534" i="2"/>
  <c r="F1534" i="2"/>
  <c r="B1536" i="2"/>
  <c r="D1536" i="2"/>
  <c r="E1536" i="2"/>
  <c r="J1536" i="2"/>
  <c r="A1537" i="2"/>
  <c r="B1537" i="2"/>
  <c r="D1537" i="2"/>
  <c r="E1537" i="2"/>
  <c r="F1537" i="2"/>
  <c r="B1539" i="2"/>
  <c r="D1539" i="2"/>
  <c r="E1539" i="2"/>
  <c r="J1539" i="2"/>
  <c r="B1540" i="2"/>
  <c r="D1540" i="2"/>
  <c r="E1540" i="2"/>
  <c r="J1540" i="2"/>
  <c r="B1541" i="2"/>
  <c r="D1541" i="2"/>
  <c r="E1541" i="2"/>
  <c r="J1541" i="2"/>
  <c r="B1542" i="2"/>
  <c r="D1542" i="2"/>
  <c r="E1542" i="2"/>
  <c r="J1542" i="2"/>
  <c r="B1543" i="2"/>
  <c r="D1543" i="2"/>
  <c r="E1543" i="2"/>
  <c r="B1545" i="2"/>
  <c r="E1545" i="2"/>
  <c r="B1547" i="2"/>
  <c r="D1547" i="2"/>
  <c r="E1547" i="2"/>
  <c r="B1548" i="2"/>
  <c r="D1548" i="2"/>
  <c r="E1548" i="2"/>
  <c r="B1549" i="2"/>
  <c r="D1549" i="2"/>
  <c r="E1549" i="2"/>
  <c r="A1550" i="2"/>
  <c r="B1550" i="2"/>
  <c r="D1550" i="2"/>
  <c r="E1550" i="2"/>
  <c r="F1550" i="2"/>
  <c r="B1552" i="2"/>
  <c r="D1552" i="2"/>
  <c r="E1552" i="2"/>
  <c r="J1552" i="2"/>
  <c r="B1553" i="2"/>
  <c r="D1553" i="2"/>
  <c r="E1553" i="2"/>
  <c r="J1553" i="2"/>
  <c r="B1554" i="2"/>
  <c r="D1554" i="2"/>
  <c r="E1554" i="2"/>
  <c r="J1554" i="2"/>
  <c r="B1555" i="2"/>
  <c r="D1555" i="2"/>
  <c r="E1555" i="2"/>
  <c r="J1555" i="2"/>
  <c r="B1556" i="2"/>
  <c r="D1556" i="2"/>
  <c r="E1556" i="2"/>
  <c r="B1558" i="2"/>
  <c r="E1558" i="2"/>
  <c r="B1560" i="2"/>
  <c r="D1560" i="2"/>
  <c r="E1560" i="2"/>
  <c r="B1561" i="2"/>
  <c r="D1561" i="2"/>
  <c r="E1561" i="2"/>
  <c r="B1562" i="2"/>
  <c r="D1562" i="2"/>
  <c r="E1562" i="2"/>
  <c r="A1563" i="2"/>
  <c r="B1563" i="2"/>
  <c r="D1563" i="2"/>
  <c r="E1563" i="2"/>
  <c r="F1563" i="2"/>
  <c r="K1568" i="2"/>
  <c r="B1565" i="2"/>
  <c r="D1565" i="2"/>
  <c r="E1565" i="2"/>
  <c r="J1565" i="2"/>
  <c r="B1566" i="2"/>
  <c r="D1566" i="2"/>
  <c r="E1566" i="2"/>
  <c r="J1566" i="2"/>
  <c r="B1568" i="2"/>
  <c r="E1568" i="2"/>
  <c r="B1570" i="2"/>
  <c r="D1570" i="2"/>
  <c r="E1570" i="2"/>
  <c r="B1571" i="2"/>
  <c r="D1571" i="2"/>
  <c r="E1571" i="2"/>
  <c r="A1572" i="2"/>
  <c r="B1572" i="2"/>
  <c r="D1572" i="2"/>
  <c r="E1572" i="2"/>
  <c r="F1572" i="2"/>
  <c r="B1574" i="2"/>
  <c r="D1574" i="2"/>
  <c r="E1574" i="2"/>
  <c r="J1574" i="2"/>
  <c r="B1575" i="2"/>
  <c r="D1575" i="2"/>
  <c r="E1575" i="2"/>
  <c r="J1575" i="2"/>
  <c r="B1576" i="2"/>
  <c r="D1576" i="2"/>
  <c r="E1576" i="2"/>
  <c r="J1576" i="2"/>
  <c r="B1578" i="2"/>
  <c r="E1578" i="2"/>
  <c r="B1580" i="2"/>
  <c r="D1580" i="2"/>
  <c r="E1580" i="2"/>
  <c r="B1581" i="2"/>
  <c r="D1581" i="2"/>
  <c r="E1581" i="2"/>
  <c r="B1582" i="2"/>
  <c r="D1582" i="2"/>
  <c r="E1582" i="2"/>
  <c r="B1583" i="2"/>
  <c r="D1583" i="2"/>
  <c r="E1583" i="2"/>
  <c r="A1584" i="2"/>
  <c r="B1584" i="2"/>
  <c r="D1584" i="2"/>
  <c r="E1584" i="2"/>
  <c r="F1584" i="2"/>
  <c r="B1586" i="2"/>
  <c r="D1586" i="2"/>
  <c r="E1586" i="2"/>
  <c r="B1587" i="2"/>
  <c r="D1587" i="2"/>
  <c r="E1587" i="2"/>
  <c r="B1589" i="2"/>
  <c r="E1589" i="2"/>
  <c r="B1591" i="2"/>
  <c r="D1591" i="2"/>
  <c r="E1591" i="2"/>
  <c r="B1592" i="2"/>
  <c r="D1592" i="2"/>
  <c r="E1592" i="2"/>
  <c r="A1593" i="2"/>
  <c r="B1593" i="2"/>
  <c r="D1593" i="2"/>
  <c r="E1593" i="2"/>
  <c r="B1595" i="2"/>
  <c r="D1595" i="2"/>
  <c r="E1595" i="2"/>
  <c r="B1596" i="2"/>
  <c r="D1596" i="2"/>
  <c r="E1596" i="2"/>
  <c r="B1597" i="2"/>
  <c r="D1597" i="2"/>
  <c r="E1597" i="2"/>
  <c r="B1599" i="2"/>
  <c r="E1599" i="2"/>
  <c r="B1601" i="2"/>
  <c r="D1601" i="2"/>
  <c r="E1601" i="2"/>
  <c r="B1602" i="2"/>
  <c r="D1602" i="2"/>
  <c r="E1602" i="2"/>
  <c r="B1603" i="2"/>
  <c r="D1603" i="2"/>
  <c r="E1603" i="2"/>
  <c r="A1604" i="2"/>
  <c r="B1604" i="2"/>
  <c r="D1604" i="2"/>
  <c r="E1604" i="2"/>
  <c r="F1604" i="2"/>
  <c r="K1610" i="2"/>
  <c r="B1606" i="2"/>
  <c r="D1606" i="2"/>
  <c r="E1606" i="2"/>
  <c r="B1607" i="2"/>
  <c r="D1607" i="2"/>
  <c r="E1607" i="2"/>
  <c r="B1608" i="2"/>
  <c r="D1608" i="2"/>
  <c r="E1608" i="2"/>
  <c r="B1610" i="2"/>
  <c r="E1610" i="2"/>
  <c r="B1612" i="2"/>
  <c r="D1612" i="2"/>
  <c r="E1612" i="2"/>
  <c r="B1613" i="2"/>
  <c r="D1613" i="2"/>
  <c r="E1613" i="2"/>
  <c r="B1614" i="2"/>
  <c r="D1614" i="2"/>
  <c r="E1614" i="2"/>
  <c r="A1615" i="2"/>
  <c r="B1615" i="2"/>
  <c r="D1615" i="2"/>
  <c r="E1615" i="2"/>
  <c r="F1615" i="2"/>
  <c r="B1617" i="2"/>
  <c r="D1617" i="2"/>
  <c r="E1617" i="2"/>
  <c r="J1617" i="2"/>
  <c r="B1618" i="2"/>
  <c r="D1618" i="2"/>
  <c r="E1618" i="2"/>
  <c r="B1620" i="2"/>
  <c r="E1620" i="2"/>
  <c r="K1620" i="2"/>
  <c r="A1621" i="2"/>
  <c r="B1621" i="2"/>
  <c r="D1621" i="2"/>
  <c r="E1621" i="2"/>
  <c r="F1621" i="2"/>
  <c r="B1623" i="2"/>
  <c r="D1623" i="2"/>
  <c r="E1623" i="2"/>
  <c r="J1623" i="2"/>
  <c r="A1624" i="2"/>
  <c r="B1624" i="2"/>
  <c r="D1624" i="2"/>
  <c r="E1624" i="2"/>
  <c r="F1624" i="2"/>
  <c r="B1626" i="2"/>
  <c r="D1626" i="2"/>
  <c r="E1626" i="2"/>
  <c r="J1626" i="2"/>
  <c r="A1627" i="2"/>
  <c r="B1627" i="2"/>
  <c r="D1627" i="2"/>
  <c r="E1627" i="2"/>
  <c r="F1627" i="2"/>
  <c r="B1629" i="2"/>
  <c r="D1629" i="2"/>
  <c r="E1629" i="2"/>
  <c r="J1629" i="2"/>
  <c r="A1630" i="2"/>
  <c r="B1630" i="2"/>
  <c r="D1630" i="2"/>
  <c r="E1630" i="2"/>
  <c r="F1630" i="2"/>
  <c r="B1632" i="2"/>
  <c r="D1632" i="2"/>
  <c r="E1632" i="2"/>
  <c r="J1632" i="2"/>
  <c r="B1633" i="2"/>
  <c r="D1633" i="2"/>
  <c r="E1633" i="2"/>
  <c r="J1633" i="2"/>
  <c r="B1634" i="2"/>
  <c r="D1634" i="2"/>
  <c r="E1634" i="2"/>
  <c r="J1634" i="2"/>
  <c r="B1635" i="2"/>
  <c r="D1635" i="2"/>
  <c r="E1635" i="2"/>
  <c r="J1635" i="2"/>
  <c r="B1636" i="2"/>
  <c r="D1636" i="2"/>
  <c r="E1636" i="2"/>
  <c r="J1636" i="2"/>
  <c r="B1637" i="2"/>
  <c r="D1637" i="2"/>
  <c r="E1637" i="2"/>
  <c r="B1639" i="2"/>
  <c r="E1639" i="2"/>
  <c r="B1641" i="2"/>
  <c r="D1641" i="2"/>
  <c r="E1641" i="2"/>
  <c r="B1642" i="2"/>
  <c r="D1642" i="2"/>
  <c r="E1642" i="2"/>
  <c r="A1643" i="2"/>
  <c r="B1643" i="2"/>
  <c r="D1643" i="2"/>
  <c r="E1643" i="2"/>
  <c r="F1643" i="2"/>
  <c r="B1645" i="2"/>
  <c r="D1645" i="2"/>
  <c r="E1645" i="2"/>
  <c r="J1645" i="2"/>
  <c r="B1646" i="2"/>
  <c r="D1646" i="2"/>
  <c r="E1646" i="2"/>
  <c r="J1646" i="2"/>
  <c r="B1647" i="2"/>
  <c r="D1647" i="2"/>
  <c r="E1647" i="2"/>
  <c r="J1647" i="2"/>
  <c r="B1649" i="2"/>
  <c r="E1649" i="2"/>
  <c r="B1651" i="2"/>
  <c r="D1651" i="2"/>
  <c r="E1651" i="2"/>
  <c r="B1652" i="2"/>
  <c r="D1652" i="2"/>
  <c r="E1652" i="2"/>
  <c r="A1653" i="2"/>
  <c r="B1653" i="2"/>
  <c r="D1653" i="2"/>
  <c r="E1653" i="2"/>
  <c r="F1653" i="2"/>
  <c r="B1655" i="2"/>
  <c r="D1655" i="2"/>
  <c r="E1655" i="2"/>
  <c r="J1655" i="2"/>
  <c r="B1656" i="2"/>
  <c r="D1656" i="2"/>
  <c r="E1656" i="2"/>
  <c r="J1656" i="2"/>
  <c r="B1658" i="2"/>
  <c r="E1658" i="2"/>
  <c r="B1660" i="2"/>
  <c r="D1660" i="2"/>
  <c r="E1660" i="2"/>
  <c r="A1661" i="2"/>
  <c r="B1661" i="2"/>
  <c r="D1661" i="2"/>
  <c r="E1661" i="2"/>
  <c r="B1663" i="2"/>
  <c r="D1663" i="2"/>
  <c r="E1663" i="2"/>
  <c r="B1664" i="2"/>
  <c r="D1664" i="2"/>
  <c r="E1664" i="2"/>
  <c r="B1665" i="2"/>
  <c r="D1665" i="2"/>
  <c r="E1665" i="2"/>
  <c r="B1667" i="2"/>
  <c r="E1667" i="2"/>
  <c r="B1669" i="2"/>
  <c r="D1669" i="2"/>
  <c r="E1669" i="2"/>
  <c r="B1670" i="2"/>
  <c r="D1670" i="2"/>
  <c r="E1670" i="2"/>
  <c r="A1671" i="2"/>
  <c r="B1671" i="2"/>
  <c r="D1671" i="2"/>
  <c r="E1671" i="2"/>
  <c r="F1671" i="2"/>
  <c r="B1673" i="2"/>
  <c r="D1673" i="2"/>
  <c r="E1673" i="2"/>
  <c r="B1674" i="2"/>
  <c r="D1674" i="2"/>
  <c r="E1674" i="2"/>
  <c r="B1676" i="2"/>
  <c r="E1676" i="2"/>
  <c r="A1677" i="2"/>
  <c r="B1677" i="2"/>
  <c r="D1677" i="2"/>
  <c r="E1677" i="2"/>
  <c r="F1677" i="2"/>
  <c r="B1679" i="2"/>
  <c r="D1679" i="2"/>
  <c r="E1679" i="2"/>
  <c r="J1679" i="2"/>
  <c r="A1680" i="2"/>
  <c r="B1680" i="2"/>
  <c r="D1680" i="2"/>
  <c r="E1680" i="2"/>
  <c r="F1680" i="2"/>
  <c r="B1682" i="2"/>
  <c r="D1682" i="2"/>
  <c r="E1682" i="2"/>
  <c r="J1682" i="2"/>
  <c r="B1683" i="2"/>
  <c r="D1683" i="2"/>
  <c r="E1683" i="2"/>
  <c r="J1683" i="2"/>
  <c r="B1684" i="2"/>
  <c r="D1684" i="2"/>
  <c r="E1684" i="2"/>
  <c r="J1684" i="2"/>
  <c r="B1685" i="2"/>
  <c r="D1685" i="2"/>
  <c r="E1685" i="2"/>
  <c r="J1685" i="2"/>
  <c r="B1686" i="2"/>
  <c r="D1686" i="2"/>
  <c r="E1686" i="2"/>
  <c r="B1688" i="2"/>
  <c r="E1688" i="2"/>
  <c r="B1690" i="2"/>
  <c r="D1690" i="2"/>
  <c r="E1690" i="2"/>
  <c r="B1691" i="2"/>
  <c r="D1691" i="2"/>
  <c r="E1691" i="2"/>
  <c r="B1692" i="2"/>
  <c r="D1692" i="2"/>
  <c r="E1692" i="2"/>
  <c r="A1693" i="2"/>
  <c r="B1693" i="2"/>
  <c r="D1693" i="2"/>
  <c r="E1693" i="2"/>
  <c r="F1693" i="2"/>
  <c r="B1695" i="2"/>
  <c r="D1695" i="2"/>
  <c r="E1695" i="2"/>
  <c r="J1695" i="2"/>
  <c r="B1696" i="2"/>
  <c r="D1696" i="2"/>
  <c r="E1696" i="2"/>
  <c r="J1696" i="2"/>
  <c r="B1698" i="2"/>
  <c r="E1698" i="2"/>
  <c r="K1698" i="2"/>
  <c r="B1700" i="2"/>
  <c r="D1700" i="2"/>
  <c r="E1700" i="2"/>
  <c r="L1700" i="2"/>
  <c r="A1701" i="2"/>
  <c r="B1701" i="2"/>
  <c r="D1701" i="2"/>
  <c r="E1701" i="2"/>
  <c r="F1701" i="2"/>
  <c r="B1703" i="2"/>
  <c r="D1703" i="2"/>
  <c r="E1703" i="2"/>
  <c r="J1703" i="2"/>
  <c r="B1704" i="2"/>
  <c r="D1704" i="2"/>
  <c r="E1704" i="2"/>
  <c r="J1704" i="2"/>
  <c r="B1705" i="2"/>
  <c r="D1705" i="2"/>
  <c r="E1705" i="2"/>
  <c r="J1705" i="2"/>
  <c r="B1707" i="2"/>
  <c r="E1707" i="2"/>
  <c r="K1707" i="2"/>
  <c r="B1709" i="2"/>
  <c r="D1709" i="2"/>
  <c r="E1709" i="2"/>
  <c r="L1709" i="2"/>
  <c r="B1710" i="2"/>
  <c r="D1710" i="2"/>
  <c r="E1710" i="2"/>
  <c r="L1710" i="2"/>
  <c r="A1711" i="2"/>
  <c r="B1711" i="2"/>
  <c r="D1711" i="2"/>
  <c r="E1711" i="2"/>
  <c r="F1711" i="2"/>
  <c r="B1713" i="2"/>
  <c r="D1713" i="2"/>
  <c r="E1713" i="2"/>
  <c r="J1713" i="2"/>
  <c r="B1714" i="2"/>
  <c r="D1714" i="2"/>
  <c r="E1714" i="2"/>
  <c r="J1714" i="2"/>
  <c r="B1715" i="2"/>
  <c r="D1715" i="2"/>
  <c r="E1715" i="2"/>
  <c r="J1715" i="2"/>
  <c r="B1717" i="2"/>
  <c r="E1717" i="2"/>
  <c r="K1717" i="2"/>
  <c r="B1719" i="2"/>
  <c r="D1719" i="2"/>
  <c r="E1719" i="2"/>
  <c r="L1719" i="2"/>
  <c r="B1720" i="2"/>
  <c r="D1720" i="2"/>
  <c r="E1720" i="2"/>
  <c r="L1720" i="2"/>
  <c r="A1721" i="2"/>
  <c r="B1721" i="2"/>
  <c r="D1721" i="2"/>
  <c r="E1721" i="2"/>
  <c r="F1721" i="2"/>
  <c r="B1723" i="2"/>
  <c r="D1723" i="2"/>
  <c r="E1723" i="2"/>
  <c r="J1723" i="2"/>
  <c r="B1724" i="2"/>
  <c r="D1724" i="2"/>
  <c r="E1724" i="2"/>
  <c r="J1724" i="2"/>
  <c r="B1725" i="2"/>
  <c r="D1725" i="2"/>
  <c r="E1725" i="2"/>
  <c r="J1725" i="2"/>
  <c r="B1726" i="2"/>
  <c r="D1726" i="2"/>
  <c r="E1726" i="2"/>
  <c r="J1726" i="2"/>
  <c r="B1727" i="2"/>
  <c r="D1727" i="2"/>
  <c r="E1727" i="2"/>
  <c r="J1727" i="2"/>
  <c r="B1728" i="2"/>
  <c r="D1728" i="2"/>
  <c r="E1728" i="2"/>
  <c r="J1728" i="2"/>
  <c r="B1729" i="2"/>
  <c r="D1729" i="2"/>
  <c r="E1729" i="2"/>
  <c r="B1731" i="2"/>
  <c r="E1731" i="2"/>
  <c r="B1733" i="2"/>
  <c r="D1733" i="2"/>
  <c r="E1733" i="2"/>
  <c r="B1734" i="2"/>
  <c r="D1734" i="2"/>
  <c r="E1734" i="2"/>
  <c r="B1735" i="2"/>
  <c r="D1735" i="2"/>
  <c r="E1735" i="2"/>
  <c r="B1736" i="2"/>
  <c r="D1736" i="2"/>
  <c r="E1736" i="2"/>
  <c r="A1737" i="2"/>
  <c r="B1737" i="2"/>
  <c r="D1737" i="2"/>
  <c r="E1737" i="2"/>
  <c r="B1739" i="2"/>
  <c r="D1739" i="2"/>
  <c r="E1739" i="2"/>
  <c r="B1740" i="2"/>
  <c r="D1740" i="2"/>
  <c r="E1740" i="2"/>
  <c r="B1741" i="2"/>
  <c r="D1741" i="2"/>
  <c r="E1741" i="2"/>
  <c r="B1742" i="2"/>
  <c r="D1742" i="2"/>
  <c r="E1742" i="2"/>
  <c r="B1744" i="2"/>
  <c r="E1744" i="2"/>
  <c r="B1746" i="2"/>
  <c r="D1746" i="2"/>
  <c r="E1746" i="2"/>
  <c r="B1747" i="2"/>
  <c r="D1747" i="2"/>
  <c r="E1747" i="2"/>
  <c r="A1748" i="2"/>
  <c r="B1748" i="2"/>
  <c r="D1748" i="2"/>
  <c r="E1748" i="2"/>
  <c r="F1748" i="2"/>
  <c r="B1750" i="2"/>
  <c r="D1750" i="2"/>
  <c r="E1750" i="2"/>
  <c r="J1750" i="2"/>
  <c r="B1751" i="2"/>
  <c r="D1751" i="2"/>
  <c r="E1751" i="2"/>
  <c r="J1751" i="2"/>
  <c r="B1752" i="2"/>
  <c r="D1752" i="2"/>
  <c r="E1752" i="2"/>
  <c r="J1752" i="2"/>
  <c r="B1753" i="2"/>
  <c r="D1753" i="2"/>
  <c r="E1753" i="2"/>
  <c r="J1753" i="2"/>
  <c r="B1754" i="2"/>
  <c r="D1754" i="2"/>
  <c r="E1754" i="2"/>
  <c r="J1754" i="2"/>
  <c r="B1755" i="2"/>
  <c r="D1755" i="2"/>
  <c r="E1755" i="2"/>
  <c r="J1755" i="2"/>
  <c r="B1756" i="2"/>
  <c r="D1756" i="2"/>
  <c r="E1756" i="2"/>
  <c r="B1758" i="2"/>
  <c r="E1758" i="2"/>
  <c r="B1760" i="2"/>
  <c r="D1760" i="2"/>
  <c r="E1760" i="2"/>
  <c r="B1761" i="2"/>
  <c r="D1761" i="2"/>
  <c r="E1761" i="2"/>
  <c r="B1762" i="2"/>
  <c r="D1762" i="2"/>
  <c r="E1762" i="2"/>
  <c r="B1763" i="2"/>
  <c r="D1763" i="2"/>
  <c r="E1763" i="2"/>
  <c r="A1764" i="2"/>
  <c r="B1764" i="2"/>
  <c r="D1764" i="2"/>
  <c r="E1764" i="2"/>
  <c r="F1764" i="2"/>
  <c r="B1766" i="2"/>
  <c r="D1766" i="2"/>
  <c r="E1766" i="2"/>
  <c r="J1766" i="2"/>
  <c r="B1767" i="2"/>
  <c r="D1767" i="2"/>
  <c r="E1767" i="2"/>
  <c r="B1769" i="2"/>
  <c r="E1769" i="2"/>
  <c r="B1771" i="2"/>
  <c r="D1771" i="2"/>
  <c r="E1771" i="2"/>
  <c r="B1772" i="2"/>
  <c r="D1772" i="2"/>
  <c r="E1772" i="2"/>
  <c r="A1773" i="2"/>
  <c r="B1773" i="2"/>
  <c r="D1773" i="2"/>
  <c r="E1773" i="2"/>
  <c r="F1773" i="2"/>
  <c r="B1775" i="2"/>
  <c r="D1775" i="2"/>
  <c r="E1775" i="2"/>
  <c r="J1775" i="2"/>
  <c r="H115" i="3"/>
  <c r="B1776" i="2"/>
  <c r="D1776" i="2"/>
  <c r="E1776" i="2"/>
  <c r="B1778" i="2"/>
  <c r="E1778" i="2"/>
  <c r="B1780" i="2"/>
  <c r="D1780" i="2"/>
  <c r="E1780" i="2"/>
  <c r="B1781" i="2"/>
  <c r="D1781" i="2"/>
  <c r="E1781" i="2"/>
  <c r="A1782" i="2"/>
  <c r="B1782" i="2"/>
  <c r="D1782" i="2"/>
  <c r="E1782" i="2"/>
  <c r="F1782" i="2"/>
  <c r="K1788" i="2"/>
  <c r="B1784" i="2"/>
  <c r="D1784" i="2"/>
  <c r="E1784" i="2"/>
  <c r="J1784" i="2"/>
  <c r="B1785" i="2"/>
  <c r="D1785" i="2"/>
  <c r="E1785" i="2"/>
  <c r="J1785" i="2"/>
  <c r="B1786" i="2"/>
  <c r="D1786" i="2"/>
  <c r="E1786" i="2"/>
  <c r="B1788" i="2"/>
  <c r="E1788" i="2"/>
  <c r="B1790" i="2"/>
  <c r="D1790" i="2"/>
  <c r="E1790" i="2"/>
  <c r="B1791" i="2"/>
  <c r="D1791" i="2"/>
  <c r="E1791" i="2"/>
  <c r="A1792" i="2"/>
  <c r="B1792" i="2"/>
  <c r="D1792" i="2"/>
  <c r="E1792" i="2"/>
  <c r="F1792" i="2"/>
  <c r="B1794" i="2"/>
  <c r="D1794" i="2"/>
  <c r="E1794" i="2"/>
  <c r="J1794" i="2"/>
  <c r="B1796" i="2"/>
  <c r="E1796" i="2"/>
  <c r="B1798" i="2"/>
  <c r="D1798" i="2"/>
  <c r="E1798" i="2"/>
  <c r="B1799" i="2"/>
  <c r="D1799" i="2"/>
  <c r="E1799" i="2"/>
  <c r="B1800" i="2"/>
  <c r="D1800" i="2"/>
  <c r="E1800" i="2"/>
  <c r="B1801" i="2"/>
  <c r="D1801" i="2"/>
  <c r="E1801" i="2"/>
  <c r="A1802" i="2"/>
  <c r="B1802" i="2"/>
  <c r="D1802" i="2"/>
  <c r="E1802" i="2"/>
  <c r="F1802" i="2"/>
  <c r="B1804" i="2"/>
  <c r="D1804" i="2"/>
  <c r="E1804" i="2"/>
  <c r="J1804" i="2"/>
  <c r="B1805" i="2"/>
  <c r="D1805" i="2"/>
  <c r="E1805" i="2"/>
  <c r="B1807" i="2"/>
  <c r="E1807" i="2"/>
  <c r="B1809" i="2"/>
  <c r="D1809" i="2"/>
  <c r="E1809" i="2"/>
  <c r="B1810" i="2"/>
  <c r="D1810" i="2"/>
  <c r="E1810" i="2"/>
  <c r="A1811" i="2"/>
  <c r="B1811" i="2"/>
  <c r="D1811" i="2"/>
  <c r="E1811" i="2"/>
  <c r="F1811" i="2"/>
  <c r="B1813" i="2"/>
  <c r="E1813" i="2"/>
  <c r="B1815" i="2"/>
  <c r="D1815" i="2"/>
  <c r="E1815" i="2"/>
  <c r="A1816" i="2"/>
  <c r="B1816" i="2"/>
  <c r="D1816" i="2"/>
  <c r="E1816" i="2"/>
  <c r="F1816" i="2"/>
  <c r="B1818" i="2"/>
  <c r="E1818" i="2"/>
  <c r="B1820" i="2"/>
  <c r="D1820" i="2"/>
  <c r="E1820" i="2"/>
  <c r="A1821" i="2"/>
  <c r="B1821" i="2"/>
  <c r="D1821" i="2"/>
  <c r="E1821" i="2"/>
  <c r="F1821" i="2"/>
  <c r="B1823" i="2"/>
  <c r="D1823" i="2"/>
  <c r="E1823" i="2"/>
  <c r="J1823" i="2"/>
  <c r="B1825" i="2"/>
  <c r="E1825" i="2"/>
  <c r="B1827" i="2"/>
  <c r="D1827" i="2"/>
  <c r="E1827" i="2"/>
  <c r="B1828" i="2"/>
  <c r="D1828" i="2"/>
  <c r="E1828" i="2"/>
  <c r="B1829" i="2"/>
  <c r="D1829" i="2"/>
  <c r="E1829" i="2"/>
  <c r="B1830" i="2"/>
  <c r="D1830" i="2"/>
  <c r="E1830" i="2"/>
  <c r="B1831" i="2"/>
  <c r="D1831" i="2"/>
  <c r="E1831" i="2"/>
  <c r="B1832" i="2"/>
  <c r="D1832" i="2"/>
  <c r="E1832" i="2"/>
  <c r="A1833" i="2"/>
  <c r="B1833" i="2"/>
  <c r="D1833" i="2"/>
  <c r="E1833" i="2"/>
  <c r="F1833" i="2"/>
  <c r="B1835" i="2"/>
  <c r="D1835" i="2"/>
  <c r="E1835" i="2"/>
  <c r="J1835" i="2"/>
  <c r="B1837" i="2"/>
  <c r="E1837" i="2"/>
  <c r="B1839" i="2"/>
  <c r="D1839" i="2"/>
  <c r="E1839" i="2"/>
  <c r="B1840" i="2"/>
  <c r="D1840" i="2"/>
  <c r="E1840" i="2"/>
  <c r="B1841" i="2"/>
  <c r="D1841" i="2"/>
  <c r="E1841" i="2"/>
  <c r="A1842" i="2"/>
  <c r="B1842" i="2"/>
  <c r="D1842" i="2"/>
  <c r="E1842" i="2"/>
  <c r="F1842" i="2"/>
  <c r="B1844" i="2"/>
  <c r="E1844" i="2"/>
  <c r="B1846" i="2"/>
  <c r="D1846" i="2"/>
  <c r="E1846" i="2"/>
  <c r="B1847" i="2"/>
  <c r="D1847" i="2"/>
  <c r="E1847" i="2"/>
  <c r="A1848" i="2"/>
  <c r="B1848" i="2"/>
  <c r="D1848" i="2"/>
  <c r="E1848" i="2"/>
  <c r="F1848" i="2"/>
  <c r="B1850" i="2"/>
  <c r="E1850" i="2"/>
  <c r="B1852" i="2"/>
  <c r="D1852" i="2"/>
  <c r="E1852" i="2"/>
  <c r="A1853" i="2"/>
  <c r="B1853" i="2"/>
  <c r="D1853" i="2"/>
  <c r="E1853" i="2"/>
  <c r="F1853" i="2"/>
  <c r="B1855" i="2"/>
  <c r="E1855" i="2"/>
  <c r="B1857" i="2"/>
  <c r="D1857" i="2"/>
  <c r="E1857" i="2"/>
  <c r="B1858" i="2"/>
  <c r="D1858" i="2"/>
  <c r="E1858" i="2"/>
  <c r="B1859" i="2"/>
  <c r="D1859" i="2"/>
  <c r="E1859" i="2"/>
  <c r="A1860" i="2"/>
  <c r="B1860" i="2"/>
  <c r="D1860" i="2"/>
  <c r="E1860" i="2"/>
  <c r="F1860" i="2"/>
  <c r="B1862" i="2"/>
  <c r="D1862" i="2"/>
  <c r="E1862" i="2"/>
  <c r="J1862" i="2"/>
  <c r="A1863" i="2"/>
  <c r="B1863" i="2"/>
  <c r="D1863" i="2"/>
  <c r="E1863" i="2"/>
  <c r="F1863" i="2"/>
  <c r="B1865" i="2"/>
  <c r="D1865" i="2"/>
  <c r="E1865" i="2"/>
  <c r="J1865" i="2"/>
  <c r="B1866" i="2"/>
  <c r="D1866" i="2"/>
  <c r="E1866" i="2"/>
  <c r="J1866" i="2"/>
  <c r="B1867" i="2"/>
  <c r="D1867" i="2"/>
  <c r="E1867" i="2"/>
  <c r="J1867" i="2"/>
  <c r="B1868" i="2"/>
  <c r="D1868" i="2"/>
  <c r="E1868" i="2"/>
  <c r="J1868" i="2"/>
  <c r="B1869" i="2"/>
  <c r="D1869" i="2"/>
  <c r="E1869" i="2"/>
  <c r="B1871" i="2"/>
  <c r="E1871" i="2"/>
  <c r="B1873" i="2"/>
  <c r="D1873" i="2"/>
  <c r="E1873" i="2"/>
  <c r="B1874" i="2"/>
  <c r="D1874" i="2"/>
  <c r="E1874" i="2"/>
  <c r="B1875" i="2"/>
  <c r="D1875" i="2"/>
  <c r="E1875" i="2"/>
  <c r="A1876" i="2"/>
  <c r="B1876" i="2"/>
  <c r="D1876" i="2"/>
  <c r="E1876" i="2"/>
  <c r="F1876" i="2"/>
  <c r="K1882" i="2"/>
  <c r="B1878" i="2"/>
  <c r="D1878" i="2"/>
  <c r="E1878" i="2"/>
  <c r="J1878" i="2"/>
  <c r="B1879" i="2"/>
  <c r="D1879" i="2"/>
  <c r="E1879" i="2"/>
  <c r="J1879" i="2"/>
  <c r="B1880" i="2"/>
  <c r="D1880" i="2"/>
  <c r="E1880" i="2"/>
  <c r="J1880" i="2"/>
  <c r="B1882" i="2"/>
  <c r="E1882" i="2"/>
  <c r="B1884" i="2"/>
  <c r="D1884" i="2"/>
  <c r="E1884" i="2"/>
  <c r="A1885" i="2"/>
  <c r="B1885" i="2"/>
  <c r="D1885" i="2"/>
  <c r="E1885" i="2"/>
  <c r="F1885" i="2"/>
  <c r="B1887" i="2"/>
  <c r="D1887" i="2"/>
  <c r="E1887" i="2"/>
  <c r="J1887" i="2"/>
  <c r="B1888" i="2"/>
  <c r="D1888" i="2"/>
  <c r="E1888" i="2"/>
  <c r="J1888" i="2"/>
  <c r="B1889" i="2"/>
  <c r="D1889" i="2"/>
  <c r="E1889" i="2"/>
  <c r="J1889" i="2"/>
  <c r="B1890" i="2"/>
  <c r="D1890" i="2"/>
  <c r="E1890" i="2"/>
  <c r="J1890" i="2"/>
  <c r="B1891" i="2"/>
  <c r="D1891" i="2"/>
  <c r="E1891" i="2"/>
  <c r="B1893" i="2"/>
  <c r="E1893" i="2"/>
  <c r="B1895" i="2"/>
  <c r="D1895" i="2"/>
  <c r="E1895" i="2"/>
  <c r="B1896" i="2"/>
  <c r="D1896" i="2"/>
  <c r="E1896" i="2"/>
  <c r="B1897" i="2"/>
  <c r="D1897" i="2"/>
  <c r="E1897" i="2"/>
  <c r="A1898" i="2"/>
  <c r="B1898" i="2"/>
  <c r="D1898" i="2"/>
  <c r="E1898" i="2"/>
  <c r="F1898" i="2"/>
  <c r="K1906" i="2"/>
  <c r="B1900" i="2"/>
  <c r="D1900" i="2"/>
  <c r="E1900" i="2"/>
  <c r="J1900" i="2"/>
  <c r="B1901" i="2"/>
  <c r="D1901" i="2"/>
  <c r="E1901" i="2"/>
  <c r="J1901" i="2"/>
  <c r="B1902" i="2"/>
  <c r="D1902" i="2"/>
  <c r="E1902" i="2"/>
  <c r="J1902" i="2"/>
  <c r="B1903" i="2"/>
  <c r="D1903" i="2"/>
  <c r="E1903" i="2"/>
  <c r="J1903" i="2"/>
  <c r="B1904" i="2"/>
  <c r="D1904" i="2"/>
  <c r="E1904" i="2"/>
  <c r="B1906" i="2"/>
  <c r="E1906" i="2"/>
  <c r="B1908" i="2"/>
  <c r="D1908" i="2"/>
  <c r="E1908" i="2"/>
  <c r="A1909" i="2"/>
  <c r="B1909" i="2"/>
  <c r="D1909" i="2"/>
  <c r="E1909" i="2"/>
  <c r="F1909" i="2"/>
  <c r="B1911" i="2"/>
  <c r="D1911" i="2"/>
  <c r="E1911" i="2"/>
  <c r="J1911" i="2"/>
  <c r="H522" i="3"/>
  <c r="B1912" i="2"/>
  <c r="D1912" i="2"/>
  <c r="E1912" i="2"/>
  <c r="J1912" i="2"/>
  <c r="H642" i="3"/>
  <c r="B1913" i="2"/>
  <c r="D1913" i="2"/>
  <c r="E1913" i="2"/>
  <c r="J1913" i="2"/>
  <c r="H597" i="3"/>
  <c r="B1914" i="2"/>
  <c r="D1914" i="2"/>
  <c r="E1914" i="2"/>
  <c r="B1916" i="2"/>
  <c r="E1916" i="2"/>
  <c r="B1918" i="2"/>
  <c r="D1918" i="2"/>
  <c r="E1918" i="2"/>
  <c r="B1919" i="2"/>
  <c r="D1919" i="2"/>
  <c r="E1919" i="2"/>
  <c r="A1920" i="2"/>
  <c r="B1920" i="2"/>
  <c r="D1920" i="2"/>
  <c r="E1920" i="2"/>
  <c r="F1920" i="2"/>
  <c r="B1922" i="2"/>
  <c r="D1922" i="2"/>
  <c r="E1922" i="2"/>
  <c r="B1923" i="2"/>
  <c r="D1923" i="2"/>
  <c r="E1923" i="2"/>
  <c r="B1924" i="2"/>
  <c r="D1924" i="2"/>
  <c r="E1924" i="2"/>
  <c r="B1925" i="2"/>
  <c r="D1925" i="2"/>
  <c r="E1925" i="2"/>
  <c r="B1927" i="2"/>
  <c r="E1927" i="2"/>
  <c r="A1928" i="2"/>
  <c r="B1928" i="2"/>
  <c r="D1928" i="2"/>
  <c r="E1928" i="2"/>
  <c r="F1928" i="2"/>
  <c r="K1933" i="2"/>
  <c r="B1930" i="2"/>
  <c r="D1930" i="2"/>
  <c r="E1930" i="2"/>
  <c r="B1931" i="2"/>
  <c r="D1931" i="2"/>
  <c r="E1931" i="2"/>
  <c r="B1933" i="2"/>
  <c r="E1933" i="2"/>
  <c r="A1934" i="2"/>
  <c r="B1934" i="2"/>
  <c r="D1934" i="2"/>
  <c r="E1934" i="2"/>
  <c r="F1934" i="2"/>
  <c r="B1936" i="2"/>
  <c r="D1936" i="2"/>
  <c r="E1936" i="2"/>
  <c r="J1936" i="2"/>
  <c r="B1937" i="2"/>
  <c r="D1937" i="2"/>
  <c r="E1937" i="2"/>
  <c r="J1937" i="2"/>
  <c r="H82" i="3"/>
  <c r="B1938" i="2"/>
  <c r="D1938" i="2"/>
  <c r="E1938" i="2"/>
  <c r="J1938" i="2"/>
  <c r="H160" i="3"/>
  <c r="O160" i="3"/>
  <c r="B1939" i="2"/>
  <c r="D1939" i="2"/>
  <c r="E1939" i="2"/>
  <c r="J1939" i="2"/>
  <c r="B1940" i="2"/>
  <c r="D1940" i="2"/>
  <c r="E1940" i="2"/>
  <c r="B1942" i="2"/>
  <c r="E1942" i="2"/>
  <c r="B1944" i="2"/>
  <c r="D1944" i="2"/>
  <c r="E1944" i="2"/>
  <c r="B1945" i="2"/>
  <c r="D1945" i="2"/>
  <c r="E1945" i="2"/>
  <c r="A1946" i="2"/>
  <c r="B1946" i="2"/>
  <c r="D1946" i="2"/>
  <c r="E1946" i="2"/>
  <c r="F1946" i="2"/>
  <c r="B1948" i="2"/>
  <c r="D1948" i="2"/>
  <c r="E1948" i="2"/>
  <c r="B1949" i="2"/>
  <c r="D1949" i="2"/>
  <c r="E1949" i="2"/>
  <c r="B1950" i="2"/>
  <c r="D1950" i="2"/>
  <c r="E1950" i="2"/>
  <c r="B1951" i="2"/>
  <c r="D1951" i="2"/>
  <c r="E1951" i="2"/>
  <c r="B1952" i="2"/>
  <c r="D1952" i="2"/>
  <c r="E1952" i="2"/>
  <c r="B1954" i="2"/>
  <c r="E1954" i="2"/>
  <c r="B1956" i="2"/>
  <c r="D1956" i="2"/>
  <c r="E1956" i="2"/>
  <c r="B1957" i="2"/>
  <c r="D1957" i="2"/>
  <c r="E1957" i="2"/>
  <c r="B1958" i="2"/>
  <c r="D1958" i="2"/>
  <c r="E1958" i="2"/>
  <c r="A1959" i="2"/>
  <c r="B1959" i="2"/>
  <c r="D1959" i="2"/>
  <c r="E1959" i="2"/>
  <c r="F1959" i="2"/>
  <c r="B1961" i="2"/>
  <c r="D1961" i="2"/>
  <c r="E1961" i="2"/>
  <c r="J1961" i="2"/>
  <c r="B1962" i="2"/>
  <c r="D1962" i="2"/>
  <c r="E1962" i="2"/>
  <c r="J1962" i="2"/>
  <c r="B1964" i="2"/>
  <c r="E1964" i="2"/>
  <c r="B1966" i="2"/>
  <c r="D1966" i="2"/>
  <c r="E1966" i="2"/>
  <c r="A1967" i="2"/>
  <c r="B1967" i="2"/>
  <c r="D1967" i="2"/>
  <c r="E1967" i="2"/>
  <c r="F1967" i="2"/>
  <c r="B1969" i="2"/>
  <c r="D1969" i="2"/>
  <c r="E1969" i="2"/>
  <c r="J1969" i="2"/>
  <c r="B1970" i="2"/>
  <c r="D1970" i="2"/>
  <c r="E1970" i="2"/>
  <c r="J1970" i="2"/>
  <c r="B1971" i="2"/>
  <c r="D1971" i="2"/>
  <c r="E1971" i="2"/>
  <c r="J1971" i="2"/>
  <c r="B1973" i="2"/>
  <c r="E1973" i="2"/>
  <c r="B1975" i="2"/>
  <c r="D1975" i="2"/>
  <c r="E1975" i="2"/>
  <c r="B1976" i="2"/>
  <c r="D1976" i="2"/>
  <c r="E1976" i="2"/>
  <c r="A1977" i="2"/>
  <c r="B1977" i="2"/>
  <c r="D1977" i="2"/>
  <c r="E1977" i="2"/>
  <c r="F1977" i="2"/>
  <c r="B1979" i="2"/>
  <c r="D1979" i="2"/>
  <c r="E1979" i="2"/>
  <c r="B1980" i="2"/>
  <c r="D1980" i="2"/>
  <c r="E1980" i="2"/>
  <c r="B1981" i="2"/>
  <c r="D1981" i="2"/>
  <c r="E1981" i="2"/>
  <c r="B1983" i="2"/>
  <c r="E1983" i="2"/>
  <c r="A1984" i="2"/>
  <c r="B1984" i="2"/>
  <c r="D1984" i="2"/>
  <c r="E1984" i="2"/>
  <c r="F1984" i="2"/>
  <c r="B1986" i="2"/>
  <c r="D1986" i="2"/>
  <c r="E1986" i="2"/>
  <c r="B1987" i="2"/>
  <c r="D1987" i="2"/>
  <c r="E1987" i="2"/>
  <c r="B1989" i="2"/>
  <c r="E1989" i="2"/>
  <c r="A1990" i="2"/>
  <c r="B1990" i="2"/>
  <c r="D1990" i="2"/>
  <c r="E1990" i="2"/>
  <c r="F1990" i="2"/>
  <c r="B1992" i="2"/>
  <c r="D1992" i="2"/>
  <c r="E1992" i="2"/>
  <c r="B1993" i="2"/>
  <c r="D1993" i="2"/>
  <c r="E1993" i="2"/>
  <c r="B1994" i="2"/>
  <c r="D1994" i="2"/>
  <c r="E1994" i="2"/>
  <c r="B1995" i="2"/>
  <c r="D1995" i="2"/>
  <c r="E1995" i="2"/>
  <c r="B1996" i="2"/>
  <c r="D1996" i="2"/>
  <c r="E1996" i="2"/>
  <c r="B1997" i="2"/>
  <c r="D1997" i="2"/>
  <c r="E1997" i="2"/>
  <c r="B1998" i="2"/>
  <c r="D1998" i="2"/>
  <c r="E1998" i="2"/>
  <c r="B2000" i="2"/>
  <c r="E2000" i="2"/>
  <c r="B2002" i="2"/>
  <c r="D2002" i="2"/>
  <c r="E2002" i="2"/>
  <c r="B2003" i="2"/>
  <c r="D2003" i="2"/>
  <c r="E2003" i="2"/>
  <c r="B2004" i="2"/>
  <c r="D2004" i="2"/>
  <c r="E2004" i="2"/>
  <c r="B2005" i="2"/>
  <c r="D2005" i="2"/>
  <c r="E2005" i="2"/>
  <c r="A2006" i="2"/>
  <c r="B2006" i="2"/>
  <c r="D2006" i="2"/>
  <c r="E2006" i="2"/>
  <c r="F2006" i="2"/>
  <c r="B2008" i="2"/>
  <c r="D2008" i="2"/>
  <c r="E2008" i="2"/>
  <c r="J2008" i="2"/>
  <c r="B2009" i="2"/>
  <c r="D2009" i="2"/>
  <c r="E2009" i="2"/>
  <c r="J2009" i="2"/>
  <c r="B2010" i="2"/>
  <c r="D2010" i="2"/>
  <c r="E2010" i="2"/>
  <c r="J2010" i="2"/>
  <c r="B2011" i="2"/>
  <c r="D2011" i="2"/>
  <c r="E2011" i="2"/>
  <c r="J2011" i="2"/>
  <c r="B2012" i="2"/>
  <c r="D2012" i="2"/>
  <c r="E2012" i="2"/>
  <c r="B2014" i="2"/>
  <c r="E2014" i="2"/>
  <c r="B2016" i="2"/>
  <c r="D2016" i="2"/>
  <c r="E2016" i="2"/>
  <c r="A2017" i="2"/>
  <c r="B2017" i="2"/>
  <c r="D2017" i="2"/>
  <c r="E2017" i="2"/>
  <c r="F2017" i="2"/>
  <c r="B2019" i="2"/>
  <c r="D2019" i="2"/>
  <c r="E2019" i="2"/>
  <c r="J2019" i="2"/>
  <c r="H13" i="3"/>
  <c r="A2020" i="2"/>
  <c r="B2020" i="2"/>
  <c r="D2020" i="2"/>
  <c r="E2020" i="2"/>
  <c r="F2020" i="2"/>
  <c r="B2022" i="2"/>
  <c r="D2022" i="2"/>
  <c r="E2022" i="2"/>
  <c r="J2022" i="2"/>
  <c r="B2023" i="2"/>
  <c r="D2023" i="2"/>
  <c r="E2023" i="2"/>
  <c r="J2023" i="2"/>
  <c r="B2024" i="2"/>
  <c r="D2024" i="2"/>
  <c r="E2024" i="2"/>
  <c r="J2024" i="2"/>
  <c r="B2026" i="2"/>
  <c r="E2026" i="2"/>
  <c r="K2026" i="2"/>
  <c r="B2028" i="2"/>
  <c r="D2028" i="2"/>
  <c r="E2028" i="2"/>
  <c r="L2028" i="2"/>
  <c r="A2029" i="2"/>
  <c r="B2029" i="2"/>
  <c r="D2029" i="2"/>
  <c r="E2029" i="2"/>
  <c r="F2029" i="2"/>
  <c r="K2037" i="2"/>
  <c r="B2031" i="2"/>
  <c r="D2031" i="2"/>
  <c r="E2031" i="2"/>
  <c r="J2031" i="2"/>
  <c r="B2032" i="2"/>
  <c r="D2032" i="2"/>
  <c r="E2032" i="2"/>
  <c r="J2032" i="2"/>
  <c r="B2033" i="2"/>
  <c r="D2033" i="2"/>
  <c r="E2033" i="2"/>
  <c r="J2033" i="2"/>
  <c r="B2034" i="2"/>
  <c r="D2034" i="2"/>
  <c r="E2034" i="2"/>
  <c r="J2034" i="2"/>
  <c r="B2035" i="2"/>
  <c r="D2035" i="2"/>
  <c r="E2035" i="2"/>
  <c r="B2037" i="2"/>
  <c r="E2037" i="2"/>
  <c r="B2039" i="2"/>
  <c r="D2039" i="2"/>
  <c r="E2039" i="2"/>
  <c r="B2040" i="2"/>
  <c r="D2040" i="2"/>
  <c r="E2040" i="2"/>
  <c r="A2041" i="2"/>
  <c r="B2041" i="2"/>
  <c r="D2041" i="2"/>
  <c r="E2041" i="2"/>
  <c r="F2041" i="2"/>
  <c r="B2043" i="2"/>
  <c r="D2043" i="2"/>
  <c r="E2043" i="2"/>
  <c r="J2043" i="2"/>
  <c r="B2044" i="2"/>
  <c r="D2044" i="2"/>
  <c r="E2044" i="2"/>
  <c r="J2044" i="2"/>
  <c r="H431" i="3"/>
  <c r="H430" i="3"/>
  <c r="B2045" i="2"/>
  <c r="D2045" i="2"/>
  <c r="E2045" i="2"/>
  <c r="B2047" i="2"/>
  <c r="E2047" i="2"/>
  <c r="B2049" i="2"/>
  <c r="D2049" i="2"/>
  <c r="E2049" i="2"/>
  <c r="B2050" i="2"/>
  <c r="D2050" i="2"/>
  <c r="E2050" i="2"/>
  <c r="A2051" i="2"/>
  <c r="B2051" i="2"/>
  <c r="D2051" i="2"/>
  <c r="E2051" i="2"/>
  <c r="F2051" i="2"/>
  <c r="K2060" i="2"/>
  <c r="B2053" i="2"/>
  <c r="D2053" i="2"/>
  <c r="E2053" i="2"/>
  <c r="B2054" i="2"/>
  <c r="D2054" i="2"/>
  <c r="E2054" i="2"/>
  <c r="B2055" i="2"/>
  <c r="D2055" i="2"/>
  <c r="E2055" i="2"/>
  <c r="B2056" i="2"/>
  <c r="D2056" i="2"/>
  <c r="E2056" i="2"/>
  <c r="B2057" i="2"/>
  <c r="D2057" i="2"/>
  <c r="E2057" i="2"/>
  <c r="B2058" i="2"/>
  <c r="D2058" i="2"/>
  <c r="E2058" i="2"/>
  <c r="B2060" i="2"/>
  <c r="E2060" i="2"/>
  <c r="B2062" i="2"/>
  <c r="D2062" i="2"/>
  <c r="E2062" i="2"/>
  <c r="A2063" i="2"/>
  <c r="B2063" i="2"/>
  <c r="D2063" i="2"/>
  <c r="E2063" i="2"/>
  <c r="F2063" i="2"/>
  <c r="B2065" i="2"/>
  <c r="D2065" i="2"/>
  <c r="E2065" i="2"/>
  <c r="J2065" i="2"/>
  <c r="H18" i="3"/>
  <c r="Q18" i="3"/>
  <c r="A2066" i="2"/>
  <c r="B2066" i="2"/>
  <c r="D2066" i="2"/>
  <c r="E2066" i="2"/>
  <c r="F2066" i="2"/>
  <c r="K2073" i="2"/>
  <c r="B2068" i="2"/>
  <c r="D2068" i="2"/>
  <c r="E2068" i="2"/>
  <c r="B2069" i="2"/>
  <c r="D2069" i="2"/>
  <c r="E2069" i="2"/>
  <c r="B2070" i="2"/>
  <c r="D2070" i="2"/>
  <c r="E2070" i="2"/>
  <c r="B2071" i="2"/>
  <c r="D2071" i="2"/>
  <c r="E2071" i="2"/>
  <c r="B2073" i="2"/>
  <c r="E2073" i="2"/>
  <c r="A2074" i="2"/>
  <c r="B2074" i="2"/>
  <c r="D2074" i="2"/>
  <c r="E2074" i="2"/>
  <c r="F2074" i="2"/>
  <c r="K2076" i="2"/>
  <c r="B2076" i="2"/>
  <c r="E2076" i="2"/>
  <c r="A2077" i="2"/>
  <c r="B2077" i="2"/>
  <c r="D2077" i="2"/>
  <c r="E2077" i="2"/>
  <c r="F2077" i="2"/>
  <c r="K2081" i="2"/>
  <c r="B2079" i="2"/>
  <c r="D2079" i="2"/>
  <c r="E2079" i="2"/>
  <c r="B2081" i="2"/>
  <c r="E2081" i="2"/>
  <c r="B2083" i="2"/>
  <c r="D2083" i="2"/>
  <c r="E2083" i="2"/>
  <c r="A2084" i="2"/>
  <c r="B2084" i="2"/>
  <c r="D2084" i="2"/>
  <c r="E2084" i="2"/>
  <c r="F2084" i="2"/>
  <c r="K2091" i="2"/>
  <c r="B2086" i="2"/>
  <c r="D2086" i="2"/>
  <c r="E2086" i="2"/>
  <c r="B2087" i="2"/>
  <c r="D2087" i="2"/>
  <c r="E2087" i="2"/>
  <c r="J2087" i="2"/>
  <c r="B2088" i="2"/>
  <c r="D2088" i="2"/>
  <c r="E2088" i="2"/>
  <c r="J2088" i="2"/>
  <c r="B2089" i="2"/>
  <c r="D2089" i="2"/>
  <c r="E2089" i="2"/>
  <c r="B2091" i="2"/>
  <c r="E2091" i="2"/>
  <c r="A2092" i="2"/>
  <c r="B2092" i="2"/>
  <c r="D2092" i="2"/>
  <c r="E2092" i="2"/>
  <c r="F2092" i="2"/>
  <c r="B2094" i="2"/>
  <c r="D2094" i="2"/>
  <c r="E2094" i="2"/>
  <c r="J2094" i="2"/>
  <c r="A2095" i="2"/>
  <c r="B2095" i="2"/>
  <c r="D2095" i="2"/>
  <c r="E2095" i="2"/>
  <c r="F2095" i="2"/>
  <c r="B2097" i="2"/>
  <c r="D2097" i="2"/>
  <c r="E2097" i="2"/>
  <c r="J2097" i="2"/>
  <c r="A2098" i="2"/>
  <c r="B2098" i="2"/>
  <c r="D2098" i="2"/>
  <c r="E2098" i="2"/>
  <c r="F2098" i="2"/>
  <c r="B2100" i="2"/>
  <c r="D2100" i="2"/>
  <c r="E2100" i="2"/>
  <c r="J2100" i="2"/>
  <c r="A2101" i="2"/>
  <c r="B2101" i="2"/>
  <c r="D2101" i="2"/>
  <c r="E2101" i="2"/>
  <c r="F2101" i="2"/>
  <c r="B2103" i="2"/>
  <c r="D2103" i="2"/>
  <c r="E2103" i="2"/>
  <c r="J2103" i="2"/>
  <c r="A2104" i="2"/>
  <c r="B2104" i="2"/>
  <c r="D2104" i="2"/>
  <c r="E2104" i="2"/>
  <c r="F2104" i="2"/>
  <c r="B2106" i="2"/>
  <c r="D2106" i="2"/>
  <c r="E2106" i="2"/>
  <c r="J2106" i="2"/>
  <c r="A2107" i="2"/>
  <c r="B2107" i="2"/>
  <c r="D2107" i="2"/>
  <c r="E2107" i="2"/>
  <c r="F2107" i="2"/>
  <c r="B2109" i="2"/>
  <c r="D2109" i="2"/>
  <c r="E2109" i="2"/>
  <c r="J2109" i="2"/>
  <c r="A2110" i="2"/>
  <c r="B2110" i="2"/>
  <c r="D2110" i="2"/>
  <c r="E2110" i="2"/>
  <c r="F2110" i="2"/>
  <c r="B2112" i="2"/>
  <c r="D2112" i="2"/>
  <c r="E2112" i="2"/>
  <c r="J2112" i="2"/>
  <c r="A2113" i="2"/>
  <c r="B2113" i="2"/>
  <c r="D2113" i="2"/>
  <c r="E2113" i="2"/>
  <c r="F2113" i="2"/>
  <c r="B2115" i="2"/>
  <c r="D2115" i="2"/>
  <c r="E2115" i="2"/>
  <c r="B2116" i="2"/>
  <c r="D2116" i="2"/>
  <c r="E2116" i="2"/>
  <c r="B2117" i="2"/>
  <c r="D2117" i="2"/>
  <c r="E2117" i="2"/>
  <c r="B2119" i="2"/>
  <c r="E2119" i="2"/>
  <c r="A2120" i="2"/>
  <c r="B2120" i="2"/>
  <c r="D2120" i="2"/>
  <c r="E2120" i="2"/>
  <c r="F2120" i="2"/>
  <c r="K2128" i="2"/>
  <c r="G988" i="14"/>
  <c r="B2122" i="2"/>
  <c r="D2122" i="2"/>
  <c r="E2122" i="2"/>
  <c r="J2122" i="2"/>
  <c r="H748" i="3"/>
  <c r="B2123" i="2"/>
  <c r="D2123" i="2"/>
  <c r="E2123" i="2"/>
  <c r="J2123" i="2"/>
  <c r="B2124" i="2"/>
  <c r="D2124" i="2"/>
  <c r="E2124" i="2"/>
  <c r="J2124" i="2"/>
  <c r="H162" i="3"/>
  <c r="B2125" i="2"/>
  <c r="D2125" i="2"/>
  <c r="E2125" i="2"/>
  <c r="J2125" i="2"/>
  <c r="B2126" i="2"/>
  <c r="D2126" i="2"/>
  <c r="E2126" i="2"/>
  <c r="B2128" i="2"/>
  <c r="E2128" i="2"/>
  <c r="B2130" i="2"/>
  <c r="D2130" i="2"/>
  <c r="E2130" i="2"/>
  <c r="B2131" i="2"/>
  <c r="D2131" i="2"/>
  <c r="E2131" i="2"/>
  <c r="A2132" i="2"/>
  <c r="B2132" i="2"/>
  <c r="D2132" i="2"/>
  <c r="E2132" i="2"/>
  <c r="F2132" i="2"/>
  <c r="B2134" i="2"/>
  <c r="D2134" i="2"/>
  <c r="E2134" i="2"/>
  <c r="J2134" i="2"/>
  <c r="B2135" i="2"/>
  <c r="D2135" i="2"/>
  <c r="E2135" i="2"/>
  <c r="J2135" i="2"/>
  <c r="H85" i="3"/>
  <c r="B2136" i="2"/>
  <c r="D2136" i="2"/>
  <c r="E2136" i="2"/>
  <c r="J2136" i="2"/>
  <c r="B2137" i="2"/>
  <c r="D2137" i="2"/>
  <c r="E2137" i="2"/>
  <c r="J2137" i="2"/>
  <c r="B2138" i="2"/>
  <c r="D2138" i="2"/>
  <c r="E2138" i="2"/>
  <c r="B2140" i="2"/>
  <c r="E2140" i="2"/>
  <c r="B2142" i="2"/>
  <c r="D2142" i="2"/>
  <c r="E2142" i="2"/>
  <c r="B2143" i="2"/>
  <c r="D2143" i="2"/>
  <c r="E2143" i="2"/>
  <c r="A2144" i="2"/>
  <c r="B2144" i="2"/>
  <c r="D2144" i="2"/>
  <c r="E2144" i="2"/>
  <c r="F2144" i="2"/>
  <c r="B2146" i="2"/>
  <c r="D2146" i="2"/>
  <c r="E2146" i="2"/>
  <c r="J2146" i="2"/>
  <c r="H750" i="3"/>
  <c r="B2147" i="2"/>
  <c r="D2147" i="2"/>
  <c r="E2147" i="2"/>
  <c r="J2147" i="2"/>
  <c r="B2148" i="2"/>
  <c r="D2148" i="2"/>
  <c r="E2148" i="2"/>
  <c r="J2148" i="2"/>
  <c r="B2150" i="2"/>
  <c r="E2150" i="2"/>
  <c r="B2152" i="2"/>
  <c r="D2152" i="2"/>
  <c r="E2152" i="2"/>
  <c r="A2153" i="2"/>
  <c r="B2153" i="2"/>
  <c r="D2153" i="2"/>
  <c r="E2153" i="2"/>
  <c r="F2153" i="2"/>
  <c r="B2155" i="2"/>
  <c r="D2155" i="2"/>
  <c r="E2155" i="2"/>
  <c r="B2156" i="2"/>
  <c r="D2156" i="2"/>
  <c r="E2156" i="2"/>
  <c r="B2157" i="2"/>
  <c r="D2157" i="2"/>
  <c r="E2157" i="2"/>
  <c r="B2159" i="2"/>
  <c r="E2159" i="2"/>
  <c r="A2160" i="2"/>
  <c r="B2160" i="2"/>
  <c r="D2160" i="2"/>
  <c r="E2160" i="2"/>
  <c r="F2160" i="2"/>
  <c r="K2166" i="2"/>
  <c r="B2162" i="2"/>
  <c r="D2162" i="2"/>
  <c r="E2162" i="2"/>
  <c r="B2163" i="2"/>
  <c r="D2163" i="2"/>
  <c r="E2163" i="2"/>
  <c r="B2164" i="2"/>
  <c r="D2164" i="2"/>
  <c r="E2164" i="2"/>
  <c r="B2166" i="2"/>
  <c r="E2166" i="2"/>
  <c r="A2167" i="2"/>
  <c r="B2167" i="2"/>
  <c r="D2167" i="2"/>
  <c r="E2167" i="2"/>
  <c r="F2167" i="2"/>
  <c r="B2169" i="2"/>
  <c r="D2169" i="2"/>
  <c r="E2169" i="2"/>
  <c r="J2169" i="2"/>
  <c r="B2170" i="2"/>
  <c r="D2170" i="2"/>
  <c r="E2170" i="2"/>
  <c r="J2170" i="2"/>
  <c r="B2171" i="2"/>
  <c r="D2171" i="2"/>
  <c r="E2171" i="2"/>
  <c r="J2171" i="2"/>
  <c r="B2172" i="2"/>
  <c r="D2172" i="2"/>
  <c r="E2172" i="2"/>
  <c r="J2172" i="2"/>
  <c r="B2173" i="2"/>
  <c r="D2173" i="2"/>
  <c r="E2173" i="2"/>
  <c r="J2173" i="2"/>
  <c r="B2174" i="2"/>
  <c r="D2174" i="2"/>
  <c r="E2174" i="2"/>
  <c r="B2176" i="2"/>
  <c r="E2176" i="2"/>
  <c r="B2178" i="2"/>
  <c r="D2178" i="2"/>
  <c r="E2178" i="2"/>
  <c r="A2179" i="2"/>
  <c r="B2179" i="2"/>
  <c r="D2179" i="2"/>
  <c r="E2179" i="2"/>
  <c r="F2179" i="2"/>
  <c r="B2181" i="2"/>
  <c r="D2181" i="2"/>
  <c r="E2181" i="2"/>
  <c r="J2181" i="2"/>
  <c r="B2182" i="2"/>
  <c r="D2182" i="2"/>
  <c r="E2182" i="2"/>
  <c r="J2182" i="2"/>
  <c r="B2183" i="2"/>
  <c r="D2183" i="2"/>
  <c r="E2183" i="2"/>
  <c r="J2183" i="2"/>
  <c r="B2184" i="2"/>
  <c r="D2184" i="2"/>
  <c r="E2184" i="2"/>
  <c r="J2184" i="2"/>
  <c r="B2185" i="2"/>
  <c r="D2185" i="2"/>
  <c r="E2185" i="2"/>
  <c r="J2185" i="2"/>
  <c r="B2186" i="2"/>
  <c r="D2186" i="2"/>
  <c r="E2186" i="2"/>
  <c r="B2188" i="2"/>
  <c r="E2188" i="2"/>
  <c r="B2190" i="2"/>
  <c r="D2190" i="2"/>
  <c r="E2190" i="2"/>
  <c r="A2191" i="2"/>
  <c r="B2191" i="2"/>
  <c r="D2191" i="2"/>
  <c r="E2191" i="2"/>
  <c r="F2191" i="2"/>
  <c r="B2193" i="2"/>
  <c r="D2193" i="2"/>
  <c r="E2193" i="2"/>
  <c r="B2194" i="2"/>
  <c r="D2194" i="2"/>
  <c r="E2194" i="2"/>
  <c r="B2195" i="2"/>
  <c r="D2195" i="2"/>
  <c r="E2195" i="2"/>
  <c r="B2197" i="2"/>
  <c r="E2197" i="2"/>
  <c r="A2198" i="2"/>
  <c r="B2198" i="2"/>
  <c r="D2198" i="2"/>
  <c r="E2198" i="2"/>
  <c r="F2198" i="2"/>
  <c r="B2200" i="2"/>
  <c r="D2200" i="2"/>
  <c r="E2200" i="2"/>
  <c r="J2200" i="2"/>
  <c r="H108" i="3"/>
  <c r="A2201" i="2"/>
  <c r="B2201" i="2"/>
  <c r="D2201" i="2"/>
  <c r="E2201" i="2"/>
  <c r="F2201" i="2"/>
  <c r="B2203" i="2"/>
  <c r="D2203" i="2"/>
  <c r="E2203" i="2"/>
  <c r="J2203" i="2"/>
  <c r="H19" i="3"/>
  <c r="A2204" i="2"/>
  <c r="B2204" i="2"/>
  <c r="D2204" i="2"/>
  <c r="E2204" i="2"/>
  <c r="F2204" i="2"/>
  <c r="B2206" i="2"/>
  <c r="D2206" i="2"/>
  <c r="E2206" i="2"/>
  <c r="J2206" i="2"/>
  <c r="B2207" i="2"/>
  <c r="D2207" i="2"/>
  <c r="E2207" i="2"/>
  <c r="J2207" i="2"/>
  <c r="H89" i="3"/>
  <c r="B2208" i="2"/>
  <c r="D2208" i="2"/>
  <c r="E2208" i="2"/>
  <c r="J2208" i="2"/>
  <c r="H164" i="3"/>
  <c r="B2209" i="2"/>
  <c r="D2209" i="2"/>
  <c r="E2209" i="2"/>
  <c r="J2209" i="2"/>
  <c r="B2210" i="2"/>
  <c r="D2210" i="2"/>
  <c r="E2210" i="2"/>
  <c r="B2212" i="2"/>
  <c r="E2212" i="2"/>
  <c r="B2214" i="2"/>
  <c r="D2214" i="2"/>
  <c r="E2214" i="2"/>
  <c r="B2215" i="2"/>
  <c r="D2215" i="2"/>
  <c r="E2215" i="2"/>
  <c r="A2216" i="2"/>
  <c r="B2216" i="2"/>
  <c r="D2216" i="2"/>
  <c r="E2216" i="2"/>
  <c r="F2216" i="2"/>
  <c r="B2218" i="2"/>
  <c r="D2218" i="2"/>
  <c r="E2218" i="2"/>
  <c r="J2218" i="2"/>
  <c r="B2219" i="2"/>
  <c r="D2219" i="2"/>
  <c r="E2219" i="2"/>
  <c r="J2219" i="2"/>
  <c r="H90" i="3"/>
  <c r="S90" i="3"/>
  <c r="B2220" i="2"/>
  <c r="D2220" i="2"/>
  <c r="E2220" i="2"/>
  <c r="J2220" i="2"/>
  <c r="B2221" i="2"/>
  <c r="D2221" i="2"/>
  <c r="E2221" i="2"/>
  <c r="J2221" i="2"/>
  <c r="H390" i="3"/>
  <c r="B2222" i="2"/>
  <c r="D2222" i="2"/>
  <c r="E2222" i="2"/>
  <c r="B2224" i="2"/>
  <c r="E2224" i="2"/>
  <c r="B2226" i="2"/>
  <c r="D2226" i="2"/>
  <c r="E2226" i="2"/>
  <c r="B2227" i="2"/>
  <c r="D2227" i="2"/>
  <c r="E2227" i="2"/>
  <c r="A2228" i="2"/>
  <c r="B2228" i="2"/>
  <c r="D2228" i="2"/>
  <c r="E2228" i="2"/>
  <c r="F2228" i="2"/>
  <c r="K2230" i="2"/>
  <c r="I36" i="4"/>
  <c r="B2230" i="2"/>
  <c r="E2230" i="2"/>
  <c r="A2231" i="2"/>
  <c r="B2231" i="2"/>
  <c r="D2231" i="2"/>
  <c r="E2231" i="2"/>
  <c r="F2231" i="2"/>
  <c r="K2237" i="2"/>
  <c r="B2233" i="2"/>
  <c r="D2233" i="2"/>
  <c r="E2233" i="2"/>
  <c r="B2234" i="2"/>
  <c r="D2234" i="2"/>
  <c r="E2234" i="2"/>
  <c r="B2235" i="2"/>
  <c r="D2235" i="2"/>
  <c r="E2235" i="2"/>
  <c r="B2237" i="2"/>
  <c r="E2237" i="2"/>
  <c r="A2238" i="2"/>
  <c r="B2238" i="2"/>
  <c r="D2238" i="2"/>
  <c r="E2238" i="2"/>
  <c r="F2238" i="2"/>
  <c r="K2246" i="2"/>
  <c r="B2240" i="2"/>
  <c r="D2240" i="2"/>
  <c r="E2240" i="2"/>
  <c r="B2241" i="2"/>
  <c r="D2241" i="2"/>
  <c r="E2241" i="2"/>
  <c r="B2242" i="2"/>
  <c r="D2242" i="2"/>
  <c r="E2242" i="2"/>
  <c r="B2243" i="2"/>
  <c r="D2243" i="2"/>
  <c r="E2243" i="2"/>
  <c r="B2244" i="2"/>
  <c r="D2244" i="2"/>
  <c r="E2244" i="2"/>
  <c r="B2246" i="2"/>
  <c r="E2246" i="2"/>
  <c r="B2248" i="2"/>
  <c r="D2248" i="2"/>
  <c r="E2248" i="2"/>
  <c r="B2249" i="2"/>
  <c r="D2249" i="2"/>
  <c r="E2249" i="2"/>
  <c r="B2250" i="2"/>
  <c r="D2250" i="2"/>
  <c r="E2250" i="2"/>
  <c r="A2251" i="2"/>
  <c r="B2251" i="2"/>
  <c r="D2251" i="2"/>
  <c r="E2251" i="2"/>
  <c r="F2251" i="2"/>
  <c r="B2253" i="2"/>
  <c r="D2253" i="2"/>
  <c r="E2253" i="2"/>
  <c r="J2253" i="2"/>
  <c r="B2254" i="2"/>
  <c r="D2254" i="2"/>
  <c r="E2254" i="2"/>
  <c r="J2254" i="2"/>
  <c r="B2255" i="2"/>
  <c r="D2255" i="2"/>
  <c r="E2255" i="2"/>
  <c r="J2255" i="2"/>
  <c r="B2256" i="2"/>
  <c r="D2256" i="2"/>
  <c r="E2256" i="2"/>
  <c r="J2256" i="2"/>
  <c r="B2257" i="2"/>
  <c r="D2257" i="2"/>
  <c r="E2257" i="2"/>
  <c r="B2259" i="2"/>
  <c r="E2259" i="2"/>
  <c r="B2261" i="2"/>
  <c r="D2261" i="2"/>
  <c r="E2261" i="2"/>
  <c r="B2262" i="2"/>
  <c r="D2262" i="2"/>
  <c r="E2262" i="2"/>
  <c r="A2263" i="2"/>
  <c r="B2263" i="2"/>
  <c r="D2263" i="2"/>
  <c r="E2263" i="2"/>
  <c r="F2263" i="2"/>
  <c r="B2265" i="2"/>
  <c r="D2265" i="2"/>
  <c r="E2265" i="2"/>
  <c r="J2265" i="2"/>
  <c r="B2266" i="2"/>
  <c r="D2266" i="2"/>
  <c r="E2266" i="2"/>
  <c r="J2266" i="2"/>
  <c r="B2268" i="2"/>
  <c r="E2268" i="2"/>
  <c r="B2270" i="2"/>
  <c r="D2270" i="2"/>
  <c r="E2270" i="2"/>
  <c r="A2271" i="2"/>
  <c r="B2271" i="2"/>
  <c r="D2271" i="2"/>
  <c r="E2271" i="2"/>
  <c r="F2271" i="2"/>
  <c r="B2273" i="2"/>
  <c r="D2273" i="2"/>
  <c r="E2273" i="2"/>
  <c r="B2274" i="2"/>
  <c r="D2274" i="2"/>
  <c r="E2274" i="2"/>
  <c r="B2275" i="2"/>
  <c r="D2275" i="2"/>
  <c r="E2275" i="2"/>
  <c r="B2276" i="2"/>
  <c r="D2276" i="2"/>
  <c r="E2276" i="2"/>
  <c r="B2278" i="2"/>
  <c r="E2278" i="2"/>
  <c r="A2279" i="2"/>
  <c r="B2279" i="2"/>
  <c r="D2279" i="2"/>
  <c r="E2279" i="2"/>
  <c r="F2279" i="2"/>
  <c r="K2285" i="2"/>
  <c r="B2281" i="2"/>
  <c r="D2281" i="2"/>
  <c r="E2281" i="2"/>
  <c r="J2281" i="2"/>
  <c r="B2282" i="2"/>
  <c r="D2282" i="2"/>
  <c r="E2282" i="2"/>
  <c r="J2282" i="2"/>
  <c r="B2283" i="2"/>
  <c r="D2283" i="2"/>
  <c r="E2283" i="2"/>
  <c r="B2285" i="2"/>
  <c r="E2285" i="2"/>
  <c r="A2286" i="2"/>
  <c r="B2286" i="2"/>
  <c r="D2286" i="2"/>
  <c r="E2286" i="2"/>
  <c r="F2286" i="2"/>
  <c r="K2292" i="2"/>
  <c r="B2288" i="2"/>
  <c r="D2288" i="2"/>
  <c r="E2288" i="2"/>
  <c r="B2289" i="2"/>
  <c r="D2289" i="2"/>
  <c r="E2289" i="2"/>
  <c r="J2289" i="2"/>
  <c r="B2290" i="2"/>
  <c r="D2290" i="2"/>
  <c r="E2290" i="2"/>
  <c r="B2292" i="2"/>
  <c r="E2292" i="2"/>
  <c r="A2293" i="2"/>
  <c r="B2293" i="2"/>
  <c r="D2293" i="2"/>
  <c r="E2293" i="2"/>
  <c r="F2293" i="2"/>
  <c r="K2295" i="2"/>
  <c r="B2295" i="2"/>
  <c r="E2295" i="2"/>
  <c r="A2304" i="2"/>
  <c r="B2304" i="2"/>
  <c r="D2304" i="2"/>
  <c r="E2304" i="2"/>
  <c r="F2304" i="2"/>
  <c r="B2306" i="2"/>
  <c r="D2306" i="2"/>
  <c r="E2306" i="2"/>
  <c r="J2306" i="2"/>
  <c r="B2307" i="2"/>
  <c r="D2307" i="2"/>
  <c r="E2307" i="2"/>
  <c r="J2307" i="2"/>
  <c r="B2308" i="2"/>
  <c r="D2308" i="2"/>
  <c r="E2308" i="2"/>
  <c r="J2308" i="2"/>
  <c r="B2309" i="2"/>
  <c r="D2309" i="2"/>
  <c r="E2309" i="2"/>
  <c r="J2309" i="2"/>
  <c r="B2310" i="2"/>
  <c r="D2310" i="2"/>
  <c r="E2310" i="2"/>
  <c r="J2310" i="2"/>
  <c r="B2311" i="2"/>
  <c r="D2311" i="2"/>
  <c r="E2311" i="2"/>
  <c r="J2311" i="2"/>
  <c r="B2312" i="2"/>
  <c r="D2312" i="2"/>
  <c r="E2312" i="2"/>
  <c r="B2314" i="2"/>
  <c r="E2314" i="2"/>
  <c r="B2316" i="2"/>
  <c r="D2316" i="2"/>
  <c r="E2316" i="2"/>
  <c r="B2317" i="2"/>
  <c r="D2317" i="2"/>
  <c r="E2317" i="2"/>
  <c r="B2318" i="2"/>
  <c r="D2318" i="2"/>
  <c r="E2318" i="2"/>
  <c r="B2319" i="2"/>
  <c r="D2319" i="2"/>
  <c r="E2319" i="2"/>
  <c r="A2320" i="2"/>
  <c r="B2320" i="2"/>
  <c r="D2320" i="2"/>
  <c r="E2320" i="2"/>
  <c r="F2320" i="2"/>
  <c r="B2322" i="2"/>
  <c r="D2322" i="2"/>
  <c r="E2322" i="2"/>
  <c r="B2323" i="2"/>
  <c r="D2323" i="2"/>
  <c r="E2323" i="2"/>
  <c r="B2324" i="2"/>
  <c r="D2324" i="2"/>
  <c r="E2324" i="2"/>
  <c r="B2325" i="2"/>
  <c r="D2325" i="2"/>
  <c r="E2325" i="2"/>
  <c r="B2326" i="2"/>
  <c r="D2326" i="2"/>
  <c r="E2326" i="2"/>
  <c r="B2327" i="2"/>
  <c r="D2327" i="2"/>
  <c r="E2327" i="2"/>
  <c r="B2329" i="2"/>
  <c r="E2329" i="2"/>
  <c r="B2331" i="2"/>
  <c r="D2331" i="2"/>
  <c r="E2331" i="2"/>
  <c r="B2332" i="2"/>
  <c r="D2332" i="2"/>
  <c r="E2332" i="2"/>
  <c r="B2333" i="2"/>
  <c r="D2333" i="2"/>
  <c r="E2333" i="2"/>
  <c r="B2334" i="2"/>
  <c r="D2334" i="2"/>
  <c r="E2334" i="2"/>
  <c r="A2335" i="2"/>
  <c r="B2335" i="2"/>
  <c r="D2335" i="2"/>
  <c r="E2335" i="2"/>
  <c r="F2335" i="2"/>
  <c r="B2337" i="2"/>
  <c r="D2337" i="2"/>
  <c r="E2337" i="2"/>
  <c r="J2337" i="2"/>
  <c r="B2338" i="2"/>
  <c r="D2338" i="2"/>
  <c r="E2338" i="2"/>
  <c r="J2338" i="2"/>
  <c r="B2339" i="2"/>
  <c r="D2339" i="2"/>
  <c r="E2339" i="2"/>
  <c r="J2339" i="2"/>
  <c r="B2340" i="2"/>
  <c r="D2340" i="2"/>
  <c r="E2340" i="2"/>
  <c r="J2340" i="2"/>
  <c r="B2341" i="2"/>
  <c r="D2341" i="2"/>
  <c r="E2341" i="2"/>
  <c r="J2341" i="2"/>
  <c r="B2342" i="2"/>
  <c r="D2342" i="2"/>
  <c r="E2342" i="2"/>
  <c r="J2342" i="2"/>
  <c r="B2343" i="2"/>
  <c r="D2343" i="2"/>
  <c r="E2343" i="2"/>
  <c r="B2345" i="2"/>
  <c r="E2345" i="2"/>
  <c r="B2347" i="2"/>
  <c r="D2347" i="2"/>
  <c r="E2347" i="2"/>
  <c r="B2348" i="2"/>
  <c r="D2348" i="2"/>
  <c r="E2348" i="2"/>
  <c r="B2349" i="2"/>
  <c r="D2349" i="2"/>
  <c r="E2349" i="2"/>
  <c r="B2350" i="2"/>
  <c r="D2350" i="2"/>
  <c r="E2350" i="2"/>
  <c r="A2351" i="2"/>
  <c r="B2351" i="2"/>
  <c r="D2351" i="2"/>
  <c r="E2351" i="2"/>
  <c r="F2351" i="2"/>
  <c r="K2360" i="2"/>
  <c r="B2353" i="2"/>
  <c r="D2353" i="2"/>
  <c r="E2353" i="2"/>
  <c r="J2353" i="2"/>
  <c r="B2354" i="2"/>
  <c r="D2354" i="2"/>
  <c r="E2354" i="2"/>
  <c r="J2354" i="2"/>
  <c r="B2355" i="2"/>
  <c r="D2355" i="2"/>
  <c r="E2355" i="2"/>
  <c r="J2355" i="2"/>
  <c r="B2356" i="2"/>
  <c r="D2356" i="2"/>
  <c r="E2356" i="2"/>
  <c r="J2356" i="2"/>
  <c r="B2357" i="2"/>
  <c r="D2357" i="2"/>
  <c r="E2357" i="2"/>
  <c r="J2357" i="2"/>
  <c r="B2358" i="2"/>
  <c r="D2358" i="2"/>
  <c r="E2358" i="2"/>
  <c r="B2360" i="2"/>
  <c r="E2360" i="2"/>
  <c r="B2362" i="2"/>
  <c r="D2362" i="2"/>
  <c r="E2362" i="2"/>
  <c r="B2363" i="2"/>
  <c r="D2363" i="2"/>
  <c r="E2363" i="2"/>
  <c r="B2364" i="2"/>
  <c r="D2364" i="2"/>
  <c r="E2364" i="2"/>
  <c r="B2365" i="2"/>
  <c r="D2365" i="2"/>
  <c r="E2365" i="2"/>
  <c r="A2366" i="2"/>
  <c r="B2366" i="2"/>
  <c r="D2366" i="2"/>
  <c r="E2366" i="2"/>
  <c r="F2366" i="2"/>
  <c r="B2368" i="2"/>
  <c r="D2368" i="2"/>
  <c r="E2368" i="2"/>
  <c r="J2368" i="2"/>
  <c r="B2369" i="2"/>
  <c r="D2369" i="2"/>
  <c r="E2369" i="2"/>
  <c r="J2369" i="2"/>
  <c r="B2370" i="2"/>
  <c r="D2370" i="2"/>
  <c r="E2370" i="2"/>
  <c r="J2370" i="2"/>
  <c r="B2371" i="2"/>
  <c r="D2371" i="2"/>
  <c r="E2371" i="2"/>
  <c r="J2371" i="2"/>
  <c r="B2372" i="2"/>
  <c r="D2372" i="2"/>
  <c r="E2372" i="2"/>
  <c r="B2374" i="2"/>
  <c r="E2374" i="2"/>
  <c r="B2376" i="2"/>
  <c r="D2376" i="2"/>
  <c r="E2376" i="2"/>
  <c r="B2377" i="2"/>
  <c r="D2377" i="2"/>
  <c r="E2377" i="2"/>
  <c r="B2378" i="2"/>
  <c r="D2378" i="2"/>
  <c r="E2378" i="2"/>
  <c r="B2379" i="2"/>
  <c r="D2379" i="2"/>
  <c r="E2379" i="2"/>
  <c r="B2380" i="2"/>
  <c r="D2380" i="2"/>
  <c r="E2380" i="2"/>
  <c r="B2381" i="2"/>
  <c r="D2381" i="2"/>
  <c r="E2381" i="2"/>
  <c r="B2382" i="2"/>
  <c r="D2382" i="2"/>
  <c r="E2382" i="2"/>
  <c r="B2383" i="2"/>
  <c r="D2383" i="2"/>
  <c r="E2383" i="2"/>
  <c r="B2384" i="2"/>
  <c r="D2384" i="2"/>
  <c r="E2384" i="2"/>
  <c r="B2385" i="2"/>
  <c r="D2385" i="2"/>
  <c r="E2385" i="2"/>
  <c r="A2386" i="2"/>
  <c r="B2386" i="2"/>
  <c r="D2386" i="2"/>
  <c r="E2386" i="2"/>
  <c r="F2386" i="2"/>
  <c r="L2399" i="2"/>
  <c r="B2388" i="2"/>
  <c r="D2388" i="2"/>
  <c r="E2388" i="2"/>
  <c r="J2388" i="2"/>
  <c r="B2389" i="2"/>
  <c r="D2389" i="2"/>
  <c r="E2389" i="2"/>
  <c r="J2389" i="2"/>
  <c r="B2390" i="2"/>
  <c r="D2390" i="2"/>
  <c r="E2390" i="2"/>
  <c r="J2390" i="2"/>
  <c r="B2391" i="2"/>
  <c r="D2391" i="2"/>
  <c r="E2391" i="2"/>
  <c r="J2391" i="2"/>
  <c r="B2392" i="2"/>
  <c r="D2392" i="2"/>
  <c r="E2392" i="2"/>
  <c r="J2392" i="2"/>
  <c r="B2393" i="2"/>
  <c r="D2393" i="2"/>
  <c r="E2393" i="2"/>
  <c r="B2395" i="2"/>
  <c r="E2395" i="2"/>
  <c r="B2397" i="2"/>
  <c r="D2397" i="2"/>
  <c r="E2397" i="2"/>
  <c r="B2398" i="2"/>
  <c r="D2398" i="2"/>
  <c r="E2398" i="2"/>
  <c r="B2399" i="2"/>
  <c r="D2399" i="2"/>
  <c r="E2399" i="2"/>
  <c r="B2400" i="2"/>
  <c r="D2400" i="2"/>
  <c r="E2400" i="2"/>
  <c r="B2401" i="2"/>
  <c r="D2401" i="2"/>
  <c r="E2401" i="2"/>
  <c r="B2402" i="2"/>
  <c r="D2402" i="2"/>
  <c r="E2402" i="2"/>
  <c r="A2403" i="2"/>
  <c r="B2403" i="2"/>
  <c r="D2403" i="2"/>
  <c r="E2403" i="2"/>
  <c r="B2405" i="2"/>
  <c r="D2405" i="2"/>
  <c r="E2405" i="2"/>
  <c r="B2406" i="2"/>
  <c r="D2406" i="2"/>
  <c r="E2406" i="2"/>
  <c r="B2407" i="2"/>
  <c r="D2407" i="2"/>
  <c r="E2407" i="2"/>
  <c r="B2408" i="2"/>
  <c r="D2408" i="2"/>
  <c r="E2408" i="2"/>
  <c r="B2409" i="2"/>
  <c r="D2409" i="2"/>
  <c r="E2409" i="2"/>
  <c r="B2410" i="2"/>
  <c r="D2410" i="2"/>
  <c r="E2410" i="2"/>
  <c r="B2411" i="2"/>
  <c r="D2411" i="2"/>
  <c r="E2411" i="2"/>
  <c r="B2413" i="2"/>
  <c r="E2413" i="2"/>
  <c r="B2415" i="2"/>
  <c r="D2415" i="2"/>
  <c r="E2415" i="2"/>
  <c r="B2416" i="2"/>
  <c r="D2416" i="2"/>
  <c r="E2416" i="2"/>
  <c r="B2417" i="2"/>
  <c r="D2417" i="2"/>
  <c r="E2417" i="2"/>
  <c r="B2418" i="2"/>
  <c r="D2418" i="2"/>
  <c r="E2418" i="2"/>
  <c r="B2419" i="2"/>
  <c r="D2419" i="2"/>
  <c r="E2419" i="2"/>
  <c r="B2420" i="2"/>
  <c r="D2420" i="2"/>
  <c r="E2420" i="2"/>
  <c r="K8" i="3"/>
  <c r="B9" i="3"/>
  <c r="D9" i="3"/>
  <c r="K10" i="3"/>
  <c r="V10" i="3"/>
  <c r="W10" i="3"/>
  <c r="B11" i="3"/>
  <c r="D11" i="3"/>
  <c r="K12" i="3"/>
  <c r="V12" i="3"/>
  <c r="B13" i="3"/>
  <c r="D13" i="3"/>
  <c r="B14" i="3"/>
  <c r="D14" i="3"/>
  <c r="H14" i="3"/>
  <c r="S14" i="3"/>
  <c r="K15" i="3"/>
  <c r="V15" i="3"/>
  <c r="X15" i="3"/>
  <c r="B16" i="3"/>
  <c r="D16" i="3"/>
  <c r="H17" i="3"/>
  <c r="Q17" i="3"/>
  <c r="K17" i="3"/>
  <c r="B18" i="3"/>
  <c r="D18" i="3"/>
  <c r="J18" i="3"/>
  <c r="B19" i="3"/>
  <c r="D19" i="3"/>
  <c r="J19" i="3"/>
  <c r="O19" i="3"/>
  <c r="S19" i="3"/>
  <c r="K20" i="3"/>
  <c r="B21" i="3"/>
  <c r="D21" i="3"/>
  <c r="B22" i="3"/>
  <c r="D22" i="3"/>
  <c r="B23" i="3"/>
  <c r="D23" i="3"/>
  <c r="B24" i="3"/>
  <c r="D24" i="3"/>
  <c r="B25" i="3"/>
  <c r="D25" i="3"/>
  <c r="B26" i="3"/>
  <c r="D26" i="3"/>
  <c r="B27" i="3"/>
  <c r="D27" i="3"/>
  <c r="B28" i="3"/>
  <c r="D28" i="3"/>
  <c r="B29" i="3"/>
  <c r="D29" i="3"/>
  <c r="K30" i="3"/>
  <c r="V30" i="3"/>
  <c r="W30" i="3"/>
  <c r="Z30" i="3"/>
  <c r="X30" i="3"/>
  <c r="B31" i="3"/>
  <c r="D31" i="3"/>
  <c r="K32" i="3"/>
  <c r="V32" i="3"/>
  <c r="W32" i="3"/>
  <c r="X32" i="3"/>
  <c r="B33" i="3"/>
  <c r="D33" i="3"/>
  <c r="H33" i="3"/>
  <c r="Q33" i="3"/>
  <c r="K34" i="3"/>
  <c r="B35" i="3"/>
  <c r="D35" i="3"/>
  <c r="H35" i="3"/>
  <c r="K36" i="3"/>
  <c r="V36" i="3"/>
  <c r="W36" i="3"/>
  <c r="Z36" i="3"/>
  <c r="X36" i="3"/>
  <c r="B37" i="3"/>
  <c r="D37" i="3"/>
  <c r="H37" i="3"/>
  <c r="AB37" i="3"/>
  <c r="H36" i="3"/>
  <c r="K38" i="3"/>
  <c r="V38" i="3"/>
  <c r="B39" i="3"/>
  <c r="D39" i="3"/>
  <c r="H39" i="3"/>
  <c r="K40" i="3"/>
  <c r="X40" i="3"/>
  <c r="V40" i="3"/>
  <c r="W40" i="3"/>
  <c r="Z40" i="3"/>
  <c r="B41" i="3"/>
  <c r="D41" i="3"/>
  <c r="B42" i="3"/>
  <c r="D42" i="3"/>
  <c r="H42" i="3"/>
  <c r="J42" i="3"/>
  <c r="K43" i="3"/>
  <c r="X43" i="3"/>
  <c r="V43" i="3"/>
  <c r="W43" i="3"/>
  <c r="B44" i="3"/>
  <c r="D44" i="3"/>
  <c r="H44" i="3"/>
  <c r="K45" i="3"/>
  <c r="V45" i="3"/>
  <c r="B46" i="3"/>
  <c r="D46" i="3"/>
  <c r="B47" i="3"/>
  <c r="D47" i="3"/>
  <c r="H47" i="3"/>
  <c r="L47" i="3"/>
  <c r="B48" i="3"/>
  <c r="D48" i="3"/>
  <c r="H48" i="3"/>
  <c r="B49" i="3"/>
  <c r="D49" i="3"/>
  <c r="H49" i="3"/>
  <c r="K50" i="3"/>
  <c r="V50" i="3"/>
  <c r="W50" i="3"/>
  <c r="B51" i="3"/>
  <c r="D51" i="3"/>
  <c r="H51" i="3"/>
  <c r="S51" i="3"/>
  <c r="J51" i="3"/>
  <c r="K52" i="3"/>
  <c r="X52" i="3"/>
  <c r="V52" i="3"/>
  <c r="W52" i="3"/>
  <c r="Z52" i="3"/>
  <c r="B53" i="3"/>
  <c r="D53" i="3"/>
  <c r="K54" i="3"/>
  <c r="V54" i="3"/>
  <c r="B55" i="3"/>
  <c r="D55" i="3"/>
  <c r="H55" i="3"/>
  <c r="J55" i="3"/>
  <c r="Q55" i="3"/>
  <c r="S55" i="3"/>
  <c r="B56" i="3"/>
  <c r="D56" i="3"/>
  <c r="H56" i="3"/>
  <c r="Q56" i="3"/>
  <c r="B57" i="3"/>
  <c r="D57" i="3"/>
  <c r="B58" i="3"/>
  <c r="D58" i="3"/>
  <c r="H58" i="3"/>
  <c r="S58" i="3"/>
  <c r="B59" i="3"/>
  <c r="D59" i="3"/>
  <c r="B60" i="3"/>
  <c r="D60" i="3"/>
  <c r="H60" i="3"/>
  <c r="B61" i="3"/>
  <c r="D61" i="3"/>
  <c r="B62" i="3"/>
  <c r="D62" i="3"/>
  <c r="B63" i="3"/>
  <c r="D63" i="3"/>
  <c r="H63" i="3"/>
  <c r="O63" i="3"/>
  <c r="Q63" i="3"/>
  <c r="S63" i="3"/>
  <c r="B64" i="3"/>
  <c r="D64" i="3"/>
  <c r="H64" i="3"/>
  <c r="B65" i="3"/>
  <c r="D65" i="3"/>
  <c r="B66" i="3"/>
  <c r="D66" i="3"/>
  <c r="H66" i="3"/>
  <c r="B67" i="3"/>
  <c r="D67" i="3"/>
  <c r="H67" i="3"/>
  <c r="B68" i="3"/>
  <c r="D68" i="3"/>
  <c r="B69" i="3"/>
  <c r="D69" i="3"/>
  <c r="B70" i="3"/>
  <c r="D70" i="3"/>
  <c r="H70" i="3"/>
  <c r="B71" i="3"/>
  <c r="D71" i="3"/>
  <c r="B72" i="3"/>
  <c r="D72" i="3"/>
  <c r="B73" i="3"/>
  <c r="D73" i="3"/>
  <c r="H73" i="3"/>
  <c r="S73" i="3"/>
  <c r="B74" i="3"/>
  <c r="D74" i="3"/>
  <c r="B75" i="3"/>
  <c r="D75" i="3"/>
  <c r="L75" i="3"/>
  <c r="O75" i="3"/>
  <c r="B76" i="3"/>
  <c r="D76" i="3"/>
  <c r="H76" i="3"/>
  <c r="B77" i="3"/>
  <c r="D77" i="3"/>
  <c r="H77" i="3"/>
  <c r="S77" i="3"/>
  <c r="B78" i="3"/>
  <c r="D78" i="3"/>
  <c r="H78" i="3"/>
  <c r="Q78" i="3"/>
  <c r="S78" i="3"/>
  <c r="B79" i="3"/>
  <c r="D79" i="3"/>
  <c r="H79" i="3"/>
  <c r="J79" i="3"/>
  <c r="S79" i="3"/>
  <c r="B80" i="3"/>
  <c r="D80" i="3"/>
  <c r="H80" i="3"/>
  <c r="Q80" i="3"/>
  <c r="L80" i="3"/>
  <c r="B81" i="3"/>
  <c r="D81" i="3"/>
  <c r="H81" i="3"/>
  <c r="B82" i="3"/>
  <c r="D82" i="3"/>
  <c r="B83" i="3"/>
  <c r="D83" i="3"/>
  <c r="H83" i="3"/>
  <c r="O83" i="3"/>
  <c r="J83" i="3"/>
  <c r="L83" i="3"/>
  <c r="Q83" i="3"/>
  <c r="S83" i="3"/>
  <c r="B84" i="3"/>
  <c r="D84" i="3"/>
  <c r="B85" i="3"/>
  <c r="D85" i="3"/>
  <c r="B86" i="3"/>
  <c r="D86" i="3"/>
  <c r="B87" i="3"/>
  <c r="D87" i="3"/>
  <c r="B88" i="3"/>
  <c r="D88" i="3"/>
  <c r="H88" i="3"/>
  <c r="L88" i="3"/>
  <c r="B89" i="3"/>
  <c r="D89" i="3"/>
  <c r="B90" i="3"/>
  <c r="D90" i="3"/>
  <c r="B91" i="3"/>
  <c r="D91" i="3"/>
  <c r="B92" i="3"/>
  <c r="D92" i="3"/>
  <c r="H92" i="3"/>
  <c r="B93" i="3"/>
  <c r="D93" i="3"/>
  <c r="B94" i="3"/>
  <c r="D94" i="3"/>
  <c r="B95" i="3"/>
  <c r="D95" i="3"/>
  <c r="H95" i="3"/>
  <c r="J95" i="3"/>
  <c r="O95" i="3"/>
  <c r="Q95" i="3"/>
  <c r="S95" i="3"/>
  <c r="B96" i="3"/>
  <c r="D96" i="3"/>
  <c r="H96" i="3"/>
  <c r="B97" i="3"/>
  <c r="D97" i="3"/>
  <c r="H97" i="3"/>
  <c r="J97" i="3"/>
  <c r="B98" i="3"/>
  <c r="D98" i="3"/>
  <c r="H98" i="3"/>
  <c r="S98" i="3"/>
  <c r="B99" i="3"/>
  <c r="D99" i="3"/>
  <c r="H99" i="3"/>
  <c r="Q99" i="3"/>
  <c r="B100" i="3"/>
  <c r="D100" i="3"/>
  <c r="H100" i="3"/>
  <c r="O100" i="3"/>
  <c r="K101" i="3"/>
  <c r="B102" i="3"/>
  <c r="D102" i="3"/>
  <c r="H102" i="3"/>
  <c r="B103" i="3"/>
  <c r="D103" i="3"/>
  <c r="B104" i="3"/>
  <c r="D104" i="3"/>
  <c r="B105" i="3"/>
  <c r="D105" i="3"/>
  <c r="B106" i="3"/>
  <c r="D106" i="3"/>
  <c r="K107" i="3"/>
  <c r="B108" i="3"/>
  <c r="D108" i="3"/>
  <c r="K109" i="3"/>
  <c r="V109" i="3"/>
  <c r="B110" i="3"/>
  <c r="D110" i="3"/>
  <c r="H110" i="3"/>
  <c r="K111" i="3"/>
  <c r="V111" i="3"/>
  <c r="B112" i="3"/>
  <c r="D112" i="3"/>
  <c r="H112" i="3"/>
  <c r="B113" i="3"/>
  <c r="D113" i="3"/>
  <c r="B114" i="3"/>
  <c r="D114" i="3"/>
  <c r="H114" i="3"/>
  <c r="S114" i="3"/>
  <c r="J114" i="3"/>
  <c r="Q114" i="3"/>
  <c r="Q855" i="3"/>
  <c r="B115" i="3"/>
  <c r="D115" i="3"/>
  <c r="J115" i="3"/>
  <c r="O115" i="3"/>
  <c r="S115" i="3"/>
  <c r="B116" i="3"/>
  <c r="D116" i="3"/>
  <c r="H116" i="3"/>
  <c r="O116" i="3"/>
  <c r="O858" i="3"/>
  <c r="K117" i="3"/>
  <c r="X117" i="3"/>
  <c r="B118" i="3"/>
  <c r="D118" i="3"/>
  <c r="H118" i="3"/>
  <c r="J118" i="3"/>
  <c r="B119" i="3"/>
  <c r="D119" i="3"/>
  <c r="H119" i="3"/>
  <c r="L119" i="3"/>
  <c r="B120" i="3"/>
  <c r="D120" i="3"/>
  <c r="H120" i="3"/>
  <c r="B121" i="3"/>
  <c r="D121" i="3"/>
  <c r="H121" i="3"/>
  <c r="B122" i="3"/>
  <c r="D122" i="3"/>
  <c r="B123" i="3"/>
  <c r="D123" i="3"/>
  <c r="H123" i="3"/>
  <c r="K124" i="3"/>
  <c r="V124" i="3"/>
  <c r="B125" i="3"/>
  <c r="D125" i="3"/>
  <c r="H125" i="3"/>
  <c r="Q125" i="3"/>
  <c r="B126" i="3"/>
  <c r="D126" i="3"/>
  <c r="B127" i="3"/>
  <c r="D127" i="3"/>
  <c r="B128" i="3"/>
  <c r="D128" i="3"/>
  <c r="B129" i="3"/>
  <c r="D129" i="3"/>
  <c r="K130" i="3"/>
  <c r="V130" i="3"/>
  <c r="B131" i="3"/>
  <c r="D131" i="3"/>
  <c r="H131" i="3"/>
  <c r="K132" i="3"/>
  <c r="V132" i="3"/>
  <c r="W132" i="3"/>
  <c r="Z132" i="3"/>
  <c r="X132" i="3"/>
  <c r="B133" i="3"/>
  <c r="D133" i="3"/>
  <c r="H133" i="3"/>
  <c r="K134" i="3"/>
  <c r="X134" i="3"/>
  <c r="V134" i="3"/>
  <c r="W134" i="3"/>
  <c r="B135" i="3"/>
  <c r="D135" i="3"/>
  <c r="H135" i="3"/>
  <c r="Q135" i="3"/>
  <c r="B136" i="3"/>
  <c r="D136" i="3"/>
  <c r="H136" i="3"/>
  <c r="B137" i="3"/>
  <c r="D137" i="3"/>
  <c r="Y137" i="3"/>
  <c r="Y819" i="3"/>
  <c r="K138" i="3"/>
  <c r="B139" i="3"/>
  <c r="D139" i="3"/>
  <c r="K140" i="3"/>
  <c r="B141" i="3"/>
  <c r="D141" i="3"/>
  <c r="K142" i="3"/>
  <c r="X142" i="3"/>
  <c r="B143" i="3"/>
  <c r="D143" i="3"/>
  <c r="H143" i="3"/>
  <c r="B144" i="3"/>
  <c r="D144" i="3"/>
  <c r="H144" i="3"/>
  <c r="J144" i="3"/>
  <c r="O144" i="3"/>
  <c r="Q144" i="3"/>
  <c r="B145" i="3"/>
  <c r="D145" i="3"/>
  <c r="B146" i="3"/>
  <c r="D146" i="3"/>
  <c r="H146" i="3"/>
  <c r="S146" i="3"/>
  <c r="B147" i="3"/>
  <c r="D147" i="3"/>
  <c r="B148" i="3"/>
  <c r="D148" i="3"/>
  <c r="H148" i="3"/>
  <c r="B149" i="3"/>
  <c r="D149" i="3"/>
  <c r="H149" i="3"/>
  <c r="O149" i="3"/>
  <c r="Q149" i="3"/>
  <c r="B150" i="3"/>
  <c r="D150" i="3"/>
  <c r="B151" i="3"/>
  <c r="D151" i="3"/>
  <c r="H151" i="3"/>
  <c r="S151" i="3"/>
  <c r="B152" i="3"/>
  <c r="D152" i="3"/>
  <c r="H152" i="3"/>
  <c r="B153" i="3"/>
  <c r="D153" i="3"/>
  <c r="B154" i="3"/>
  <c r="D154" i="3"/>
  <c r="H154" i="3"/>
  <c r="S154" i="3"/>
  <c r="B155" i="3"/>
  <c r="D155" i="3"/>
  <c r="H155" i="3"/>
  <c r="S155" i="3"/>
  <c r="J155" i="3"/>
  <c r="Q155" i="3"/>
  <c r="B156" i="3"/>
  <c r="D156" i="3"/>
  <c r="H156" i="3"/>
  <c r="O156" i="3"/>
  <c r="B157" i="3"/>
  <c r="D157" i="3"/>
  <c r="H157" i="3"/>
  <c r="B158" i="3"/>
  <c r="D158" i="3"/>
  <c r="H158" i="3"/>
  <c r="S158" i="3"/>
  <c r="B159" i="3"/>
  <c r="D159" i="3"/>
  <c r="H159" i="3"/>
  <c r="S159" i="3"/>
  <c r="B160" i="3"/>
  <c r="D160" i="3"/>
  <c r="B161" i="3"/>
  <c r="D161" i="3"/>
  <c r="H161" i="3"/>
  <c r="Q161" i="3"/>
  <c r="B162" i="3"/>
  <c r="D162" i="3"/>
  <c r="B163" i="3"/>
  <c r="D163" i="3"/>
  <c r="B164" i="3"/>
  <c r="D164" i="3"/>
  <c r="B165" i="3"/>
  <c r="D165" i="3"/>
  <c r="B166" i="3"/>
  <c r="D166" i="3"/>
  <c r="B167" i="3"/>
  <c r="D167" i="3"/>
  <c r="H167" i="3"/>
  <c r="B168" i="3"/>
  <c r="D168" i="3"/>
  <c r="B169" i="3"/>
  <c r="D169" i="3"/>
  <c r="H169" i="3"/>
  <c r="L169" i="3"/>
  <c r="O169" i="3"/>
  <c r="Q169" i="3"/>
  <c r="B170" i="3"/>
  <c r="D170" i="3"/>
  <c r="H170" i="3"/>
  <c r="B171" i="3"/>
  <c r="D171" i="3"/>
  <c r="H171" i="3"/>
  <c r="S171" i="3"/>
  <c r="Q171" i="3"/>
  <c r="K172" i="3"/>
  <c r="V172" i="3"/>
  <c r="B173" i="3"/>
  <c r="D173" i="3"/>
  <c r="H173" i="3"/>
  <c r="B174" i="3"/>
  <c r="D174" i="3"/>
  <c r="B175" i="3"/>
  <c r="D175" i="3"/>
  <c r="H175" i="3"/>
  <c r="Q175" i="3"/>
  <c r="B176" i="3"/>
  <c r="D176" i="3"/>
  <c r="H176" i="3"/>
  <c r="O176" i="3"/>
  <c r="K177" i="3"/>
  <c r="V177" i="3"/>
  <c r="B178" i="3"/>
  <c r="D178" i="3"/>
  <c r="H178" i="3"/>
  <c r="O178" i="3"/>
  <c r="K179" i="3"/>
  <c r="X179" i="3"/>
  <c r="B180" i="3"/>
  <c r="D180" i="3"/>
  <c r="H180" i="3"/>
  <c r="H179" i="3"/>
  <c r="B181" i="3"/>
  <c r="D181" i="3"/>
  <c r="H181" i="3"/>
  <c r="Q181" i="3"/>
  <c r="O181" i="3"/>
  <c r="K182" i="3"/>
  <c r="V182" i="3"/>
  <c r="B183" i="3"/>
  <c r="D183" i="3"/>
  <c r="B184" i="3"/>
  <c r="D184" i="3"/>
  <c r="H184" i="3"/>
  <c r="Q184" i="3"/>
  <c r="B185" i="3"/>
  <c r="D185" i="3"/>
  <c r="K186" i="3"/>
  <c r="V186" i="3"/>
  <c r="X186" i="3"/>
  <c r="B187" i="3"/>
  <c r="D187" i="3"/>
  <c r="B188" i="3"/>
  <c r="D188" i="3"/>
  <c r="B189" i="3"/>
  <c r="D189" i="3"/>
  <c r="B190" i="3"/>
  <c r="D190" i="3"/>
  <c r="H190" i="3"/>
  <c r="B191" i="3"/>
  <c r="D191" i="3"/>
  <c r="H191" i="3"/>
  <c r="B192" i="3"/>
  <c r="D192" i="3"/>
  <c r="H192" i="3"/>
  <c r="Q192" i="3"/>
  <c r="L192" i="3"/>
  <c r="B193" i="3"/>
  <c r="D193" i="3"/>
  <c r="H193" i="3"/>
  <c r="Q193" i="3"/>
  <c r="S193" i="3"/>
  <c r="K194" i="3"/>
  <c r="X194" i="3"/>
  <c r="V194" i="3"/>
  <c r="B195" i="3"/>
  <c r="D195" i="3"/>
  <c r="H195" i="3"/>
  <c r="L195" i="3"/>
  <c r="Q195" i="3"/>
  <c r="K196" i="3"/>
  <c r="B197" i="3"/>
  <c r="D197" i="3"/>
  <c r="H197" i="3"/>
  <c r="O197" i="3"/>
  <c r="J197" i="3"/>
  <c r="Q197" i="3"/>
  <c r="H198" i="3"/>
  <c r="K198" i="3"/>
  <c r="V198" i="3"/>
  <c r="B199" i="3"/>
  <c r="D199" i="3"/>
  <c r="H199" i="3"/>
  <c r="S199" i="3"/>
  <c r="Q199" i="3"/>
  <c r="K200" i="3"/>
  <c r="V200" i="3"/>
  <c r="W200" i="3"/>
  <c r="AB217" i="3"/>
  <c r="X200" i="3"/>
  <c r="B201" i="3"/>
  <c r="D201" i="3"/>
  <c r="B202" i="3"/>
  <c r="D202" i="3"/>
  <c r="B203" i="3"/>
  <c r="D203" i="3"/>
  <c r="B204" i="3"/>
  <c r="D204" i="3"/>
  <c r="H204" i="3"/>
  <c r="B205" i="3"/>
  <c r="D205" i="3"/>
  <c r="H205" i="3"/>
  <c r="Q205" i="3"/>
  <c r="O205" i="3"/>
  <c r="S205" i="3"/>
  <c r="B206" i="3"/>
  <c r="D206" i="3"/>
  <c r="H206" i="3"/>
  <c r="S206" i="3"/>
  <c r="B207" i="3"/>
  <c r="D207" i="3"/>
  <c r="B208" i="3"/>
  <c r="D208" i="3"/>
  <c r="H208" i="3"/>
  <c r="O208" i="3"/>
  <c r="L208" i="3"/>
  <c r="B209" i="3"/>
  <c r="D209" i="3"/>
  <c r="H209" i="3"/>
  <c r="S209" i="3"/>
  <c r="B210" i="3"/>
  <c r="D210" i="3"/>
  <c r="B211" i="3"/>
  <c r="D211" i="3"/>
  <c r="H211" i="3"/>
  <c r="O211" i="3"/>
  <c r="Q211" i="3"/>
  <c r="B212" i="3"/>
  <c r="D212" i="3"/>
  <c r="B213" i="3"/>
  <c r="D213" i="3"/>
  <c r="H213" i="3"/>
  <c r="B214" i="3"/>
  <c r="D214" i="3"/>
  <c r="B215" i="3"/>
  <c r="D215" i="3"/>
  <c r="B216" i="3"/>
  <c r="D216" i="3"/>
  <c r="B217" i="3"/>
  <c r="D217" i="3"/>
  <c r="H217" i="3"/>
  <c r="O217" i="3"/>
  <c r="Q217" i="3"/>
  <c r="B218" i="3"/>
  <c r="D218" i="3"/>
  <c r="H218" i="3"/>
  <c r="S218" i="3"/>
  <c r="J218" i="3"/>
  <c r="Q218" i="3"/>
  <c r="K219" i="3"/>
  <c r="V219" i="3"/>
  <c r="X219" i="3"/>
  <c r="B220" i="3"/>
  <c r="D220" i="3"/>
  <c r="K221" i="3"/>
  <c r="B222" i="3"/>
  <c r="D222" i="3"/>
  <c r="H222" i="3"/>
  <c r="Q222" i="3"/>
  <c r="O222" i="3"/>
  <c r="L222" i="3"/>
  <c r="B223" i="3"/>
  <c r="D223" i="3"/>
  <c r="B224" i="3"/>
  <c r="D224" i="3"/>
  <c r="H224" i="3"/>
  <c r="B225" i="3"/>
  <c r="D225" i="3"/>
  <c r="H225" i="3"/>
  <c r="B226" i="3"/>
  <c r="D226" i="3"/>
  <c r="B227" i="3"/>
  <c r="D227" i="3"/>
  <c r="B228" i="3"/>
  <c r="D228" i="3"/>
  <c r="B229" i="3"/>
  <c r="D229" i="3"/>
  <c r="B230" i="3"/>
  <c r="D230" i="3"/>
  <c r="B231" i="3"/>
  <c r="D231" i="3"/>
  <c r="H231" i="3"/>
  <c r="S231" i="3"/>
  <c r="Q231" i="3"/>
  <c r="B232" i="3"/>
  <c r="D232" i="3"/>
  <c r="H232" i="3"/>
  <c r="B233" i="3"/>
  <c r="D233" i="3"/>
  <c r="B234" i="3"/>
  <c r="D234" i="3"/>
  <c r="H234" i="3"/>
  <c r="Q234" i="3"/>
  <c r="B235" i="3"/>
  <c r="D235" i="3"/>
  <c r="B236" i="3"/>
  <c r="D236" i="3"/>
  <c r="B237" i="3"/>
  <c r="D237" i="3"/>
  <c r="B238" i="3"/>
  <c r="D238" i="3"/>
  <c r="B239" i="3"/>
  <c r="D239" i="3"/>
  <c r="B240" i="3"/>
  <c r="D240" i="3"/>
  <c r="B241" i="3"/>
  <c r="D241" i="3"/>
  <c r="B242" i="3"/>
  <c r="D242" i="3"/>
  <c r="B243" i="3"/>
  <c r="D243" i="3"/>
  <c r="H243" i="3"/>
  <c r="S243" i="3"/>
  <c r="B244" i="3"/>
  <c r="D244" i="3"/>
  <c r="B245" i="3"/>
  <c r="D245" i="3"/>
  <c r="H245" i="3"/>
  <c r="Q245" i="3"/>
  <c r="B246" i="3"/>
  <c r="D246" i="3"/>
  <c r="H246" i="3"/>
  <c r="B247" i="3"/>
  <c r="D247" i="3"/>
  <c r="B248" i="3"/>
  <c r="D248" i="3"/>
  <c r="B249" i="3"/>
  <c r="D249" i="3"/>
  <c r="B250" i="3"/>
  <c r="D250" i="3"/>
  <c r="H250" i="3"/>
  <c r="Q250" i="3"/>
  <c r="O250" i="3"/>
  <c r="B251" i="3"/>
  <c r="D251" i="3"/>
  <c r="H251" i="3"/>
  <c r="S251" i="3"/>
  <c r="B252" i="3"/>
  <c r="D252" i="3"/>
  <c r="B253" i="3"/>
  <c r="D253" i="3"/>
  <c r="H253" i="3"/>
  <c r="Q253" i="3"/>
  <c r="O253" i="3"/>
  <c r="J253" i="3"/>
  <c r="S253" i="3"/>
  <c r="B254" i="3"/>
  <c r="D254" i="3"/>
  <c r="H254" i="3"/>
  <c r="B255" i="3"/>
  <c r="D255" i="3"/>
  <c r="H255" i="3"/>
  <c r="S255" i="3"/>
  <c r="B256" i="3"/>
  <c r="D256" i="3"/>
  <c r="H256" i="3"/>
  <c r="B257" i="3"/>
  <c r="D257" i="3"/>
  <c r="H257" i="3"/>
  <c r="J257" i="3"/>
  <c r="O257" i="3"/>
  <c r="S257" i="3"/>
  <c r="B258" i="3"/>
  <c r="D258" i="3"/>
  <c r="H258" i="3"/>
  <c r="O258" i="3"/>
  <c r="B259" i="3"/>
  <c r="D259" i="3"/>
  <c r="B260" i="3"/>
  <c r="D260" i="3"/>
  <c r="B261" i="3"/>
  <c r="D261" i="3"/>
  <c r="K262" i="3"/>
  <c r="B263" i="3"/>
  <c r="D263" i="3"/>
  <c r="B264" i="3"/>
  <c r="D264" i="3"/>
  <c r="H264" i="3"/>
  <c r="S264" i="3"/>
  <c r="B265" i="3"/>
  <c r="D265" i="3"/>
  <c r="K266" i="3"/>
  <c r="B267" i="3"/>
  <c r="D267" i="3"/>
  <c r="H267" i="3"/>
  <c r="O267" i="3"/>
  <c r="K268" i="3"/>
  <c r="B269" i="3"/>
  <c r="D269" i="3"/>
  <c r="H269" i="3"/>
  <c r="B270" i="3"/>
  <c r="D270" i="3"/>
  <c r="H270" i="3"/>
  <c r="B271" i="3"/>
  <c r="D271" i="3"/>
  <c r="B272" i="3"/>
  <c r="D272" i="3"/>
  <c r="B273" i="3"/>
  <c r="D273" i="3"/>
  <c r="H273" i="3"/>
  <c r="B274" i="3"/>
  <c r="D274" i="3"/>
  <c r="H274" i="3"/>
  <c r="K275" i="3"/>
  <c r="B276" i="3"/>
  <c r="D276" i="3"/>
  <c r="H276" i="3"/>
  <c r="Q276" i="3"/>
  <c r="B277" i="3"/>
  <c r="D277" i="3"/>
  <c r="H277" i="3"/>
  <c r="Q277" i="3"/>
  <c r="J277" i="3"/>
  <c r="O277" i="3"/>
  <c r="S277" i="3"/>
  <c r="B278" i="3"/>
  <c r="D278" i="3"/>
  <c r="B279" i="3"/>
  <c r="D279" i="3"/>
  <c r="H279" i="3"/>
  <c r="S279" i="3"/>
  <c r="B280" i="3"/>
  <c r="D280" i="3"/>
  <c r="H280" i="3"/>
  <c r="S280" i="3"/>
  <c r="K281" i="3"/>
  <c r="V281" i="3"/>
  <c r="W281" i="3"/>
  <c r="B282" i="3"/>
  <c r="D282" i="3"/>
  <c r="B283" i="3"/>
  <c r="D283" i="3"/>
  <c r="H283" i="3"/>
  <c r="B284" i="3"/>
  <c r="D284" i="3"/>
  <c r="H284" i="3"/>
  <c r="L284" i="3"/>
  <c r="S284" i="3"/>
  <c r="K285" i="3"/>
  <c r="B286" i="3"/>
  <c r="D286" i="3"/>
  <c r="B287" i="3"/>
  <c r="D287" i="3"/>
  <c r="H287" i="3"/>
  <c r="O287" i="3"/>
  <c r="B288" i="3"/>
  <c r="D288" i="3"/>
  <c r="H288" i="3"/>
  <c r="Q288" i="3"/>
  <c r="O288" i="3"/>
  <c r="K289" i="3"/>
  <c r="V289" i="3"/>
  <c r="B290" i="3"/>
  <c r="D290" i="3"/>
  <c r="B291" i="3"/>
  <c r="D291" i="3"/>
  <c r="K292" i="3"/>
  <c r="X292" i="3"/>
  <c r="B293" i="3"/>
  <c r="D293" i="3"/>
  <c r="K294" i="3"/>
  <c r="X294" i="3"/>
  <c r="V294" i="3"/>
  <c r="B295" i="3"/>
  <c r="D295" i="3"/>
  <c r="B296" i="3"/>
  <c r="D296" i="3"/>
  <c r="H296" i="3"/>
  <c r="O296" i="3"/>
  <c r="Q296" i="3"/>
  <c r="J296" i="3"/>
  <c r="S296" i="3"/>
  <c r="B297" i="3"/>
  <c r="D297" i="3"/>
  <c r="B298" i="3"/>
  <c r="D298" i="3"/>
  <c r="B299" i="3"/>
  <c r="D299" i="3"/>
  <c r="B300" i="3"/>
  <c r="D300" i="3"/>
  <c r="H300" i="3"/>
  <c r="B301" i="3"/>
  <c r="D301" i="3"/>
  <c r="H301" i="3"/>
  <c r="O301" i="3"/>
  <c r="B302" i="3"/>
  <c r="D302" i="3"/>
  <c r="B303" i="3"/>
  <c r="D303" i="3"/>
  <c r="H303" i="3"/>
  <c r="B304" i="3"/>
  <c r="D304" i="3"/>
  <c r="H304" i="3"/>
  <c r="O304" i="3"/>
  <c r="J304" i="3"/>
  <c r="L304" i="3"/>
  <c r="Q304" i="3"/>
  <c r="S304" i="3"/>
  <c r="K305" i="3"/>
  <c r="V305" i="3"/>
  <c r="B306" i="3"/>
  <c r="D306" i="3"/>
  <c r="K307" i="3"/>
  <c r="B308" i="3"/>
  <c r="D308" i="3"/>
  <c r="H308" i="3"/>
  <c r="J308" i="3"/>
  <c r="B309" i="3"/>
  <c r="D309" i="3"/>
  <c r="B310" i="3"/>
  <c r="D310" i="3"/>
  <c r="B311" i="3"/>
  <c r="D311" i="3"/>
  <c r="B312" i="3"/>
  <c r="D312" i="3"/>
  <c r="B313" i="3"/>
  <c r="D313" i="3"/>
  <c r="K314" i="3"/>
  <c r="V314" i="3"/>
  <c r="W314" i="3"/>
  <c r="X314" i="3"/>
  <c r="Y316" i="3"/>
  <c r="B315" i="3"/>
  <c r="D315" i="3"/>
  <c r="H315" i="3"/>
  <c r="J315" i="3"/>
  <c r="O315" i="3"/>
  <c r="B316" i="3"/>
  <c r="D316" i="3"/>
  <c r="H316" i="3"/>
  <c r="J316" i="3"/>
  <c r="B317" i="3"/>
  <c r="D317" i="3"/>
  <c r="B318" i="3"/>
  <c r="D318" i="3"/>
  <c r="H318" i="3"/>
  <c r="B319" i="3"/>
  <c r="D319" i="3"/>
  <c r="H319" i="3"/>
  <c r="J319" i="3"/>
  <c r="S319" i="3"/>
  <c r="O319" i="3"/>
  <c r="K320" i="3"/>
  <c r="X320" i="3"/>
  <c r="V320" i="3"/>
  <c r="W320" i="3"/>
  <c r="Z320" i="3"/>
  <c r="B321" i="3"/>
  <c r="D321" i="3"/>
  <c r="B322" i="3"/>
  <c r="D322" i="3"/>
  <c r="H322" i="3"/>
  <c r="K323" i="3"/>
  <c r="B324" i="3"/>
  <c r="D324" i="3"/>
  <c r="H324" i="3"/>
  <c r="O324" i="3"/>
  <c r="O824" i="3"/>
  <c r="L324" i="3"/>
  <c r="B325" i="3"/>
  <c r="D325" i="3"/>
  <c r="H325" i="3"/>
  <c r="J325" i="3"/>
  <c r="B326" i="3"/>
  <c r="D326" i="3"/>
  <c r="H326" i="3"/>
  <c r="S326" i="3"/>
  <c r="K327" i="3"/>
  <c r="B328" i="3"/>
  <c r="D328" i="3"/>
  <c r="H328" i="3"/>
  <c r="O328" i="3"/>
  <c r="B329" i="3"/>
  <c r="D329" i="3"/>
  <c r="H329" i="3"/>
  <c r="S329" i="3"/>
  <c r="J329" i="3"/>
  <c r="Q329" i="3"/>
  <c r="B330" i="3"/>
  <c r="D330" i="3"/>
  <c r="H330" i="3"/>
  <c r="K331" i="3"/>
  <c r="V331" i="3"/>
  <c r="B332" i="3"/>
  <c r="D332" i="3"/>
  <c r="H332" i="3"/>
  <c r="S332" i="3"/>
  <c r="K333" i="3"/>
  <c r="V333" i="3"/>
  <c r="B334" i="3"/>
  <c r="D334" i="3"/>
  <c r="H334" i="3"/>
  <c r="K335" i="3"/>
  <c r="X335" i="3"/>
  <c r="B336" i="3"/>
  <c r="D336" i="3"/>
  <c r="H336" i="3"/>
  <c r="K337" i="3"/>
  <c r="V337" i="3"/>
  <c r="B338" i="3"/>
  <c r="D338" i="3"/>
  <c r="B339" i="3"/>
  <c r="D339" i="3"/>
  <c r="H339" i="3"/>
  <c r="Q339" i="3"/>
  <c r="B340" i="3"/>
  <c r="D340" i="3"/>
  <c r="H340" i="3"/>
  <c r="K341" i="3"/>
  <c r="X341" i="3"/>
  <c r="V341" i="3"/>
  <c r="W341" i="3"/>
  <c r="Z341" i="3"/>
  <c r="B342" i="3"/>
  <c r="D342" i="3"/>
  <c r="K343" i="3"/>
  <c r="V343" i="3"/>
  <c r="B344" i="3"/>
  <c r="D344" i="3"/>
  <c r="K345" i="3"/>
  <c r="V345" i="3"/>
  <c r="W345" i="3"/>
  <c r="B346" i="3"/>
  <c r="D346" i="3"/>
  <c r="K347" i="3"/>
  <c r="V347" i="3"/>
  <c r="X347" i="3"/>
  <c r="B348" i="3"/>
  <c r="D348" i="3"/>
  <c r="H348" i="3"/>
  <c r="S348" i="3"/>
  <c r="K349" i="3"/>
  <c r="X349" i="3"/>
  <c r="B350" i="3"/>
  <c r="D350" i="3"/>
  <c r="B351" i="3"/>
  <c r="D351" i="3"/>
  <c r="H351" i="3"/>
  <c r="J351" i="3"/>
  <c r="B352" i="3"/>
  <c r="D352" i="3"/>
  <c r="H352" i="3"/>
  <c r="S352" i="3"/>
  <c r="K353" i="3"/>
  <c r="V353" i="3"/>
  <c r="W353" i="3"/>
  <c r="B354" i="3"/>
  <c r="D354" i="3"/>
  <c r="H354" i="3"/>
  <c r="B355" i="3"/>
  <c r="D355" i="3"/>
  <c r="H355" i="3"/>
  <c r="L355" i="3"/>
  <c r="Q355" i="3"/>
  <c r="S355" i="3"/>
  <c r="B356" i="3"/>
  <c r="D356" i="3"/>
  <c r="B357" i="3"/>
  <c r="D357" i="3"/>
  <c r="H357" i="3"/>
  <c r="B358" i="3"/>
  <c r="D358" i="3"/>
  <c r="B359" i="3"/>
  <c r="D359" i="3"/>
  <c r="H359" i="3"/>
  <c r="Q359" i="3"/>
  <c r="S359" i="3"/>
  <c r="B360" i="3"/>
  <c r="D360" i="3"/>
  <c r="Q360" i="3"/>
  <c r="B361" i="3"/>
  <c r="D361" i="3"/>
  <c r="O361" i="3"/>
  <c r="B362" i="3"/>
  <c r="D362" i="3"/>
  <c r="H362" i="3"/>
  <c r="S362" i="3"/>
  <c r="Q362" i="3"/>
  <c r="B363" i="3"/>
  <c r="D363" i="3"/>
  <c r="H363" i="3"/>
  <c r="B364" i="3"/>
  <c r="D364" i="3"/>
  <c r="B365" i="3"/>
  <c r="D365" i="3"/>
  <c r="H365" i="3"/>
  <c r="B366" i="3"/>
  <c r="D366" i="3"/>
  <c r="H366" i="3"/>
  <c r="O366" i="3"/>
  <c r="S366" i="3"/>
  <c r="B367" i="3"/>
  <c r="D367" i="3"/>
  <c r="B368" i="3"/>
  <c r="D368" i="3"/>
  <c r="B369" i="3"/>
  <c r="D369" i="3"/>
  <c r="H369" i="3"/>
  <c r="B370" i="3"/>
  <c r="D370" i="3"/>
  <c r="H370" i="3"/>
  <c r="S370" i="3"/>
  <c r="B371" i="3"/>
  <c r="D371" i="3"/>
  <c r="B372" i="3"/>
  <c r="D372" i="3"/>
  <c r="H372" i="3"/>
  <c r="Q372" i="3"/>
  <c r="B373" i="3"/>
  <c r="D373" i="3"/>
  <c r="B374" i="3"/>
  <c r="D374" i="3"/>
  <c r="B375" i="3"/>
  <c r="D375" i="3"/>
  <c r="H375" i="3"/>
  <c r="B376" i="3"/>
  <c r="D376" i="3"/>
  <c r="H376" i="3"/>
  <c r="O376" i="3"/>
  <c r="Q376" i="3"/>
  <c r="B377" i="3"/>
  <c r="D377" i="3"/>
  <c r="H377" i="3"/>
  <c r="B378" i="3"/>
  <c r="D378" i="3"/>
  <c r="H378" i="3"/>
  <c r="J378" i="3"/>
  <c r="B379" i="3"/>
  <c r="D379" i="3"/>
  <c r="H379" i="3"/>
  <c r="L379" i="3"/>
  <c r="B380" i="3"/>
  <c r="D380" i="3"/>
  <c r="H380" i="3"/>
  <c r="B381" i="3"/>
  <c r="D381" i="3"/>
  <c r="H381" i="3"/>
  <c r="L381" i="3"/>
  <c r="B382" i="3"/>
  <c r="D382" i="3"/>
  <c r="H382" i="3"/>
  <c r="B383" i="3"/>
  <c r="D383" i="3"/>
  <c r="H383" i="3"/>
  <c r="B384" i="3"/>
  <c r="D384" i="3"/>
  <c r="H384" i="3"/>
  <c r="B385" i="3"/>
  <c r="D385" i="3"/>
  <c r="B386" i="3"/>
  <c r="D386" i="3"/>
  <c r="B387" i="3"/>
  <c r="D387" i="3"/>
  <c r="B388" i="3"/>
  <c r="D388" i="3"/>
  <c r="H388" i="3"/>
  <c r="B389" i="3"/>
  <c r="D389" i="3"/>
  <c r="B390" i="3"/>
  <c r="D390" i="3"/>
  <c r="B391" i="3"/>
  <c r="D391" i="3"/>
  <c r="B392" i="3"/>
  <c r="D392" i="3"/>
  <c r="H392" i="3"/>
  <c r="J392" i="3"/>
  <c r="B393" i="3"/>
  <c r="D393" i="3"/>
  <c r="B394" i="3"/>
  <c r="D394" i="3"/>
  <c r="B395" i="3"/>
  <c r="D395" i="3"/>
  <c r="H395" i="3"/>
  <c r="S395" i="3"/>
  <c r="L395" i="3"/>
  <c r="B396" i="3"/>
  <c r="D396" i="3"/>
  <c r="H396" i="3"/>
  <c r="O396" i="3"/>
  <c r="J396" i="3"/>
  <c r="L396" i="3"/>
  <c r="Q396" i="3"/>
  <c r="S396" i="3"/>
  <c r="B397" i="3"/>
  <c r="D397" i="3"/>
  <c r="H397" i="3"/>
  <c r="Q397" i="3"/>
  <c r="B398" i="3"/>
  <c r="D398" i="3"/>
  <c r="H398" i="3"/>
  <c r="O398" i="3"/>
  <c r="S398" i="3"/>
  <c r="B399" i="3"/>
  <c r="D399" i="3"/>
  <c r="H399" i="3"/>
  <c r="S399" i="3"/>
  <c r="B400" i="3"/>
  <c r="D400" i="3"/>
  <c r="H400" i="3"/>
  <c r="Q400" i="3"/>
  <c r="K401" i="3"/>
  <c r="X401" i="3"/>
  <c r="B402" i="3"/>
  <c r="D402" i="3"/>
  <c r="B403" i="3"/>
  <c r="D403" i="3"/>
  <c r="B404" i="3"/>
  <c r="D404" i="3"/>
  <c r="B405" i="3"/>
  <c r="D405" i="3"/>
  <c r="H405" i="3"/>
  <c r="Q405" i="3"/>
  <c r="B406" i="3"/>
  <c r="D406" i="3"/>
  <c r="H406" i="3"/>
  <c r="B407" i="3"/>
  <c r="D407" i="3"/>
  <c r="H407" i="3"/>
  <c r="B408" i="3"/>
  <c r="D408" i="3"/>
  <c r="B409" i="3"/>
  <c r="D409" i="3"/>
  <c r="H409" i="3"/>
  <c r="B410" i="3"/>
  <c r="D410" i="3"/>
  <c r="H410" i="3"/>
  <c r="B411" i="3"/>
  <c r="D411" i="3"/>
  <c r="H411" i="3"/>
  <c r="Q411" i="3"/>
  <c r="B412" i="3"/>
  <c r="D412" i="3"/>
  <c r="H412" i="3"/>
  <c r="B413" i="3"/>
  <c r="D413" i="3"/>
  <c r="B414" i="3"/>
  <c r="D414" i="3"/>
  <c r="H414" i="3"/>
  <c r="Q414" i="3"/>
  <c r="L414" i="3"/>
  <c r="B415" i="3"/>
  <c r="D415" i="3"/>
  <c r="B416" i="3"/>
  <c r="D416" i="3"/>
  <c r="B417" i="3"/>
  <c r="D417" i="3"/>
  <c r="B418" i="3"/>
  <c r="D418" i="3"/>
  <c r="H418" i="3"/>
  <c r="L418" i="3"/>
  <c r="B419" i="3"/>
  <c r="D419" i="3"/>
  <c r="H419" i="3"/>
  <c r="O419" i="3"/>
  <c r="B420" i="3"/>
  <c r="D420" i="3"/>
  <c r="B421" i="3"/>
  <c r="D421" i="3"/>
  <c r="B422" i="3"/>
  <c r="D422" i="3"/>
  <c r="K423" i="3"/>
  <c r="X423" i="3"/>
  <c r="B424" i="3"/>
  <c r="D424" i="3"/>
  <c r="K425" i="3"/>
  <c r="V425" i="3"/>
  <c r="B426" i="3"/>
  <c r="D426" i="3"/>
  <c r="K427" i="3"/>
  <c r="V427" i="3"/>
  <c r="B428" i="3"/>
  <c r="D428" i="3"/>
  <c r="H428" i="3"/>
  <c r="S428" i="3"/>
  <c r="Q428" i="3"/>
  <c r="B429" i="3"/>
  <c r="D429" i="3"/>
  <c r="H429" i="3"/>
  <c r="J430" i="3"/>
  <c r="K430" i="3"/>
  <c r="V430" i="3"/>
  <c r="Q430" i="3"/>
  <c r="S430" i="3"/>
  <c r="B431" i="3"/>
  <c r="D431" i="3"/>
  <c r="J431" i="3"/>
  <c r="O431" i="3"/>
  <c r="Q431" i="3"/>
  <c r="S431" i="3"/>
  <c r="K432" i="3"/>
  <c r="V432" i="3"/>
  <c r="X432" i="3"/>
  <c r="B433" i="3"/>
  <c r="D433" i="3"/>
  <c r="K434" i="3"/>
  <c r="B435" i="3"/>
  <c r="D435" i="3"/>
  <c r="K436" i="3"/>
  <c r="B437" i="3"/>
  <c r="D437" i="3"/>
  <c r="H437" i="3"/>
  <c r="Q437" i="3"/>
  <c r="K438" i="3"/>
  <c r="X438" i="3"/>
  <c r="B439" i="3"/>
  <c r="D439" i="3"/>
  <c r="H439" i="3"/>
  <c r="O439" i="3"/>
  <c r="K440" i="3"/>
  <c r="X440" i="3"/>
  <c r="B441" i="3"/>
  <c r="D441" i="3"/>
  <c r="H441" i="3"/>
  <c r="K442" i="3"/>
  <c r="B443" i="3"/>
  <c r="D443" i="3"/>
  <c r="H443" i="3"/>
  <c r="K444" i="3"/>
  <c r="V444" i="3"/>
  <c r="B445" i="3"/>
  <c r="D445" i="3"/>
  <c r="K446" i="3"/>
  <c r="B447" i="3"/>
  <c r="D447" i="3"/>
  <c r="H447" i="3"/>
  <c r="Q447" i="3"/>
  <c r="K448" i="3"/>
  <c r="X448" i="3"/>
  <c r="B449" i="3"/>
  <c r="D449" i="3"/>
  <c r="H449" i="3"/>
  <c r="J449" i="3"/>
  <c r="H448" i="3"/>
  <c r="Q449" i="3"/>
  <c r="S449" i="3"/>
  <c r="K450" i="3"/>
  <c r="V450" i="3"/>
  <c r="W450" i="3"/>
  <c r="X450" i="3"/>
  <c r="B451" i="3"/>
  <c r="D451" i="3"/>
  <c r="H451" i="3"/>
  <c r="O451" i="3"/>
  <c r="B452" i="3"/>
  <c r="D452" i="3"/>
  <c r="B453" i="3"/>
  <c r="D453" i="3"/>
  <c r="H453" i="3"/>
  <c r="Q453" i="3"/>
  <c r="B454" i="3"/>
  <c r="D454" i="3"/>
  <c r="H454" i="3"/>
  <c r="J454" i="3"/>
  <c r="B455" i="3"/>
  <c r="D455" i="3"/>
  <c r="B456" i="3"/>
  <c r="D456" i="3"/>
  <c r="H456" i="3"/>
  <c r="B457" i="3"/>
  <c r="D457" i="3"/>
  <c r="B458" i="3"/>
  <c r="D458" i="3"/>
  <c r="B459" i="3"/>
  <c r="D459" i="3"/>
  <c r="B460" i="3"/>
  <c r="D460" i="3"/>
  <c r="B461" i="3"/>
  <c r="D461" i="3"/>
  <c r="B462" i="3"/>
  <c r="D462" i="3"/>
  <c r="H462" i="3"/>
  <c r="Q462" i="3"/>
  <c r="O462" i="3"/>
  <c r="B463" i="3"/>
  <c r="D463" i="3"/>
  <c r="B464" i="3"/>
  <c r="D464" i="3"/>
  <c r="H464" i="3"/>
  <c r="B465" i="3"/>
  <c r="D465" i="3"/>
  <c r="B466" i="3"/>
  <c r="D466" i="3"/>
  <c r="H466" i="3"/>
  <c r="J466" i="3"/>
  <c r="L466" i="3"/>
  <c r="Q466" i="3"/>
  <c r="Y466" i="3"/>
  <c r="B467" i="3"/>
  <c r="D467" i="3"/>
  <c r="B468" i="3"/>
  <c r="D468" i="3"/>
  <c r="H468" i="3"/>
  <c r="Q468" i="3"/>
  <c r="B469" i="3"/>
  <c r="D469" i="3"/>
  <c r="B470" i="3"/>
  <c r="D470" i="3"/>
  <c r="B471" i="3"/>
  <c r="D471" i="3"/>
  <c r="H471" i="3"/>
  <c r="Q471" i="3"/>
  <c r="B472" i="3"/>
  <c r="D472" i="3"/>
  <c r="H472" i="3"/>
  <c r="B473" i="3"/>
  <c r="D473" i="3"/>
  <c r="H473" i="3"/>
  <c r="J473" i="3"/>
  <c r="L473" i="3"/>
  <c r="Q473" i="3"/>
  <c r="S473" i="3"/>
  <c r="B474" i="3"/>
  <c r="D474" i="3"/>
  <c r="H474" i="3"/>
  <c r="Q474" i="3"/>
  <c r="B475" i="3"/>
  <c r="D475" i="3"/>
  <c r="H475" i="3"/>
  <c r="B476" i="3"/>
  <c r="D476" i="3"/>
  <c r="B477" i="3"/>
  <c r="D477" i="3"/>
  <c r="H477" i="3"/>
  <c r="L477" i="3"/>
  <c r="J477" i="3"/>
  <c r="O477" i="3"/>
  <c r="Q477" i="3"/>
  <c r="Y477" i="3"/>
  <c r="B478" i="3"/>
  <c r="D478" i="3"/>
  <c r="H478" i="3"/>
  <c r="Q478" i="3"/>
  <c r="O478" i="3"/>
  <c r="B479" i="3"/>
  <c r="D479" i="3"/>
  <c r="H479" i="3"/>
  <c r="Q479" i="3"/>
  <c r="B480" i="3"/>
  <c r="D480" i="3"/>
  <c r="H480" i="3"/>
  <c r="B481" i="3"/>
  <c r="D481" i="3"/>
  <c r="B482" i="3"/>
  <c r="D482" i="3"/>
  <c r="B483" i="3"/>
  <c r="D483" i="3"/>
  <c r="B484" i="3"/>
  <c r="D484" i="3"/>
  <c r="B485" i="3"/>
  <c r="D485" i="3"/>
  <c r="B486" i="3"/>
  <c r="D486" i="3"/>
  <c r="H486" i="3"/>
  <c r="B487" i="3"/>
  <c r="D487" i="3"/>
  <c r="B488" i="3"/>
  <c r="D488" i="3"/>
  <c r="B489" i="3"/>
  <c r="D489" i="3"/>
  <c r="B490" i="3"/>
  <c r="D490" i="3"/>
  <c r="B491" i="3"/>
  <c r="D491" i="3"/>
  <c r="B492" i="3"/>
  <c r="D492" i="3"/>
  <c r="B493" i="3"/>
  <c r="D493" i="3"/>
  <c r="B494" i="3"/>
  <c r="D494" i="3"/>
  <c r="B495" i="3"/>
  <c r="D495" i="3"/>
  <c r="H495" i="3"/>
  <c r="B496" i="3"/>
  <c r="D496" i="3"/>
  <c r="B497" i="3"/>
  <c r="D497" i="3"/>
  <c r="B498" i="3"/>
  <c r="D498" i="3"/>
  <c r="B499" i="3"/>
  <c r="D499" i="3"/>
  <c r="H499" i="3"/>
  <c r="Q499" i="3"/>
  <c r="O499" i="3"/>
  <c r="B500" i="3"/>
  <c r="D500" i="3"/>
  <c r="B501" i="3"/>
  <c r="D501" i="3"/>
  <c r="H501" i="3"/>
  <c r="B502" i="3"/>
  <c r="D502" i="3"/>
  <c r="H502" i="3"/>
  <c r="B503" i="3"/>
  <c r="D503" i="3"/>
  <c r="B504" i="3"/>
  <c r="D504" i="3"/>
  <c r="B505" i="3"/>
  <c r="D505" i="3"/>
  <c r="H505" i="3"/>
  <c r="J505" i="3"/>
  <c r="L505" i="3"/>
  <c r="Q505" i="3"/>
  <c r="Y505" i="3"/>
  <c r="B506" i="3"/>
  <c r="D506" i="3"/>
  <c r="B507" i="3"/>
  <c r="D507" i="3"/>
  <c r="H507" i="3"/>
  <c r="Q507" i="3"/>
  <c r="B508" i="3"/>
  <c r="D508" i="3"/>
  <c r="H508" i="3"/>
  <c r="B509" i="3"/>
  <c r="D509" i="3"/>
  <c r="H509" i="3"/>
  <c r="L509" i="3"/>
  <c r="O509" i="3"/>
  <c r="Q509" i="3"/>
  <c r="S509" i="3"/>
  <c r="B510" i="3"/>
  <c r="D510" i="3"/>
  <c r="H510" i="3"/>
  <c r="L510" i="3"/>
  <c r="B511" i="3"/>
  <c r="D511" i="3"/>
  <c r="H511" i="3"/>
  <c r="B512" i="3"/>
  <c r="D512" i="3"/>
  <c r="H512" i="3"/>
  <c r="Q512" i="3"/>
  <c r="B513" i="3"/>
  <c r="D513" i="3"/>
  <c r="H513" i="3"/>
  <c r="J513" i="3"/>
  <c r="Q513" i="3"/>
  <c r="B514" i="3"/>
  <c r="D514" i="3"/>
  <c r="B515" i="3"/>
  <c r="D515" i="3"/>
  <c r="H515" i="3"/>
  <c r="B516" i="3"/>
  <c r="D516" i="3"/>
  <c r="H516" i="3"/>
  <c r="Q516" i="3"/>
  <c r="B517" i="3"/>
  <c r="D517" i="3"/>
  <c r="B518" i="3"/>
  <c r="D518" i="3"/>
  <c r="B519" i="3"/>
  <c r="D519" i="3"/>
  <c r="H519" i="3"/>
  <c r="B520" i="3"/>
  <c r="D520" i="3"/>
  <c r="B521" i="3"/>
  <c r="D521" i="3"/>
  <c r="B522" i="3"/>
  <c r="D522" i="3"/>
  <c r="B523" i="3"/>
  <c r="D523" i="3"/>
  <c r="B524" i="3"/>
  <c r="D524" i="3"/>
  <c r="H524" i="3"/>
  <c r="B525" i="3"/>
  <c r="D525" i="3"/>
  <c r="H525" i="3"/>
  <c r="Q525" i="3"/>
  <c r="O525" i="3"/>
  <c r="B526" i="3"/>
  <c r="D526" i="3"/>
  <c r="B527" i="3"/>
  <c r="D527" i="3"/>
  <c r="H527" i="3"/>
  <c r="B528" i="3"/>
  <c r="D528" i="3"/>
  <c r="K529" i="3"/>
  <c r="B530" i="3"/>
  <c r="D530" i="3"/>
  <c r="H530" i="3"/>
  <c r="J530" i="3"/>
  <c r="S530" i="3"/>
  <c r="K531" i="3"/>
  <c r="X531" i="3"/>
  <c r="V531" i="3"/>
  <c r="W531" i="3"/>
  <c r="Z531" i="3"/>
  <c r="B532" i="3"/>
  <c r="D532" i="3"/>
  <c r="H532" i="3"/>
  <c r="K533" i="3"/>
  <c r="V533" i="3"/>
  <c r="B534" i="3"/>
  <c r="D534" i="3"/>
  <c r="K535" i="3"/>
  <c r="V535" i="3"/>
  <c r="B536" i="3"/>
  <c r="D536" i="3"/>
  <c r="K537" i="3"/>
  <c r="B538" i="3"/>
  <c r="D538" i="3"/>
  <c r="B539" i="3"/>
  <c r="D539" i="3"/>
  <c r="B540" i="3"/>
  <c r="D540" i="3"/>
  <c r="K541" i="3"/>
  <c r="B542" i="3"/>
  <c r="D542" i="3"/>
  <c r="B543" i="3"/>
  <c r="D543" i="3"/>
  <c r="B544" i="3"/>
  <c r="D544" i="3"/>
  <c r="H544" i="3"/>
  <c r="K545" i="3"/>
  <c r="B546" i="3"/>
  <c r="D546" i="3"/>
  <c r="K547" i="3"/>
  <c r="V547" i="3"/>
  <c r="B548" i="3"/>
  <c r="D548" i="3"/>
  <c r="H548" i="3"/>
  <c r="S548" i="3"/>
  <c r="K549" i="3"/>
  <c r="X549" i="3"/>
  <c r="V549" i="3"/>
  <c r="W549" i="3"/>
  <c r="B550" i="3"/>
  <c r="D550" i="3"/>
  <c r="K551" i="3"/>
  <c r="B552" i="3"/>
  <c r="D552" i="3"/>
  <c r="H552" i="3"/>
  <c r="B553" i="3"/>
  <c r="D553" i="3"/>
  <c r="H553" i="3"/>
  <c r="K554" i="3"/>
  <c r="B555" i="3"/>
  <c r="D555" i="3"/>
  <c r="H555" i="3"/>
  <c r="K556" i="3"/>
  <c r="B557" i="3"/>
  <c r="D557" i="3"/>
  <c r="B558" i="3"/>
  <c r="D558" i="3"/>
  <c r="B559" i="3"/>
  <c r="D559" i="3"/>
  <c r="H559" i="3"/>
  <c r="O559" i="3"/>
  <c r="S559" i="3"/>
  <c r="B560" i="3"/>
  <c r="D560" i="3"/>
  <c r="B561" i="3"/>
  <c r="D561" i="3"/>
  <c r="B562" i="3"/>
  <c r="D562" i="3"/>
  <c r="B563" i="3"/>
  <c r="D563" i="3"/>
  <c r="H563" i="3"/>
  <c r="J563" i="3"/>
  <c r="B564" i="3"/>
  <c r="D564" i="3"/>
  <c r="H564" i="3"/>
  <c r="B565" i="3"/>
  <c r="D565" i="3"/>
  <c r="B566" i="3"/>
  <c r="D566" i="3"/>
  <c r="H566" i="3"/>
  <c r="O566" i="3"/>
  <c r="B567" i="3"/>
  <c r="D567" i="3"/>
  <c r="H567" i="3"/>
  <c r="B568" i="3"/>
  <c r="D568" i="3"/>
  <c r="H568" i="3"/>
  <c r="Q568" i="3"/>
  <c r="S568" i="3"/>
  <c r="B569" i="3"/>
  <c r="D569" i="3"/>
  <c r="H569" i="3"/>
  <c r="O569" i="3"/>
  <c r="B570" i="3"/>
  <c r="D570" i="3"/>
  <c r="B571" i="3"/>
  <c r="D571" i="3"/>
  <c r="B572" i="3"/>
  <c r="D572" i="3"/>
  <c r="B573" i="3"/>
  <c r="D573" i="3"/>
  <c r="B574" i="3"/>
  <c r="D574" i="3"/>
  <c r="B575" i="3"/>
  <c r="D575" i="3"/>
  <c r="H575" i="3"/>
  <c r="S575" i="3"/>
  <c r="B576" i="3"/>
  <c r="D576" i="3"/>
  <c r="B577" i="3"/>
  <c r="D577" i="3"/>
  <c r="B578" i="3"/>
  <c r="D578" i="3"/>
  <c r="B579" i="3"/>
  <c r="D579" i="3"/>
  <c r="B580" i="3"/>
  <c r="D580" i="3"/>
  <c r="B581" i="3"/>
  <c r="D581" i="3"/>
  <c r="B582" i="3"/>
  <c r="D582" i="3"/>
  <c r="B583" i="3"/>
  <c r="D583" i="3"/>
  <c r="H583" i="3"/>
  <c r="O583" i="3"/>
  <c r="B584" i="3"/>
  <c r="D584" i="3"/>
  <c r="H584" i="3"/>
  <c r="J584" i="3"/>
  <c r="S584" i="3"/>
  <c r="B585" i="3"/>
  <c r="D585" i="3"/>
  <c r="H585" i="3"/>
  <c r="O585" i="3"/>
  <c r="S585" i="3"/>
  <c r="B586" i="3"/>
  <c r="D586" i="3"/>
  <c r="H586" i="3"/>
  <c r="B587" i="3"/>
  <c r="D587" i="3"/>
  <c r="B588" i="3"/>
  <c r="D588" i="3"/>
  <c r="B589" i="3"/>
  <c r="D589" i="3"/>
  <c r="B590" i="3"/>
  <c r="D590" i="3"/>
  <c r="B591" i="3"/>
  <c r="D591" i="3"/>
  <c r="B592" i="3"/>
  <c r="D592" i="3"/>
  <c r="B593" i="3"/>
  <c r="D593" i="3"/>
  <c r="H593" i="3"/>
  <c r="Q593" i="3"/>
  <c r="B594" i="3"/>
  <c r="D594" i="3"/>
  <c r="H594" i="3"/>
  <c r="B595" i="3"/>
  <c r="D595" i="3"/>
  <c r="B596" i="3"/>
  <c r="D596" i="3"/>
  <c r="B597" i="3"/>
  <c r="D597" i="3"/>
  <c r="O597" i="3"/>
  <c r="B598" i="3"/>
  <c r="D598" i="3"/>
  <c r="B599" i="3"/>
  <c r="D599" i="3"/>
  <c r="H599" i="3"/>
  <c r="O599" i="3"/>
  <c r="B600" i="3"/>
  <c r="D600" i="3"/>
  <c r="H600" i="3"/>
  <c r="J600" i="3"/>
  <c r="B601" i="3"/>
  <c r="D601" i="3"/>
  <c r="H601" i="3"/>
  <c r="S601" i="3"/>
  <c r="K602" i="3"/>
  <c r="B603" i="3"/>
  <c r="D603" i="3"/>
  <c r="K604" i="3"/>
  <c r="V604" i="3"/>
  <c r="B605" i="3"/>
  <c r="D605" i="3"/>
  <c r="K606" i="3"/>
  <c r="X606" i="3"/>
  <c r="B607" i="3"/>
  <c r="D607" i="3"/>
  <c r="B608" i="3"/>
  <c r="D608" i="3"/>
  <c r="B609" i="3"/>
  <c r="D609" i="3"/>
  <c r="H609" i="3"/>
  <c r="J609" i="3"/>
  <c r="S609" i="3"/>
  <c r="B610" i="3"/>
  <c r="D610" i="3"/>
  <c r="B611" i="3"/>
  <c r="D611" i="3"/>
  <c r="B612" i="3"/>
  <c r="D612" i="3"/>
  <c r="B613" i="3"/>
  <c r="D613" i="3"/>
  <c r="B614" i="3"/>
  <c r="D614" i="3"/>
  <c r="B615" i="3"/>
  <c r="D615" i="3"/>
  <c r="H615" i="3"/>
  <c r="B616" i="3"/>
  <c r="D616" i="3"/>
  <c r="H616" i="3"/>
  <c r="S616" i="3"/>
  <c r="B617" i="3"/>
  <c r="D617" i="3"/>
  <c r="H617" i="3"/>
  <c r="Q617" i="3"/>
  <c r="L617" i="3"/>
  <c r="B618" i="3"/>
  <c r="D618" i="3"/>
  <c r="B619" i="3"/>
  <c r="D619" i="3"/>
  <c r="H619" i="3"/>
  <c r="Y619" i="3"/>
  <c r="B620" i="3"/>
  <c r="D620" i="3"/>
  <c r="H620" i="3"/>
  <c r="Q620" i="3"/>
  <c r="B621" i="3"/>
  <c r="D621" i="3"/>
  <c r="H621" i="3"/>
  <c r="B622" i="3"/>
  <c r="D622" i="3"/>
  <c r="H622" i="3"/>
  <c r="L622" i="3"/>
  <c r="Q622" i="3"/>
  <c r="B623" i="3"/>
  <c r="D623" i="3"/>
  <c r="B624" i="3"/>
  <c r="D624" i="3"/>
  <c r="H624" i="3"/>
  <c r="O624" i="3"/>
  <c r="J624" i="3"/>
  <c r="B625" i="3"/>
  <c r="D625" i="3"/>
  <c r="B626" i="3"/>
  <c r="D626" i="3"/>
  <c r="B627" i="3"/>
  <c r="D627" i="3"/>
  <c r="H627" i="3"/>
  <c r="O627" i="3"/>
  <c r="B628" i="3"/>
  <c r="D628" i="3"/>
  <c r="H628" i="3"/>
  <c r="J628" i="3"/>
  <c r="O628" i="3"/>
  <c r="B629" i="3"/>
  <c r="D629" i="3"/>
  <c r="H629" i="3"/>
  <c r="B630" i="3"/>
  <c r="D630" i="3"/>
  <c r="H630" i="3"/>
  <c r="J630" i="3"/>
  <c r="B631" i="3"/>
  <c r="D631" i="3"/>
  <c r="H631" i="3"/>
  <c r="L631" i="3"/>
  <c r="O631" i="3"/>
  <c r="B632" i="3"/>
  <c r="D632" i="3"/>
  <c r="B633" i="3"/>
  <c r="D633" i="3"/>
  <c r="B634" i="3"/>
  <c r="D634" i="3"/>
  <c r="B635" i="3"/>
  <c r="D635" i="3"/>
  <c r="H635" i="3"/>
  <c r="B636" i="3"/>
  <c r="D636" i="3"/>
  <c r="B637" i="3"/>
  <c r="D637" i="3"/>
  <c r="B638" i="3"/>
  <c r="D638" i="3"/>
  <c r="H638" i="3"/>
  <c r="B639" i="3"/>
  <c r="D639" i="3"/>
  <c r="H639" i="3"/>
  <c r="B640" i="3"/>
  <c r="D640" i="3"/>
  <c r="B641" i="3"/>
  <c r="D641" i="3"/>
  <c r="B642" i="3"/>
  <c r="D642" i="3"/>
  <c r="L642" i="3"/>
  <c r="B643" i="3"/>
  <c r="D643" i="3"/>
  <c r="H643" i="3"/>
  <c r="Y643" i="3"/>
  <c r="B644" i="3"/>
  <c r="D644" i="3"/>
  <c r="H644" i="3"/>
  <c r="S644" i="3"/>
  <c r="B645" i="3"/>
  <c r="D645" i="3"/>
  <c r="H645" i="3"/>
  <c r="K646" i="3"/>
  <c r="V646" i="3"/>
  <c r="W646" i="3"/>
  <c r="X646" i="3"/>
  <c r="B647" i="3"/>
  <c r="D647" i="3"/>
  <c r="H647" i="3"/>
  <c r="O647" i="3"/>
  <c r="K648" i="3"/>
  <c r="B649" i="3"/>
  <c r="D649" i="3"/>
  <c r="K650" i="3"/>
  <c r="V650" i="3"/>
  <c r="B651" i="3"/>
  <c r="D651" i="3"/>
  <c r="B652" i="3"/>
  <c r="D652" i="3"/>
  <c r="B653" i="3"/>
  <c r="D653" i="3"/>
  <c r="B654" i="3"/>
  <c r="D654" i="3"/>
  <c r="H654" i="3"/>
  <c r="J654" i="3"/>
  <c r="S654" i="3"/>
  <c r="B655" i="3"/>
  <c r="D655" i="3"/>
  <c r="B656" i="3"/>
  <c r="D656" i="3"/>
  <c r="B657" i="3"/>
  <c r="D657" i="3"/>
  <c r="B658" i="3"/>
  <c r="D658" i="3"/>
  <c r="H658" i="3"/>
  <c r="B659" i="3"/>
  <c r="D659" i="3"/>
  <c r="B660" i="3"/>
  <c r="D660" i="3"/>
  <c r="H660" i="3"/>
  <c r="O660" i="3"/>
  <c r="B661" i="3"/>
  <c r="D661" i="3"/>
  <c r="H661" i="3"/>
  <c r="B662" i="3"/>
  <c r="D662" i="3"/>
  <c r="H662" i="3"/>
  <c r="Q662" i="3"/>
  <c r="B663" i="3"/>
  <c r="D663" i="3"/>
  <c r="H663" i="3"/>
  <c r="B664" i="3"/>
  <c r="D664" i="3"/>
  <c r="K665" i="3"/>
  <c r="B666" i="3"/>
  <c r="D666" i="3"/>
  <c r="H666" i="3"/>
  <c r="O666" i="3"/>
  <c r="S666" i="3"/>
  <c r="B667" i="3"/>
  <c r="D667" i="3"/>
  <c r="H667" i="3"/>
  <c r="O667" i="3"/>
  <c r="Q667" i="3"/>
  <c r="B668" i="3"/>
  <c r="D668" i="3"/>
  <c r="B669" i="3"/>
  <c r="D669" i="3"/>
  <c r="B670" i="3"/>
  <c r="D670" i="3"/>
  <c r="H670" i="3"/>
  <c r="B671" i="3"/>
  <c r="D671" i="3"/>
  <c r="B672" i="3"/>
  <c r="D672" i="3"/>
  <c r="B673" i="3"/>
  <c r="D673" i="3"/>
  <c r="B674" i="3"/>
  <c r="D674" i="3"/>
  <c r="B675" i="3"/>
  <c r="D675" i="3"/>
  <c r="H675" i="3"/>
  <c r="B676" i="3"/>
  <c r="D676" i="3"/>
  <c r="B677" i="3"/>
  <c r="D677" i="3"/>
  <c r="H677" i="3"/>
  <c r="B678" i="3"/>
  <c r="D678" i="3"/>
  <c r="B679" i="3"/>
  <c r="D679" i="3"/>
  <c r="H679" i="3"/>
  <c r="B680" i="3"/>
  <c r="D680" i="3"/>
  <c r="H680" i="3"/>
  <c r="Q680" i="3"/>
  <c r="O680" i="3"/>
  <c r="B681" i="3"/>
  <c r="D681" i="3"/>
  <c r="K682" i="3"/>
  <c r="V682" i="3"/>
  <c r="W682" i="3"/>
  <c r="Z682" i="3"/>
  <c r="X682" i="3"/>
  <c r="B683" i="3"/>
  <c r="D683" i="3"/>
  <c r="H683" i="3"/>
  <c r="S683" i="3"/>
  <c r="K684" i="3"/>
  <c r="X684" i="3"/>
  <c r="V684" i="3"/>
  <c r="W684" i="3"/>
  <c r="B685" i="3"/>
  <c r="D685" i="3"/>
  <c r="B686" i="3"/>
  <c r="D686" i="3"/>
  <c r="B687" i="3"/>
  <c r="D687" i="3"/>
  <c r="H687" i="3"/>
  <c r="B688" i="3"/>
  <c r="D688" i="3"/>
  <c r="H688" i="3"/>
  <c r="L688" i="3"/>
  <c r="Q688" i="3"/>
  <c r="K689" i="3"/>
  <c r="B690" i="3"/>
  <c r="D690" i="3"/>
  <c r="B691" i="3"/>
  <c r="D691" i="3"/>
  <c r="H691" i="3"/>
  <c r="O691" i="3"/>
  <c r="J691" i="3"/>
  <c r="Q691" i="3"/>
  <c r="S691" i="3"/>
  <c r="B692" i="3"/>
  <c r="D692" i="3"/>
  <c r="H692" i="3"/>
  <c r="O692" i="3"/>
  <c r="B693" i="3"/>
  <c r="D693" i="3"/>
  <c r="B694" i="3"/>
  <c r="D694" i="3"/>
  <c r="B695" i="3"/>
  <c r="D695" i="3"/>
  <c r="B696" i="3"/>
  <c r="D696" i="3"/>
  <c r="B697" i="3"/>
  <c r="D697" i="3"/>
  <c r="H697" i="3"/>
  <c r="O697" i="3"/>
  <c r="K698" i="3"/>
  <c r="B699" i="3"/>
  <c r="D699" i="3"/>
  <c r="H699" i="3"/>
  <c r="Q699" i="3"/>
  <c r="K700" i="3"/>
  <c r="V700" i="3"/>
  <c r="X700" i="3"/>
  <c r="B701" i="3"/>
  <c r="D701" i="3"/>
  <c r="H701" i="3"/>
  <c r="K702" i="3"/>
  <c r="V702" i="3"/>
  <c r="W702" i="3"/>
  <c r="X702" i="3"/>
  <c r="B703" i="3"/>
  <c r="D703" i="3"/>
  <c r="H703" i="3"/>
  <c r="J703" i="3"/>
  <c r="B704" i="3"/>
  <c r="D704" i="3"/>
  <c r="B705" i="3"/>
  <c r="D705" i="3"/>
  <c r="H705" i="3"/>
  <c r="O705" i="3"/>
  <c r="B706" i="3"/>
  <c r="D706" i="3"/>
  <c r="H706" i="3"/>
  <c r="Q706" i="3"/>
  <c r="K707" i="3"/>
  <c r="V707" i="3"/>
  <c r="W707" i="3"/>
  <c r="B708" i="3"/>
  <c r="D708" i="3"/>
  <c r="H708" i="3"/>
  <c r="O708" i="3"/>
  <c r="K709" i="3"/>
  <c r="V709" i="3"/>
  <c r="B710" i="3"/>
  <c r="D710" i="3"/>
  <c r="H710" i="3"/>
  <c r="O710" i="3"/>
  <c r="S710" i="3"/>
  <c r="S772" i="3"/>
  <c r="B711" i="3"/>
  <c r="D711" i="3"/>
  <c r="H711" i="3"/>
  <c r="O711" i="3"/>
  <c r="Q711" i="3"/>
  <c r="B712" i="3"/>
  <c r="D712" i="3"/>
  <c r="B713" i="3"/>
  <c r="D713" i="3"/>
  <c r="H713" i="3"/>
  <c r="S713" i="3"/>
  <c r="B714" i="3"/>
  <c r="D714" i="3"/>
  <c r="B715" i="3"/>
  <c r="D715" i="3"/>
  <c r="K716" i="3"/>
  <c r="V716" i="3"/>
  <c r="X716" i="3"/>
  <c r="B717" i="3"/>
  <c r="D717" i="3"/>
  <c r="H717" i="3"/>
  <c r="B718" i="3"/>
  <c r="D718" i="3"/>
  <c r="B719" i="3"/>
  <c r="D719" i="3"/>
  <c r="H719" i="3"/>
  <c r="O719" i="3"/>
  <c r="B720" i="3"/>
  <c r="D720" i="3"/>
  <c r="H720" i="3"/>
  <c r="Q720" i="3"/>
  <c r="J720" i="3"/>
  <c r="L720" i="3"/>
  <c r="S720" i="3"/>
  <c r="K721" i="3"/>
  <c r="X721" i="3"/>
  <c r="V721" i="3"/>
  <c r="W721" i="3"/>
  <c r="B722" i="3"/>
  <c r="D722" i="3"/>
  <c r="H722" i="3"/>
  <c r="J722" i="3"/>
  <c r="B723" i="3"/>
  <c r="D723" i="3"/>
  <c r="H723" i="3"/>
  <c r="B724" i="3"/>
  <c r="D724" i="3"/>
  <c r="B725" i="3"/>
  <c r="D725" i="3"/>
  <c r="H725" i="3"/>
  <c r="O725" i="3"/>
  <c r="L725" i="3"/>
  <c r="B726" i="3"/>
  <c r="D726" i="3"/>
  <c r="B727" i="3"/>
  <c r="D727" i="3"/>
  <c r="H727" i="3"/>
  <c r="L727" i="3"/>
  <c r="B728" i="3"/>
  <c r="D728" i="3"/>
  <c r="H728" i="3"/>
  <c r="J728" i="3"/>
  <c r="Q728" i="3"/>
  <c r="B729" i="3"/>
  <c r="D729" i="3"/>
  <c r="H729" i="3"/>
  <c r="B730" i="3"/>
  <c r="D730" i="3"/>
  <c r="H730" i="3"/>
  <c r="S730" i="3"/>
  <c r="B731" i="3"/>
  <c r="D731" i="3"/>
  <c r="H731" i="3"/>
  <c r="Q731" i="3"/>
  <c r="B732" i="3"/>
  <c r="D732" i="3"/>
  <c r="B733" i="3"/>
  <c r="D733" i="3"/>
  <c r="H733" i="3"/>
  <c r="Q733" i="3"/>
  <c r="O733" i="3"/>
  <c r="B734" i="3"/>
  <c r="D734" i="3"/>
  <c r="B735" i="3"/>
  <c r="D735" i="3"/>
  <c r="B736" i="3"/>
  <c r="D736" i="3"/>
  <c r="H736" i="3"/>
  <c r="B737" i="3"/>
  <c r="D737" i="3"/>
  <c r="B738" i="3"/>
  <c r="D738" i="3"/>
  <c r="H738" i="3"/>
  <c r="O738" i="3"/>
  <c r="B739" i="3"/>
  <c r="D739" i="3"/>
  <c r="B740" i="3"/>
  <c r="D740" i="3"/>
  <c r="H740" i="3"/>
  <c r="L740" i="3"/>
  <c r="Q740" i="3"/>
  <c r="B741" i="3"/>
  <c r="D741" i="3"/>
  <c r="H741" i="3"/>
  <c r="B742" i="3"/>
  <c r="D742" i="3"/>
  <c r="H742" i="3"/>
  <c r="B743" i="3"/>
  <c r="D743" i="3"/>
  <c r="H743" i="3"/>
  <c r="L743" i="3"/>
  <c r="B744" i="3"/>
  <c r="D744" i="3"/>
  <c r="H744" i="3"/>
  <c r="B745" i="3"/>
  <c r="D745" i="3"/>
  <c r="H745" i="3"/>
  <c r="B746" i="3"/>
  <c r="D746" i="3"/>
  <c r="H746" i="3"/>
  <c r="B747" i="3"/>
  <c r="D747" i="3"/>
  <c r="H747" i="3"/>
  <c r="J747" i="3"/>
  <c r="B748" i="3"/>
  <c r="D748" i="3"/>
  <c r="B749" i="3"/>
  <c r="D749" i="3"/>
  <c r="B750" i="3"/>
  <c r="D750" i="3"/>
  <c r="S750" i="3"/>
  <c r="B751" i="3"/>
  <c r="D751" i="3"/>
  <c r="B752" i="3"/>
  <c r="D752" i="3"/>
  <c r="H752" i="3"/>
  <c r="J752" i="3"/>
  <c r="L752" i="3"/>
  <c r="O752" i="3"/>
  <c r="Q752" i="3"/>
  <c r="S752" i="3"/>
  <c r="B753" i="3"/>
  <c r="D753" i="3"/>
  <c r="H753" i="3"/>
  <c r="L753" i="3"/>
  <c r="O753" i="3"/>
  <c r="Q753" i="3"/>
  <c r="B754" i="3"/>
  <c r="D754" i="3"/>
  <c r="B755" i="3"/>
  <c r="D755" i="3"/>
  <c r="B756" i="3"/>
  <c r="D756" i="3"/>
  <c r="H756" i="3"/>
  <c r="J756" i="3"/>
  <c r="B757" i="3"/>
  <c r="D757" i="3"/>
  <c r="B758" i="3"/>
  <c r="D758" i="3"/>
  <c r="B759" i="3"/>
  <c r="D759" i="3"/>
  <c r="H759" i="3"/>
  <c r="B760" i="3"/>
  <c r="D760" i="3"/>
  <c r="H760" i="3"/>
  <c r="B761" i="3"/>
  <c r="D761" i="3"/>
  <c r="H761" i="3"/>
  <c r="Y761" i="3"/>
  <c r="B762" i="3"/>
  <c r="D762" i="3"/>
  <c r="H762" i="3"/>
  <c r="Q762" i="3"/>
  <c r="S762" i="3"/>
  <c r="K763" i="3"/>
  <c r="B764" i="3"/>
  <c r="D764" i="3"/>
  <c r="H764" i="3"/>
  <c r="H763" i="3"/>
  <c r="S763" i="3"/>
  <c r="B765" i="3"/>
  <c r="D765" i="3"/>
  <c r="H765" i="3"/>
  <c r="O765" i="3"/>
  <c r="Q765" i="3"/>
  <c r="S765" i="3"/>
  <c r="V766" i="3"/>
  <c r="W766" i="3"/>
  <c r="B767" i="3"/>
  <c r="D767" i="3"/>
  <c r="H767" i="3"/>
  <c r="B768" i="3"/>
  <c r="D768" i="3"/>
  <c r="H768" i="3"/>
  <c r="B769" i="3"/>
  <c r="D769" i="3"/>
  <c r="H769" i="3"/>
  <c r="B770" i="3"/>
  <c r="D770" i="3"/>
  <c r="H770" i="3"/>
  <c r="B771" i="3"/>
  <c r="D771" i="3"/>
  <c r="H771" i="3"/>
  <c r="B772" i="3"/>
  <c r="D772" i="3"/>
  <c r="H772" i="3"/>
  <c r="B773" i="3"/>
  <c r="D773" i="3"/>
  <c r="H773" i="3"/>
  <c r="B774" i="3"/>
  <c r="D774" i="3"/>
  <c r="H774" i="3"/>
  <c r="B775" i="3"/>
  <c r="D775" i="3"/>
  <c r="H775" i="3"/>
  <c r="B776" i="3"/>
  <c r="D776" i="3"/>
  <c r="H776" i="3"/>
  <c r="B777" i="3"/>
  <c r="D777" i="3"/>
  <c r="H777" i="3"/>
  <c r="B778" i="3"/>
  <c r="D778" i="3"/>
  <c r="H778" i="3"/>
  <c r="B779" i="3"/>
  <c r="D779" i="3"/>
  <c r="H779" i="3"/>
  <c r="B780" i="3"/>
  <c r="D780" i="3"/>
  <c r="H780" i="3"/>
  <c r="B781" i="3"/>
  <c r="D781" i="3"/>
  <c r="H781" i="3"/>
  <c r="B782" i="3"/>
  <c r="D782" i="3"/>
  <c r="H782" i="3"/>
  <c r="B783" i="3"/>
  <c r="D783" i="3"/>
  <c r="H783" i="3"/>
  <c r="B784" i="3"/>
  <c r="D784" i="3"/>
  <c r="H784" i="3"/>
  <c r="B785" i="3"/>
  <c r="D785" i="3"/>
  <c r="H785" i="3"/>
  <c r="B786" i="3"/>
  <c r="D786" i="3"/>
  <c r="H786" i="3"/>
  <c r="B787" i="3"/>
  <c r="D787" i="3"/>
  <c r="H787" i="3"/>
  <c r="B788" i="3"/>
  <c r="D788" i="3"/>
  <c r="H788" i="3"/>
  <c r="B789" i="3"/>
  <c r="D789" i="3"/>
  <c r="H789" i="3"/>
  <c r="B790" i="3"/>
  <c r="D790" i="3"/>
  <c r="H790" i="3"/>
  <c r="B791" i="3"/>
  <c r="D791" i="3"/>
  <c r="H791" i="3"/>
  <c r="B792" i="3"/>
  <c r="D792" i="3"/>
  <c r="H792" i="3"/>
  <c r="B793" i="3"/>
  <c r="D793" i="3"/>
  <c r="H793" i="3"/>
  <c r="B794" i="3"/>
  <c r="D794" i="3"/>
  <c r="H794" i="3"/>
  <c r="B795" i="3"/>
  <c r="D795" i="3"/>
  <c r="H795" i="3"/>
  <c r="B796" i="3"/>
  <c r="D796" i="3"/>
  <c r="H796" i="3"/>
  <c r="B797" i="3"/>
  <c r="D797" i="3"/>
  <c r="H797" i="3"/>
  <c r="B798" i="3"/>
  <c r="D798" i="3"/>
  <c r="H798" i="3"/>
  <c r="B799" i="3"/>
  <c r="D799" i="3"/>
  <c r="H799" i="3"/>
  <c r="B800" i="3"/>
  <c r="D800" i="3"/>
  <c r="H800" i="3"/>
  <c r="B801" i="3"/>
  <c r="D801" i="3"/>
  <c r="H801" i="3"/>
  <c r="B802" i="3"/>
  <c r="D802" i="3"/>
  <c r="H802" i="3"/>
  <c r="B803" i="3"/>
  <c r="D803" i="3"/>
  <c r="H803" i="3"/>
  <c r="B804" i="3"/>
  <c r="D804" i="3"/>
  <c r="H804" i="3"/>
  <c r="B805" i="3"/>
  <c r="D805" i="3"/>
  <c r="H805" i="3"/>
  <c r="B806" i="3"/>
  <c r="D806" i="3"/>
  <c r="H806" i="3"/>
  <c r="B807" i="3"/>
  <c r="D807" i="3"/>
  <c r="H807" i="3"/>
  <c r="B808" i="3"/>
  <c r="D808" i="3"/>
  <c r="H808" i="3"/>
  <c r="B809" i="3"/>
  <c r="D809" i="3"/>
  <c r="H809" i="3"/>
  <c r="B810" i="3"/>
  <c r="D810" i="3"/>
  <c r="H810" i="3"/>
  <c r="B811" i="3"/>
  <c r="D811" i="3"/>
  <c r="H811" i="3"/>
  <c r="J811" i="3"/>
  <c r="B812" i="3"/>
  <c r="D812" i="3"/>
  <c r="H812" i="3"/>
  <c r="B813" i="3"/>
  <c r="D813" i="3"/>
  <c r="H813" i="3"/>
  <c r="B814" i="3"/>
  <c r="D814" i="3"/>
  <c r="H814" i="3"/>
  <c r="B815" i="3"/>
  <c r="D815" i="3"/>
  <c r="H815" i="3"/>
  <c r="B816" i="3"/>
  <c r="D816" i="3"/>
  <c r="H816" i="3"/>
  <c r="B817" i="3"/>
  <c r="D817" i="3"/>
  <c r="H817" i="3"/>
  <c r="Q817" i="3"/>
  <c r="B818" i="3"/>
  <c r="D818" i="3"/>
  <c r="H818" i="3"/>
  <c r="B819" i="3"/>
  <c r="D819" i="3"/>
  <c r="H819" i="3"/>
  <c r="B820" i="3"/>
  <c r="D820" i="3"/>
  <c r="H820" i="3"/>
  <c r="B821" i="3"/>
  <c r="D821" i="3"/>
  <c r="H821" i="3"/>
  <c r="B822" i="3"/>
  <c r="D822" i="3"/>
  <c r="H822" i="3"/>
  <c r="B823" i="3"/>
  <c r="D823" i="3"/>
  <c r="H823" i="3"/>
  <c r="B824" i="3"/>
  <c r="D824" i="3"/>
  <c r="H824" i="3"/>
  <c r="L824" i="3"/>
  <c r="B825" i="3"/>
  <c r="D825" i="3"/>
  <c r="H825" i="3"/>
  <c r="J825" i="3"/>
  <c r="B826" i="3"/>
  <c r="D826" i="3"/>
  <c r="H826" i="3"/>
  <c r="S826" i="3"/>
  <c r="B827" i="3"/>
  <c r="D827" i="3"/>
  <c r="H827" i="3"/>
  <c r="B828" i="3"/>
  <c r="D828" i="3"/>
  <c r="H828" i="3"/>
  <c r="B829" i="3"/>
  <c r="D829" i="3"/>
  <c r="H829" i="3"/>
  <c r="B830" i="3"/>
  <c r="D830" i="3"/>
  <c r="H830" i="3"/>
  <c r="B831" i="3"/>
  <c r="D831" i="3"/>
  <c r="H831" i="3"/>
  <c r="B832" i="3"/>
  <c r="D832" i="3"/>
  <c r="H832" i="3"/>
  <c r="B833" i="3"/>
  <c r="D833" i="3"/>
  <c r="H833" i="3"/>
  <c r="B834" i="3"/>
  <c r="D834" i="3"/>
  <c r="H834" i="3"/>
  <c r="B835" i="3"/>
  <c r="D835" i="3"/>
  <c r="H835" i="3"/>
  <c r="B836" i="3"/>
  <c r="D836" i="3"/>
  <c r="H836" i="3"/>
  <c r="B837" i="3"/>
  <c r="D837" i="3"/>
  <c r="H837" i="3"/>
  <c r="B838" i="3"/>
  <c r="D838" i="3"/>
  <c r="H838" i="3"/>
  <c r="B839" i="3"/>
  <c r="D839" i="3"/>
  <c r="H839" i="3"/>
  <c r="S839" i="3"/>
  <c r="B840" i="3"/>
  <c r="D840" i="3"/>
  <c r="H840" i="3"/>
  <c r="B841" i="3"/>
  <c r="D841" i="3"/>
  <c r="H841" i="3"/>
  <c r="B842" i="3"/>
  <c r="D842" i="3"/>
  <c r="H842" i="3"/>
  <c r="B843" i="3"/>
  <c r="D843" i="3"/>
  <c r="H843" i="3"/>
  <c r="B844" i="3"/>
  <c r="D844" i="3"/>
  <c r="H844" i="3"/>
  <c r="B845" i="3"/>
  <c r="D845" i="3"/>
  <c r="H845" i="3"/>
  <c r="B846" i="3"/>
  <c r="D846" i="3"/>
  <c r="H846" i="3"/>
  <c r="B847" i="3"/>
  <c r="D847" i="3"/>
  <c r="H847" i="3"/>
  <c r="B848" i="3"/>
  <c r="D848" i="3"/>
  <c r="H848" i="3"/>
  <c r="B849" i="3"/>
  <c r="D849" i="3"/>
  <c r="H849" i="3"/>
  <c r="B850" i="3"/>
  <c r="D850" i="3"/>
  <c r="H850" i="3"/>
  <c r="B851" i="3"/>
  <c r="D851" i="3"/>
  <c r="H851" i="3"/>
  <c r="B852" i="3"/>
  <c r="D852" i="3"/>
  <c r="H852" i="3"/>
  <c r="B853" i="3"/>
  <c r="D853" i="3"/>
  <c r="H853" i="3"/>
  <c r="B854" i="3"/>
  <c r="D854" i="3"/>
  <c r="H854" i="3"/>
  <c r="B855" i="3"/>
  <c r="D855" i="3"/>
  <c r="H855" i="3"/>
  <c r="J855" i="3"/>
  <c r="S855" i="3"/>
  <c r="B856" i="3"/>
  <c r="D856" i="3"/>
  <c r="H856" i="3"/>
  <c r="B857" i="3"/>
  <c r="D857" i="3"/>
  <c r="H857" i="3"/>
  <c r="B858" i="3"/>
  <c r="D858" i="3"/>
  <c r="H858" i="3"/>
  <c r="B859" i="3"/>
  <c r="D859" i="3"/>
  <c r="H859" i="3"/>
  <c r="B860" i="3"/>
  <c r="D860" i="3"/>
  <c r="H860" i="3"/>
  <c r="B861" i="3"/>
  <c r="D861" i="3"/>
  <c r="H861" i="3"/>
  <c r="B862" i="3"/>
  <c r="D862" i="3"/>
  <c r="H862" i="3"/>
  <c r="B863" i="3"/>
  <c r="D863" i="3"/>
  <c r="H863" i="3"/>
  <c r="B864" i="3"/>
  <c r="D864" i="3"/>
  <c r="H864" i="3"/>
  <c r="B865" i="3"/>
  <c r="D865" i="3"/>
  <c r="H865" i="3"/>
  <c r="B866" i="3"/>
  <c r="D866" i="3"/>
  <c r="H866" i="3"/>
  <c r="B867" i="3"/>
  <c r="D867" i="3"/>
  <c r="H867" i="3"/>
  <c r="B868" i="3"/>
  <c r="D868" i="3"/>
  <c r="H868" i="3"/>
  <c r="B869" i="3"/>
  <c r="D869" i="3"/>
  <c r="H869" i="3"/>
  <c r="B870" i="3"/>
  <c r="D870" i="3"/>
  <c r="H870" i="3"/>
  <c r="B871" i="3"/>
  <c r="D871" i="3"/>
  <c r="H871" i="3"/>
  <c r="B872" i="3"/>
  <c r="D872" i="3"/>
  <c r="H872" i="3"/>
  <c r="B873" i="3"/>
  <c r="D873" i="3"/>
  <c r="H873" i="3"/>
  <c r="B874" i="3"/>
  <c r="D874" i="3"/>
  <c r="H874" i="3"/>
  <c r="B875" i="3"/>
  <c r="D875" i="3"/>
  <c r="H875" i="3"/>
  <c r="B876" i="3"/>
  <c r="D876" i="3"/>
  <c r="H876" i="3"/>
  <c r="B877" i="3"/>
  <c r="D877" i="3"/>
  <c r="H877" i="3"/>
  <c r="B878" i="3"/>
  <c r="D878" i="3"/>
  <c r="H878" i="3"/>
  <c r="B879" i="3"/>
  <c r="D879" i="3"/>
  <c r="H879" i="3"/>
  <c r="B880" i="3"/>
  <c r="D880" i="3"/>
  <c r="H880" i="3"/>
  <c r="B881" i="3"/>
  <c r="D881" i="3"/>
  <c r="H881" i="3"/>
  <c r="B882" i="3"/>
  <c r="D882" i="3"/>
  <c r="H882" i="3"/>
  <c r="B883" i="3"/>
  <c r="D883" i="3"/>
  <c r="H883" i="3"/>
  <c r="B884" i="3"/>
  <c r="D884" i="3"/>
  <c r="H884" i="3"/>
  <c r="B885" i="3"/>
  <c r="D885" i="3"/>
  <c r="H885" i="3"/>
  <c r="B886" i="3"/>
  <c r="D886" i="3"/>
  <c r="H886" i="3"/>
  <c r="B887" i="3"/>
  <c r="D887" i="3"/>
  <c r="H887" i="3"/>
  <c r="B888" i="3"/>
  <c r="D888" i="3"/>
  <c r="H888" i="3"/>
  <c r="B889" i="3"/>
  <c r="D889" i="3"/>
  <c r="H889" i="3"/>
  <c r="B890" i="3"/>
  <c r="D890" i="3"/>
  <c r="H890" i="3"/>
  <c r="B891" i="3"/>
  <c r="D891" i="3"/>
  <c r="H891" i="3"/>
  <c r="B892" i="3"/>
  <c r="D892" i="3"/>
  <c r="H892" i="3"/>
  <c r="B893" i="3"/>
  <c r="D893" i="3"/>
  <c r="H893" i="3"/>
  <c r="B894" i="3"/>
  <c r="D894" i="3"/>
  <c r="H894" i="3"/>
  <c r="B895" i="3"/>
  <c r="D895" i="3"/>
  <c r="H895" i="3"/>
  <c r="B896" i="3"/>
  <c r="D896" i="3"/>
  <c r="H896" i="3"/>
  <c r="B897" i="3"/>
  <c r="D897" i="3"/>
  <c r="H897" i="3"/>
  <c r="B898" i="3"/>
  <c r="D898" i="3"/>
  <c r="H898" i="3"/>
  <c r="B899" i="3"/>
  <c r="D899" i="3"/>
  <c r="H899" i="3"/>
  <c r="B900" i="3"/>
  <c r="D900" i="3"/>
  <c r="H900" i="3"/>
  <c r="B901" i="3"/>
  <c r="D901" i="3"/>
  <c r="H901" i="3"/>
  <c r="B902" i="3"/>
  <c r="D902" i="3"/>
  <c r="H902" i="3"/>
  <c r="B903" i="3"/>
  <c r="D903" i="3"/>
  <c r="H903" i="3"/>
  <c r="B904" i="3"/>
  <c r="D904" i="3"/>
  <c r="H904" i="3"/>
  <c r="B905" i="3"/>
  <c r="D905" i="3"/>
  <c r="H905" i="3"/>
  <c r="B906" i="3"/>
  <c r="D906" i="3"/>
  <c r="H906" i="3"/>
  <c r="B907" i="3"/>
  <c r="D907" i="3"/>
  <c r="H907" i="3"/>
  <c r="B908" i="3"/>
  <c r="D908" i="3"/>
  <c r="H908" i="3"/>
  <c r="K919" i="3"/>
  <c r="B920" i="3"/>
  <c r="D920" i="3"/>
  <c r="B921" i="3"/>
  <c r="D921" i="3"/>
  <c r="H921" i="3"/>
  <c r="Q921" i="3"/>
  <c r="B922" i="3"/>
  <c r="D922" i="3"/>
  <c r="B923" i="3"/>
  <c r="D923" i="3"/>
  <c r="H923" i="3"/>
  <c r="B924" i="3"/>
  <c r="D924" i="3"/>
  <c r="H924" i="3"/>
  <c r="B925" i="3"/>
  <c r="D925" i="3"/>
  <c r="H925" i="3"/>
  <c r="K926" i="3"/>
  <c r="V926" i="3"/>
  <c r="X926" i="3"/>
  <c r="B927" i="3"/>
  <c r="D927" i="3"/>
  <c r="H927" i="3"/>
  <c r="B928" i="3"/>
  <c r="D928" i="3"/>
  <c r="B929" i="3"/>
  <c r="D929" i="3"/>
  <c r="H929" i="3"/>
  <c r="B930" i="3"/>
  <c r="D930" i="3"/>
  <c r="H930" i="3"/>
  <c r="K931" i="3"/>
  <c r="X931" i="3"/>
  <c r="B932" i="3"/>
  <c r="D932" i="3"/>
  <c r="K933" i="3"/>
  <c r="B934" i="3"/>
  <c r="D934" i="3"/>
  <c r="H934" i="3"/>
  <c r="K935" i="3"/>
  <c r="V935" i="3"/>
  <c r="B936" i="3"/>
  <c r="D936" i="3"/>
  <c r="K937" i="3"/>
  <c r="X937" i="3"/>
  <c r="B938" i="3"/>
  <c r="D938" i="3"/>
  <c r="H938" i="3"/>
  <c r="Q938" i="3"/>
  <c r="K939" i="3"/>
  <c r="X939" i="3"/>
  <c r="B940" i="3"/>
  <c r="D940" i="3"/>
  <c r="K941" i="3"/>
  <c r="V941" i="3"/>
  <c r="B942" i="3"/>
  <c r="D942" i="3"/>
  <c r="H942" i="3"/>
  <c r="J942" i="3"/>
  <c r="O942" i="3"/>
  <c r="Q942" i="3"/>
  <c r="S942" i="3"/>
  <c r="B943" i="3"/>
  <c r="D943" i="3"/>
  <c r="B944" i="3"/>
  <c r="D944" i="3"/>
  <c r="H944" i="3"/>
  <c r="B945" i="3"/>
  <c r="D945" i="3"/>
  <c r="H945" i="3"/>
  <c r="K946" i="3"/>
  <c r="V946" i="3"/>
  <c r="W946" i="3"/>
  <c r="Z946" i="3"/>
  <c r="B947" i="3"/>
  <c r="D947" i="3"/>
  <c r="H947" i="3"/>
  <c r="K948" i="3"/>
  <c r="V948" i="3"/>
  <c r="B949" i="3"/>
  <c r="D949" i="3"/>
  <c r="B950" i="3"/>
  <c r="D950" i="3"/>
  <c r="H950" i="3"/>
  <c r="B951" i="3"/>
  <c r="D951" i="3"/>
  <c r="H951" i="3"/>
  <c r="K952" i="3"/>
  <c r="V952" i="3"/>
  <c r="B953" i="3"/>
  <c r="D953" i="3"/>
  <c r="B954" i="3"/>
  <c r="D954" i="3"/>
  <c r="H954" i="3"/>
  <c r="K955" i="3"/>
  <c r="X955" i="3"/>
  <c r="V955" i="3"/>
  <c r="W955" i="3"/>
  <c r="Z955" i="3"/>
  <c r="B956" i="3"/>
  <c r="D956" i="3"/>
  <c r="H956" i="3"/>
  <c r="B957" i="3"/>
  <c r="D957" i="3"/>
  <c r="H957" i="3"/>
  <c r="Q957" i="3"/>
  <c r="K958" i="3"/>
  <c r="V958" i="3"/>
  <c r="W958" i="3"/>
  <c r="X958" i="3"/>
  <c r="B959" i="3"/>
  <c r="D959" i="3"/>
  <c r="H959" i="3"/>
  <c r="J959" i="3"/>
  <c r="O959" i="3"/>
  <c r="Q959" i="3"/>
  <c r="S959" i="3"/>
  <c r="K960" i="3"/>
  <c r="B961" i="3"/>
  <c r="D961" i="3"/>
  <c r="H961" i="3"/>
  <c r="B962" i="3"/>
  <c r="D962" i="3"/>
  <c r="H962" i="3"/>
  <c r="Q962" i="3"/>
  <c r="S962" i="3"/>
  <c r="B963" i="3"/>
  <c r="D963" i="3"/>
  <c r="H963" i="3"/>
  <c r="S963" i="3"/>
  <c r="J963" i="3"/>
  <c r="K964" i="3"/>
  <c r="V964" i="3"/>
  <c r="W964" i="3"/>
  <c r="Z964" i="3"/>
  <c r="X964" i="3"/>
  <c r="B965" i="3"/>
  <c r="D965" i="3"/>
  <c r="H965" i="3"/>
  <c r="S965" i="3"/>
  <c r="K966" i="3"/>
  <c r="B967" i="3"/>
  <c r="D967" i="3"/>
  <c r="B968" i="3"/>
  <c r="D968" i="3"/>
  <c r="H968" i="3"/>
  <c r="K969" i="3"/>
  <c r="V969" i="3"/>
  <c r="B970" i="3"/>
  <c r="D970" i="3"/>
  <c r="B971" i="3"/>
  <c r="D971" i="3"/>
  <c r="H971" i="3"/>
  <c r="S971" i="3"/>
  <c r="B972" i="3"/>
  <c r="D972" i="3"/>
  <c r="H972" i="3"/>
  <c r="Q972" i="3"/>
  <c r="V973" i="3"/>
  <c r="W973" i="3"/>
  <c r="B974" i="3"/>
  <c r="D974" i="3"/>
  <c r="H974" i="3"/>
  <c r="B975" i="3"/>
  <c r="D975" i="3"/>
  <c r="H975" i="3"/>
  <c r="B976" i="3"/>
  <c r="D976" i="3"/>
  <c r="H976" i="3"/>
  <c r="B977" i="3"/>
  <c r="D977" i="3"/>
  <c r="H977" i="3"/>
  <c r="B978" i="3"/>
  <c r="D978" i="3"/>
  <c r="H978" i="3"/>
  <c r="B979" i="3"/>
  <c r="D979" i="3"/>
  <c r="H979" i="3"/>
  <c r="B980" i="3"/>
  <c r="D980" i="3"/>
  <c r="H980" i="3"/>
  <c r="N6" i="4"/>
  <c r="B7" i="4"/>
  <c r="D7" i="4"/>
  <c r="L7" i="4"/>
  <c r="B8" i="4"/>
  <c r="D8" i="4"/>
  <c r="L8" i="4"/>
  <c r="B9" i="4"/>
  <c r="D9" i="4"/>
  <c r="L9" i="4"/>
  <c r="B10" i="4"/>
  <c r="D10" i="4"/>
  <c r="I10" i="4"/>
  <c r="O10" i="4"/>
  <c r="L10" i="4"/>
  <c r="B11" i="4"/>
  <c r="D11" i="4"/>
  <c r="L11" i="4"/>
  <c r="B12" i="4"/>
  <c r="D12" i="4"/>
  <c r="L12" i="4"/>
  <c r="B13" i="4"/>
  <c r="D13" i="4"/>
  <c r="L13" i="4"/>
  <c r="B14" i="4"/>
  <c r="D14" i="4"/>
  <c r="L14" i="4"/>
  <c r="B15" i="4"/>
  <c r="D15" i="4"/>
  <c r="L15" i="4"/>
  <c r="B16" i="4"/>
  <c r="D16" i="4"/>
  <c r="I16" i="4"/>
  <c r="L16" i="4"/>
  <c r="B17" i="4"/>
  <c r="D17" i="4"/>
  <c r="L17" i="4"/>
  <c r="B18" i="4"/>
  <c r="D18" i="4"/>
  <c r="L18" i="4"/>
  <c r="B19" i="4"/>
  <c r="D19" i="4"/>
  <c r="I19" i="4"/>
  <c r="K19" i="4"/>
  <c r="L19" i="4"/>
  <c r="O19" i="4"/>
  <c r="B20" i="4"/>
  <c r="D20" i="4"/>
  <c r="L20" i="4"/>
  <c r="B21" i="4"/>
  <c r="D21" i="4"/>
  <c r="I21" i="4"/>
  <c r="L21" i="4"/>
  <c r="B22" i="4"/>
  <c r="D22" i="4"/>
  <c r="L22" i="4"/>
  <c r="B23" i="4"/>
  <c r="D23" i="4"/>
  <c r="L23" i="4"/>
  <c r="B24" i="4"/>
  <c r="D24" i="4"/>
  <c r="L24" i="4"/>
  <c r="B25" i="4"/>
  <c r="D25" i="4"/>
  <c r="L25" i="4"/>
  <c r="B26" i="4"/>
  <c r="D26" i="4"/>
  <c r="L26" i="4"/>
  <c r="B27" i="4"/>
  <c r="D27" i="4"/>
  <c r="L27" i="4"/>
  <c r="B28" i="4"/>
  <c r="D28" i="4"/>
  <c r="L28" i="4"/>
  <c r="B29" i="4"/>
  <c r="D29" i="4"/>
  <c r="I29" i="4"/>
  <c r="L29" i="4"/>
  <c r="P29" i="4"/>
  <c r="B30" i="4"/>
  <c r="D30" i="4"/>
  <c r="I30" i="4"/>
  <c r="P30" i="4"/>
  <c r="L30" i="4"/>
  <c r="B31" i="4"/>
  <c r="D31" i="4"/>
  <c r="I31" i="4"/>
  <c r="K31" i="4"/>
  <c r="L31" i="4"/>
  <c r="B32" i="4"/>
  <c r="D32" i="4"/>
  <c r="I32" i="4"/>
  <c r="P32" i="4"/>
  <c r="L32" i="4"/>
  <c r="B33" i="4"/>
  <c r="D33" i="4"/>
  <c r="L33" i="4"/>
  <c r="B34" i="4"/>
  <c r="D34" i="4"/>
  <c r="L34" i="4"/>
  <c r="B35" i="4"/>
  <c r="D35" i="4"/>
  <c r="L35" i="4"/>
  <c r="B36" i="4"/>
  <c r="D36" i="4"/>
  <c r="L36" i="4"/>
  <c r="B37" i="4"/>
  <c r="D37" i="4"/>
  <c r="I37" i="4"/>
  <c r="P37" i="4"/>
  <c r="L37" i="4"/>
  <c r="B38" i="4"/>
  <c r="D38" i="4"/>
  <c r="L38" i="4"/>
  <c r="B39" i="4"/>
  <c r="D39" i="4"/>
  <c r="I39" i="4"/>
  <c r="L39" i="4"/>
  <c r="B40" i="4"/>
  <c r="D40" i="4"/>
  <c r="I40" i="4"/>
  <c r="L40" i="4"/>
  <c r="B41" i="4"/>
  <c r="D41" i="4"/>
  <c r="L41" i="4"/>
  <c r="B42" i="4"/>
  <c r="D42" i="4"/>
  <c r="I42" i="4"/>
  <c r="L42" i="4"/>
  <c r="B43" i="4"/>
  <c r="D43" i="4"/>
  <c r="L43" i="4"/>
  <c r="B44" i="4"/>
  <c r="D44" i="4"/>
  <c r="L44" i="4"/>
  <c r="N45" i="4"/>
  <c r="B46" i="4"/>
  <c r="D46" i="4"/>
  <c r="L46" i="4"/>
  <c r="B47" i="4"/>
  <c r="D47" i="4"/>
  <c r="L47" i="4"/>
  <c r="B48" i="4"/>
  <c r="D48" i="4"/>
  <c r="L48" i="4"/>
  <c r="B49" i="4"/>
  <c r="D49" i="4"/>
  <c r="L49" i="4"/>
  <c r="B50" i="4"/>
  <c r="D50" i="4"/>
  <c r="I50" i="4"/>
  <c r="K50" i="4"/>
  <c r="L50" i="4"/>
  <c r="B51" i="4"/>
  <c r="D51" i="4"/>
  <c r="L51" i="4"/>
  <c r="B52" i="4"/>
  <c r="D52" i="4"/>
  <c r="L52" i="4"/>
  <c r="B53" i="4"/>
  <c r="D53" i="4"/>
  <c r="L53" i="4"/>
  <c r="B54" i="4"/>
  <c r="D54" i="4"/>
  <c r="I54" i="4"/>
  <c r="O54" i="4"/>
  <c r="L54" i="4"/>
  <c r="B55" i="4"/>
  <c r="D55" i="4"/>
  <c r="L55" i="4"/>
  <c r="B56" i="4"/>
  <c r="D56" i="4"/>
  <c r="L56" i="4"/>
  <c r="B57" i="4"/>
  <c r="D57" i="4"/>
  <c r="L57" i="4"/>
  <c r="B58" i="4"/>
  <c r="D58" i="4"/>
  <c r="I58" i="4"/>
  <c r="K58" i="4"/>
  <c r="L58" i="4"/>
  <c r="B59" i="4"/>
  <c r="D59" i="4"/>
  <c r="L59" i="4"/>
  <c r="B60" i="4"/>
  <c r="D60" i="4"/>
  <c r="L60" i="4"/>
  <c r="B61" i="4"/>
  <c r="D61" i="4"/>
  <c r="I61" i="4"/>
  <c r="P61" i="4"/>
  <c r="L61" i="4"/>
  <c r="B62" i="4"/>
  <c r="D62" i="4"/>
  <c r="L62" i="4"/>
  <c r="B63" i="4"/>
  <c r="D63" i="4"/>
  <c r="I63" i="4"/>
  <c r="K63" i="4"/>
  <c r="L63" i="4"/>
  <c r="B64" i="4"/>
  <c r="D64" i="4"/>
  <c r="L64" i="4"/>
  <c r="B65" i="4"/>
  <c r="D65" i="4"/>
  <c r="L65" i="4"/>
  <c r="B66" i="4"/>
  <c r="D66" i="4"/>
  <c r="K66" i="4"/>
  <c r="L66" i="4"/>
  <c r="B67" i="4"/>
  <c r="D67" i="4"/>
  <c r="L67" i="4"/>
  <c r="B68" i="4"/>
  <c r="D68" i="4"/>
  <c r="L68" i="4"/>
  <c r="B69" i="4"/>
  <c r="D69" i="4"/>
  <c r="L69" i="4"/>
  <c r="B70" i="4"/>
  <c r="D70" i="4"/>
  <c r="I70" i="4"/>
  <c r="O70" i="4"/>
  <c r="L70" i="4"/>
  <c r="B71" i="4"/>
  <c r="D71" i="4"/>
  <c r="L71" i="4"/>
  <c r="B72" i="4"/>
  <c r="D72" i="4"/>
  <c r="I72" i="4"/>
  <c r="L72" i="4"/>
  <c r="B73" i="4"/>
  <c r="D73" i="4"/>
  <c r="L73" i="4"/>
  <c r="B74" i="4"/>
  <c r="D74" i="4"/>
  <c r="I74" i="4"/>
  <c r="L74" i="4"/>
  <c r="B75" i="4"/>
  <c r="D75" i="4"/>
  <c r="L75" i="4"/>
  <c r="B76" i="4"/>
  <c r="D76" i="4"/>
  <c r="L76" i="4"/>
  <c r="B77" i="4"/>
  <c r="D77" i="4"/>
  <c r="L77" i="4"/>
  <c r="B78" i="4"/>
  <c r="D78" i="4"/>
  <c r="L78" i="4"/>
  <c r="B79" i="4"/>
  <c r="D79" i="4"/>
  <c r="I79" i="4"/>
  <c r="P79" i="4"/>
  <c r="L79" i="4"/>
  <c r="B80" i="4"/>
  <c r="D80" i="4"/>
  <c r="I80" i="4"/>
  <c r="L80" i="4"/>
  <c r="B81" i="4"/>
  <c r="D81" i="4"/>
  <c r="I81" i="4"/>
  <c r="O81" i="4"/>
  <c r="L81" i="4"/>
  <c r="B82" i="4"/>
  <c r="D82" i="4"/>
  <c r="L82" i="4"/>
  <c r="B83" i="4"/>
  <c r="D83" i="4"/>
  <c r="L83" i="4"/>
  <c r="B84" i="4"/>
  <c r="D84" i="4"/>
  <c r="L84" i="4"/>
  <c r="B85" i="4"/>
  <c r="D85" i="4"/>
  <c r="L85" i="4"/>
  <c r="B86" i="4"/>
  <c r="D86" i="4"/>
  <c r="L86" i="4"/>
  <c r="B87" i="4"/>
  <c r="D87" i="4"/>
  <c r="L87" i="4"/>
  <c r="B88" i="4"/>
  <c r="D88" i="4"/>
  <c r="L88" i="4"/>
  <c r="B89" i="4"/>
  <c r="D89" i="4"/>
  <c r="L89" i="4"/>
  <c r="B90" i="4"/>
  <c r="D90" i="4"/>
  <c r="L90" i="4"/>
  <c r="B91" i="4"/>
  <c r="D91" i="4"/>
  <c r="I91" i="4"/>
  <c r="L91" i="4"/>
  <c r="B92" i="4"/>
  <c r="D92" i="4"/>
  <c r="I92" i="4"/>
  <c r="L92" i="4"/>
  <c r="B93" i="4"/>
  <c r="D93" i="4"/>
  <c r="L93" i="4"/>
  <c r="B94" i="4"/>
  <c r="D94" i="4"/>
  <c r="L94" i="4"/>
  <c r="B95" i="4"/>
  <c r="D95" i="4"/>
  <c r="L95" i="4"/>
  <c r="B96" i="4"/>
  <c r="D96" i="4"/>
  <c r="L96" i="4"/>
  <c r="B97" i="4"/>
  <c r="D97" i="4"/>
  <c r="L97" i="4"/>
  <c r="B98" i="4"/>
  <c r="D98" i="4"/>
  <c r="K98" i="4"/>
  <c r="L98" i="4"/>
  <c r="B99" i="4"/>
  <c r="D99" i="4"/>
  <c r="I99" i="4"/>
  <c r="K99" i="4"/>
  <c r="L99" i="4"/>
  <c r="B100" i="4"/>
  <c r="D100" i="4"/>
  <c r="L100" i="4"/>
  <c r="B101" i="4"/>
  <c r="D101" i="4"/>
  <c r="L101" i="4"/>
  <c r="B102" i="4"/>
  <c r="D102" i="4"/>
  <c r="L102" i="4"/>
  <c r="N103" i="4"/>
  <c r="B104" i="4"/>
  <c r="D104" i="4"/>
  <c r="I104" i="4"/>
  <c r="O104" i="4"/>
  <c r="L104" i="4"/>
  <c r="B105" i="4"/>
  <c r="D105" i="4"/>
  <c r="I105" i="4"/>
  <c r="P105" i="4"/>
  <c r="L105" i="4"/>
  <c r="B106" i="4"/>
  <c r="D106" i="4"/>
  <c r="I106" i="4"/>
  <c r="O106" i="4"/>
  <c r="L106" i="4"/>
  <c r="B107" i="4"/>
  <c r="D107" i="4"/>
  <c r="L107" i="4"/>
  <c r="B108" i="4"/>
  <c r="D108" i="4"/>
  <c r="I108" i="4"/>
  <c r="L108" i="4"/>
  <c r="B109" i="4"/>
  <c r="D109" i="4"/>
  <c r="L109" i="4"/>
  <c r="B110" i="4"/>
  <c r="D110" i="4"/>
  <c r="I110" i="4"/>
  <c r="P110" i="4"/>
  <c r="L110" i="4"/>
  <c r="B111" i="4"/>
  <c r="D111" i="4"/>
  <c r="I111" i="4"/>
  <c r="L111" i="4"/>
  <c r="B112" i="4"/>
  <c r="D112" i="4"/>
  <c r="L112" i="4"/>
  <c r="B113" i="4"/>
  <c r="D113" i="4"/>
  <c r="I113" i="4"/>
  <c r="L113" i="4"/>
  <c r="B114" i="4"/>
  <c r="D114" i="4"/>
  <c r="L114" i="4"/>
  <c r="B115" i="4"/>
  <c r="D115" i="4"/>
  <c r="I115" i="4"/>
  <c r="L115" i="4"/>
  <c r="B116" i="4"/>
  <c r="D116" i="4"/>
  <c r="L116" i="4"/>
  <c r="B117" i="4"/>
  <c r="D117" i="4"/>
  <c r="L117" i="4"/>
  <c r="B118" i="4"/>
  <c r="D118" i="4"/>
  <c r="L118" i="4"/>
  <c r="B119" i="4"/>
  <c r="D119" i="4"/>
  <c r="L119" i="4"/>
  <c r="B120" i="4"/>
  <c r="D120" i="4"/>
  <c r="I120" i="4"/>
  <c r="L120" i="4"/>
  <c r="B121" i="4"/>
  <c r="D121" i="4"/>
  <c r="L121" i="4"/>
  <c r="B122" i="4"/>
  <c r="D122" i="4"/>
  <c r="L122" i="4"/>
  <c r="B123" i="4"/>
  <c r="D123" i="4"/>
  <c r="L123" i="4"/>
  <c r="B124" i="4"/>
  <c r="D124" i="4"/>
  <c r="I124" i="4"/>
  <c r="L124" i="4"/>
  <c r="B125" i="4"/>
  <c r="D125" i="4"/>
  <c r="I125" i="4"/>
  <c r="O125" i="4"/>
  <c r="L125" i="4"/>
  <c r="N126" i="4"/>
  <c r="B127" i="4"/>
  <c r="D127" i="4"/>
  <c r="I127" i="4"/>
  <c r="P127" i="4"/>
  <c r="K127" i="4"/>
  <c r="L127" i="4"/>
  <c r="B128" i="4"/>
  <c r="D128" i="4"/>
  <c r="L128" i="4"/>
  <c r="B129" i="4"/>
  <c r="D129" i="4"/>
  <c r="L129" i="4"/>
  <c r="N130" i="4"/>
  <c r="O131" i="4"/>
  <c r="B131" i="4"/>
  <c r="D131" i="4"/>
  <c r="K131" i="4"/>
  <c r="L131" i="4"/>
  <c r="B132" i="4"/>
  <c r="D132" i="4"/>
  <c r="L132" i="4"/>
  <c r="B133" i="4"/>
  <c r="D133" i="4"/>
  <c r="L133" i="4"/>
  <c r="B134" i="4"/>
  <c r="D134" i="4"/>
  <c r="L134" i="4"/>
  <c r="B135" i="4"/>
  <c r="D135" i="4"/>
  <c r="I135" i="4"/>
  <c r="K135" i="4"/>
  <c r="L135" i="4"/>
  <c r="B136" i="4"/>
  <c r="D136" i="4"/>
  <c r="I136" i="4"/>
  <c r="L136" i="4"/>
  <c r="B137" i="4"/>
  <c r="D137" i="4"/>
  <c r="L137" i="4"/>
  <c r="B138" i="4"/>
  <c r="D138" i="4"/>
  <c r="L138" i="4"/>
  <c r="B139" i="4"/>
  <c r="D139" i="4"/>
  <c r="L139" i="4"/>
  <c r="B140" i="4"/>
  <c r="D140" i="4"/>
  <c r="L140" i="4"/>
  <c r="B141" i="4"/>
  <c r="D141" i="4"/>
  <c r="L141" i="4"/>
  <c r="B142" i="4"/>
  <c r="D142" i="4"/>
  <c r="L142" i="4"/>
  <c r="B143" i="4"/>
  <c r="D143" i="4"/>
  <c r="L143" i="4"/>
  <c r="B144" i="4"/>
  <c r="D144" i="4"/>
  <c r="L144" i="4"/>
  <c r="B145" i="4"/>
  <c r="D145" i="4"/>
  <c r="L145" i="4"/>
  <c r="B146" i="4"/>
  <c r="D146" i="4"/>
  <c r="L146" i="4"/>
  <c r="B147" i="4"/>
  <c r="D147" i="4"/>
  <c r="L147" i="4"/>
  <c r="B148" i="4"/>
  <c r="D148" i="4"/>
  <c r="L148" i="4"/>
  <c r="B149" i="4"/>
  <c r="D149" i="4"/>
  <c r="I149" i="4"/>
  <c r="O149" i="4"/>
  <c r="K149" i="4"/>
  <c r="L149" i="4"/>
  <c r="B150" i="4"/>
  <c r="D150" i="4"/>
  <c r="L150" i="4"/>
  <c r="B151" i="4"/>
  <c r="D151" i="4"/>
  <c r="L151" i="4"/>
  <c r="B152" i="4"/>
  <c r="D152" i="4"/>
  <c r="I152" i="4"/>
  <c r="L152" i="4"/>
  <c r="P152" i="4"/>
  <c r="B153" i="4"/>
  <c r="D153" i="4"/>
  <c r="L153" i="4"/>
  <c r="B154" i="4"/>
  <c r="D154" i="4"/>
  <c r="L154" i="4"/>
  <c r="B155" i="4"/>
  <c r="D155" i="4"/>
  <c r="L155" i="4"/>
  <c r="B156" i="4"/>
  <c r="D156" i="4"/>
  <c r="I156" i="4"/>
  <c r="P156" i="4"/>
  <c r="L156" i="4"/>
  <c r="B157" i="4"/>
  <c r="D157" i="4"/>
  <c r="L157" i="4"/>
  <c r="B158" i="4"/>
  <c r="D158" i="4"/>
  <c r="L158" i="4"/>
  <c r="B159" i="4"/>
  <c r="D159" i="4"/>
  <c r="L159" i="4"/>
  <c r="B160" i="4"/>
  <c r="D160" i="4"/>
  <c r="L160" i="4"/>
  <c r="B161" i="4"/>
  <c r="D161" i="4"/>
  <c r="L161" i="4"/>
  <c r="B162" i="4"/>
  <c r="D162" i="4"/>
  <c r="L162" i="4"/>
  <c r="B163" i="4"/>
  <c r="D163" i="4"/>
  <c r="L163" i="4"/>
  <c r="B164" i="4"/>
  <c r="D164" i="4"/>
  <c r="L164" i="4"/>
  <c r="B165" i="4"/>
  <c r="D165" i="4"/>
  <c r="L165" i="4"/>
  <c r="B166" i="4"/>
  <c r="D166" i="4"/>
  <c r="I166" i="4"/>
  <c r="L166" i="4"/>
  <c r="B167" i="4"/>
  <c r="D167" i="4"/>
  <c r="L167" i="4"/>
  <c r="B168" i="4"/>
  <c r="D168" i="4"/>
  <c r="I168" i="4"/>
  <c r="K168" i="4"/>
  <c r="O168" i="4"/>
  <c r="L168" i="4"/>
  <c r="P168" i="4"/>
  <c r="B169" i="4"/>
  <c r="D169" i="4"/>
  <c r="L169" i="4"/>
  <c r="B170" i="4"/>
  <c r="D170" i="4"/>
  <c r="L170" i="4"/>
  <c r="B171" i="4"/>
  <c r="D171" i="4"/>
  <c r="L171" i="4"/>
  <c r="B172" i="4"/>
  <c r="D172" i="4"/>
  <c r="L172" i="4"/>
  <c r="B173" i="4"/>
  <c r="D173" i="4"/>
  <c r="L173" i="4"/>
  <c r="B174" i="4"/>
  <c r="D174" i="4"/>
  <c r="I174" i="4"/>
  <c r="L174" i="4"/>
  <c r="B175" i="4"/>
  <c r="D175" i="4"/>
  <c r="I175" i="4"/>
  <c r="P175" i="4"/>
  <c r="L175" i="4"/>
  <c r="B176" i="4"/>
  <c r="D176" i="4"/>
  <c r="I176" i="4"/>
  <c r="L176" i="4"/>
  <c r="B177" i="4"/>
  <c r="D177" i="4"/>
  <c r="L177" i="4"/>
  <c r="B178" i="4"/>
  <c r="D178" i="4"/>
  <c r="L178" i="4"/>
  <c r="B179" i="4"/>
  <c r="D179" i="4"/>
  <c r="L179" i="4"/>
  <c r="B180" i="4"/>
  <c r="D180" i="4"/>
  <c r="L180" i="4"/>
  <c r="B181" i="4"/>
  <c r="D181" i="4"/>
  <c r="I181" i="4"/>
  <c r="O181" i="4"/>
  <c r="K181" i="4"/>
  <c r="L181" i="4"/>
  <c r="B182" i="4"/>
  <c r="D182" i="4"/>
  <c r="L182" i="4"/>
  <c r="N183" i="4"/>
  <c r="O184" i="4"/>
  <c r="B184" i="4"/>
  <c r="D184" i="4"/>
  <c r="I184" i="4"/>
  <c r="P184" i="4"/>
  <c r="I183" i="4"/>
  <c r="L184" i="4"/>
  <c r="N185" i="4"/>
  <c r="B186" i="4"/>
  <c r="D186" i="4"/>
  <c r="L186" i="4"/>
  <c r="B187" i="4"/>
  <c r="D187" i="4"/>
  <c r="I187" i="4"/>
  <c r="P187" i="4"/>
  <c r="L187" i="4"/>
  <c r="B188" i="4"/>
  <c r="D188" i="4"/>
  <c r="L188" i="4"/>
  <c r="B189" i="4"/>
  <c r="D189" i="4"/>
  <c r="L189" i="4"/>
  <c r="B190" i="4"/>
  <c r="D190" i="4"/>
  <c r="I190" i="4"/>
  <c r="L190" i="4"/>
  <c r="B191" i="4"/>
  <c r="D191" i="4"/>
  <c r="L191" i="4"/>
  <c r="B192" i="4"/>
  <c r="D192" i="4"/>
  <c r="L192" i="4"/>
  <c r="B193" i="4"/>
  <c r="D193" i="4"/>
  <c r="L193" i="4"/>
  <c r="B194" i="4"/>
  <c r="D194" i="4"/>
  <c r="L194" i="4"/>
  <c r="B195" i="4"/>
  <c r="D195" i="4"/>
  <c r="L195" i="4"/>
  <c r="B196" i="4"/>
  <c r="D196" i="4"/>
  <c r="L196" i="4"/>
  <c r="B197" i="4"/>
  <c r="D197" i="4"/>
  <c r="L197" i="4"/>
  <c r="B198" i="4"/>
  <c r="D198" i="4"/>
  <c r="I198" i="4"/>
  <c r="L198" i="4"/>
  <c r="B199" i="4"/>
  <c r="D199" i="4"/>
  <c r="I199" i="4"/>
  <c r="P199" i="4"/>
  <c r="L199" i="4"/>
  <c r="B200" i="4"/>
  <c r="D200" i="4"/>
  <c r="L200" i="4"/>
  <c r="B201" i="4"/>
  <c r="D201" i="4"/>
  <c r="L201" i="4"/>
  <c r="B202" i="4"/>
  <c r="D202" i="4"/>
  <c r="L202" i="4"/>
  <c r="B203" i="4"/>
  <c r="D203" i="4"/>
  <c r="I203" i="4"/>
  <c r="P203" i="4"/>
  <c r="L203" i="4"/>
  <c r="B204" i="4"/>
  <c r="D204" i="4"/>
  <c r="L204" i="4"/>
  <c r="B205" i="4"/>
  <c r="D205" i="4"/>
  <c r="I205" i="4"/>
  <c r="K205" i="4"/>
  <c r="L205" i="4"/>
  <c r="P205" i="4"/>
  <c r="B206" i="4"/>
  <c r="D206" i="4"/>
  <c r="L206" i="4"/>
  <c r="B207" i="4"/>
  <c r="D207" i="4"/>
  <c r="I207" i="4"/>
  <c r="L207" i="4"/>
  <c r="P207" i="4"/>
  <c r="B208" i="4"/>
  <c r="D208" i="4"/>
  <c r="I208" i="4"/>
  <c r="L208" i="4"/>
  <c r="B209" i="4"/>
  <c r="D209" i="4"/>
  <c r="L209" i="4"/>
  <c r="B210" i="4"/>
  <c r="D210" i="4"/>
  <c r="I210" i="4"/>
  <c r="P210" i="4"/>
  <c r="L210" i="4"/>
  <c r="B211" i="4"/>
  <c r="D211" i="4"/>
  <c r="L211" i="4"/>
  <c r="B212" i="4"/>
  <c r="D212" i="4"/>
  <c r="I212" i="4"/>
  <c r="K212" i="4"/>
  <c r="P212" i="4"/>
  <c r="L212" i="4"/>
  <c r="B213" i="4"/>
  <c r="D213" i="4"/>
  <c r="L213" i="4"/>
  <c r="B214" i="4"/>
  <c r="D214" i="4"/>
  <c r="L214" i="4"/>
  <c r="B215" i="4"/>
  <c r="D215" i="4"/>
  <c r="I215" i="4"/>
  <c r="P215" i="4"/>
  <c r="L215" i="4"/>
  <c r="B216" i="4"/>
  <c r="D216" i="4"/>
  <c r="I216" i="4"/>
  <c r="L216" i="4"/>
  <c r="B217" i="4"/>
  <c r="D217" i="4"/>
  <c r="K217" i="4"/>
  <c r="L217" i="4"/>
  <c r="B218" i="4"/>
  <c r="D218" i="4"/>
  <c r="I218" i="4"/>
  <c r="L218" i="4"/>
  <c r="N219" i="4"/>
  <c r="B220" i="4"/>
  <c r="D220" i="4"/>
  <c r="L220" i="4"/>
  <c r="N221" i="4"/>
  <c r="B222" i="4"/>
  <c r="D222" i="4"/>
  <c r="I222" i="4"/>
  <c r="L222" i="4"/>
  <c r="B223" i="4"/>
  <c r="D223" i="4"/>
  <c r="L223" i="4"/>
  <c r="B224" i="4"/>
  <c r="D224" i="4"/>
  <c r="L224" i="4"/>
  <c r="B225" i="4"/>
  <c r="D225" i="4"/>
  <c r="L225" i="4"/>
  <c r="B226" i="4"/>
  <c r="D226" i="4"/>
  <c r="L226" i="4"/>
  <c r="B227" i="4"/>
  <c r="D227" i="4"/>
  <c r="L227" i="4"/>
  <c r="B228" i="4"/>
  <c r="D228" i="4"/>
  <c r="L228" i="4"/>
  <c r="B229" i="4"/>
  <c r="D229" i="4"/>
  <c r="L229" i="4"/>
  <c r="N230" i="4"/>
  <c r="B231" i="4"/>
  <c r="D231" i="4"/>
  <c r="I231" i="4"/>
  <c r="L231" i="4"/>
  <c r="N240" i="4"/>
  <c r="B241" i="4"/>
  <c r="D241" i="4"/>
  <c r="L241" i="4"/>
  <c r="B242" i="4"/>
  <c r="D242" i="4"/>
  <c r="L242" i="4"/>
  <c r="B243" i="4"/>
  <c r="D243" i="4"/>
  <c r="L243" i="4"/>
  <c r="B244" i="4"/>
  <c r="D244" i="4"/>
  <c r="L244" i="4"/>
  <c r="B245" i="4"/>
  <c r="D245" i="4"/>
  <c r="I245" i="4"/>
  <c r="P245" i="4"/>
  <c r="L245" i="4"/>
  <c r="B246" i="4"/>
  <c r="D246" i="4"/>
  <c r="L246" i="4"/>
  <c r="B247" i="4"/>
  <c r="D247" i="4"/>
  <c r="L247" i="4"/>
  <c r="K6" i="5"/>
  <c r="N6" i="5"/>
  <c r="B7" i="5"/>
  <c r="D7" i="5"/>
  <c r="J7" i="5"/>
  <c r="B8" i="5"/>
  <c r="D8" i="5"/>
  <c r="J8" i="5"/>
  <c r="B9" i="5"/>
  <c r="D9" i="5"/>
  <c r="J9" i="5"/>
  <c r="B10" i="5"/>
  <c r="D10" i="5"/>
  <c r="J10" i="5"/>
  <c r="B11" i="5"/>
  <c r="D11" i="5"/>
  <c r="J11" i="5"/>
  <c r="B12" i="5"/>
  <c r="D12" i="5"/>
  <c r="J12" i="5"/>
  <c r="B13" i="5"/>
  <c r="D13" i="5"/>
  <c r="J13" i="5"/>
  <c r="B14" i="5"/>
  <c r="D14" i="5"/>
  <c r="J14" i="5"/>
  <c r="B15" i="5"/>
  <c r="D15" i="5"/>
  <c r="J15" i="5"/>
  <c r="B16" i="5"/>
  <c r="D16" i="5"/>
  <c r="J16" i="5"/>
  <c r="B17" i="5"/>
  <c r="D17" i="5"/>
  <c r="J17" i="5"/>
  <c r="B18" i="5"/>
  <c r="D18" i="5"/>
  <c r="J18" i="5"/>
  <c r="B19" i="5"/>
  <c r="D19" i="5"/>
  <c r="J19" i="5"/>
  <c r="B20" i="5"/>
  <c r="D20" i="5"/>
  <c r="J20" i="5"/>
  <c r="B21" i="5"/>
  <c r="D21" i="5"/>
  <c r="J21" i="5"/>
  <c r="B22" i="5"/>
  <c r="D22" i="5"/>
  <c r="J22" i="5"/>
  <c r="B23" i="5"/>
  <c r="D23" i="5"/>
  <c r="J23" i="5"/>
  <c r="B24" i="5"/>
  <c r="D24" i="5"/>
  <c r="J24" i="5"/>
  <c r="B25" i="5"/>
  <c r="D25" i="5"/>
  <c r="J25" i="5"/>
  <c r="B26" i="5"/>
  <c r="D26" i="5"/>
  <c r="J26" i="5"/>
  <c r="B27" i="5"/>
  <c r="D27" i="5"/>
  <c r="J27" i="5"/>
  <c r="B28" i="5"/>
  <c r="D28" i="5"/>
  <c r="J28" i="5"/>
  <c r="B29" i="5"/>
  <c r="D29" i="5"/>
  <c r="J29" i="5"/>
  <c r="B30" i="5"/>
  <c r="D30" i="5"/>
  <c r="J30" i="5"/>
  <c r="B31" i="5"/>
  <c r="D31" i="5"/>
  <c r="J31" i="5"/>
  <c r="B32" i="5"/>
  <c r="D32" i="5"/>
  <c r="J32" i="5"/>
  <c r="B33" i="5"/>
  <c r="D33" i="5"/>
  <c r="J33" i="5"/>
  <c r="B34" i="5"/>
  <c r="D34" i="5"/>
  <c r="J34" i="5"/>
  <c r="B35" i="5"/>
  <c r="D35" i="5"/>
  <c r="J35" i="5"/>
  <c r="B36" i="5"/>
  <c r="D36" i="5"/>
  <c r="J36" i="5"/>
  <c r="B37" i="5"/>
  <c r="D37" i="5"/>
  <c r="J37" i="5"/>
  <c r="B38" i="5"/>
  <c r="D38" i="5"/>
  <c r="J38" i="5"/>
  <c r="B39" i="5"/>
  <c r="D39" i="5"/>
  <c r="J39" i="5"/>
  <c r="B40" i="5"/>
  <c r="D40" i="5"/>
  <c r="J40" i="5"/>
  <c r="B41" i="5"/>
  <c r="D41" i="5"/>
  <c r="J41" i="5"/>
  <c r="B42" i="5"/>
  <c r="D42" i="5"/>
  <c r="J42" i="5"/>
  <c r="B43" i="5"/>
  <c r="D43" i="5"/>
  <c r="J43" i="5"/>
  <c r="B44" i="5"/>
  <c r="D44" i="5"/>
  <c r="J44" i="5"/>
  <c r="B45" i="5"/>
  <c r="D45" i="5"/>
  <c r="J45" i="5"/>
  <c r="B46" i="5"/>
  <c r="D46" i="5"/>
  <c r="J46" i="5"/>
  <c r="B47" i="5"/>
  <c r="D47" i="5"/>
  <c r="J47" i="5"/>
  <c r="B48" i="5"/>
  <c r="D48" i="5"/>
  <c r="J48" i="5"/>
  <c r="B49" i="5"/>
  <c r="D49" i="5"/>
  <c r="J49" i="5"/>
  <c r="B50" i="5"/>
  <c r="D50" i="5"/>
  <c r="J50" i="5"/>
  <c r="B51" i="5"/>
  <c r="D51" i="5"/>
  <c r="J51" i="5"/>
  <c r="B52" i="5"/>
  <c r="D52" i="5"/>
  <c r="J52" i="5"/>
  <c r="B53" i="5"/>
  <c r="D53" i="5"/>
  <c r="J53" i="5"/>
  <c r="B54" i="5"/>
  <c r="D54" i="5"/>
  <c r="J54" i="5"/>
  <c r="B55" i="5"/>
  <c r="D55" i="5"/>
  <c r="J55" i="5"/>
  <c r="B56" i="5"/>
  <c r="D56" i="5"/>
  <c r="J56" i="5"/>
  <c r="B57" i="5"/>
  <c r="D57" i="5"/>
  <c r="J57" i="5"/>
  <c r="B58" i="5"/>
  <c r="D58" i="5"/>
  <c r="G58" i="5"/>
  <c r="J58" i="5"/>
  <c r="B59" i="5"/>
  <c r="D59" i="5"/>
  <c r="G59" i="5"/>
  <c r="I59" i="5"/>
  <c r="J59" i="5"/>
  <c r="B60" i="5"/>
  <c r="D60" i="5"/>
  <c r="J60" i="5"/>
  <c r="B61" i="5"/>
  <c r="D61" i="5"/>
  <c r="J61" i="5"/>
  <c r="B62" i="5"/>
  <c r="D62" i="5"/>
  <c r="J62" i="5"/>
  <c r="B63" i="5"/>
  <c r="D63" i="5"/>
  <c r="J63" i="5"/>
  <c r="B64" i="5"/>
  <c r="D64" i="5"/>
  <c r="J64" i="5"/>
  <c r="B65" i="5"/>
  <c r="D65" i="5"/>
  <c r="J65" i="5"/>
  <c r="B66" i="5"/>
  <c r="D66" i="5"/>
  <c r="J66" i="5"/>
  <c r="B67" i="5"/>
  <c r="D67" i="5"/>
  <c r="J67" i="5"/>
  <c r="B68" i="5"/>
  <c r="D68" i="5"/>
  <c r="J68" i="5"/>
  <c r="B69" i="5"/>
  <c r="D69" i="5"/>
  <c r="J69" i="5"/>
  <c r="B70" i="5"/>
  <c r="D70" i="5"/>
  <c r="J70" i="5"/>
  <c r="B71" i="5"/>
  <c r="D71" i="5"/>
  <c r="J71" i="5"/>
  <c r="B72" i="5"/>
  <c r="D72" i="5"/>
  <c r="J72" i="5"/>
  <c r="B73" i="5"/>
  <c r="D73" i="5"/>
  <c r="J73" i="5"/>
  <c r="B74" i="5"/>
  <c r="D74" i="5"/>
  <c r="J74" i="5"/>
  <c r="B75" i="5"/>
  <c r="D75" i="5"/>
  <c r="J75" i="5"/>
  <c r="B76" i="5"/>
  <c r="D76" i="5"/>
  <c r="J76" i="5"/>
  <c r="B77" i="5"/>
  <c r="D77" i="5"/>
  <c r="J77" i="5"/>
  <c r="B78" i="5"/>
  <c r="D78" i="5"/>
  <c r="J78" i="5"/>
  <c r="B79" i="5"/>
  <c r="D79" i="5"/>
  <c r="J79" i="5"/>
  <c r="B80" i="5"/>
  <c r="D80" i="5"/>
  <c r="J80" i="5"/>
  <c r="K81" i="5"/>
  <c r="N81" i="5"/>
  <c r="O81" i="5"/>
  <c r="B82" i="5"/>
  <c r="D82" i="5"/>
  <c r="J82" i="5"/>
  <c r="B83" i="5"/>
  <c r="D83" i="5"/>
  <c r="J83" i="5"/>
  <c r="B84" i="5"/>
  <c r="D84" i="5"/>
  <c r="J84" i="5"/>
  <c r="K85" i="5"/>
  <c r="N85" i="5"/>
  <c r="B86" i="5"/>
  <c r="D86" i="5"/>
  <c r="J86" i="5"/>
  <c r="B87" i="5"/>
  <c r="D87" i="5"/>
  <c r="J87" i="5"/>
  <c r="B88" i="5"/>
  <c r="D88" i="5"/>
  <c r="J88" i="5"/>
  <c r="B89" i="5"/>
  <c r="D89" i="5"/>
  <c r="J89" i="5"/>
  <c r="B90" i="5"/>
  <c r="D90" i="5"/>
  <c r="G90" i="5"/>
  <c r="L90" i="5"/>
  <c r="L425" i="5"/>
  <c r="J90" i="5"/>
  <c r="B91" i="5"/>
  <c r="D91" i="5"/>
  <c r="J91" i="5"/>
  <c r="B92" i="5"/>
  <c r="D92" i="5"/>
  <c r="J92" i="5"/>
  <c r="B93" i="5"/>
  <c r="D93" i="5"/>
  <c r="G93" i="5"/>
  <c r="L93" i="5"/>
  <c r="L432" i="5"/>
  <c r="J93" i="5"/>
  <c r="K94" i="5"/>
  <c r="N94" i="5"/>
  <c r="O94" i="5"/>
  <c r="B95" i="5"/>
  <c r="D95" i="5"/>
  <c r="J95" i="5"/>
  <c r="B96" i="5"/>
  <c r="D96" i="5"/>
  <c r="J96" i="5"/>
  <c r="B97" i="5"/>
  <c r="D97" i="5"/>
  <c r="J97" i="5"/>
  <c r="K98" i="5"/>
  <c r="N98" i="5"/>
  <c r="O98" i="5"/>
  <c r="B99" i="5"/>
  <c r="D99" i="5"/>
  <c r="J99" i="5"/>
  <c r="B100" i="5"/>
  <c r="D100" i="5"/>
  <c r="J100" i="5"/>
  <c r="K101" i="5"/>
  <c r="N101" i="5"/>
  <c r="O101" i="5"/>
  <c r="B102" i="5"/>
  <c r="D102" i="5"/>
  <c r="J102" i="5"/>
  <c r="B103" i="5"/>
  <c r="D103" i="5"/>
  <c r="J103" i="5"/>
  <c r="B104" i="5"/>
  <c r="D104" i="5"/>
  <c r="J104" i="5"/>
  <c r="K105" i="5"/>
  <c r="N105" i="5"/>
  <c r="B106" i="5"/>
  <c r="D106" i="5"/>
  <c r="J106" i="5"/>
  <c r="K107" i="5"/>
  <c r="N107" i="5"/>
  <c r="O107" i="5"/>
  <c r="B108" i="5"/>
  <c r="D108" i="5"/>
  <c r="J108" i="5"/>
  <c r="K109" i="5"/>
  <c r="N109" i="5"/>
  <c r="O109" i="5"/>
  <c r="B110" i="5"/>
  <c r="D110" i="5"/>
  <c r="J110" i="5"/>
  <c r="K111" i="5"/>
  <c r="N111" i="5"/>
  <c r="O111" i="5"/>
  <c r="B112" i="5"/>
  <c r="D112" i="5"/>
  <c r="J112" i="5"/>
  <c r="K113" i="5"/>
  <c r="N113" i="5"/>
  <c r="O113" i="5"/>
  <c r="B114" i="5"/>
  <c r="D114" i="5"/>
  <c r="J114" i="5"/>
  <c r="B115" i="5"/>
  <c r="D115" i="5"/>
  <c r="J115" i="5"/>
  <c r="B116" i="5"/>
  <c r="D116" i="5"/>
  <c r="J116" i="5"/>
  <c r="B117" i="5"/>
  <c r="D117" i="5"/>
  <c r="J117" i="5"/>
  <c r="B118" i="5"/>
  <c r="D118" i="5"/>
  <c r="J118" i="5"/>
  <c r="B119" i="5"/>
  <c r="D119" i="5"/>
  <c r="J119" i="5"/>
  <c r="K120" i="5"/>
  <c r="N120" i="5"/>
  <c r="O120" i="5"/>
  <c r="B121" i="5"/>
  <c r="D121" i="5"/>
  <c r="J121" i="5"/>
  <c r="B122" i="5"/>
  <c r="D122" i="5"/>
  <c r="J122" i="5"/>
  <c r="B123" i="5"/>
  <c r="D123" i="5"/>
  <c r="J123" i="5"/>
  <c r="B124" i="5"/>
  <c r="D124" i="5"/>
  <c r="J124" i="5"/>
  <c r="B125" i="5"/>
  <c r="D125" i="5"/>
  <c r="J125" i="5"/>
  <c r="B126" i="5"/>
  <c r="D126" i="5"/>
  <c r="J126" i="5"/>
  <c r="B127" i="5"/>
  <c r="D127" i="5"/>
  <c r="J127" i="5"/>
  <c r="B128" i="5"/>
  <c r="D128" i="5"/>
  <c r="J128" i="5"/>
  <c r="B129" i="5"/>
  <c r="D129" i="5"/>
  <c r="J129" i="5"/>
  <c r="B130" i="5"/>
  <c r="D130" i="5"/>
  <c r="J130" i="5"/>
  <c r="B131" i="5"/>
  <c r="D131" i="5"/>
  <c r="J131" i="5"/>
  <c r="B132" i="5"/>
  <c r="D132" i="5"/>
  <c r="J132" i="5"/>
  <c r="B133" i="5"/>
  <c r="D133" i="5"/>
  <c r="J133" i="5"/>
  <c r="B134" i="5"/>
  <c r="D134" i="5"/>
  <c r="J134" i="5"/>
  <c r="K135" i="5"/>
  <c r="N135" i="5"/>
  <c r="O135" i="5"/>
  <c r="B136" i="5"/>
  <c r="D136" i="5"/>
  <c r="J136" i="5"/>
  <c r="B137" i="5"/>
  <c r="D137" i="5"/>
  <c r="J137" i="5"/>
  <c r="B138" i="5"/>
  <c r="D138" i="5"/>
  <c r="J138" i="5"/>
  <c r="B139" i="5"/>
  <c r="D139" i="5"/>
  <c r="J139" i="5"/>
  <c r="B140" i="5"/>
  <c r="D140" i="5"/>
  <c r="J140" i="5"/>
  <c r="B141" i="5"/>
  <c r="D141" i="5"/>
  <c r="J141" i="5"/>
  <c r="B142" i="5"/>
  <c r="D142" i="5"/>
  <c r="J142" i="5"/>
  <c r="B143" i="5"/>
  <c r="D143" i="5"/>
  <c r="J143" i="5"/>
  <c r="K144" i="5"/>
  <c r="N144" i="5"/>
  <c r="B145" i="5"/>
  <c r="D145" i="5"/>
  <c r="J145" i="5"/>
  <c r="K146" i="5"/>
  <c r="N146" i="5"/>
  <c r="O146" i="5"/>
  <c r="B147" i="5"/>
  <c r="D147" i="5"/>
  <c r="J147" i="5"/>
  <c r="K148" i="5"/>
  <c r="N148" i="5"/>
  <c r="B149" i="5"/>
  <c r="D149" i="5"/>
  <c r="J149" i="5"/>
  <c r="B150" i="5"/>
  <c r="D150" i="5"/>
  <c r="J150" i="5"/>
  <c r="B151" i="5"/>
  <c r="D151" i="5"/>
  <c r="J151" i="5"/>
  <c r="B152" i="5"/>
  <c r="D152" i="5"/>
  <c r="J152" i="5"/>
  <c r="B153" i="5"/>
  <c r="D153" i="5"/>
  <c r="J153" i="5"/>
  <c r="K154" i="5"/>
  <c r="N154" i="5"/>
  <c r="O154" i="5"/>
  <c r="B155" i="5"/>
  <c r="D155" i="5"/>
  <c r="J155" i="5"/>
  <c r="B156" i="5"/>
  <c r="D156" i="5"/>
  <c r="J156" i="5"/>
  <c r="B157" i="5"/>
  <c r="D157" i="5"/>
  <c r="J157" i="5"/>
  <c r="K158" i="5"/>
  <c r="N158" i="5"/>
  <c r="O158" i="5"/>
  <c r="B159" i="5"/>
  <c r="D159" i="5"/>
  <c r="J159" i="5"/>
  <c r="B160" i="5"/>
  <c r="D160" i="5"/>
  <c r="J160" i="5"/>
  <c r="B161" i="5"/>
  <c r="D161" i="5"/>
  <c r="G161" i="5"/>
  <c r="I161" i="5"/>
  <c r="J161" i="5"/>
  <c r="L161" i="5"/>
  <c r="K162" i="5"/>
  <c r="N162" i="5"/>
  <c r="B163" i="5"/>
  <c r="D163" i="5"/>
  <c r="J163" i="5"/>
  <c r="B164" i="5"/>
  <c r="D164" i="5"/>
  <c r="J164" i="5"/>
  <c r="B165" i="5"/>
  <c r="D165" i="5"/>
  <c r="J165" i="5"/>
  <c r="B166" i="5"/>
  <c r="D166" i="5"/>
  <c r="J166" i="5"/>
  <c r="K167" i="5"/>
  <c r="N167" i="5"/>
  <c r="O167" i="5"/>
  <c r="B168" i="5"/>
  <c r="D168" i="5"/>
  <c r="J168" i="5"/>
  <c r="B169" i="5"/>
  <c r="D169" i="5"/>
  <c r="J169" i="5"/>
  <c r="B170" i="5"/>
  <c r="D170" i="5"/>
  <c r="J170" i="5"/>
  <c r="K171" i="5"/>
  <c r="N171" i="5"/>
  <c r="O171" i="5"/>
  <c r="B172" i="5"/>
  <c r="D172" i="5"/>
  <c r="J172" i="5"/>
  <c r="K173" i="5"/>
  <c r="N173" i="5"/>
  <c r="B174" i="5"/>
  <c r="D174" i="5"/>
  <c r="J174" i="5"/>
  <c r="K175" i="5"/>
  <c r="N175" i="5"/>
  <c r="O175" i="5"/>
  <c r="B176" i="5"/>
  <c r="D176" i="5"/>
  <c r="J176" i="5"/>
  <c r="K177" i="5"/>
  <c r="N177" i="5"/>
  <c r="B178" i="5"/>
  <c r="D178" i="5"/>
  <c r="J178" i="5"/>
  <c r="B179" i="5"/>
  <c r="D179" i="5"/>
  <c r="J179" i="5"/>
  <c r="B180" i="5"/>
  <c r="D180" i="5"/>
  <c r="J180" i="5"/>
  <c r="B181" i="5"/>
  <c r="D181" i="5"/>
  <c r="J181" i="5"/>
  <c r="B182" i="5"/>
  <c r="D182" i="5"/>
  <c r="J182" i="5"/>
  <c r="B183" i="5"/>
  <c r="D183" i="5"/>
  <c r="J183" i="5"/>
  <c r="K184" i="5"/>
  <c r="B185" i="5"/>
  <c r="D185" i="5"/>
  <c r="J185" i="5"/>
  <c r="B186" i="5"/>
  <c r="D186" i="5"/>
  <c r="J186" i="5"/>
  <c r="B187" i="5"/>
  <c r="D187" i="5"/>
  <c r="J187" i="5"/>
  <c r="B188" i="5"/>
  <c r="D188" i="5"/>
  <c r="J188" i="5"/>
  <c r="B189" i="5"/>
  <c r="D189" i="5"/>
  <c r="J189" i="5"/>
  <c r="B190" i="5"/>
  <c r="D190" i="5"/>
  <c r="J190" i="5"/>
  <c r="B191" i="5"/>
  <c r="D191" i="5"/>
  <c r="J191" i="5"/>
  <c r="B192" i="5"/>
  <c r="D192" i="5"/>
  <c r="J192" i="5"/>
  <c r="B193" i="5"/>
  <c r="D193" i="5"/>
  <c r="J193" i="5"/>
  <c r="B194" i="5"/>
  <c r="D194" i="5"/>
  <c r="J194" i="5"/>
  <c r="B195" i="5"/>
  <c r="D195" i="5"/>
  <c r="G195" i="5"/>
  <c r="J195" i="5"/>
  <c r="B196" i="5"/>
  <c r="D196" i="5"/>
  <c r="J196" i="5"/>
  <c r="B197" i="5"/>
  <c r="D197" i="5"/>
  <c r="J197" i="5"/>
  <c r="B198" i="5"/>
  <c r="D198" i="5"/>
  <c r="J198" i="5"/>
  <c r="B199" i="5"/>
  <c r="D199" i="5"/>
  <c r="J199" i="5"/>
  <c r="B200" i="5"/>
  <c r="D200" i="5"/>
  <c r="J200" i="5"/>
  <c r="B201" i="5"/>
  <c r="D201" i="5"/>
  <c r="J201" i="5"/>
  <c r="B202" i="5"/>
  <c r="D202" i="5"/>
  <c r="J202" i="5"/>
  <c r="B203" i="5"/>
  <c r="D203" i="5"/>
  <c r="J203" i="5"/>
  <c r="B204" i="5"/>
  <c r="D204" i="5"/>
  <c r="J204" i="5"/>
  <c r="B205" i="5"/>
  <c r="D205" i="5"/>
  <c r="J205" i="5"/>
  <c r="B206" i="5"/>
  <c r="D206" i="5"/>
  <c r="J206" i="5"/>
  <c r="B207" i="5"/>
  <c r="D207" i="5"/>
  <c r="J207" i="5"/>
  <c r="B208" i="5"/>
  <c r="D208" i="5"/>
  <c r="J208" i="5"/>
  <c r="B209" i="5"/>
  <c r="D209" i="5"/>
  <c r="J209" i="5"/>
  <c r="B210" i="5"/>
  <c r="D210" i="5"/>
  <c r="J210" i="5"/>
  <c r="B211" i="5"/>
  <c r="D211" i="5"/>
  <c r="J211" i="5"/>
  <c r="B212" i="5"/>
  <c r="D212" i="5"/>
  <c r="J212" i="5"/>
  <c r="B213" i="5"/>
  <c r="D213" i="5"/>
  <c r="J213" i="5"/>
  <c r="B214" i="5"/>
  <c r="D214" i="5"/>
  <c r="J214" i="5"/>
  <c r="B215" i="5"/>
  <c r="D215" i="5"/>
  <c r="J215" i="5"/>
  <c r="B216" i="5"/>
  <c r="D216" i="5"/>
  <c r="J216" i="5"/>
  <c r="B217" i="5"/>
  <c r="D217" i="5"/>
  <c r="G217" i="5"/>
  <c r="J217" i="5"/>
  <c r="B218" i="5"/>
  <c r="D218" i="5"/>
  <c r="G218" i="5"/>
  <c r="J218" i="5"/>
  <c r="B219" i="5"/>
  <c r="D219" i="5"/>
  <c r="G219" i="5"/>
  <c r="J219" i="5"/>
  <c r="B220" i="5"/>
  <c r="D220" i="5"/>
  <c r="J220" i="5"/>
  <c r="B221" i="5"/>
  <c r="D221" i="5"/>
  <c r="J221" i="5"/>
  <c r="B222" i="5"/>
  <c r="D222" i="5"/>
  <c r="J222" i="5"/>
  <c r="B223" i="5"/>
  <c r="D223" i="5"/>
  <c r="J223" i="5"/>
  <c r="B224" i="5"/>
  <c r="D224" i="5"/>
  <c r="J224" i="5"/>
  <c r="B225" i="5"/>
  <c r="D225" i="5"/>
  <c r="J225" i="5"/>
  <c r="K226" i="5"/>
  <c r="N226" i="5"/>
  <c r="B227" i="5"/>
  <c r="D227" i="5"/>
  <c r="J227" i="5"/>
  <c r="B228" i="5"/>
  <c r="D228" i="5"/>
  <c r="J228" i="5"/>
  <c r="B229" i="5"/>
  <c r="D229" i="5"/>
  <c r="J229" i="5"/>
  <c r="B230" i="5"/>
  <c r="D230" i="5"/>
  <c r="G230" i="5"/>
  <c r="J230" i="5"/>
  <c r="B231" i="5"/>
  <c r="D231" i="5"/>
  <c r="J231" i="5"/>
  <c r="K232" i="5"/>
  <c r="N232" i="5"/>
  <c r="B233" i="5"/>
  <c r="D233" i="5"/>
  <c r="G233" i="5"/>
  <c r="J233" i="5"/>
  <c r="B234" i="5"/>
  <c r="D234" i="5"/>
  <c r="J234" i="5"/>
  <c r="B235" i="5"/>
  <c r="D235" i="5"/>
  <c r="J235" i="5"/>
  <c r="B236" i="5"/>
  <c r="D236" i="5"/>
  <c r="J236" i="5"/>
  <c r="B237" i="5"/>
  <c r="D237" i="5"/>
  <c r="J237" i="5"/>
  <c r="B238" i="5"/>
  <c r="D238" i="5"/>
  <c r="J238" i="5"/>
  <c r="B239" i="5"/>
  <c r="D239" i="5"/>
  <c r="J239" i="5"/>
  <c r="B240" i="5"/>
  <c r="D240" i="5"/>
  <c r="J240" i="5"/>
  <c r="B241" i="5"/>
  <c r="D241" i="5"/>
  <c r="J241" i="5"/>
  <c r="B242" i="5"/>
  <c r="D242" i="5"/>
  <c r="J242" i="5"/>
  <c r="B243" i="5"/>
  <c r="D243" i="5"/>
  <c r="J243" i="5"/>
  <c r="B244" i="5"/>
  <c r="D244" i="5"/>
  <c r="J244" i="5"/>
  <c r="B245" i="5"/>
  <c r="D245" i="5"/>
  <c r="J245" i="5"/>
  <c r="B246" i="5"/>
  <c r="D246" i="5"/>
  <c r="J246" i="5"/>
  <c r="B247" i="5"/>
  <c r="D247" i="5"/>
  <c r="J247" i="5"/>
  <c r="B248" i="5"/>
  <c r="D248" i="5"/>
  <c r="J248" i="5"/>
  <c r="B249" i="5"/>
  <c r="D249" i="5"/>
  <c r="J249" i="5"/>
  <c r="B250" i="5"/>
  <c r="D250" i="5"/>
  <c r="J250" i="5"/>
  <c r="B251" i="5"/>
  <c r="D251" i="5"/>
  <c r="J251" i="5"/>
  <c r="B252" i="5"/>
  <c r="D252" i="5"/>
  <c r="J252" i="5"/>
  <c r="B253" i="5"/>
  <c r="D253" i="5"/>
  <c r="J253" i="5"/>
  <c r="B254" i="5"/>
  <c r="D254" i="5"/>
  <c r="J254" i="5"/>
  <c r="B255" i="5"/>
  <c r="D255" i="5"/>
  <c r="J255" i="5"/>
  <c r="B256" i="5"/>
  <c r="D256" i="5"/>
  <c r="J256" i="5"/>
  <c r="B257" i="5"/>
  <c r="D257" i="5"/>
  <c r="J257" i="5"/>
  <c r="K258" i="5"/>
  <c r="N258" i="5"/>
  <c r="B259" i="5"/>
  <c r="D259" i="5"/>
  <c r="J259" i="5"/>
  <c r="B260" i="5"/>
  <c r="D260" i="5"/>
  <c r="J260" i="5"/>
  <c r="K261" i="5"/>
  <c r="N261" i="5"/>
  <c r="B262" i="5"/>
  <c r="D262" i="5"/>
  <c r="J262" i="5"/>
  <c r="B263" i="5"/>
  <c r="D263" i="5"/>
  <c r="J263" i="5"/>
  <c r="B264" i="5"/>
  <c r="D264" i="5"/>
  <c r="G264" i="5"/>
  <c r="J264" i="5"/>
  <c r="K265" i="5"/>
  <c r="N265" i="5"/>
  <c r="B266" i="5"/>
  <c r="D266" i="5"/>
  <c r="J266" i="5"/>
  <c r="K267" i="5"/>
  <c r="N267" i="5"/>
  <c r="B268" i="5"/>
  <c r="D268" i="5"/>
  <c r="J268" i="5"/>
  <c r="K269" i="5"/>
  <c r="N269" i="5"/>
  <c r="B270" i="5"/>
  <c r="D270" i="5"/>
  <c r="J270" i="5"/>
  <c r="B271" i="5"/>
  <c r="D271" i="5"/>
  <c r="J271" i="5"/>
  <c r="B272" i="5"/>
  <c r="D272" i="5"/>
  <c r="J272" i="5"/>
  <c r="K273" i="5"/>
  <c r="N273" i="5"/>
  <c r="H1759" i="8"/>
  <c r="B274" i="5"/>
  <c r="D274" i="5"/>
  <c r="J274" i="5"/>
  <c r="B275" i="5"/>
  <c r="D275" i="5"/>
  <c r="J275" i="5"/>
  <c r="B276" i="5"/>
  <c r="D276" i="5"/>
  <c r="J276" i="5"/>
  <c r="B277" i="5"/>
  <c r="D277" i="5"/>
  <c r="J277" i="5"/>
  <c r="B278" i="5"/>
  <c r="D278" i="5"/>
  <c r="J278" i="5"/>
  <c r="B279" i="5"/>
  <c r="D279" i="5"/>
  <c r="J279" i="5"/>
  <c r="B280" i="5"/>
  <c r="D280" i="5"/>
  <c r="J280" i="5"/>
  <c r="K281" i="5"/>
  <c r="N281" i="5"/>
  <c r="B282" i="5"/>
  <c r="D282" i="5"/>
  <c r="J282" i="5"/>
  <c r="B283" i="5"/>
  <c r="D283" i="5"/>
  <c r="J283" i="5"/>
  <c r="B284" i="5"/>
  <c r="D284" i="5"/>
  <c r="J284" i="5"/>
  <c r="K285" i="5"/>
  <c r="N285" i="5"/>
  <c r="B286" i="5"/>
  <c r="D286" i="5"/>
  <c r="J286" i="5"/>
  <c r="B287" i="5"/>
  <c r="D287" i="5"/>
  <c r="J287" i="5"/>
  <c r="B288" i="5"/>
  <c r="D288" i="5"/>
  <c r="J288" i="5"/>
  <c r="B289" i="5"/>
  <c r="D289" i="5"/>
  <c r="J289" i="5"/>
  <c r="B290" i="5"/>
  <c r="D290" i="5"/>
  <c r="J290" i="5"/>
  <c r="B291" i="5"/>
  <c r="D291" i="5"/>
  <c r="J291" i="5"/>
  <c r="B292" i="5"/>
  <c r="D292" i="5"/>
  <c r="J292" i="5"/>
  <c r="K293" i="5"/>
  <c r="N293" i="5"/>
  <c r="B294" i="5"/>
  <c r="D294" i="5"/>
  <c r="J294" i="5"/>
  <c r="K295" i="5"/>
  <c r="N295" i="5"/>
  <c r="B296" i="5"/>
  <c r="D296" i="5"/>
  <c r="J296" i="5"/>
  <c r="K297" i="5"/>
  <c r="N297" i="5"/>
  <c r="B298" i="5"/>
  <c r="D298" i="5"/>
  <c r="J298" i="5"/>
  <c r="B299" i="5"/>
  <c r="D299" i="5"/>
  <c r="G299" i="5"/>
  <c r="J299" i="5"/>
  <c r="B300" i="5"/>
  <c r="D300" i="5"/>
  <c r="J300" i="5"/>
  <c r="K301" i="5"/>
  <c r="N301" i="5"/>
  <c r="B302" i="5"/>
  <c r="D302" i="5"/>
  <c r="J302" i="5"/>
  <c r="K303" i="5"/>
  <c r="N303" i="5"/>
  <c r="B304" i="5"/>
  <c r="D304" i="5"/>
  <c r="G304" i="5"/>
  <c r="J304" i="5"/>
  <c r="B305" i="5"/>
  <c r="D305" i="5"/>
  <c r="G305" i="5"/>
  <c r="J305" i="5"/>
  <c r="K306" i="5"/>
  <c r="N306" i="5"/>
  <c r="B307" i="5"/>
  <c r="D307" i="5"/>
  <c r="G307" i="5"/>
  <c r="J307" i="5"/>
  <c r="B308" i="5"/>
  <c r="D308" i="5"/>
  <c r="J308" i="5"/>
  <c r="B309" i="5"/>
  <c r="D309" i="5"/>
  <c r="J309" i="5"/>
  <c r="B310" i="5"/>
  <c r="D310" i="5"/>
  <c r="J310" i="5"/>
  <c r="B311" i="5"/>
  <c r="D311" i="5"/>
  <c r="J311" i="5"/>
  <c r="B312" i="5"/>
  <c r="D312" i="5"/>
  <c r="J312" i="5"/>
  <c r="B313" i="5"/>
  <c r="D313" i="5"/>
  <c r="J313" i="5"/>
  <c r="B314" i="5"/>
  <c r="D314" i="5"/>
  <c r="J314" i="5"/>
  <c r="B315" i="5"/>
  <c r="D315" i="5"/>
  <c r="J315" i="5"/>
  <c r="B316" i="5"/>
  <c r="D316" i="5"/>
  <c r="J316" i="5"/>
  <c r="B317" i="5"/>
  <c r="D317" i="5"/>
  <c r="J317" i="5"/>
  <c r="B318" i="5"/>
  <c r="D318" i="5"/>
  <c r="J318" i="5"/>
  <c r="B319" i="5"/>
  <c r="D319" i="5"/>
  <c r="J319" i="5"/>
  <c r="B320" i="5"/>
  <c r="D320" i="5"/>
  <c r="J320" i="5"/>
  <c r="B321" i="5"/>
  <c r="D321" i="5"/>
  <c r="J321" i="5"/>
  <c r="B322" i="5"/>
  <c r="D322" i="5"/>
  <c r="J322" i="5"/>
  <c r="B323" i="5"/>
  <c r="D323" i="5"/>
  <c r="J323" i="5"/>
  <c r="B324" i="5"/>
  <c r="D324" i="5"/>
  <c r="J324" i="5"/>
  <c r="B325" i="5"/>
  <c r="D325" i="5"/>
  <c r="J325" i="5"/>
  <c r="B326" i="5"/>
  <c r="D326" i="5"/>
  <c r="J326" i="5"/>
  <c r="B327" i="5"/>
  <c r="D327" i="5"/>
  <c r="J327" i="5"/>
  <c r="B328" i="5"/>
  <c r="D328" i="5"/>
  <c r="J328" i="5"/>
  <c r="B329" i="5"/>
  <c r="D329" i="5"/>
  <c r="J329" i="5"/>
  <c r="B330" i="5"/>
  <c r="D330" i="5"/>
  <c r="J330" i="5"/>
  <c r="B331" i="5"/>
  <c r="D331" i="5"/>
  <c r="J331" i="5"/>
  <c r="B332" i="5"/>
  <c r="D332" i="5"/>
  <c r="J332" i="5"/>
  <c r="B333" i="5"/>
  <c r="D333" i="5"/>
  <c r="J333" i="5"/>
  <c r="B334" i="5"/>
  <c r="D334" i="5"/>
  <c r="J334" i="5"/>
  <c r="B335" i="5"/>
  <c r="D335" i="5"/>
  <c r="J335" i="5"/>
  <c r="B336" i="5"/>
  <c r="D336" i="5"/>
  <c r="J336" i="5"/>
  <c r="B337" i="5"/>
  <c r="D337" i="5"/>
  <c r="J337" i="5"/>
  <c r="B338" i="5"/>
  <c r="D338" i="5"/>
  <c r="G338" i="5"/>
  <c r="J338" i="5"/>
  <c r="B339" i="5"/>
  <c r="D339" i="5"/>
  <c r="J339" i="5"/>
  <c r="B340" i="5"/>
  <c r="D340" i="5"/>
  <c r="J340" i="5"/>
  <c r="K341" i="5"/>
  <c r="N341" i="5"/>
  <c r="B342" i="5"/>
  <c r="D342" i="5"/>
  <c r="J342" i="5"/>
  <c r="B343" i="5"/>
  <c r="D343" i="5"/>
  <c r="J343" i="5"/>
  <c r="B344" i="5"/>
  <c r="D344" i="5"/>
  <c r="J344" i="5"/>
  <c r="B345" i="5"/>
  <c r="D345" i="5"/>
  <c r="J345" i="5"/>
  <c r="B346" i="5"/>
  <c r="D346" i="5"/>
  <c r="J346" i="5"/>
  <c r="B347" i="5"/>
  <c r="D347" i="5"/>
  <c r="J347" i="5"/>
  <c r="B348" i="5"/>
  <c r="D348" i="5"/>
  <c r="G348" i="5"/>
  <c r="J348" i="5"/>
  <c r="B349" i="5"/>
  <c r="D349" i="5"/>
  <c r="J349" i="5"/>
  <c r="K350" i="5"/>
  <c r="N350" i="5"/>
  <c r="B351" i="5"/>
  <c r="D351" i="5"/>
  <c r="J351" i="5"/>
  <c r="B352" i="5"/>
  <c r="D352" i="5"/>
  <c r="J352" i="5"/>
  <c r="B353" i="5"/>
  <c r="D353" i="5"/>
  <c r="J353" i="5"/>
  <c r="B354" i="5"/>
  <c r="D354" i="5"/>
  <c r="J354" i="5"/>
  <c r="B355" i="5"/>
  <c r="D355" i="5"/>
  <c r="J355" i="5"/>
  <c r="B356" i="5"/>
  <c r="D356" i="5"/>
  <c r="G356" i="5"/>
  <c r="J356" i="5"/>
  <c r="B357" i="5"/>
  <c r="D357" i="5"/>
  <c r="J357" i="5"/>
  <c r="K358" i="5"/>
  <c r="N358" i="5"/>
  <c r="B359" i="5"/>
  <c r="D359" i="5"/>
  <c r="J359" i="5"/>
  <c r="B360" i="5"/>
  <c r="D360" i="5"/>
  <c r="G360" i="5"/>
  <c r="J360" i="5"/>
  <c r="B361" i="5"/>
  <c r="D361" i="5"/>
  <c r="J361" i="5"/>
  <c r="B362" i="5"/>
  <c r="D362" i="5"/>
  <c r="J362" i="5"/>
  <c r="B363" i="5"/>
  <c r="D363" i="5"/>
  <c r="J363" i="5"/>
  <c r="B364" i="5"/>
  <c r="D364" i="5"/>
  <c r="J364" i="5"/>
  <c r="B365" i="5"/>
  <c r="D365" i="5"/>
  <c r="J365" i="5"/>
  <c r="B366" i="5"/>
  <c r="D366" i="5"/>
  <c r="J366" i="5"/>
  <c r="B367" i="5"/>
  <c r="D367" i="5"/>
  <c r="J367" i="5"/>
  <c r="B368" i="5"/>
  <c r="D368" i="5"/>
  <c r="J368" i="5"/>
  <c r="B369" i="5"/>
  <c r="D369" i="5"/>
  <c r="J369" i="5"/>
  <c r="B370" i="5"/>
  <c r="D370" i="5"/>
  <c r="J370" i="5"/>
  <c r="B371" i="5"/>
  <c r="D371" i="5"/>
  <c r="J371" i="5"/>
  <c r="B372" i="5"/>
  <c r="D372" i="5"/>
  <c r="J372" i="5"/>
  <c r="B373" i="5"/>
  <c r="D373" i="5"/>
  <c r="J373" i="5"/>
  <c r="K374" i="5"/>
  <c r="N374" i="5"/>
  <c r="B375" i="5"/>
  <c r="D375" i="5"/>
  <c r="J375" i="5"/>
  <c r="B376" i="5"/>
  <c r="D376" i="5"/>
  <c r="J376" i="5"/>
  <c r="B377" i="5"/>
  <c r="D377" i="5"/>
  <c r="J377" i="5"/>
  <c r="K378" i="5"/>
  <c r="N378" i="5"/>
  <c r="B379" i="5"/>
  <c r="D379" i="5"/>
  <c r="J379" i="5"/>
  <c r="B380" i="5"/>
  <c r="D380" i="5"/>
  <c r="J380" i="5"/>
  <c r="B381" i="5"/>
  <c r="D381" i="5"/>
  <c r="J381" i="5"/>
  <c r="K382" i="5"/>
  <c r="N382" i="5"/>
  <c r="B383" i="5"/>
  <c r="D383" i="5"/>
  <c r="J383" i="5"/>
  <c r="K384" i="5"/>
  <c r="N384" i="5"/>
  <c r="B385" i="5"/>
  <c r="D385" i="5"/>
  <c r="J385" i="5"/>
  <c r="B386" i="5"/>
  <c r="D386" i="5"/>
  <c r="J386" i="5"/>
  <c r="B387" i="5"/>
  <c r="D387" i="5"/>
  <c r="J387" i="5"/>
  <c r="B388" i="5"/>
  <c r="D388" i="5"/>
  <c r="J388" i="5"/>
  <c r="K389" i="5"/>
  <c r="N389" i="5"/>
  <c r="B390" i="5"/>
  <c r="D390" i="5"/>
  <c r="J390" i="5"/>
  <c r="K391" i="5"/>
  <c r="N391" i="5"/>
  <c r="B392" i="5"/>
  <c r="D392" i="5"/>
  <c r="J392" i="5"/>
  <c r="B393" i="5"/>
  <c r="D393" i="5"/>
  <c r="J393" i="5"/>
  <c r="B394" i="5"/>
  <c r="D394" i="5"/>
  <c r="J394" i="5"/>
  <c r="B395" i="5"/>
  <c r="D395" i="5"/>
  <c r="J395" i="5"/>
  <c r="K396" i="5"/>
  <c r="N396" i="5"/>
  <c r="O396" i="5"/>
  <c r="B397" i="5"/>
  <c r="D397" i="5"/>
  <c r="J397" i="5"/>
  <c r="N398" i="5"/>
  <c r="B399" i="5"/>
  <c r="D399" i="5"/>
  <c r="G399" i="5"/>
  <c r="J399" i="5"/>
  <c r="B400" i="5"/>
  <c r="D400" i="5"/>
  <c r="G400" i="5"/>
  <c r="J400" i="5"/>
  <c r="B401" i="5"/>
  <c r="D401" i="5"/>
  <c r="G401" i="5"/>
  <c r="J401" i="5"/>
  <c r="B402" i="5"/>
  <c r="D402" i="5"/>
  <c r="G402" i="5"/>
  <c r="J402" i="5"/>
  <c r="B403" i="5"/>
  <c r="D403" i="5"/>
  <c r="G403" i="5"/>
  <c r="J403" i="5"/>
  <c r="B404" i="5"/>
  <c r="D404" i="5"/>
  <c r="G404" i="5"/>
  <c r="J404" i="5"/>
  <c r="B405" i="5"/>
  <c r="D405" i="5"/>
  <c r="G405" i="5"/>
  <c r="J405" i="5"/>
  <c r="B406" i="5"/>
  <c r="D406" i="5"/>
  <c r="G406" i="5"/>
  <c r="J406" i="5"/>
  <c r="B407" i="5"/>
  <c r="D407" i="5"/>
  <c r="G407" i="5"/>
  <c r="J407" i="5"/>
  <c r="B408" i="5"/>
  <c r="D408" i="5"/>
  <c r="G408" i="5"/>
  <c r="J408" i="5"/>
  <c r="B409" i="5"/>
  <c r="D409" i="5"/>
  <c r="G409" i="5"/>
  <c r="J409" i="5"/>
  <c r="B410" i="5"/>
  <c r="D410" i="5"/>
  <c r="G410" i="5"/>
  <c r="J410" i="5"/>
  <c r="B411" i="5"/>
  <c r="D411" i="5"/>
  <c r="G411" i="5"/>
  <c r="J411" i="5"/>
  <c r="B412" i="5"/>
  <c r="D412" i="5"/>
  <c r="G412" i="5"/>
  <c r="J412" i="5"/>
  <c r="B413" i="5"/>
  <c r="D413" i="5"/>
  <c r="G413" i="5"/>
  <c r="J413" i="5"/>
  <c r="B414" i="5"/>
  <c r="D414" i="5"/>
  <c r="G414" i="5"/>
  <c r="J414" i="5"/>
  <c r="B415" i="5"/>
  <c r="D415" i="5"/>
  <c r="G415" i="5"/>
  <c r="J415" i="5"/>
  <c r="B416" i="5"/>
  <c r="D416" i="5"/>
  <c r="G416" i="5"/>
  <c r="J416" i="5"/>
  <c r="B417" i="5"/>
  <c r="D417" i="5"/>
  <c r="G417" i="5"/>
  <c r="J417" i="5"/>
  <c r="B418" i="5"/>
  <c r="D418" i="5"/>
  <c r="G418" i="5"/>
  <c r="J418" i="5"/>
  <c r="B419" i="5"/>
  <c r="D419" i="5"/>
  <c r="G419" i="5"/>
  <c r="J419" i="5"/>
  <c r="B420" i="5"/>
  <c r="D420" i="5"/>
  <c r="G420" i="5"/>
  <c r="J420" i="5"/>
  <c r="B421" i="5"/>
  <c r="D421" i="5"/>
  <c r="G421" i="5"/>
  <c r="J421" i="5"/>
  <c r="B422" i="5"/>
  <c r="D422" i="5"/>
  <c r="G422" i="5"/>
  <c r="J422" i="5"/>
  <c r="B423" i="5"/>
  <c r="D423" i="5"/>
  <c r="G423" i="5"/>
  <c r="J423" i="5"/>
  <c r="B424" i="5"/>
  <c r="D424" i="5"/>
  <c r="G424" i="5"/>
  <c r="J424" i="5"/>
  <c r="B425" i="5"/>
  <c r="D425" i="5"/>
  <c r="G425" i="5"/>
  <c r="J425" i="5"/>
  <c r="B426" i="5"/>
  <c r="D426" i="5"/>
  <c r="G426" i="5"/>
  <c r="J426" i="5"/>
  <c r="B427" i="5"/>
  <c r="D427" i="5"/>
  <c r="G427" i="5"/>
  <c r="J427" i="5"/>
  <c r="B428" i="5"/>
  <c r="D428" i="5"/>
  <c r="G428" i="5"/>
  <c r="J428" i="5"/>
  <c r="B429" i="5"/>
  <c r="D429" i="5"/>
  <c r="G429" i="5"/>
  <c r="J429" i="5"/>
  <c r="B430" i="5"/>
  <c r="D430" i="5"/>
  <c r="G430" i="5"/>
  <c r="J430" i="5"/>
  <c r="B431" i="5"/>
  <c r="D431" i="5"/>
  <c r="G431" i="5"/>
  <c r="J431" i="5"/>
  <c r="B432" i="5"/>
  <c r="D432" i="5"/>
  <c r="G432" i="5"/>
  <c r="J432" i="5"/>
  <c r="B433" i="5"/>
  <c r="D433" i="5"/>
  <c r="G433" i="5"/>
  <c r="J433" i="5"/>
  <c r="B434" i="5"/>
  <c r="D434" i="5"/>
  <c r="G434" i="5"/>
  <c r="J434" i="5"/>
  <c r="B435" i="5"/>
  <c r="D435" i="5"/>
  <c r="G435" i="5"/>
  <c r="J435" i="5"/>
  <c r="B436" i="5"/>
  <c r="D436" i="5"/>
  <c r="G436" i="5"/>
  <c r="J436" i="5"/>
  <c r="B437" i="5"/>
  <c r="D437" i="5"/>
  <c r="G437" i="5"/>
  <c r="J437" i="5"/>
  <c r="B438" i="5"/>
  <c r="D438" i="5"/>
  <c r="G438" i="5"/>
  <c r="J438" i="5"/>
  <c r="B439" i="5"/>
  <c r="D439" i="5"/>
  <c r="G439" i="5"/>
  <c r="J439" i="5"/>
  <c r="B440" i="5"/>
  <c r="D440" i="5"/>
  <c r="G440" i="5"/>
  <c r="J440" i="5"/>
  <c r="B441" i="5"/>
  <c r="D441" i="5"/>
  <c r="G441" i="5"/>
  <c r="J441" i="5"/>
  <c r="B442" i="5"/>
  <c r="D442" i="5"/>
  <c r="G442" i="5"/>
  <c r="J442" i="5"/>
  <c r="B443" i="5"/>
  <c r="D443" i="5"/>
  <c r="G443" i="5"/>
  <c r="J443" i="5"/>
  <c r="B444" i="5"/>
  <c r="D444" i="5"/>
  <c r="G444" i="5"/>
  <c r="J444" i="5"/>
  <c r="B445" i="5"/>
  <c r="D445" i="5"/>
  <c r="G445" i="5"/>
  <c r="J445" i="5"/>
  <c r="B446" i="5"/>
  <c r="D446" i="5"/>
  <c r="G446" i="5"/>
  <c r="J446" i="5"/>
  <c r="B447" i="5"/>
  <c r="D447" i="5"/>
  <c r="G447" i="5"/>
  <c r="J447" i="5"/>
  <c r="B448" i="5"/>
  <c r="D448" i="5"/>
  <c r="G448" i="5"/>
  <c r="J448" i="5"/>
  <c r="B449" i="5"/>
  <c r="D449" i="5"/>
  <c r="G449" i="5"/>
  <c r="J449" i="5"/>
  <c r="B450" i="5"/>
  <c r="D450" i="5"/>
  <c r="G450" i="5"/>
  <c r="J450" i="5"/>
  <c r="B451" i="5"/>
  <c r="D451" i="5"/>
  <c r="G451" i="5"/>
  <c r="J451" i="5"/>
  <c r="B452" i="5"/>
  <c r="D452" i="5"/>
  <c r="G452" i="5"/>
  <c r="J452" i="5"/>
  <c r="B453" i="5"/>
  <c r="D453" i="5"/>
  <c r="G453" i="5"/>
  <c r="J453" i="5"/>
  <c r="B454" i="5"/>
  <c r="D454" i="5"/>
  <c r="G454" i="5"/>
  <c r="J454" i="5"/>
  <c r="B455" i="5"/>
  <c r="D455" i="5"/>
  <c r="G455" i="5"/>
  <c r="J455" i="5"/>
  <c r="B456" i="5"/>
  <c r="D456" i="5"/>
  <c r="G456" i="5"/>
  <c r="J456" i="5"/>
  <c r="B457" i="5"/>
  <c r="D457" i="5"/>
  <c r="G457" i="5"/>
  <c r="J457" i="5"/>
  <c r="B458" i="5"/>
  <c r="D458" i="5"/>
  <c r="G458" i="5"/>
  <c r="J458" i="5"/>
  <c r="B459" i="5"/>
  <c r="D459" i="5"/>
  <c r="G459" i="5"/>
  <c r="J459" i="5"/>
  <c r="B460" i="5"/>
  <c r="D460" i="5"/>
  <c r="G460" i="5"/>
  <c r="J460" i="5"/>
  <c r="B461" i="5"/>
  <c r="D461" i="5"/>
  <c r="G461" i="5"/>
  <c r="J461" i="5"/>
  <c r="B462" i="5"/>
  <c r="D462" i="5"/>
  <c r="G462" i="5"/>
  <c r="J462" i="5"/>
  <c r="B463" i="5"/>
  <c r="D463" i="5"/>
  <c r="G463" i="5"/>
  <c r="J463" i="5"/>
  <c r="B464" i="5"/>
  <c r="D464" i="5"/>
  <c r="G464" i="5"/>
  <c r="J464" i="5"/>
  <c r="B465" i="5"/>
  <c r="D465" i="5"/>
  <c r="G465" i="5"/>
  <c r="J465" i="5"/>
  <c r="B466" i="5"/>
  <c r="D466" i="5"/>
  <c r="G466" i="5"/>
  <c r="J466" i="5"/>
  <c r="B467" i="5"/>
  <c r="D467" i="5"/>
  <c r="G467" i="5"/>
  <c r="J467" i="5"/>
  <c r="B468" i="5"/>
  <c r="D468" i="5"/>
  <c r="G468" i="5"/>
  <c r="J468" i="5"/>
  <c r="B469" i="5"/>
  <c r="D469" i="5"/>
  <c r="G469" i="5"/>
  <c r="J469" i="5"/>
  <c r="K478" i="5"/>
  <c r="N478" i="5"/>
  <c r="O478" i="5"/>
  <c r="B479" i="5"/>
  <c r="D479" i="5"/>
  <c r="J479" i="5"/>
  <c r="B480" i="5"/>
  <c r="D480" i="5"/>
  <c r="J480" i="5"/>
  <c r="B481" i="5"/>
  <c r="D481" i="5"/>
  <c r="J481" i="5"/>
  <c r="B482" i="5"/>
  <c r="D482" i="5"/>
  <c r="J482" i="5"/>
  <c r="B483" i="5"/>
  <c r="D483" i="5"/>
  <c r="J483" i="5"/>
  <c r="K484" i="5"/>
  <c r="B485" i="5"/>
  <c r="D485" i="5"/>
  <c r="J485" i="5"/>
  <c r="K486" i="5"/>
  <c r="N486" i="5"/>
  <c r="O486" i="5"/>
  <c r="B487" i="5"/>
  <c r="D487" i="5"/>
  <c r="J487" i="5"/>
  <c r="K488" i="5"/>
  <c r="N488" i="5"/>
  <c r="O488" i="5"/>
  <c r="B489" i="5"/>
  <c r="D489" i="5"/>
  <c r="J489" i="5"/>
  <c r="K490" i="5"/>
  <c r="N490" i="5"/>
  <c r="O490" i="5"/>
  <c r="B491" i="5"/>
  <c r="D491" i="5"/>
  <c r="J491" i="5"/>
  <c r="K492" i="5"/>
  <c r="N492" i="5"/>
  <c r="O492" i="5"/>
  <c r="B493" i="5"/>
  <c r="D493" i="5"/>
  <c r="J493" i="5"/>
  <c r="K494" i="5"/>
  <c r="N494" i="5"/>
  <c r="O494" i="5"/>
  <c r="B495" i="5"/>
  <c r="D495" i="5"/>
  <c r="J495" i="5"/>
  <c r="B496" i="5"/>
  <c r="D496" i="5"/>
  <c r="G496" i="5"/>
  <c r="J496" i="5"/>
  <c r="K497" i="5"/>
  <c r="N497" i="5"/>
  <c r="O497" i="5"/>
  <c r="B498" i="5"/>
  <c r="D498" i="5"/>
  <c r="J498" i="5"/>
  <c r="K499" i="5"/>
  <c r="N499" i="5"/>
  <c r="O499" i="5"/>
  <c r="B500" i="5"/>
  <c r="D500" i="5"/>
  <c r="J500" i="5"/>
  <c r="K501" i="5"/>
  <c r="N501" i="5"/>
  <c r="O501" i="5"/>
  <c r="B502" i="5"/>
  <c r="D502" i="5"/>
  <c r="J502" i="5"/>
  <c r="B503" i="5"/>
  <c r="D503" i="5"/>
  <c r="J503" i="5"/>
  <c r="B504" i="5"/>
  <c r="D504" i="5"/>
  <c r="J504" i="5"/>
  <c r="B505" i="5"/>
  <c r="D505" i="5"/>
  <c r="J505" i="5"/>
  <c r="K506" i="5"/>
  <c r="N506" i="5"/>
  <c r="O506" i="5"/>
  <c r="B507" i="5"/>
  <c r="D507" i="5"/>
  <c r="J507" i="5"/>
  <c r="B508" i="5"/>
  <c r="D508" i="5"/>
  <c r="J508" i="5"/>
  <c r="B509" i="5"/>
  <c r="D509" i="5"/>
  <c r="J509" i="5"/>
  <c r="B510" i="5"/>
  <c r="D510" i="5"/>
  <c r="J510" i="5"/>
  <c r="B511" i="5"/>
  <c r="D511" i="5"/>
  <c r="J511" i="5"/>
  <c r="K512" i="5"/>
  <c r="N512" i="5"/>
  <c r="O512" i="5"/>
  <c r="B513" i="5"/>
  <c r="D513" i="5"/>
  <c r="J513" i="5"/>
  <c r="B514" i="5"/>
  <c r="D514" i="5"/>
  <c r="J514" i="5"/>
  <c r="K515" i="5"/>
  <c r="N515" i="5"/>
  <c r="O515" i="5"/>
  <c r="B516" i="5"/>
  <c r="D516" i="5"/>
  <c r="J516" i="5"/>
  <c r="K517" i="5"/>
  <c r="N517" i="5"/>
  <c r="O517" i="5"/>
  <c r="B518" i="5"/>
  <c r="D518" i="5"/>
  <c r="J518" i="5"/>
  <c r="K519" i="5"/>
  <c r="N519" i="5"/>
  <c r="O519" i="5"/>
  <c r="B520" i="5"/>
  <c r="D520" i="5"/>
  <c r="J520" i="5"/>
  <c r="K521" i="5"/>
  <c r="N521" i="5"/>
  <c r="O521" i="5"/>
  <c r="B522" i="5"/>
  <c r="D522" i="5"/>
  <c r="J522" i="5"/>
  <c r="K523" i="5"/>
  <c r="N523" i="5"/>
  <c r="B524" i="5"/>
  <c r="D524" i="5"/>
  <c r="J524" i="5"/>
  <c r="K525" i="5"/>
  <c r="N525" i="5"/>
  <c r="O525" i="5"/>
  <c r="B526" i="5"/>
  <c r="D526" i="5"/>
  <c r="J526" i="5"/>
  <c r="N527" i="5"/>
  <c r="B528" i="5"/>
  <c r="D528" i="5"/>
  <c r="G528" i="5"/>
  <c r="J528" i="5"/>
  <c r="B529" i="5"/>
  <c r="D529" i="5"/>
  <c r="G529" i="5"/>
  <c r="J529" i="5"/>
  <c r="B530" i="5"/>
  <c r="D530" i="5"/>
  <c r="G530" i="5"/>
  <c r="J530" i="5"/>
  <c r="B531" i="5"/>
  <c r="D531" i="5"/>
  <c r="G531" i="5"/>
  <c r="J531" i="5"/>
  <c r="B532" i="5"/>
  <c r="D532" i="5"/>
  <c r="G532" i="5"/>
  <c r="J532" i="5"/>
  <c r="B533" i="5"/>
  <c r="D533" i="5"/>
  <c r="G533" i="5"/>
  <c r="J533" i="5"/>
  <c r="B534" i="5"/>
  <c r="D534" i="5"/>
  <c r="G534" i="5"/>
  <c r="J534" i="5"/>
  <c r="A2" i="6"/>
  <c r="A3" i="6"/>
  <c r="C7" i="6"/>
  <c r="C9" i="6"/>
  <c r="C11" i="6"/>
  <c r="C13" i="6"/>
  <c r="C14" i="6"/>
  <c r="C15" i="6"/>
  <c r="C16" i="6"/>
  <c r="C17" i="6"/>
  <c r="C18" i="6"/>
  <c r="C19" i="6"/>
  <c r="A34" i="6"/>
  <c r="A35" i="6"/>
  <c r="C39" i="6"/>
  <c r="C41" i="6"/>
  <c r="C43" i="6"/>
  <c r="C44" i="6"/>
  <c r="C46" i="6"/>
  <c r="C47" i="6"/>
  <c r="C48" i="6"/>
  <c r="C49" i="6"/>
  <c r="C50" i="6"/>
  <c r="C51" i="6"/>
  <c r="C52" i="6"/>
  <c r="C53" i="6"/>
  <c r="A2" i="7"/>
  <c r="C8" i="7"/>
  <c r="C9" i="7"/>
  <c r="C10" i="7"/>
  <c r="A6" i="8"/>
  <c r="B6" i="8"/>
  <c r="E6" i="8"/>
  <c r="F6" i="8"/>
  <c r="D8" i="8"/>
  <c r="E8" i="8"/>
  <c r="F8" i="8"/>
  <c r="G8" i="8"/>
  <c r="D9" i="8"/>
  <c r="E9" i="8"/>
  <c r="F9" i="8"/>
  <c r="G9" i="8"/>
  <c r="D10" i="8"/>
  <c r="E10" i="8"/>
  <c r="F10" i="8"/>
  <c r="G10" i="8"/>
  <c r="D11" i="8"/>
  <c r="E11" i="8"/>
  <c r="F11" i="8"/>
  <c r="G11" i="8"/>
  <c r="D12" i="8"/>
  <c r="E12" i="8"/>
  <c r="F12" i="8"/>
  <c r="G12" i="8"/>
  <c r="D13" i="8"/>
  <c r="E13" i="8"/>
  <c r="F13" i="8"/>
  <c r="G13" i="8"/>
  <c r="H13" i="8"/>
  <c r="D14" i="8"/>
  <c r="E14" i="8"/>
  <c r="F14" i="8"/>
  <c r="G14" i="8"/>
  <c r="J14" i="8"/>
  <c r="H14" i="8"/>
  <c r="D15" i="8"/>
  <c r="E15" i="8"/>
  <c r="F15" i="8"/>
  <c r="G15" i="8"/>
  <c r="D17" i="8"/>
  <c r="F17" i="8"/>
  <c r="G17" i="8"/>
  <c r="J17" i="8"/>
  <c r="J16" i="8"/>
  <c r="O7" i="1"/>
  <c r="S7" i="1"/>
  <c r="H17" i="8"/>
  <c r="D19" i="8"/>
  <c r="E19" i="8"/>
  <c r="F19" i="8"/>
  <c r="G19" i="8"/>
  <c r="D20" i="8"/>
  <c r="E20" i="8"/>
  <c r="F20" i="8"/>
  <c r="G20" i="8"/>
  <c r="A21" i="8"/>
  <c r="B21" i="8"/>
  <c r="E21" i="8"/>
  <c r="F21" i="8"/>
  <c r="D23" i="8"/>
  <c r="E23" i="8"/>
  <c r="F23" i="8"/>
  <c r="G23" i="8"/>
  <c r="D24" i="8"/>
  <c r="E24" i="8"/>
  <c r="F24" i="8"/>
  <c r="G24" i="8"/>
  <c r="D25" i="8"/>
  <c r="E25" i="8"/>
  <c r="F25" i="8"/>
  <c r="G25" i="8"/>
  <c r="D26" i="8"/>
  <c r="E26" i="8"/>
  <c r="F26" i="8"/>
  <c r="G26" i="8"/>
  <c r="D27" i="8"/>
  <c r="E27" i="8"/>
  <c r="F27" i="8"/>
  <c r="G27" i="8"/>
  <c r="D28" i="8"/>
  <c r="E28" i="8"/>
  <c r="F28" i="8"/>
  <c r="G28" i="8"/>
  <c r="H28" i="8"/>
  <c r="D29" i="8"/>
  <c r="E29" i="8"/>
  <c r="F29" i="8"/>
  <c r="G29" i="8"/>
  <c r="H29" i="8"/>
  <c r="J29" i="8"/>
  <c r="D30" i="8"/>
  <c r="E30" i="8"/>
  <c r="F30" i="8"/>
  <c r="G30" i="8"/>
  <c r="D32" i="8"/>
  <c r="F32" i="8"/>
  <c r="G32" i="8"/>
  <c r="H32" i="8"/>
  <c r="D34" i="8"/>
  <c r="E34" i="8"/>
  <c r="F34" i="8"/>
  <c r="G34" i="8"/>
  <c r="D35" i="8"/>
  <c r="E35" i="8"/>
  <c r="F35" i="8"/>
  <c r="G35" i="8"/>
  <c r="D36" i="8"/>
  <c r="E36" i="8"/>
  <c r="F36" i="8"/>
  <c r="G36" i="8"/>
  <c r="A37" i="8"/>
  <c r="B37" i="8"/>
  <c r="E37" i="8"/>
  <c r="F37" i="8"/>
  <c r="D39" i="8"/>
  <c r="E39" i="8"/>
  <c r="F39" i="8"/>
  <c r="G39" i="8"/>
  <c r="D40" i="8"/>
  <c r="E40" i="8"/>
  <c r="F40" i="8"/>
  <c r="G40" i="8"/>
  <c r="D41" i="8"/>
  <c r="E41" i="8"/>
  <c r="F41" i="8"/>
  <c r="G41" i="8"/>
  <c r="D42" i="8"/>
  <c r="E42" i="8"/>
  <c r="F42" i="8"/>
  <c r="G42" i="8"/>
  <c r="H42" i="8"/>
  <c r="J42" i="8"/>
  <c r="D43" i="8"/>
  <c r="E43" i="8"/>
  <c r="F43" i="8"/>
  <c r="G43" i="8"/>
  <c r="D45" i="8"/>
  <c r="F45" i="8"/>
  <c r="G45" i="8"/>
  <c r="H45" i="8"/>
  <c r="D47" i="8"/>
  <c r="E47" i="8"/>
  <c r="F47" i="8"/>
  <c r="G47" i="8"/>
  <c r="D48" i="8"/>
  <c r="E48" i="8"/>
  <c r="F48" i="8"/>
  <c r="G48" i="8"/>
  <c r="A49" i="8"/>
  <c r="B49" i="8"/>
  <c r="E49" i="8"/>
  <c r="F49" i="8"/>
  <c r="D51" i="8"/>
  <c r="E51" i="8"/>
  <c r="F51" i="8"/>
  <c r="G51" i="8"/>
  <c r="D52" i="8"/>
  <c r="E52" i="8"/>
  <c r="F52" i="8"/>
  <c r="G52" i="8"/>
  <c r="D53" i="8"/>
  <c r="E53" i="8"/>
  <c r="F53" i="8"/>
  <c r="G53" i="8"/>
  <c r="D54" i="8"/>
  <c r="E54" i="8"/>
  <c r="F54" i="8"/>
  <c r="G54" i="8"/>
  <c r="H54" i="8"/>
  <c r="D56" i="8"/>
  <c r="F56" i="8"/>
  <c r="G56" i="8"/>
  <c r="H56" i="8"/>
  <c r="D58" i="8"/>
  <c r="E58" i="8"/>
  <c r="F58" i="8"/>
  <c r="G58" i="8"/>
  <c r="D59" i="8"/>
  <c r="E59" i="8"/>
  <c r="F59" i="8"/>
  <c r="G59" i="8"/>
  <c r="A60" i="8"/>
  <c r="B60" i="8"/>
  <c r="E60" i="8"/>
  <c r="F60" i="8"/>
  <c r="D62" i="8"/>
  <c r="E62" i="8"/>
  <c r="F62" i="8"/>
  <c r="G62" i="8"/>
  <c r="H62" i="8"/>
  <c r="J62" i="8"/>
  <c r="D63" i="8"/>
  <c r="E63" i="8"/>
  <c r="F63" i="8"/>
  <c r="G63" i="8"/>
  <c r="D64" i="8"/>
  <c r="E64" i="8"/>
  <c r="F64" i="8"/>
  <c r="G64" i="8"/>
  <c r="D66" i="8"/>
  <c r="F66" i="8"/>
  <c r="G66" i="8"/>
  <c r="H66" i="8"/>
  <c r="D68" i="8"/>
  <c r="E68" i="8"/>
  <c r="F68" i="8"/>
  <c r="G68" i="8"/>
  <c r="D69" i="8"/>
  <c r="E69" i="8"/>
  <c r="F69" i="8"/>
  <c r="G69" i="8"/>
  <c r="A70" i="8"/>
  <c r="B70" i="8"/>
  <c r="E70" i="8"/>
  <c r="F70" i="8"/>
  <c r="D72" i="8"/>
  <c r="E72" i="8"/>
  <c r="F72" i="8"/>
  <c r="G72" i="8"/>
  <c r="H72" i="8"/>
  <c r="J72" i="8"/>
  <c r="D73" i="8"/>
  <c r="E73" i="8"/>
  <c r="F73" i="8"/>
  <c r="G73" i="8"/>
  <c r="D74" i="8"/>
  <c r="E74" i="8"/>
  <c r="F74" i="8"/>
  <c r="G74" i="8"/>
  <c r="D76" i="8"/>
  <c r="F76" i="8"/>
  <c r="G76" i="8"/>
  <c r="H76" i="8"/>
  <c r="D78" i="8"/>
  <c r="E78" i="8"/>
  <c r="F78" i="8"/>
  <c r="G78" i="8"/>
  <c r="D79" i="8"/>
  <c r="E79" i="8"/>
  <c r="F79" i="8"/>
  <c r="G79" i="8"/>
  <c r="A80" i="8"/>
  <c r="B80" i="8"/>
  <c r="E80" i="8"/>
  <c r="F80" i="8"/>
  <c r="D82" i="8"/>
  <c r="E82" i="8"/>
  <c r="F82" i="8"/>
  <c r="G82" i="8"/>
  <c r="H82" i="8"/>
  <c r="D83" i="8"/>
  <c r="E83" i="8"/>
  <c r="F83" i="8"/>
  <c r="G83" i="8"/>
  <c r="D84" i="8"/>
  <c r="E84" i="8"/>
  <c r="F84" i="8"/>
  <c r="G84" i="8"/>
  <c r="D86" i="8"/>
  <c r="F86" i="8"/>
  <c r="G86" i="8"/>
  <c r="J86" i="8"/>
  <c r="J85" i="8"/>
  <c r="O13" i="1"/>
  <c r="S13" i="1"/>
  <c r="H86" i="8"/>
  <c r="D88" i="8"/>
  <c r="E88" i="8"/>
  <c r="F88" i="8"/>
  <c r="G88" i="8"/>
  <c r="D89" i="8"/>
  <c r="E89" i="8"/>
  <c r="F89" i="8"/>
  <c r="G89" i="8"/>
  <c r="A90" i="8"/>
  <c r="B90" i="8"/>
  <c r="E90" i="8"/>
  <c r="F90" i="8"/>
  <c r="D92" i="8"/>
  <c r="E92" i="8"/>
  <c r="F92" i="8"/>
  <c r="G92" i="8"/>
  <c r="H92" i="8"/>
  <c r="J92" i="8"/>
  <c r="D93" i="8"/>
  <c r="E93" i="8"/>
  <c r="F93" i="8"/>
  <c r="G93" i="8"/>
  <c r="D94" i="8"/>
  <c r="E94" i="8"/>
  <c r="F94" i="8"/>
  <c r="G94" i="8"/>
  <c r="D96" i="8"/>
  <c r="F96" i="8"/>
  <c r="G96" i="8"/>
  <c r="H96" i="8"/>
  <c r="D98" i="8"/>
  <c r="E98" i="8"/>
  <c r="F98" i="8"/>
  <c r="G98" i="8"/>
  <c r="D99" i="8"/>
  <c r="E99" i="8"/>
  <c r="F99" i="8"/>
  <c r="G99" i="8"/>
  <c r="A100" i="8"/>
  <c r="B100" i="8"/>
  <c r="E100" i="8"/>
  <c r="F100" i="8"/>
  <c r="D102" i="8"/>
  <c r="E102" i="8"/>
  <c r="F102" i="8"/>
  <c r="G102" i="8"/>
  <c r="D103" i="8"/>
  <c r="E103" i="8"/>
  <c r="F103" i="8"/>
  <c r="G103" i="8"/>
  <c r="D104" i="8"/>
  <c r="E104" i="8"/>
  <c r="F104" i="8"/>
  <c r="G104" i="8"/>
  <c r="D106" i="8"/>
  <c r="F106" i="8"/>
  <c r="G106" i="8"/>
  <c r="H106" i="8"/>
  <c r="A107" i="8"/>
  <c r="B107" i="8"/>
  <c r="E107" i="8"/>
  <c r="F107" i="8"/>
  <c r="D109" i="8"/>
  <c r="E109" i="8"/>
  <c r="F109" i="8"/>
  <c r="G109" i="8"/>
  <c r="D110" i="8"/>
  <c r="E110" i="8"/>
  <c r="F110" i="8"/>
  <c r="G110" i="8"/>
  <c r="D111" i="8"/>
  <c r="E111" i="8"/>
  <c r="F111" i="8"/>
  <c r="G111" i="8"/>
  <c r="D112" i="8"/>
  <c r="E112" i="8"/>
  <c r="F112" i="8"/>
  <c r="G112" i="8"/>
  <c r="D113" i="8"/>
  <c r="E113" i="8"/>
  <c r="F113" i="8"/>
  <c r="G113" i="8"/>
  <c r="D115" i="8"/>
  <c r="F115" i="8"/>
  <c r="G115" i="8"/>
  <c r="J115" i="8"/>
  <c r="J114" i="8"/>
  <c r="O16" i="1"/>
  <c r="S16" i="1"/>
  <c r="H115" i="8"/>
  <c r="D117" i="8"/>
  <c r="E117" i="8"/>
  <c r="F117" i="8"/>
  <c r="G117" i="8"/>
  <c r="D118" i="8"/>
  <c r="E118" i="8"/>
  <c r="F118" i="8"/>
  <c r="G118" i="8"/>
  <c r="D119" i="8"/>
  <c r="E119" i="8"/>
  <c r="F119" i="8"/>
  <c r="G119" i="8"/>
  <c r="A120" i="8"/>
  <c r="B120" i="8"/>
  <c r="E120" i="8"/>
  <c r="F120" i="8"/>
  <c r="D122" i="8"/>
  <c r="E122" i="8"/>
  <c r="F122" i="8"/>
  <c r="G122" i="8"/>
  <c r="D123" i="8"/>
  <c r="E123" i="8"/>
  <c r="F123" i="8"/>
  <c r="G123" i="8"/>
  <c r="D124" i="8"/>
  <c r="E124" i="8"/>
  <c r="F124" i="8"/>
  <c r="G124" i="8"/>
  <c r="D125" i="8"/>
  <c r="E125" i="8"/>
  <c r="F125" i="8"/>
  <c r="G125" i="8"/>
  <c r="H125" i="8"/>
  <c r="D126" i="8"/>
  <c r="E126" i="8"/>
  <c r="F126" i="8"/>
  <c r="G126" i="8"/>
  <c r="D128" i="8"/>
  <c r="F128" i="8"/>
  <c r="G128" i="8"/>
  <c r="H128" i="8"/>
  <c r="J128" i="8"/>
  <c r="J127" i="8"/>
  <c r="O18" i="1"/>
  <c r="S18" i="1"/>
  <c r="D130" i="8"/>
  <c r="E130" i="8"/>
  <c r="F130" i="8"/>
  <c r="G130" i="8"/>
  <c r="D131" i="8"/>
  <c r="E131" i="8"/>
  <c r="F131" i="8"/>
  <c r="G131" i="8"/>
  <c r="D132" i="8"/>
  <c r="E132" i="8"/>
  <c r="F132" i="8"/>
  <c r="G132" i="8"/>
  <c r="A133" i="8"/>
  <c r="B133" i="8"/>
  <c r="E133" i="8"/>
  <c r="F133" i="8"/>
  <c r="D135" i="8"/>
  <c r="E135" i="8"/>
  <c r="F135" i="8"/>
  <c r="G135" i="8"/>
  <c r="H135" i="8"/>
  <c r="D136" i="8"/>
  <c r="E136" i="8"/>
  <c r="F136" i="8"/>
  <c r="G136" i="8"/>
  <c r="D137" i="8"/>
  <c r="E137" i="8"/>
  <c r="F137" i="8"/>
  <c r="G137" i="8"/>
  <c r="D138" i="8"/>
  <c r="E138" i="8"/>
  <c r="F138" i="8"/>
  <c r="G138" i="8"/>
  <c r="D139" i="8"/>
  <c r="E139" i="8"/>
  <c r="F139" i="8"/>
  <c r="G139" i="8"/>
  <c r="D141" i="8"/>
  <c r="F141" i="8"/>
  <c r="G141" i="8"/>
  <c r="H141" i="8"/>
  <c r="D143" i="8"/>
  <c r="E143" i="8"/>
  <c r="F143" i="8"/>
  <c r="G143" i="8"/>
  <c r="D144" i="8"/>
  <c r="E144" i="8"/>
  <c r="F144" i="8"/>
  <c r="G144" i="8"/>
  <c r="D145" i="8"/>
  <c r="E145" i="8"/>
  <c r="F145" i="8"/>
  <c r="G145" i="8"/>
  <c r="A146" i="8"/>
  <c r="B146" i="8"/>
  <c r="E146" i="8"/>
  <c r="F146" i="8"/>
  <c r="D148" i="8"/>
  <c r="E148" i="8"/>
  <c r="F148" i="8"/>
  <c r="G148" i="8"/>
  <c r="D149" i="8"/>
  <c r="E149" i="8"/>
  <c r="F149" i="8"/>
  <c r="G149" i="8"/>
  <c r="D151" i="8"/>
  <c r="F151" i="8"/>
  <c r="G151" i="8"/>
  <c r="H151" i="8"/>
  <c r="D153" i="8"/>
  <c r="E153" i="8"/>
  <c r="F153" i="8"/>
  <c r="G153" i="8"/>
  <c r="A154" i="8"/>
  <c r="B154" i="8"/>
  <c r="E154" i="8"/>
  <c r="F154" i="8"/>
  <c r="D156" i="8"/>
  <c r="E156" i="8"/>
  <c r="F156" i="8"/>
  <c r="G156" i="8"/>
  <c r="H156" i="8"/>
  <c r="J156" i="8"/>
  <c r="D157" i="8"/>
  <c r="E157" i="8"/>
  <c r="F157" i="8"/>
  <c r="G157" i="8"/>
  <c r="D158" i="8"/>
  <c r="E158" i="8"/>
  <c r="F158" i="8"/>
  <c r="G158" i="8"/>
  <c r="D160" i="8"/>
  <c r="F160" i="8"/>
  <c r="G160" i="8"/>
  <c r="H160" i="8"/>
  <c r="D162" i="8"/>
  <c r="E162" i="8"/>
  <c r="F162" i="8"/>
  <c r="G162" i="8"/>
  <c r="D163" i="8"/>
  <c r="E163" i="8"/>
  <c r="F163" i="8"/>
  <c r="G163" i="8"/>
  <c r="A164" i="8"/>
  <c r="B164" i="8"/>
  <c r="E164" i="8"/>
  <c r="F164" i="8"/>
  <c r="D166" i="8"/>
  <c r="E166" i="8"/>
  <c r="F166" i="8"/>
  <c r="G166" i="8"/>
  <c r="D167" i="8"/>
  <c r="E167" i="8"/>
  <c r="F167" i="8"/>
  <c r="G167" i="8"/>
  <c r="D168" i="8"/>
  <c r="E168" i="8"/>
  <c r="F168" i="8"/>
  <c r="G168" i="8"/>
  <c r="H168" i="8"/>
  <c r="D170" i="8"/>
  <c r="F170" i="8"/>
  <c r="G170" i="8"/>
  <c r="H170" i="8"/>
  <c r="D172" i="8"/>
  <c r="E172" i="8"/>
  <c r="F172" i="8"/>
  <c r="G172" i="8"/>
  <c r="D173" i="8"/>
  <c r="E173" i="8"/>
  <c r="F173" i="8"/>
  <c r="G173" i="8"/>
  <c r="A174" i="8"/>
  <c r="B174" i="8"/>
  <c r="E174" i="8"/>
  <c r="F174" i="8"/>
  <c r="D176" i="8"/>
  <c r="E176" i="8"/>
  <c r="F176" i="8"/>
  <c r="G176" i="8"/>
  <c r="J176" i="8"/>
  <c r="J175" i="8"/>
  <c r="M25" i="1"/>
  <c r="Q25" i="1"/>
  <c r="H176" i="8"/>
  <c r="A177" i="8"/>
  <c r="B177" i="8"/>
  <c r="E177" i="8"/>
  <c r="F177" i="8"/>
  <c r="D179" i="8"/>
  <c r="E179" i="8"/>
  <c r="F179" i="8"/>
  <c r="G179" i="8"/>
  <c r="D180" i="8"/>
  <c r="E180" i="8"/>
  <c r="F180" i="8"/>
  <c r="G180" i="8"/>
  <c r="D181" i="8"/>
  <c r="E181" i="8"/>
  <c r="F181" i="8"/>
  <c r="G181" i="8"/>
  <c r="D182" i="8"/>
  <c r="E182" i="8"/>
  <c r="F182" i="8"/>
  <c r="G182" i="8"/>
  <c r="D183" i="8"/>
  <c r="E183" i="8"/>
  <c r="F183" i="8"/>
  <c r="G183" i="8"/>
  <c r="D184" i="8"/>
  <c r="E184" i="8"/>
  <c r="F184" i="8"/>
  <c r="G184" i="8"/>
  <c r="D186" i="8"/>
  <c r="F186" i="8"/>
  <c r="G186" i="8"/>
  <c r="J186" i="8"/>
  <c r="J185" i="8"/>
  <c r="O26" i="1"/>
  <c r="H186" i="8"/>
  <c r="D188" i="8"/>
  <c r="E188" i="8"/>
  <c r="F188" i="8"/>
  <c r="G188" i="8"/>
  <c r="D189" i="8"/>
  <c r="E189" i="8"/>
  <c r="F189" i="8"/>
  <c r="G189" i="8"/>
  <c r="J189" i="8"/>
  <c r="H189" i="8"/>
  <c r="D190" i="8"/>
  <c r="E190" i="8"/>
  <c r="F190" i="8"/>
  <c r="G190" i="8"/>
  <c r="H190" i="8"/>
  <c r="D191" i="8"/>
  <c r="E191" i="8"/>
  <c r="F191" i="8"/>
  <c r="G191" i="8"/>
  <c r="A192" i="8"/>
  <c r="B192" i="8"/>
  <c r="E192" i="8"/>
  <c r="F192" i="8"/>
  <c r="D194" i="8"/>
  <c r="E194" i="8"/>
  <c r="F194" i="8"/>
  <c r="G194" i="8"/>
  <c r="D195" i="8"/>
  <c r="E195" i="8"/>
  <c r="F195" i="8"/>
  <c r="G195" i="8"/>
  <c r="D197" i="8"/>
  <c r="F197" i="8"/>
  <c r="G197" i="8"/>
  <c r="H197" i="8"/>
  <c r="A198" i="8"/>
  <c r="B198" i="8"/>
  <c r="E198" i="8"/>
  <c r="F198" i="8"/>
  <c r="D200" i="8"/>
  <c r="E200" i="8"/>
  <c r="F200" i="8"/>
  <c r="G200" i="8"/>
  <c r="D201" i="8"/>
  <c r="E201" i="8"/>
  <c r="F201" i="8"/>
  <c r="G201" i="8"/>
  <c r="D202" i="8"/>
  <c r="E202" i="8"/>
  <c r="F202" i="8"/>
  <c r="G202" i="8"/>
  <c r="D203" i="8"/>
  <c r="E203" i="8"/>
  <c r="F203" i="8"/>
  <c r="G203" i="8"/>
  <c r="D204" i="8"/>
  <c r="E204" i="8"/>
  <c r="F204" i="8"/>
  <c r="G204" i="8"/>
  <c r="D205" i="8"/>
  <c r="E205" i="8"/>
  <c r="F205" i="8"/>
  <c r="G205" i="8"/>
  <c r="H205" i="8"/>
  <c r="D206" i="8"/>
  <c r="E206" i="8"/>
  <c r="F206" i="8"/>
  <c r="G206" i="8"/>
  <c r="H206" i="8"/>
  <c r="D207" i="8"/>
  <c r="E207" i="8"/>
  <c r="F207" i="8"/>
  <c r="G207" i="8"/>
  <c r="H207" i="8"/>
  <c r="D209" i="8"/>
  <c r="F209" i="8"/>
  <c r="G209" i="8"/>
  <c r="J209" i="8"/>
  <c r="J208" i="8"/>
  <c r="O30" i="1"/>
  <c r="S30" i="1"/>
  <c r="H209" i="8"/>
  <c r="D211" i="8"/>
  <c r="E211" i="8"/>
  <c r="F211" i="8"/>
  <c r="G211" i="8"/>
  <c r="D212" i="8"/>
  <c r="E212" i="8"/>
  <c r="F212" i="8"/>
  <c r="G212" i="8"/>
  <c r="A213" i="8"/>
  <c r="B213" i="8"/>
  <c r="E213" i="8"/>
  <c r="F213" i="8"/>
  <c r="D215" i="8"/>
  <c r="E215" i="8"/>
  <c r="F215" i="8"/>
  <c r="G215" i="8"/>
  <c r="D216" i="8"/>
  <c r="E216" i="8"/>
  <c r="F216" i="8"/>
  <c r="G216" i="8"/>
  <c r="D217" i="8"/>
  <c r="E217" i="8"/>
  <c r="F217" i="8"/>
  <c r="G217" i="8"/>
  <c r="D218" i="8"/>
  <c r="E218" i="8"/>
  <c r="F218" i="8"/>
  <c r="G218" i="8"/>
  <c r="D219" i="8"/>
  <c r="E219" i="8"/>
  <c r="F219" i="8"/>
  <c r="G219" i="8"/>
  <c r="D221" i="8"/>
  <c r="F221" i="8"/>
  <c r="G221" i="8"/>
  <c r="H221" i="8"/>
  <c r="D223" i="8"/>
  <c r="E223" i="8"/>
  <c r="F223" i="8"/>
  <c r="G223" i="8"/>
  <c r="D224" i="8"/>
  <c r="E224" i="8"/>
  <c r="F224" i="8"/>
  <c r="G224" i="8"/>
  <c r="D225" i="8"/>
  <c r="E225" i="8"/>
  <c r="F225" i="8"/>
  <c r="G225" i="8"/>
  <c r="A226" i="8"/>
  <c r="B226" i="8"/>
  <c r="E226" i="8"/>
  <c r="F226" i="8"/>
  <c r="D228" i="8"/>
  <c r="E228" i="8"/>
  <c r="F228" i="8"/>
  <c r="G228" i="8"/>
  <c r="D229" i="8"/>
  <c r="E229" i="8"/>
  <c r="F229" i="8"/>
  <c r="G229" i="8"/>
  <c r="D231" i="8"/>
  <c r="F231" i="8"/>
  <c r="G231" i="8"/>
  <c r="H231" i="8"/>
  <c r="D233" i="8"/>
  <c r="E233" i="8"/>
  <c r="F233" i="8"/>
  <c r="G233" i="8"/>
  <c r="A234" i="8"/>
  <c r="B234" i="8"/>
  <c r="E234" i="8"/>
  <c r="F234" i="8"/>
  <c r="D236" i="8"/>
  <c r="E236" i="8"/>
  <c r="F236" i="8"/>
  <c r="G236" i="8"/>
  <c r="D237" i="8"/>
  <c r="E237" i="8"/>
  <c r="F237" i="8"/>
  <c r="G237" i="8"/>
  <c r="D238" i="8"/>
  <c r="E238" i="8"/>
  <c r="F238" i="8"/>
  <c r="G238" i="8"/>
  <c r="D240" i="8"/>
  <c r="F240" i="8"/>
  <c r="G240" i="8"/>
  <c r="J240" i="8"/>
  <c r="J239" i="8"/>
  <c r="O33" i="1"/>
  <c r="S33" i="1"/>
  <c r="H240" i="8"/>
  <c r="D242" i="8"/>
  <c r="E242" i="8"/>
  <c r="F242" i="8"/>
  <c r="G242" i="8"/>
  <c r="D243" i="8"/>
  <c r="E243" i="8"/>
  <c r="F243" i="8"/>
  <c r="G243" i="8"/>
  <c r="A244" i="8"/>
  <c r="B244" i="8"/>
  <c r="E244" i="8"/>
  <c r="F244" i="8"/>
  <c r="D246" i="8"/>
  <c r="E246" i="8"/>
  <c r="F246" i="8"/>
  <c r="G246" i="8"/>
  <c r="H246" i="8"/>
  <c r="D247" i="8"/>
  <c r="E247" i="8"/>
  <c r="F247" i="8"/>
  <c r="G247" i="8"/>
  <c r="D248" i="8"/>
  <c r="E248" i="8"/>
  <c r="F248" i="8"/>
  <c r="G248" i="8"/>
  <c r="D249" i="8"/>
  <c r="E249" i="8"/>
  <c r="F249" i="8"/>
  <c r="G249" i="8"/>
  <c r="H249" i="8"/>
  <c r="D250" i="8"/>
  <c r="E250" i="8"/>
  <c r="F250" i="8"/>
  <c r="G250" i="8"/>
  <c r="D252" i="8"/>
  <c r="F252" i="8"/>
  <c r="G252" i="8"/>
  <c r="H252" i="8"/>
  <c r="J252" i="8"/>
  <c r="J251" i="8"/>
  <c r="O34" i="1"/>
  <c r="S34" i="1"/>
  <c r="D254" i="8"/>
  <c r="E254" i="8"/>
  <c r="F254" i="8"/>
  <c r="G254" i="8"/>
  <c r="D255" i="8"/>
  <c r="E255" i="8"/>
  <c r="F255" i="8"/>
  <c r="G255" i="8"/>
  <c r="D256" i="8"/>
  <c r="E256" i="8"/>
  <c r="F256" i="8"/>
  <c r="G256" i="8"/>
  <c r="A257" i="8"/>
  <c r="B257" i="8"/>
  <c r="E257" i="8"/>
  <c r="F257" i="8"/>
  <c r="D259" i="8"/>
  <c r="E259" i="8"/>
  <c r="F259" i="8"/>
  <c r="G259" i="8"/>
  <c r="H259" i="8"/>
  <c r="D260" i="8"/>
  <c r="E260" i="8"/>
  <c r="F260" i="8"/>
  <c r="G260" i="8"/>
  <c r="D261" i="8"/>
  <c r="E261" i="8"/>
  <c r="F261" i="8"/>
  <c r="G261" i="8"/>
  <c r="D262" i="8"/>
  <c r="E262" i="8"/>
  <c r="F262" i="8"/>
  <c r="G262" i="8"/>
  <c r="D263" i="8"/>
  <c r="E263" i="8"/>
  <c r="F263" i="8"/>
  <c r="G263" i="8"/>
  <c r="D265" i="8"/>
  <c r="F265" i="8"/>
  <c r="G265" i="8"/>
  <c r="H265" i="8"/>
  <c r="D267" i="8"/>
  <c r="E267" i="8"/>
  <c r="F267" i="8"/>
  <c r="G267" i="8"/>
  <c r="D268" i="8"/>
  <c r="E268" i="8"/>
  <c r="F268" i="8"/>
  <c r="G268" i="8"/>
  <c r="D269" i="8"/>
  <c r="E269" i="8"/>
  <c r="F269" i="8"/>
  <c r="G269" i="8"/>
  <c r="A270" i="8"/>
  <c r="B270" i="8"/>
  <c r="E270" i="8"/>
  <c r="F270" i="8"/>
  <c r="D272" i="8"/>
  <c r="E272" i="8"/>
  <c r="F272" i="8"/>
  <c r="G272" i="8"/>
  <c r="D273" i="8"/>
  <c r="E273" i="8"/>
  <c r="F273" i="8"/>
  <c r="G273" i="8"/>
  <c r="D275" i="8"/>
  <c r="F275" i="8"/>
  <c r="G275" i="8"/>
  <c r="H275" i="8"/>
  <c r="D277" i="8"/>
  <c r="E277" i="8"/>
  <c r="F277" i="8"/>
  <c r="G277" i="8"/>
  <c r="A278" i="8"/>
  <c r="B278" i="8"/>
  <c r="E278" i="8"/>
  <c r="F278" i="8"/>
  <c r="D280" i="8"/>
  <c r="E280" i="8"/>
  <c r="F280" i="8"/>
  <c r="G280" i="8"/>
  <c r="H280" i="8"/>
  <c r="D281" i="8"/>
  <c r="E281" i="8"/>
  <c r="F281" i="8"/>
  <c r="G281" i="8"/>
  <c r="D282" i="8"/>
  <c r="E282" i="8"/>
  <c r="F282" i="8"/>
  <c r="G282" i="8"/>
  <c r="D284" i="8"/>
  <c r="F284" i="8"/>
  <c r="G284" i="8"/>
  <c r="H284" i="8"/>
  <c r="D286" i="8"/>
  <c r="E286" i="8"/>
  <c r="F286" i="8"/>
  <c r="G286" i="8"/>
  <c r="D287" i="8"/>
  <c r="E287" i="8"/>
  <c r="F287" i="8"/>
  <c r="G287" i="8"/>
  <c r="A288" i="8"/>
  <c r="B288" i="8"/>
  <c r="E288" i="8"/>
  <c r="F288" i="8"/>
  <c r="D290" i="8"/>
  <c r="E290" i="8"/>
  <c r="F290" i="8"/>
  <c r="G290" i="8"/>
  <c r="D291" i="8"/>
  <c r="E291" i="8"/>
  <c r="F291" i="8"/>
  <c r="G291" i="8"/>
  <c r="D292" i="8"/>
  <c r="E292" i="8"/>
  <c r="F292" i="8"/>
  <c r="G292" i="8"/>
  <c r="H292" i="8"/>
  <c r="D293" i="8"/>
  <c r="E293" i="8"/>
  <c r="F293" i="8"/>
  <c r="G293" i="8"/>
  <c r="D294" i="8"/>
  <c r="E294" i="8"/>
  <c r="F294" i="8"/>
  <c r="G294" i="8"/>
  <c r="J294" i="8"/>
  <c r="H294" i="8"/>
  <c r="D295" i="8"/>
  <c r="E295" i="8"/>
  <c r="F295" i="8"/>
  <c r="G295" i="8"/>
  <c r="D296" i="8"/>
  <c r="E296" i="8"/>
  <c r="F296" i="8"/>
  <c r="G296" i="8"/>
  <c r="D298" i="8"/>
  <c r="F298" i="8"/>
  <c r="G298" i="8"/>
  <c r="H298" i="8"/>
  <c r="J298" i="8"/>
  <c r="J297" i="8"/>
  <c r="O39" i="1"/>
  <c r="S39" i="1"/>
  <c r="D300" i="8"/>
  <c r="E300" i="8"/>
  <c r="F300" i="8"/>
  <c r="G300" i="8"/>
  <c r="D301" i="8"/>
  <c r="E301" i="8"/>
  <c r="F301" i="8"/>
  <c r="G301" i="8"/>
  <c r="D302" i="8"/>
  <c r="E302" i="8"/>
  <c r="F302" i="8"/>
  <c r="G302" i="8"/>
  <c r="D303" i="8"/>
  <c r="E303" i="8"/>
  <c r="F303" i="8"/>
  <c r="G303" i="8"/>
  <c r="A304" i="8"/>
  <c r="B304" i="8"/>
  <c r="E304" i="8"/>
  <c r="F304" i="8"/>
  <c r="D306" i="8"/>
  <c r="E306" i="8"/>
  <c r="F306" i="8"/>
  <c r="G306" i="8"/>
  <c r="A307" i="8"/>
  <c r="B307" i="8"/>
  <c r="E307" i="8"/>
  <c r="F307" i="8"/>
  <c r="D309" i="8"/>
  <c r="E309" i="8"/>
  <c r="F309" i="8"/>
  <c r="G309" i="8"/>
  <c r="A310" i="8"/>
  <c r="B310" i="8"/>
  <c r="E310" i="8"/>
  <c r="F310" i="8"/>
  <c r="D312" i="8"/>
  <c r="E312" i="8"/>
  <c r="F312" i="8"/>
  <c r="G312" i="8"/>
  <c r="D313" i="8"/>
  <c r="E313" i="8"/>
  <c r="F313" i="8"/>
  <c r="G313" i="8"/>
  <c r="D314" i="8"/>
  <c r="E314" i="8"/>
  <c r="F314" i="8"/>
  <c r="G314" i="8"/>
  <c r="D315" i="8"/>
  <c r="E315" i="8"/>
  <c r="F315" i="8"/>
  <c r="G315" i="8"/>
  <c r="D317" i="8"/>
  <c r="F317" i="8"/>
  <c r="G317" i="8"/>
  <c r="H317" i="8"/>
  <c r="A318" i="8"/>
  <c r="B318" i="8"/>
  <c r="E318" i="8"/>
  <c r="F318" i="8"/>
  <c r="D320" i="8"/>
  <c r="E320" i="8"/>
  <c r="F320" i="8"/>
  <c r="G320" i="8"/>
  <c r="H320" i="8"/>
  <c r="J320" i="8"/>
  <c r="D321" i="8"/>
  <c r="E321" i="8"/>
  <c r="F321" i="8"/>
  <c r="G321" i="8"/>
  <c r="D322" i="8"/>
  <c r="E322" i="8"/>
  <c r="F322" i="8"/>
  <c r="G322" i="8"/>
  <c r="D323" i="8"/>
  <c r="E323" i="8"/>
  <c r="F323" i="8"/>
  <c r="G323" i="8"/>
  <c r="J323" i="8"/>
  <c r="H323" i="8"/>
  <c r="D324" i="8"/>
  <c r="E324" i="8"/>
  <c r="F324" i="8"/>
  <c r="G324" i="8"/>
  <c r="H324" i="8"/>
  <c r="D326" i="8"/>
  <c r="F326" i="8"/>
  <c r="G326" i="8"/>
  <c r="J326" i="8"/>
  <c r="J325" i="8"/>
  <c r="O43" i="1"/>
  <c r="S43" i="1"/>
  <c r="H326" i="8"/>
  <c r="D328" i="8"/>
  <c r="E328" i="8"/>
  <c r="F328" i="8"/>
  <c r="G328" i="8"/>
  <c r="D329" i="8"/>
  <c r="E329" i="8"/>
  <c r="F329" i="8"/>
  <c r="G329" i="8"/>
  <c r="A330" i="8"/>
  <c r="B330" i="8"/>
  <c r="E330" i="8"/>
  <c r="F330" i="8"/>
  <c r="D332" i="8"/>
  <c r="E332" i="8"/>
  <c r="F332" i="8"/>
  <c r="G332" i="8"/>
  <c r="H332" i="8"/>
  <c r="D333" i="8"/>
  <c r="E333" i="8"/>
  <c r="F333" i="8"/>
  <c r="G333" i="8"/>
  <c r="D334" i="8"/>
  <c r="E334" i="8"/>
  <c r="F334" i="8"/>
  <c r="G334" i="8"/>
  <c r="D335" i="8"/>
  <c r="E335" i="8"/>
  <c r="F335" i="8"/>
  <c r="G335" i="8"/>
  <c r="J335" i="8"/>
  <c r="H335" i="8"/>
  <c r="D336" i="8"/>
  <c r="E336" i="8"/>
  <c r="F336" i="8"/>
  <c r="G336" i="8"/>
  <c r="D338" i="8"/>
  <c r="F338" i="8"/>
  <c r="G338" i="8"/>
  <c r="J338" i="8"/>
  <c r="J337" i="8"/>
  <c r="O44" i="1"/>
  <c r="S44" i="1"/>
  <c r="H338" i="8"/>
  <c r="D340" i="8"/>
  <c r="E340" i="8"/>
  <c r="F340" i="8"/>
  <c r="G340" i="8"/>
  <c r="D341" i="8"/>
  <c r="E341" i="8"/>
  <c r="F341" i="8"/>
  <c r="G341" i="8"/>
  <c r="A342" i="8"/>
  <c r="B342" i="8"/>
  <c r="E342" i="8"/>
  <c r="F342" i="8"/>
  <c r="D344" i="8"/>
  <c r="E344" i="8"/>
  <c r="F344" i="8"/>
  <c r="G344" i="8"/>
  <c r="D345" i="8"/>
  <c r="E345" i="8"/>
  <c r="F345" i="8"/>
  <c r="G345" i="8"/>
  <c r="D346" i="8"/>
  <c r="E346" i="8"/>
  <c r="F346" i="8"/>
  <c r="G346" i="8"/>
  <c r="H346" i="8"/>
  <c r="D348" i="8"/>
  <c r="F348" i="8"/>
  <c r="G348" i="8"/>
  <c r="J348" i="8"/>
  <c r="J347" i="8"/>
  <c r="O45" i="1"/>
  <c r="S45" i="1"/>
  <c r="H348" i="8"/>
  <c r="A349" i="8"/>
  <c r="B349" i="8"/>
  <c r="E349" i="8"/>
  <c r="F349" i="8"/>
  <c r="D351" i="8"/>
  <c r="E351" i="8"/>
  <c r="F351" i="8"/>
  <c r="G351" i="8"/>
  <c r="D352" i="8"/>
  <c r="E352" i="8"/>
  <c r="F352" i="8"/>
  <c r="G352" i="8"/>
  <c r="D354" i="8"/>
  <c r="F354" i="8"/>
  <c r="G354" i="8"/>
  <c r="H354" i="8"/>
  <c r="A355" i="8"/>
  <c r="B355" i="8"/>
  <c r="E355" i="8"/>
  <c r="F355" i="8"/>
  <c r="D357" i="8"/>
  <c r="E357" i="8"/>
  <c r="F357" i="8"/>
  <c r="G357" i="8"/>
  <c r="D358" i="8"/>
  <c r="E358" i="8"/>
  <c r="F358" i="8"/>
  <c r="G358" i="8"/>
  <c r="D360" i="8"/>
  <c r="F360" i="8"/>
  <c r="G360" i="8"/>
  <c r="H360" i="8"/>
  <c r="J360" i="8"/>
  <c r="J359" i="8"/>
  <c r="O48" i="1"/>
  <c r="A361" i="8"/>
  <c r="B361" i="8"/>
  <c r="E361" i="8"/>
  <c r="F361" i="8"/>
  <c r="D363" i="8"/>
  <c r="E363" i="8"/>
  <c r="F363" i="8"/>
  <c r="G363" i="8"/>
  <c r="D364" i="8"/>
  <c r="E364" i="8"/>
  <c r="F364" i="8"/>
  <c r="G364" i="8"/>
  <c r="D366" i="8"/>
  <c r="F366" i="8"/>
  <c r="G366" i="8"/>
  <c r="J366" i="8"/>
  <c r="J365" i="8"/>
  <c r="O49" i="1"/>
  <c r="S49" i="1"/>
  <c r="H366" i="8"/>
  <c r="A367" i="8"/>
  <c r="B367" i="8"/>
  <c r="E367" i="8"/>
  <c r="F367" i="8"/>
  <c r="D369" i="8"/>
  <c r="E369" i="8"/>
  <c r="F369" i="8"/>
  <c r="G369" i="8"/>
  <c r="D370" i="8"/>
  <c r="E370" i="8"/>
  <c r="F370" i="8"/>
  <c r="G370" i="8"/>
  <c r="D371" i="8"/>
  <c r="E371" i="8"/>
  <c r="F371" i="8"/>
  <c r="G371" i="8"/>
  <c r="D372" i="8"/>
  <c r="E372" i="8"/>
  <c r="F372" i="8"/>
  <c r="G372" i="8"/>
  <c r="D374" i="8"/>
  <c r="F374" i="8"/>
  <c r="G374" i="8"/>
  <c r="J374" i="8"/>
  <c r="J373" i="8"/>
  <c r="O50" i="1"/>
  <c r="S50" i="1"/>
  <c r="H374" i="8"/>
  <c r="A375" i="8"/>
  <c r="B375" i="8"/>
  <c r="E375" i="8"/>
  <c r="F375" i="8"/>
  <c r="D377" i="8"/>
  <c r="E377" i="8"/>
  <c r="F377" i="8"/>
  <c r="G377" i="8"/>
  <c r="D378" i="8"/>
  <c r="E378" i="8"/>
  <c r="F378" i="8"/>
  <c r="G378" i="8"/>
  <c r="D379" i="8"/>
  <c r="E379" i="8"/>
  <c r="F379" i="8"/>
  <c r="G379" i="8"/>
  <c r="D380" i="8"/>
  <c r="E380" i="8"/>
  <c r="F380" i="8"/>
  <c r="G380" i="8"/>
  <c r="H380" i="8"/>
  <c r="D381" i="8"/>
  <c r="E381" i="8"/>
  <c r="F381" i="8"/>
  <c r="G381" i="8"/>
  <c r="D383" i="8"/>
  <c r="F383" i="8"/>
  <c r="G383" i="8"/>
  <c r="J383" i="8"/>
  <c r="J382" i="8"/>
  <c r="O52" i="1"/>
  <c r="S52" i="1"/>
  <c r="H383" i="8"/>
  <c r="D385" i="8"/>
  <c r="E385" i="8"/>
  <c r="F385" i="8"/>
  <c r="G385" i="8"/>
  <c r="A386" i="8"/>
  <c r="B386" i="8"/>
  <c r="E386" i="8"/>
  <c r="F386" i="8"/>
  <c r="D388" i="8"/>
  <c r="E388" i="8"/>
  <c r="F388" i="8"/>
  <c r="G388" i="8"/>
  <c r="D389" i="8"/>
  <c r="E389" i="8"/>
  <c r="F389" i="8"/>
  <c r="G389" i="8"/>
  <c r="D391" i="8"/>
  <c r="F391" i="8"/>
  <c r="G391" i="8"/>
  <c r="H391" i="8"/>
  <c r="A392" i="8"/>
  <c r="B392" i="8"/>
  <c r="E392" i="8"/>
  <c r="F392" i="8"/>
  <c r="D394" i="8"/>
  <c r="E394" i="8"/>
  <c r="F394" i="8"/>
  <c r="G394" i="8"/>
  <c r="H394" i="8"/>
  <c r="J394" i="8"/>
  <c r="D395" i="8"/>
  <c r="E395" i="8"/>
  <c r="F395" i="8"/>
  <c r="G395" i="8"/>
  <c r="D397" i="8"/>
  <c r="F397" i="8"/>
  <c r="G397" i="8"/>
  <c r="H397" i="8"/>
  <c r="A398" i="8"/>
  <c r="B398" i="8"/>
  <c r="E398" i="8"/>
  <c r="F398" i="8"/>
  <c r="D400" i="8"/>
  <c r="E400" i="8"/>
  <c r="F400" i="8"/>
  <c r="G400" i="8"/>
  <c r="D401" i="8"/>
  <c r="E401" i="8"/>
  <c r="F401" i="8"/>
  <c r="G401" i="8"/>
  <c r="D402" i="8"/>
  <c r="E402" i="8"/>
  <c r="F402" i="8"/>
  <c r="G402" i="8"/>
  <c r="J402" i="8"/>
  <c r="H402" i="8"/>
  <c r="D403" i="8"/>
  <c r="E403" i="8"/>
  <c r="F403" i="8"/>
  <c r="G403" i="8"/>
  <c r="D405" i="8"/>
  <c r="F405" i="8"/>
  <c r="G405" i="8"/>
  <c r="J405" i="8"/>
  <c r="J404" i="8"/>
  <c r="O55" i="1"/>
  <c r="S55" i="1"/>
  <c r="H405" i="8"/>
  <c r="A406" i="8"/>
  <c r="B406" i="8"/>
  <c r="E406" i="8"/>
  <c r="F406" i="8"/>
  <c r="D408" i="8"/>
  <c r="E408" i="8"/>
  <c r="F408" i="8"/>
  <c r="G408" i="8"/>
  <c r="H408" i="8"/>
  <c r="J408" i="8"/>
  <c r="D409" i="8"/>
  <c r="E409" i="8"/>
  <c r="F409" i="8"/>
  <c r="G409" i="8"/>
  <c r="D410" i="8"/>
  <c r="E410" i="8"/>
  <c r="F410" i="8"/>
  <c r="G410" i="8"/>
  <c r="D411" i="8"/>
  <c r="E411" i="8"/>
  <c r="F411" i="8"/>
  <c r="G411" i="8"/>
  <c r="H411" i="8"/>
  <c r="D413" i="8"/>
  <c r="F413" i="8"/>
  <c r="G413" i="8"/>
  <c r="J413" i="8"/>
  <c r="J412" i="8"/>
  <c r="O56" i="1"/>
  <c r="S56" i="1"/>
  <c r="H413" i="8"/>
  <c r="D415" i="8"/>
  <c r="E415" i="8"/>
  <c r="F415" i="8"/>
  <c r="G415" i="8"/>
  <c r="D416" i="8"/>
  <c r="E416" i="8"/>
  <c r="F416" i="8"/>
  <c r="G416" i="8"/>
  <c r="A417" i="8"/>
  <c r="B417" i="8"/>
  <c r="E417" i="8"/>
  <c r="F417" i="8"/>
  <c r="D419" i="8"/>
  <c r="E419" i="8"/>
  <c r="F419" i="8"/>
  <c r="G419" i="8"/>
  <c r="H419" i="8"/>
  <c r="D420" i="8"/>
  <c r="E420" i="8"/>
  <c r="F420" i="8"/>
  <c r="G420" i="8"/>
  <c r="D421" i="8"/>
  <c r="E421" i="8"/>
  <c r="F421" i="8"/>
  <c r="G421" i="8"/>
  <c r="D422" i="8"/>
  <c r="E422" i="8"/>
  <c r="F422" i="8"/>
  <c r="G422" i="8"/>
  <c r="H422" i="8"/>
  <c r="D423" i="8"/>
  <c r="E423" i="8"/>
  <c r="F423" i="8"/>
  <c r="G423" i="8"/>
  <c r="D425" i="8"/>
  <c r="F425" i="8"/>
  <c r="G425" i="8"/>
  <c r="J425" i="8"/>
  <c r="J424" i="8"/>
  <c r="O57" i="1"/>
  <c r="S57" i="1"/>
  <c r="H425" i="8"/>
  <c r="D427" i="8"/>
  <c r="E427" i="8"/>
  <c r="F427" i="8"/>
  <c r="G427" i="8"/>
  <c r="D428" i="8"/>
  <c r="E428" i="8"/>
  <c r="F428" i="8"/>
  <c r="G428" i="8"/>
  <c r="D429" i="8"/>
  <c r="E429" i="8"/>
  <c r="F429" i="8"/>
  <c r="G429" i="8"/>
  <c r="A430" i="8"/>
  <c r="B430" i="8"/>
  <c r="E430" i="8"/>
  <c r="F430" i="8"/>
  <c r="D432" i="8"/>
  <c r="E432" i="8"/>
  <c r="F432" i="8"/>
  <c r="G432" i="8"/>
  <c r="D433" i="8"/>
  <c r="E433" i="8"/>
  <c r="F433" i="8"/>
  <c r="G433" i="8"/>
  <c r="D434" i="8"/>
  <c r="E434" i="8"/>
  <c r="F434" i="8"/>
  <c r="G434" i="8"/>
  <c r="J434" i="8"/>
  <c r="H434" i="8"/>
  <c r="D436" i="8"/>
  <c r="F436" i="8"/>
  <c r="G436" i="8"/>
  <c r="H436" i="8"/>
  <c r="D438" i="8"/>
  <c r="E438" i="8"/>
  <c r="F438" i="8"/>
  <c r="G438" i="8"/>
  <c r="A439" i="8"/>
  <c r="B439" i="8"/>
  <c r="E439" i="8"/>
  <c r="F439" i="8"/>
  <c r="D441" i="8"/>
  <c r="E441" i="8"/>
  <c r="F441" i="8"/>
  <c r="G441" i="8"/>
  <c r="H441" i="8"/>
  <c r="D442" i="8"/>
  <c r="E442" i="8"/>
  <c r="F442" i="8"/>
  <c r="G442" i="8"/>
  <c r="D443" i="8"/>
  <c r="E443" i="8"/>
  <c r="F443" i="8"/>
  <c r="G443" i="8"/>
  <c r="D444" i="8"/>
  <c r="E444" i="8"/>
  <c r="F444" i="8"/>
  <c r="G444" i="8"/>
  <c r="D445" i="8"/>
  <c r="E445" i="8"/>
  <c r="F445" i="8"/>
  <c r="G445" i="8"/>
  <c r="D447" i="8"/>
  <c r="F447" i="8"/>
  <c r="G447" i="8"/>
  <c r="H447" i="8"/>
  <c r="J447" i="8"/>
  <c r="J446" i="8"/>
  <c r="O59" i="1"/>
  <c r="D449" i="8"/>
  <c r="E449" i="8"/>
  <c r="F449" i="8"/>
  <c r="G449" i="8"/>
  <c r="D450" i="8"/>
  <c r="E450" i="8"/>
  <c r="F450" i="8"/>
  <c r="G450" i="8"/>
  <c r="D451" i="8"/>
  <c r="E451" i="8"/>
  <c r="F451" i="8"/>
  <c r="G451" i="8"/>
  <c r="A452" i="8"/>
  <c r="B452" i="8"/>
  <c r="E452" i="8"/>
  <c r="F452" i="8"/>
  <c r="D454" i="8"/>
  <c r="E454" i="8"/>
  <c r="F454" i="8"/>
  <c r="G454" i="8"/>
  <c r="D455" i="8"/>
  <c r="E455" i="8"/>
  <c r="F455" i="8"/>
  <c r="G455" i="8"/>
  <c r="D457" i="8"/>
  <c r="F457" i="8"/>
  <c r="G457" i="8"/>
  <c r="H457" i="8"/>
  <c r="D459" i="8"/>
  <c r="E459" i="8"/>
  <c r="F459" i="8"/>
  <c r="G459" i="8"/>
  <c r="A460" i="8"/>
  <c r="B460" i="8"/>
  <c r="E460" i="8"/>
  <c r="F460" i="8"/>
  <c r="D462" i="8"/>
  <c r="E462" i="8"/>
  <c r="F462" i="8"/>
  <c r="G462" i="8"/>
  <c r="H462" i="8"/>
  <c r="J462" i="8"/>
  <c r="D463" i="8"/>
  <c r="E463" i="8"/>
  <c r="F463" i="8"/>
  <c r="G463" i="8"/>
  <c r="D464" i="8"/>
  <c r="E464" i="8"/>
  <c r="F464" i="8"/>
  <c r="G464" i="8"/>
  <c r="D466" i="8"/>
  <c r="F466" i="8"/>
  <c r="G466" i="8"/>
  <c r="H466" i="8"/>
  <c r="D468" i="8"/>
  <c r="E468" i="8"/>
  <c r="F468" i="8"/>
  <c r="G468" i="8"/>
  <c r="D469" i="8"/>
  <c r="E469" i="8"/>
  <c r="F469" i="8"/>
  <c r="G469" i="8"/>
  <c r="A470" i="8"/>
  <c r="B470" i="8"/>
  <c r="E470" i="8"/>
  <c r="F470" i="8"/>
  <c r="D472" i="8"/>
  <c r="E472" i="8"/>
  <c r="F472" i="8"/>
  <c r="G472" i="8"/>
  <c r="D473" i="8"/>
  <c r="E473" i="8"/>
  <c r="F473" i="8"/>
  <c r="G473" i="8"/>
  <c r="D474" i="8"/>
  <c r="E474" i="8"/>
  <c r="F474" i="8"/>
  <c r="G474" i="8"/>
  <c r="D475" i="8"/>
  <c r="E475" i="8"/>
  <c r="F475" i="8"/>
  <c r="G475" i="8"/>
  <c r="D476" i="8"/>
  <c r="E476" i="8"/>
  <c r="F476" i="8"/>
  <c r="G476" i="8"/>
  <c r="D477" i="8"/>
  <c r="E477" i="8"/>
  <c r="F477" i="8"/>
  <c r="G477" i="8"/>
  <c r="H477" i="8"/>
  <c r="D478" i="8"/>
  <c r="E478" i="8"/>
  <c r="F478" i="8"/>
  <c r="G478" i="8"/>
  <c r="J478" i="8"/>
  <c r="H478" i="8"/>
  <c r="D479" i="8"/>
  <c r="E479" i="8"/>
  <c r="F479" i="8"/>
  <c r="G479" i="8"/>
  <c r="H479" i="8"/>
  <c r="D481" i="8"/>
  <c r="F481" i="8"/>
  <c r="G481" i="8"/>
  <c r="H481" i="8"/>
  <c r="J481" i="8"/>
  <c r="J480" i="8"/>
  <c r="O63" i="1"/>
  <c r="S63" i="1"/>
  <c r="D483" i="8"/>
  <c r="E483" i="8"/>
  <c r="F483" i="8"/>
  <c r="G483" i="8"/>
  <c r="D484" i="8"/>
  <c r="E484" i="8"/>
  <c r="F484" i="8"/>
  <c r="G484" i="8"/>
  <c r="A485" i="8"/>
  <c r="B485" i="8"/>
  <c r="E485" i="8"/>
  <c r="F485" i="8"/>
  <c r="D487" i="8"/>
  <c r="E487" i="8"/>
  <c r="F487" i="8"/>
  <c r="G487" i="8"/>
  <c r="D488" i="8"/>
  <c r="E488" i="8"/>
  <c r="F488" i="8"/>
  <c r="G488" i="8"/>
  <c r="D489" i="8"/>
  <c r="E489" i="8"/>
  <c r="F489" i="8"/>
  <c r="G489" i="8"/>
  <c r="J489" i="8"/>
  <c r="H489" i="8"/>
  <c r="D491" i="8"/>
  <c r="F491" i="8"/>
  <c r="G491" i="8"/>
  <c r="J491" i="8"/>
  <c r="J490" i="8"/>
  <c r="O64" i="1"/>
  <c r="H491" i="8"/>
  <c r="D493" i="8"/>
  <c r="E493" i="8"/>
  <c r="F493" i="8"/>
  <c r="G493" i="8"/>
  <c r="A494" i="8"/>
  <c r="B494" i="8"/>
  <c r="E494" i="8"/>
  <c r="F494" i="8"/>
  <c r="D496" i="8"/>
  <c r="E496" i="8"/>
  <c r="F496" i="8"/>
  <c r="G496" i="8"/>
  <c r="D497" i="8"/>
  <c r="E497" i="8"/>
  <c r="F497" i="8"/>
  <c r="G497" i="8"/>
  <c r="D498" i="8"/>
  <c r="E498" i="8"/>
  <c r="F498" i="8"/>
  <c r="G498" i="8"/>
  <c r="D499" i="8"/>
  <c r="E499" i="8"/>
  <c r="F499" i="8"/>
  <c r="G499" i="8"/>
  <c r="D500" i="8"/>
  <c r="E500" i="8"/>
  <c r="F500" i="8"/>
  <c r="G500" i="8"/>
  <c r="D502" i="8"/>
  <c r="F502" i="8"/>
  <c r="G502" i="8"/>
  <c r="H502" i="8"/>
  <c r="A503" i="8"/>
  <c r="B503" i="8"/>
  <c r="E503" i="8"/>
  <c r="F503" i="8"/>
  <c r="D505" i="8"/>
  <c r="E505" i="8"/>
  <c r="F505" i="8"/>
  <c r="G505" i="8"/>
  <c r="D506" i="8"/>
  <c r="E506" i="8"/>
  <c r="F506" i="8"/>
  <c r="G506" i="8"/>
  <c r="D507" i="8"/>
  <c r="E507" i="8"/>
  <c r="F507" i="8"/>
  <c r="G507" i="8"/>
  <c r="D508" i="8"/>
  <c r="E508" i="8"/>
  <c r="F508" i="8"/>
  <c r="G508" i="8"/>
  <c r="H508" i="8"/>
  <c r="D509" i="8"/>
  <c r="E509" i="8"/>
  <c r="F509" i="8"/>
  <c r="G509" i="8"/>
  <c r="D511" i="8"/>
  <c r="F511" i="8"/>
  <c r="G511" i="8"/>
  <c r="H511" i="8"/>
  <c r="D513" i="8"/>
  <c r="E513" i="8"/>
  <c r="F513" i="8"/>
  <c r="G513" i="8"/>
  <c r="D514" i="8"/>
  <c r="E514" i="8"/>
  <c r="F514" i="8"/>
  <c r="G514" i="8"/>
  <c r="D515" i="8"/>
  <c r="E515" i="8"/>
  <c r="F515" i="8"/>
  <c r="G515" i="8"/>
  <c r="A516" i="8"/>
  <c r="B516" i="8"/>
  <c r="E516" i="8"/>
  <c r="F516" i="8"/>
  <c r="D518" i="8"/>
  <c r="E518" i="8"/>
  <c r="F518" i="8"/>
  <c r="G518" i="8"/>
  <c r="D519" i="8"/>
  <c r="E519" i="8"/>
  <c r="F519" i="8"/>
  <c r="G519" i="8"/>
  <c r="D521" i="8"/>
  <c r="F521" i="8"/>
  <c r="G521" i="8"/>
  <c r="J521" i="8"/>
  <c r="J520" i="8"/>
  <c r="O69" i="1"/>
  <c r="S69" i="1"/>
  <c r="H521" i="8"/>
  <c r="D523" i="8"/>
  <c r="E523" i="8"/>
  <c r="F523" i="8"/>
  <c r="G523" i="8"/>
  <c r="A524" i="8"/>
  <c r="B524" i="8"/>
  <c r="E524" i="8"/>
  <c r="F524" i="8"/>
  <c r="D526" i="8"/>
  <c r="E526" i="8"/>
  <c r="F526" i="8"/>
  <c r="G526" i="8"/>
  <c r="H526" i="8"/>
  <c r="D527" i="8"/>
  <c r="E527" i="8"/>
  <c r="F527" i="8"/>
  <c r="G527" i="8"/>
  <c r="D528" i="8"/>
  <c r="E528" i="8"/>
  <c r="F528" i="8"/>
  <c r="G528" i="8"/>
  <c r="D530" i="8"/>
  <c r="F530" i="8"/>
  <c r="G530" i="8"/>
  <c r="H530" i="8"/>
  <c r="J530" i="8"/>
  <c r="J529" i="8"/>
  <c r="O70" i="1"/>
  <c r="S70" i="1"/>
  <c r="D532" i="8"/>
  <c r="E532" i="8"/>
  <c r="F532" i="8"/>
  <c r="G532" i="8"/>
  <c r="D533" i="8"/>
  <c r="E533" i="8"/>
  <c r="F533" i="8"/>
  <c r="G533" i="8"/>
  <c r="A534" i="8"/>
  <c r="B534" i="8"/>
  <c r="E534" i="8"/>
  <c r="F534" i="8"/>
  <c r="D536" i="8"/>
  <c r="E536" i="8"/>
  <c r="F536" i="8"/>
  <c r="G536" i="8"/>
  <c r="H536" i="8"/>
  <c r="J536" i="8"/>
  <c r="D537" i="8"/>
  <c r="E537" i="8"/>
  <c r="F537" i="8"/>
  <c r="G537" i="8"/>
  <c r="D538" i="8"/>
  <c r="E538" i="8"/>
  <c r="F538" i="8"/>
  <c r="G538" i="8"/>
  <c r="D540" i="8"/>
  <c r="F540" i="8"/>
  <c r="G540" i="8"/>
  <c r="H540" i="8"/>
  <c r="D542" i="8"/>
  <c r="E542" i="8"/>
  <c r="F542" i="8"/>
  <c r="G542" i="8"/>
  <c r="D543" i="8"/>
  <c r="E543" i="8"/>
  <c r="F543" i="8"/>
  <c r="G543" i="8"/>
  <c r="A544" i="8"/>
  <c r="B544" i="8"/>
  <c r="E544" i="8"/>
  <c r="F544" i="8"/>
  <c r="D546" i="8"/>
  <c r="E546" i="8"/>
  <c r="F546" i="8"/>
  <c r="G546" i="8"/>
  <c r="D547" i="8"/>
  <c r="E547" i="8"/>
  <c r="F547" i="8"/>
  <c r="G547" i="8"/>
  <c r="H547" i="8"/>
  <c r="D548" i="8"/>
  <c r="E548" i="8"/>
  <c r="F548" i="8"/>
  <c r="G548" i="8"/>
  <c r="H548" i="8"/>
  <c r="D549" i="8"/>
  <c r="E549" i="8"/>
  <c r="F549" i="8"/>
  <c r="G549" i="8"/>
  <c r="D550" i="8"/>
  <c r="E550" i="8"/>
  <c r="F550" i="8"/>
  <c r="G550" i="8"/>
  <c r="H550" i="8"/>
  <c r="D551" i="8"/>
  <c r="E551" i="8"/>
  <c r="F551" i="8"/>
  <c r="G551" i="8"/>
  <c r="D552" i="8"/>
  <c r="E552" i="8"/>
  <c r="F552" i="8"/>
  <c r="G552" i="8"/>
  <c r="H552" i="8"/>
  <c r="D554" i="8"/>
  <c r="F554" i="8"/>
  <c r="G554" i="8"/>
  <c r="H554" i="8"/>
  <c r="D556" i="8"/>
  <c r="E556" i="8"/>
  <c r="F556" i="8"/>
  <c r="G556" i="8"/>
  <c r="D557" i="8"/>
  <c r="E557" i="8"/>
  <c r="F557" i="8"/>
  <c r="G557" i="8"/>
  <c r="D558" i="8"/>
  <c r="E558" i="8"/>
  <c r="F558" i="8"/>
  <c r="G558" i="8"/>
  <c r="D559" i="8"/>
  <c r="E559" i="8"/>
  <c r="F559" i="8"/>
  <c r="G559" i="8"/>
  <c r="A560" i="8"/>
  <c r="B560" i="8"/>
  <c r="E560" i="8"/>
  <c r="F560" i="8"/>
  <c r="D562" i="8"/>
  <c r="E562" i="8"/>
  <c r="F562" i="8"/>
  <c r="G562" i="8"/>
  <c r="H562" i="8"/>
  <c r="D563" i="8"/>
  <c r="E563" i="8"/>
  <c r="F563" i="8"/>
  <c r="G563" i="8"/>
  <c r="D564" i="8"/>
  <c r="E564" i="8"/>
  <c r="F564" i="8"/>
  <c r="G564" i="8"/>
  <c r="D565" i="8"/>
  <c r="E565" i="8"/>
  <c r="F565" i="8"/>
  <c r="G565" i="8"/>
  <c r="H565" i="8"/>
  <c r="D567" i="8"/>
  <c r="F567" i="8"/>
  <c r="G567" i="8"/>
  <c r="H567" i="8"/>
  <c r="J567" i="8"/>
  <c r="J566" i="8"/>
  <c r="O73" i="1"/>
  <c r="S73" i="1"/>
  <c r="D569" i="8"/>
  <c r="E569" i="8"/>
  <c r="F569" i="8"/>
  <c r="G569" i="8"/>
  <c r="D570" i="8"/>
  <c r="E570" i="8"/>
  <c r="F570" i="8"/>
  <c r="G570" i="8"/>
  <c r="A571" i="8"/>
  <c r="B571" i="8"/>
  <c r="E571" i="8"/>
  <c r="F571" i="8"/>
  <c r="D573" i="8"/>
  <c r="E573" i="8"/>
  <c r="F573" i="8"/>
  <c r="G573" i="8"/>
  <c r="J573" i="8"/>
  <c r="H573" i="8"/>
  <c r="D574" i="8"/>
  <c r="E574" i="8"/>
  <c r="F574" i="8"/>
  <c r="G574" i="8"/>
  <c r="H574" i="8"/>
  <c r="D575" i="8"/>
  <c r="E575" i="8"/>
  <c r="F575" i="8"/>
  <c r="G575" i="8"/>
  <c r="D576" i="8"/>
  <c r="E576" i="8"/>
  <c r="F576" i="8"/>
  <c r="G576" i="8"/>
  <c r="D577" i="8"/>
  <c r="E577" i="8"/>
  <c r="F577" i="8"/>
  <c r="G577" i="8"/>
  <c r="D578" i="8"/>
  <c r="E578" i="8"/>
  <c r="F578" i="8"/>
  <c r="G578" i="8"/>
  <c r="D579" i="8"/>
  <c r="E579" i="8"/>
  <c r="F579" i="8"/>
  <c r="G579" i="8"/>
  <c r="D581" i="8"/>
  <c r="F581" i="8"/>
  <c r="G581" i="8"/>
  <c r="H581" i="8"/>
  <c r="D583" i="8"/>
  <c r="E583" i="8"/>
  <c r="F583" i="8"/>
  <c r="G583" i="8"/>
  <c r="D584" i="8"/>
  <c r="E584" i="8"/>
  <c r="F584" i="8"/>
  <c r="G584" i="8"/>
  <c r="D585" i="8"/>
  <c r="E585" i="8"/>
  <c r="F585" i="8"/>
  <c r="G585" i="8"/>
  <c r="D586" i="8"/>
  <c r="E586" i="8"/>
  <c r="F586" i="8"/>
  <c r="G586" i="8"/>
  <c r="A587" i="8"/>
  <c r="B587" i="8"/>
  <c r="E587" i="8"/>
  <c r="F587" i="8"/>
  <c r="D589" i="8"/>
  <c r="E589" i="8"/>
  <c r="F589" i="8"/>
  <c r="G589" i="8"/>
  <c r="D590" i="8"/>
  <c r="E590" i="8"/>
  <c r="F590" i="8"/>
  <c r="G590" i="8"/>
  <c r="H590" i="8"/>
  <c r="D592" i="8"/>
  <c r="F592" i="8"/>
  <c r="G592" i="8"/>
  <c r="H592" i="8"/>
  <c r="D594" i="8"/>
  <c r="E594" i="8"/>
  <c r="F594" i="8"/>
  <c r="G594" i="8"/>
  <c r="D595" i="8"/>
  <c r="E595" i="8"/>
  <c r="F595" i="8"/>
  <c r="G595" i="8"/>
  <c r="D596" i="8"/>
  <c r="E596" i="8"/>
  <c r="F596" i="8"/>
  <c r="G596" i="8"/>
  <c r="J596" i="8"/>
  <c r="H596" i="8"/>
  <c r="D597" i="8"/>
  <c r="E597" i="8"/>
  <c r="F597" i="8"/>
  <c r="G597" i="8"/>
  <c r="J597" i="8"/>
  <c r="H597" i="8"/>
  <c r="D598" i="8"/>
  <c r="E598" i="8"/>
  <c r="F598" i="8"/>
  <c r="G598" i="8"/>
  <c r="A599" i="8"/>
  <c r="B599" i="8"/>
  <c r="E599" i="8"/>
  <c r="F599" i="8"/>
  <c r="D601" i="8"/>
  <c r="E601" i="8"/>
  <c r="F601" i="8"/>
  <c r="G601" i="8"/>
  <c r="H601" i="8"/>
  <c r="D602" i="8"/>
  <c r="E602" i="8"/>
  <c r="F602" i="8"/>
  <c r="G602" i="8"/>
  <c r="D603" i="8"/>
  <c r="E603" i="8"/>
  <c r="F603" i="8"/>
  <c r="G603" i="8"/>
  <c r="D605" i="8"/>
  <c r="F605" i="8"/>
  <c r="G605" i="8"/>
  <c r="H605" i="8"/>
  <c r="D607" i="8"/>
  <c r="E607" i="8"/>
  <c r="F607" i="8"/>
  <c r="G607" i="8"/>
  <c r="D608" i="8"/>
  <c r="E608" i="8"/>
  <c r="F608" i="8"/>
  <c r="G608" i="8"/>
  <c r="A609" i="8"/>
  <c r="B609" i="8"/>
  <c r="E609" i="8"/>
  <c r="F609" i="8"/>
  <c r="D611" i="8"/>
  <c r="E611" i="8"/>
  <c r="F611" i="8"/>
  <c r="G611" i="8"/>
  <c r="H611" i="8"/>
  <c r="D613" i="8"/>
  <c r="F613" i="8"/>
  <c r="G613" i="8"/>
  <c r="H613" i="8"/>
  <c r="J613" i="8"/>
  <c r="J612" i="8"/>
  <c r="O77" i="1"/>
  <c r="D615" i="8"/>
  <c r="E615" i="8"/>
  <c r="F615" i="8"/>
  <c r="G615" i="8"/>
  <c r="D616" i="8"/>
  <c r="E616" i="8"/>
  <c r="F616" i="8"/>
  <c r="G616" i="8"/>
  <c r="H616" i="8"/>
  <c r="D617" i="8"/>
  <c r="E617" i="8"/>
  <c r="F617" i="8"/>
  <c r="G617" i="8"/>
  <c r="J617" i="8"/>
  <c r="H617" i="8"/>
  <c r="D618" i="8"/>
  <c r="E618" i="8"/>
  <c r="F618" i="8"/>
  <c r="G618" i="8"/>
  <c r="A619" i="8"/>
  <c r="B619" i="8"/>
  <c r="E619" i="8"/>
  <c r="F619" i="8"/>
  <c r="D621" i="8"/>
  <c r="E621" i="8"/>
  <c r="F621" i="8"/>
  <c r="G621" i="8"/>
  <c r="H621" i="8"/>
  <c r="J621" i="8"/>
  <c r="D622" i="8"/>
  <c r="E622" i="8"/>
  <c r="F622" i="8"/>
  <c r="G622" i="8"/>
  <c r="D623" i="8"/>
  <c r="E623" i="8"/>
  <c r="F623" i="8"/>
  <c r="G623" i="8"/>
  <c r="D624" i="8"/>
  <c r="E624" i="8"/>
  <c r="F624" i="8"/>
  <c r="G624" i="8"/>
  <c r="H624" i="8"/>
  <c r="D625" i="8"/>
  <c r="E625" i="8"/>
  <c r="F625" i="8"/>
  <c r="G625" i="8"/>
  <c r="D627" i="8"/>
  <c r="F627" i="8"/>
  <c r="G627" i="8"/>
  <c r="H627" i="8"/>
  <c r="D629" i="8"/>
  <c r="E629" i="8"/>
  <c r="F629" i="8"/>
  <c r="G629" i="8"/>
  <c r="D630" i="8"/>
  <c r="E630" i="8"/>
  <c r="F630" i="8"/>
  <c r="G630" i="8"/>
  <c r="D631" i="8"/>
  <c r="E631" i="8"/>
  <c r="F631" i="8"/>
  <c r="G631" i="8"/>
  <c r="A632" i="8"/>
  <c r="B632" i="8"/>
  <c r="E632" i="8"/>
  <c r="F632" i="8"/>
  <c r="D634" i="8"/>
  <c r="E634" i="8"/>
  <c r="F634" i="8"/>
  <c r="G634" i="8"/>
  <c r="D635" i="8"/>
  <c r="E635" i="8"/>
  <c r="F635" i="8"/>
  <c r="G635" i="8"/>
  <c r="D637" i="8"/>
  <c r="F637" i="8"/>
  <c r="G637" i="8"/>
  <c r="J637" i="8"/>
  <c r="J636" i="8"/>
  <c r="O80" i="1"/>
  <c r="S80" i="1"/>
  <c r="H637" i="8"/>
  <c r="D639" i="8"/>
  <c r="E639" i="8"/>
  <c r="F639" i="8"/>
  <c r="G639" i="8"/>
  <c r="A640" i="8"/>
  <c r="B640" i="8"/>
  <c r="E640" i="8"/>
  <c r="F640" i="8"/>
  <c r="D642" i="8"/>
  <c r="E642" i="8"/>
  <c r="F642" i="8"/>
  <c r="G642" i="8"/>
  <c r="H642" i="8"/>
  <c r="D643" i="8"/>
  <c r="E643" i="8"/>
  <c r="F643" i="8"/>
  <c r="G643" i="8"/>
  <c r="D644" i="8"/>
  <c r="E644" i="8"/>
  <c r="F644" i="8"/>
  <c r="G644" i="8"/>
  <c r="D646" i="8"/>
  <c r="F646" i="8"/>
  <c r="G646" i="8"/>
  <c r="H646" i="8"/>
  <c r="D648" i="8"/>
  <c r="E648" i="8"/>
  <c r="F648" i="8"/>
  <c r="G648" i="8"/>
  <c r="D649" i="8"/>
  <c r="E649" i="8"/>
  <c r="F649" i="8"/>
  <c r="G649" i="8"/>
  <c r="A650" i="8"/>
  <c r="B650" i="8"/>
  <c r="E650" i="8"/>
  <c r="F650" i="8"/>
  <c r="D652" i="8"/>
  <c r="E652" i="8"/>
  <c r="F652" i="8"/>
  <c r="G652" i="8"/>
  <c r="H652" i="8"/>
  <c r="D653" i="8"/>
  <c r="E653" i="8"/>
  <c r="F653" i="8"/>
  <c r="G653" i="8"/>
  <c r="D654" i="8"/>
  <c r="E654" i="8"/>
  <c r="F654" i="8"/>
  <c r="G654" i="8"/>
  <c r="D656" i="8"/>
  <c r="F656" i="8"/>
  <c r="G656" i="8"/>
  <c r="H656" i="8"/>
  <c r="D658" i="8"/>
  <c r="E658" i="8"/>
  <c r="F658" i="8"/>
  <c r="G658" i="8"/>
  <c r="D659" i="8"/>
  <c r="E659" i="8"/>
  <c r="F659" i="8"/>
  <c r="G659" i="8"/>
  <c r="A660" i="8"/>
  <c r="B660" i="8"/>
  <c r="E660" i="8"/>
  <c r="F660" i="8"/>
  <c r="D662" i="8"/>
  <c r="E662" i="8"/>
  <c r="F662" i="8"/>
  <c r="G662" i="8"/>
  <c r="D663" i="8"/>
  <c r="E663" i="8"/>
  <c r="F663" i="8"/>
  <c r="G663" i="8"/>
  <c r="H663" i="8"/>
  <c r="D664" i="8"/>
  <c r="E664" i="8"/>
  <c r="F664" i="8"/>
  <c r="G664" i="8"/>
  <c r="H664" i="8"/>
  <c r="D665" i="8"/>
  <c r="E665" i="8"/>
  <c r="F665" i="8"/>
  <c r="G665" i="8"/>
  <c r="D666" i="8"/>
  <c r="E666" i="8"/>
  <c r="F666" i="8"/>
  <c r="G666" i="8"/>
  <c r="H666" i="8"/>
  <c r="D667" i="8"/>
  <c r="E667" i="8"/>
  <c r="F667" i="8"/>
  <c r="G667" i="8"/>
  <c r="D668" i="8"/>
  <c r="E668" i="8"/>
  <c r="F668" i="8"/>
  <c r="G668" i="8"/>
  <c r="H668" i="8"/>
  <c r="D670" i="8"/>
  <c r="F670" i="8"/>
  <c r="G670" i="8"/>
  <c r="J670" i="8"/>
  <c r="J669" i="8"/>
  <c r="O83" i="1"/>
  <c r="S83" i="1"/>
  <c r="H670" i="8"/>
  <c r="D672" i="8"/>
  <c r="E672" i="8"/>
  <c r="F672" i="8"/>
  <c r="G672" i="8"/>
  <c r="D673" i="8"/>
  <c r="E673" i="8"/>
  <c r="F673" i="8"/>
  <c r="G673" i="8"/>
  <c r="D674" i="8"/>
  <c r="E674" i="8"/>
  <c r="F674" i="8"/>
  <c r="G674" i="8"/>
  <c r="D675" i="8"/>
  <c r="E675" i="8"/>
  <c r="F675" i="8"/>
  <c r="G675" i="8"/>
  <c r="A676" i="8"/>
  <c r="B676" i="8"/>
  <c r="E676" i="8"/>
  <c r="F676" i="8"/>
  <c r="D678" i="8"/>
  <c r="E678" i="8"/>
  <c r="F678" i="8"/>
  <c r="G678" i="8"/>
  <c r="H678" i="8"/>
  <c r="D679" i="8"/>
  <c r="E679" i="8"/>
  <c r="F679" i="8"/>
  <c r="G679" i="8"/>
  <c r="D680" i="8"/>
  <c r="E680" i="8"/>
  <c r="F680" i="8"/>
  <c r="G680" i="8"/>
  <c r="D681" i="8"/>
  <c r="E681" i="8"/>
  <c r="F681" i="8"/>
  <c r="G681" i="8"/>
  <c r="H681" i="8"/>
  <c r="D683" i="8"/>
  <c r="F683" i="8"/>
  <c r="G683" i="8"/>
  <c r="H683" i="8"/>
  <c r="D685" i="8"/>
  <c r="E685" i="8"/>
  <c r="F685" i="8"/>
  <c r="G685" i="8"/>
  <c r="D686" i="8"/>
  <c r="E686" i="8"/>
  <c r="F686" i="8"/>
  <c r="G686" i="8"/>
  <c r="A687" i="8"/>
  <c r="B687" i="8"/>
  <c r="E687" i="8"/>
  <c r="F687" i="8"/>
  <c r="D689" i="8"/>
  <c r="E689" i="8"/>
  <c r="F689" i="8"/>
  <c r="G689" i="8"/>
  <c r="J689" i="8"/>
  <c r="H689" i="8"/>
  <c r="D690" i="8"/>
  <c r="E690" i="8"/>
  <c r="F690" i="8"/>
  <c r="G690" i="8"/>
  <c r="H690" i="8"/>
  <c r="D691" i="8"/>
  <c r="E691" i="8"/>
  <c r="F691" i="8"/>
  <c r="G691" i="8"/>
  <c r="D692" i="8"/>
  <c r="E692" i="8"/>
  <c r="F692" i="8"/>
  <c r="G692" i="8"/>
  <c r="D693" i="8"/>
  <c r="E693" i="8"/>
  <c r="F693" i="8"/>
  <c r="G693" i="8"/>
  <c r="D694" i="8"/>
  <c r="E694" i="8"/>
  <c r="F694" i="8"/>
  <c r="G694" i="8"/>
  <c r="D695" i="8"/>
  <c r="E695" i="8"/>
  <c r="F695" i="8"/>
  <c r="G695" i="8"/>
  <c r="H695" i="8"/>
  <c r="D697" i="8"/>
  <c r="F697" i="8"/>
  <c r="G697" i="8"/>
  <c r="J697" i="8"/>
  <c r="J696" i="8"/>
  <c r="O85" i="1"/>
  <c r="S85" i="1"/>
  <c r="H697" i="8"/>
  <c r="D699" i="8"/>
  <c r="E699" i="8"/>
  <c r="F699" i="8"/>
  <c r="G699" i="8"/>
  <c r="D700" i="8"/>
  <c r="E700" i="8"/>
  <c r="F700" i="8"/>
  <c r="G700" i="8"/>
  <c r="D701" i="8"/>
  <c r="E701" i="8"/>
  <c r="F701" i="8"/>
  <c r="G701" i="8"/>
  <c r="D702" i="8"/>
  <c r="E702" i="8"/>
  <c r="F702" i="8"/>
  <c r="G702" i="8"/>
  <c r="A703" i="8"/>
  <c r="B703" i="8"/>
  <c r="E703" i="8"/>
  <c r="F703" i="8"/>
  <c r="D705" i="8"/>
  <c r="E705" i="8"/>
  <c r="F705" i="8"/>
  <c r="G705" i="8"/>
  <c r="D706" i="8"/>
  <c r="E706" i="8"/>
  <c r="F706" i="8"/>
  <c r="G706" i="8"/>
  <c r="H706" i="8"/>
  <c r="D708" i="8"/>
  <c r="F708" i="8"/>
  <c r="G708" i="8"/>
  <c r="H708" i="8"/>
  <c r="D710" i="8"/>
  <c r="E710" i="8"/>
  <c r="F710" i="8"/>
  <c r="G710" i="8"/>
  <c r="D711" i="8"/>
  <c r="E711" i="8"/>
  <c r="F711" i="8"/>
  <c r="G711" i="8"/>
  <c r="D712" i="8"/>
  <c r="E712" i="8"/>
  <c r="F712" i="8"/>
  <c r="G712" i="8"/>
  <c r="J712" i="8"/>
  <c r="H712" i="8"/>
  <c r="D713" i="8"/>
  <c r="E713" i="8"/>
  <c r="F713" i="8"/>
  <c r="G713" i="8"/>
  <c r="H713" i="8"/>
  <c r="J713" i="8"/>
  <c r="D714" i="8"/>
  <c r="E714" i="8"/>
  <c r="F714" i="8"/>
  <c r="G714" i="8"/>
  <c r="A715" i="8"/>
  <c r="B715" i="8"/>
  <c r="E715" i="8"/>
  <c r="F715" i="8"/>
  <c r="D717" i="8"/>
  <c r="E717" i="8"/>
  <c r="F717" i="8"/>
  <c r="G717" i="8"/>
  <c r="J717" i="8"/>
  <c r="H717" i="8"/>
  <c r="D718" i="8"/>
  <c r="E718" i="8"/>
  <c r="F718" i="8"/>
  <c r="G718" i="8"/>
  <c r="D719" i="8"/>
  <c r="E719" i="8"/>
  <c r="F719" i="8"/>
  <c r="G719" i="8"/>
  <c r="H719" i="8"/>
  <c r="D721" i="8"/>
  <c r="F721" i="8"/>
  <c r="G721" i="8"/>
  <c r="H721" i="8"/>
  <c r="D723" i="8"/>
  <c r="E723" i="8"/>
  <c r="F723" i="8"/>
  <c r="G723" i="8"/>
  <c r="D724" i="8"/>
  <c r="E724" i="8"/>
  <c r="F724" i="8"/>
  <c r="G724" i="8"/>
  <c r="A725" i="8"/>
  <c r="B725" i="8"/>
  <c r="E725" i="8"/>
  <c r="F725" i="8"/>
  <c r="D727" i="8"/>
  <c r="E727" i="8"/>
  <c r="F727" i="8"/>
  <c r="G727" i="8"/>
  <c r="H727" i="8"/>
  <c r="D729" i="8"/>
  <c r="F729" i="8"/>
  <c r="G729" i="8"/>
  <c r="H729" i="8"/>
  <c r="D731" i="8"/>
  <c r="E731" i="8"/>
  <c r="F731" i="8"/>
  <c r="G731" i="8"/>
  <c r="D732" i="8"/>
  <c r="E732" i="8"/>
  <c r="F732" i="8"/>
  <c r="G732" i="8"/>
  <c r="D733" i="8"/>
  <c r="E733" i="8"/>
  <c r="F733" i="8"/>
  <c r="G733" i="8"/>
  <c r="J733" i="8"/>
  <c r="H733" i="8"/>
  <c r="D734" i="8"/>
  <c r="E734" i="8"/>
  <c r="F734" i="8"/>
  <c r="G734" i="8"/>
  <c r="A735" i="8"/>
  <c r="B735" i="8"/>
  <c r="E735" i="8"/>
  <c r="F735" i="8"/>
  <c r="D737" i="8"/>
  <c r="F737" i="8"/>
  <c r="G737" i="8"/>
  <c r="J737" i="8"/>
  <c r="J736" i="8"/>
  <c r="O91" i="1"/>
  <c r="H737" i="8"/>
  <c r="D739" i="8"/>
  <c r="E739" i="8"/>
  <c r="F739" i="8"/>
  <c r="G739" i="8"/>
  <c r="H739" i="8"/>
  <c r="D740" i="8"/>
  <c r="E740" i="8"/>
  <c r="F740" i="8"/>
  <c r="G740" i="8"/>
  <c r="A741" i="8"/>
  <c r="B741" i="8"/>
  <c r="E741" i="8"/>
  <c r="F741" i="8"/>
  <c r="D743" i="8"/>
  <c r="E743" i="8"/>
  <c r="F743" i="8"/>
  <c r="G743" i="8"/>
  <c r="D744" i="8"/>
  <c r="E744" i="8"/>
  <c r="F744" i="8"/>
  <c r="G744" i="8"/>
  <c r="D745" i="8"/>
  <c r="E745" i="8"/>
  <c r="F745" i="8"/>
  <c r="G745" i="8"/>
  <c r="D746" i="8"/>
  <c r="E746" i="8"/>
  <c r="F746" i="8"/>
  <c r="G746" i="8"/>
  <c r="J746" i="8"/>
  <c r="H746" i="8"/>
  <c r="D748" i="8"/>
  <c r="F748" i="8"/>
  <c r="G748" i="8"/>
  <c r="J748" i="8"/>
  <c r="J747" i="8"/>
  <c r="O92" i="1"/>
  <c r="S92" i="1"/>
  <c r="H748" i="8"/>
  <c r="D750" i="8"/>
  <c r="E750" i="8"/>
  <c r="F750" i="8"/>
  <c r="G750" i="8"/>
  <c r="H750" i="8"/>
  <c r="D751" i="8"/>
  <c r="E751" i="8"/>
  <c r="F751" i="8"/>
  <c r="G751" i="8"/>
  <c r="A752" i="8"/>
  <c r="B752" i="8"/>
  <c r="E752" i="8"/>
  <c r="F752" i="8"/>
  <c r="D754" i="8"/>
  <c r="E754" i="8"/>
  <c r="F754" i="8"/>
  <c r="G754" i="8"/>
  <c r="H754" i="8"/>
  <c r="D756" i="8"/>
  <c r="F756" i="8"/>
  <c r="G756" i="8"/>
  <c r="H756" i="8"/>
  <c r="D758" i="8"/>
  <c r="E758" i="8"/>
  <c r="F758" i="8"/>
  <c r="G758" i="8"/>
  <c r="J758" i="8"/>
  <c r="H758" i="8"/>
  <c r="D759" i="8"/>
  <c r="E759" i="8"/>
  <c r="F759" i="8"/>
  <c r="G759" i="8"/>
  <c r="J759" i="8"/>
  <c r="H759" i="8"/>
  <c r="D760" i="8"/>
  <c r="E760" i="8"/>
  <c r="F760" i="8"/>
  <c r="G760" i="8"/>
  <c r="H760" i="8"/>
  <c r="D761" i="8"/>
  <c r="E761" i="8"/>
  <c r="F761" i="8"/>
  <c r="G761" i="8"/>
  <c r="H761" i="8"/>
  <c r="D762" i="8"/>
  <c r="E762" i="8"/>
  <c r="F762" i="8"/>
  <c r="G762" i="8"/>
  <c r="D763" i="8"/>
  <c r="E763" i="8"/>
  <c r="F763" i="8"/>
  <c r="G763" i="8"/>
  <c r="J763" i="8"/>
  <c r="H763" i="8"/>
  <c r="D764" i="8"/>
  <c r="E764" i="8"/>
  <c r="F764" i="8"/>
  <c r="G764" i="8"/>
  <c r="A765" i="8"/>
  <c r="B765" i="8"/>
  <c r="E765" i="8"/>
  <c r="F765" i="8"/>
  <c r="D767" i="8"/>
  <c r="E767" i="8"/>
  <c r="F767" i="8"/>
  <c r="G767" i="8"/>
  <c r="H767" i="8"/>
  <c r="D769" i="8"/>
  <c r="F769" i="8"/>
  <c r="G769" i="8"/>
  <c r="J769" i="8"/>
  <c r="J768" i="8"/>
  <c r="O95" i="1"/>
  <c r="S95" i="1"/>
  <c r="H769" i="8"/>
  <c r="D771" i="8"/>
  <c r="E771" i="8"/>
  <c r="F771" i="8"/>
  <c r="G771" i="8"/>
  <c r="A772" i="8"/>
  <c r="B772" i="8"/>
  <c r="E772" i="8"/>
  <c r="F772" i="8"/>
  <c r="D774" i="8"/>
  <c r="E774" i="8"/>
  <c r="F774" i="8"/>
  <c r="G774" i="8"/>
  <c r="D775" i="8"/>
  <c r="E775" i="8"/>
  <c r="F775" i="8"/>
  <c r="G775" i="8"/>
  <c r="D776" i="8"/>
  <c r="E776" i="8"/>
  <c r="F776" i="8"/>
  <c r="G776" i="8"/>
  <c r="D777" i="8"/>
  <c r="E777" i="8"/>
  <c r="F777" i="8"/>
  <c r="G777" i="8"/>
  <c r="H777" i="8"/>
  <c r="D779" i="8"/>
  <c r="F779" i="8"/>
  <c r="G779" i="8"/>
  <c r="J779" i="8"/>
  <c r="J778" i="8"/>
  <c r="O96" i="1"/>
  <c r="H779" i="8"/>
  <c r="A780" i="8"/>
  <c r="B780" i="8"/>
  <c r="E780" i="8"/>
  <c r="F780" i="8"/>
  <c r="D782" i="8"/>
  <c r="E782" i="8"/>
  <c r="F782" i="8"/>
  <c r="G782" i="8"/>
  <c r="D783" i="8"/>
  <c r="E783" i="8"/>
  <c r="F783" i="8"/>
  <c r="G783" i="8"/>
  <c r="H783" i="8"/>
  <c r="D785" i="8"/>
  <c r="F785" i="8"/>
  <c r="G785" i="8"/>
  <c r="H785" i="8"/>
  <c r="A786" i="8"/>
  <c r="B786" i="8"/>
  <c r="E786" i="8"/>
  <c r="F786" i="8"/>
  <c r="D788" i="8"/>
  <c r="E788" i="8"/>
  <c r="F788" i="8"/>
  <c r="G788" i="8"/>
  <c r="J788" i="8"/>
  <c r="J787" i="8"/>
  <c r="M98" i="1"/>
  <c r="Q98" i="1"/>
  <c r="H788" i="8"/>
  <c r="D790" i="8"/>
  <c r="F790" i="8"/>
  <c r="G790" i="8"/>
  <c r="J790" i="8"/>
  <c r="J789" i="8"/>
  <c r="O98" i="1"/>
  <c r="S98" i="1"/>
  <c r="H790" i="8"/>
  <c r="D792" i="8"/>
  <c r="E792" i="8"/>
  <c r="F792" i="8"/>
  <c r="G792" i="8"/>
  <c r="J792" i="8"/>
  <c r="H792" i="8"/>
  <c r="D793" i="8"/>
  <c r="E793" i="8"/>
  <c r="F793" i="8"/>
  <c r="G793" i="8"/>
  <c r="D794" i="8"/>
  <c r="E794" i="8"/>
  <c r="F794" i="8"/>
  <c r="G794" i="8"/>
  <c r="H794" i="8"/>
  <c r="D795" i="8"/>
  <c r="E795" i="8"/>
  <c r="F795" i="8"/>
  <c r="G795" i="8"/>
  <c r="D796" i="8"/>
  <c r="E796" i="8"/>
  <c r="F796" i="8"/>
  <c r="G796" i="8"/>
  <c r="H796" i="8"/>
  <c r="D797" i="8"/>
  <c r="E797" i="8"/>
  <c r="F797" i="8"/>
  <c r="G797" i="8"/>
  <c r="D798" i="8"/>
  <c r="E798" i="8"/>
  <c r="F798" i="8"/>
  <c r="G798" i="8"/>
  <c r="H798" i="8"/>
  <c r="A799" i="8"/>
  <c r="B799" i="8"/>
  <c r="E799" i="8"/>
  <c r="F799" i="8"/>
  <c r="D801" i="8"/>
  <c r="E801" i="8"/>
  <c r="F801" i="8"/>
  <c r="G801" i="8"/>
  <c r="D802" i="8"/>
  <c r="E802" i="8"/>
  <c r="F802" i="8"/>
  <c r="G802" i="8"/>
  <c r="H802" i="8"/>
  <c r="D803" i="8"/>
  <c r="E803" i="8"/>
  <c r="F803" i="8"/>
  <c r="G803" i="8"/>
  <c r="D805" i="8"/>
  <c r="F805" i="8"/>
  <c r="G805" i="8"/>
  <c r="J805" i="8"/>
  <c r="J804" i="8"/>
  <c r="O99" i="1"/>
  <c r="S99" i="1"/>
  <c r="H805" i="8"/>
  <c r="A806" i="8"/>
  <c r="B806" i="8"/>
  <c r="E806" i="8"/>
  <c r="F806" i="8"/>
  <c r="D808" i="8"/>
  <c r="E808" i="8"/>
  <c r="F808" i="8"/>
  <c r="G808" i="8"/>
  <c r="D810" i="8"/>
  <c r="F810" i="8"/>
  <c r="G810" i="8"/>
  <c r="J810" i="8"/>
  <c r="J809" i="8"/>
  <c r="H810" i="8"/>
  <c r="O100" i="1"/>
  <c r="S100" i="1"/>
  <c r="D812" i="8"/>
  <c r="E812" i="8"/>
  <c r="F812" i="8"/>
  <c r="G812" i="8"/>
  <c r="D813" i="8"/>
  <c r="E813" i="8"/>
  <c r="F813" i="8"/>
  <c r="G813" i="8"/>
  <c r="D814" i="8"/>
  <c r="E814" i="8"/>
  <c r="F814" i="8"/>
  <c r="G814" i="8"/>
  <c r="A815" i="8"/>
  <c r="B815" i="8"/>
  <c r="E815" i="8"/>
  <c r="F815" i="8"/>
  <c r="D817" i="8"/>
  <c r="E817" i="8"/>
  <c r="F817" i="8"/>
  <c r="G817" i="8"/>
  <c r="D818" i="8"/>
  <c r="E818" i="8"/>
  <c r="F818" i="8"/>
  <c r="G818" i="8"/>
  <c r="D820" i="8"/>
  <c r="F820" i="8"/>
  <c r="G820" i="8"/>
  <c r="H820" i="8"/>
  <c r="D822" i="8"/>
  <c r="E822" i="8"/>
  <c r="F822" i="8"/>
  <c r="G822" i="8"/>
  <c r="A823" i="8"/>
  <c r="B823" i="8"/>
  <c r="E823" i="8"/>
  <c r="F823" i="8"/>
  <c r="D825" i="8"/>
  <c r="E825" i="8"/>
  <c r="F825" i="8"/>
  <c r="G825" i="8"/>
  <c r="A826" i="8"/>
  <c r="B826" i="8"/>
  <c r="E826" i="8"/>
  <c r="F826" i="8"/>
  <c r="D828" i="8"/>
  <c r="E828" i="8"/>
  <c r="F828" i="8"/>
  <c r="G828" i="8"/>
  <c r="H828" i="8"/>
  <c r="D829" i="8"/>
  <c r="E829" i="8"/>
  <c r="F829" i="8"/>
  <c r="G829" i="8"/>
  <c r="H829" i="8"/>
  <c r="D830" i="8"/>
  <c r="E830" i="8"/>
  <c r="F830" i="8"/>
  <c r="G830" i="8"/>
  <c r="D831" i="8"/>
  <c r="E831" i="8"/>
  <c r="F831" i="8"/>
  <c r="G831" i="8"/>
  <c r="D832" i="8"/>
  <c r="E832" i="8"/>
  <c r="F832" i="8"/>
  <c r="G832" i="8"/>
  <c r="D833" i="8"/>
  <c r="E833" i="8"/>
  <c r="F833" i="8"/>
  <c r="G833" i="8"/>
  <c r="H833" i="8"/>
  <c r="D835" i="8"/>
  <c r="F835" i="8"/>
  <c r="G835" i="8"/>
  <c r="H835" i="8"/>
  <c r="D837" i="8"/>
  <c r="E837" i="8"/>
  <c r="F837" i="8"/>
  <c r="G837" i="8"/>
  <c r="H837" i="8"/>
  <c r="J837" i="8"/>
  <c r="D838" i="8"/>
  <c r="E838" i="8"/>
  <c r="F838" i="8"/>
  <c r="G838" i="8"/>
  <c r="D839" i="8"/>
  <c r="E839" i="8"/>
  <c r="F839" i="8"/>
  <c r="G839" i="8"/>
  <c r="D840" i="8"/>
  <c r="E840" i="8"/>
  <c r="F840" i="8"/>
  <c r="G840" i="8"/>
  <c r="D841" i="8"/>
  <c r="E841" i="8"/>
  <c r="F841" i="8"/>
  <c r="G841" i="8"/>
  <c r="H841" i="8"/>
  <c r="A842" i="8"/>
  <c r="B842" i="8"/>
  <c r="E842" i="8"/>
  <c r="F842" i="8"/>
  <c r="D844" i="8"/>
  <c r="E844" i="8"/>
  <c r="F844" i="8"/>
  <c r="G844" i="8"/>
  <c r="H844" i="8"/>
  <c r="J844" i="8"/>
  <c r="D845" i="8"/>
  <c r="E845" i="8"/>
  <c r="F845" i="8"/>
  <c r="G845" i="8"/>
  <c r="H845" i="8"/>
  <c r="D846" i="8"/>
  <c r="E846" i="8"/>
  <c r="F846" i="8"/>
  <c r="G846" i="8"/>
  <c r="D847" i="8"/>
  <c r="E847" i="8"/>
  <c r="F847" i="8"/>
  <c r="G847" i="8"/>
  <c r="D848" i="8"/>
  <c r="E848" i="8"/>
  <c r="F848" i="8"/>
  <c r="G848" i="8"/>
  <c r="D849" i="8"/>
  <c r="E849" i="8"/>
  <c r="F849" i="8"/>
  <c r="G849" i="8"/>
  <c r="H849" i="8"/>
  <c r="A850" i="8"/>
  <c r="B850" i="8"/>
  <c r="E850" i="8"/>
  <c r="F850" i="8"/>
  <c r="D852" i="8"/>
  <c r="E852" i="8"/>
  <c r="F852" i="8"/>
  <c r="G852" i="8"/>
  <c r="D853" i="8"/>
  <c r="E853" i="8"/>
  <c r="F853" i="8"/>
  <c r="G853" i="8"/>
  <c r="H853" i="8"/>
  <c r="D855" i="8"/>
  <c r="F855" i="8"/>
  <c r="G855" i="8"/>
  <c r="H855" i="8"/>
  <c r="D857" i="8"/>
  <c r="E857" i="8"/>
  <c r="F857" i="8"/>
  <c r="G857" i="8"/>
  <c r="D858" i="8"/>
  <c r="E858" i="8"/>
  <c r="F858" i="8"/>
  <c r="G858" i="8"/>
  <c r="D859" i="8"/>
  <c r="E859" i="8"/>
  <c r="F859" i="8"/>
  <c r="G859" i="8"/>
  <c r="H859" i="8"/>
  <c r="D860" i="8"/>
  <c r="E860" i="8"/>
  <c r="F860" i="8"/>
  <c r="G860" i="8"/>
  <c r="J860" i="8"/>
  <c r="H860" i="8"/>
  <c r="D861" i="8"/>
  <c r="E861" i="8"/>
  <c r="F861" i="8"/>
  <c r="G861" i="8"/>
  <c r="A862" i="8"/>
  <c r="B862" i="8"/>
  <c r="E862" i="8"/>
  <c r="F862" i="8"/>
  <c r="D864" i="8"/>
  <c r="E864" i="8"/>
  <c r="F864" i="8"/>
  <c r="G864" i="8"/>
  <c r="D865" i="8"/>
  <c r="E865" i="8"/>
  <c r="F865" i="8"/>
  <c r="G865" i="8"/>
  <c r="H865" i="8"/>
  <c r="D866" i="8"/>
  <c r="E866" i="8"/>
  <c r="F866" i="8"/>
  <c r="G866" i="8"/>
  <c r="D867" i="8"/>
  <c r="E867" i="8"/>
  <c r="F867" i="8"/>
  <c r="G867" i="8"/>
  <c r="D868" i="8"/>
  <c r="E868" i="8"/>
  <c r="F868" i="8"/>
  <c r="G868" i="8"/>
  <c r="J868" i="8"/>
  <c r="H868" i="8"/>
  <c r="D869" i="8"/>
  <c r="E869" i="8"/>
  <c r="F869" i="8"/>
  <c r="G869" i="8"/>
  <c r="H869" i="8"/>
  <c r="D871" i="8"/>
  <c r="F871" i="8"/>
  <c r="G871" i="8"/>
  <c r="H871" i="8"/>
  <c r="J871" i="8"/>
  <c r="J870" i="8"/>
  <c r="O109" i="1"/>
  <c r="D873" i="8"/>
  <c r="E873" i="8"/>
  <c r="F873" i="8"/>
  <c r="G873" i="8"/>
  <c r="D874" i="8"/>
  <c r="E874" i="8"/>
  <c r="F874" i="8"/>
  <c r="G874" i="8"/>
  <c r="D875" i="8"/>
  <c r="E875" i="8"/>
  <c r="F875" i="8"/>
  <c r="G875" i="8"/>
  <c r="A876" i="8"/>
  <c r="B876" i="8"/>
  <c r="E876" i="8"/>
  <c r="F876" i="8"/>
  <c r="D878" i="8"/>
  <c r="E878" i="8"/>
  <c r="F878" i="8"/>
  <c r="G878" i="8"/>
  <c r="D879" i="8"/>
  <c r="E879" i="8"/>
  <c r="F879" i="8"/>
  <c r="G879" i="8"/>
  <c r="H879" i="8"/>
  <c r="J879" i="8"/>
  <c r="D880" i="8"/>
  <c r="E880" i="8"/>
  <c r="F880" i="8"/>
  <c r="G880" i="8"/>
  <c r="D881" i="8"/>
  <c r="E881" i="8"/>
  <c r="F881" i="8"/>
  <c r="G881" i="8"/>
  <c r="D882" i="8"/>
  <c r="E882" i="8"/>
  <c r="F882" i="8"/>
  <c r="G882" i="8"/>
  <c r="H882" i="8"/>
  <c r="D883" i="8"/>
  <c r="E883" i="8"/>
  <c r="F883" i="8"/>
  <c r="G883" i="8"/>
  <c r="H883" i="8"/>
  <c r="A884" i="8"/>
  <c r="B884" i="8"/>
  <c r="E884" i="8"/>
  <c r="F884" i="8"/>
  <c r="D886" i="8"/>
  <c r="E886" i="8"/>
  <c r="F886" i="8"/>
  <c r="G886" i="8"/>
  <c r="H886" i="8"/>
  <c r="D887" i="8"/>
  <c r="E887" i="8"/>
  <c r="F887" i="8"/>
  <c r="G887" i="8"/>
  <c r="D888" i="8"/>
  <c r="E888" i="8"/>
  <c r="F888" i="8"/>
  <c r="G888" i="8"/>
  <c r="D889" i="8"/>
  <c r="E889" i="8"/>
  <c r="F889" i="8"/>
  <c r="G889" i="8"/>
  <c r="H889" i="8"/>
  <c r="D891" i="8"/>
  <c r="F891" i="8"/>
  <c r="G891" i="8"/>
  <c r="H891" i="8"/>
  <c r="D893" i="8"/>
  <c r="E893" i="8"/>
  <c r="F893" i="8"/>
  <c r="G893" i="8"/>
  <c r="J893" i="8"/>
  <c r="J892" i="8"/>
  <c r="P112" i="1"/>
  <c r="H893" i="8"/>
  <c r="D894" i="8"/>
  <c r="E894" i="8"/>
  <c r="F894" i="8"/>
  <c r="G894" i="8"/>
  <c r="J894" i="8"/>
  <c r="H894" i="8"/>
  <c r="A895" i="8"/>
  <c r="B895" i="8"/>
  <c r="E895" i="8"/>
  <c r="F895" i="8"/>
  <c r="D897" i="8"/>
  <c r="E897" i="8"/>
  <c r="F897" i="8"/>
  <c r="G897" i="8"/>
  <c r="H897" i="8"/>
  <c r="J897" i="8"/>
  <c r="D898" i="8"/>
  <c r="E898" i="8"/>
  <c r="F898" i="8"/>
  <c r="G898" i="8"/>
  <c r="D899" i="8"/>
  <c r="E899" i="8"/>
  <c r="F899" i="8"/>
  <c r="G899" i="8"/>
  <c r="D900" i="8"/>
  <c r="E900" i="8"/>
  <c r="F900" i="8"/>
  <c r="G900" i="8"/>
  <c r="H900" i="8"/>
  <c r="D902" i="8"/>
  <c r="F902" i="8"/>
  <c r="G902" i="8"/>
  <c r="J902" i="8"/>
  <c r="J901" i="8"/>
  <c r="O113" i="1"/>
  <c r="H902" i="8"/>
  <c r="D904" i="8"/>
  <c r="E904" i="8"/>
  <c r="F904" i="8"/>
  <c r="G904" i="8"/>
  <c r="H904" i="8"/>
  <c r="D905" i="8"/>
  <c r="E905" i="8"/>
  <c r="F905" i="8"/>
  <c r="G905" i="8"/>
  <c r="J905" i="8"/>
  <c r="H905" i="8"/>
  <c r="A906" i="8"/>
  <c r="B906" i="8"/>
  <c r="E906" i="8"/>
  <c r="F906" i="8"/>
  <c r="D908" i="8"/>
  <c r="E908" i="8"/>
  <c r="F908" i="8"/>
  <c r="G908" i="8"/>
  <c r="D909" i="8"/>
  <c r="E909" i="8"/>
  <c r="F909" i="8"/>
  <c r="G909" i="8"/>
  <c r="H909" i="8"/>
  <c r="D911" i="8"/>
  <c r="F911" i="8"/>
  <c r="G911" i="8"/>
  <c r="H911" i="8"/>
  <c r="J911" i="8"/>
  <c r="J910" i="8"/>
  <c r="O114" i="1"/>
  <c r="S114" i="1"/>
  <c r="D913" i="8"/>
  <c r="E913" i="8"/>
  <c r="F913" i="8"/>
  <c r="G913" i="8"/>
  <c r="D914" i="8"/>
  <c r="E914" i="8"/>
  <c r="F914" i="8"/>
  <c r="G914" i="8"/>
  <c r="A915" i="8"/>
  <c r="B915" i="8"/>
  <c r="E915" i="8"/>
  <c r="F915" i="8"/>
  <c r="D917" i="8"/>
  <c r="E917" i="8"/>
  <c r="F917" i="8"/>
  <c r="G917" i="8"/>
  <c r="D918" i="8"/>
  <c r="E918" i="8"/>
  <c r="F918" i="8"/>
  <c r="G918" i="8"/>
  <c r="H918" i="8"/>
  <c r="D920" i="8"/>
  <c r="F920" i="8"/>
  <c r="G920" i="8"/>
  <c r="J920" i="8"/>
  <c r="J919" i="8"/>
  <c r="O115" i="1"/>
  <c r="S115" i="1"/>
  <c r="H920" i="8"/>
  <c r="D922" i="8"/>
  <c r="E922" i="8"/>
  <c r="F922" i="8"/>
  <c r="G922" i="8"/>
  <c r="D923" i="8"/>
  <c r="E923" i="8"/>
  <c r="F923" i="8"/>
  <c r="G923" i="8"/>
  <c r="A924" i="8"/>
  <c r="B924" i="8"/>
  <c r="E924" i="8"/>
  <c r="F924" i="8"/>
  <c r="D926" i="8"/>
  <c r="E926" i="8"/>
  <c r="F926" i="8"/>
  <c r="G926" i="8"/>
  <c r="D927" i="8"/>
  <c r="E927" i="8"/>
  <c r="F927" i="8"/>
  <c r="G927" i="8"/>
  <c r="H927" i="8"/>
  <c r="A928" i="8"/>
  <c r="B928" i="8"/>
  <c r="E928" i="8"/>
  <c r="F928" i="8"/>
  <c r="D930" i="8"/>
  <c r="F930" i="8"/>
  <c r="G930" i="8"/>
  <c r="H930" i="8"/>
  <c r="J930" i="8"/>
  <c r="J929" i="8"/>
  <c r="O118" i="1"/>
  <c r="D932" i="8"/>
  <c r="E932" i="8"/>
  <c r="F932" i="8"/>
  <c r="G932" i="8"/>
  <c r="H932" i="8"/>
  <c r="D933" i="8"/>
  <c r="E933" i="8"/>
  <c r="F933" i="8"/>
  <c r="G933" i="8"/>
  <c r="A934" i="8"/>
  <c r="B934" i="8"/>
  <c r="E934" i="8"/>
  <c r="F934" i="8"/>
  <c r="D936" i="8"/>
  <c r="E936" i="8"/>
  <c r="F936" i="8"/>
  <c r="G936" i="8"/>
  <c r="D937" i="8"/>
  <c r="E937" i="8"/>
  <c r="F937" i="8"/>
  <c r="G937" i="8"/>
  <c r="J937" i="8"/>
  <c r="H937" i="8"/>
  <c r="D938" i="8"/>
  <c r="E938" i="8"/>
  <c r="F938" i="8"/>
  <c r="G938" i="8"/>
  <c r="D939" i="8"/>
  <c r="E939" i="8"/>
  <c r="F939" i="8"/>
  <c r="G939" i="8"/>
  <c r="D940" i="8"/>
  <c r="E940" i="8"/>
  <c r="F940" i="8"/>
  <c r="G940" i="8"/>
  <c r="H940" i="8"/>
  <c r="J940" i="8"/>
  <c r="D941" i="8"/>
  <c r="E941" i="8"/>
  <c r="F941" i="8"/>
  <c r="G941" i="8"/>
  <c r="H941" i="8"/>
  <c r="D943" i="8"/>
  <c r="F943" i="8"/>
  <c r="G943" i="8"/>
  <c r="H943" i="8"/>
  <c r="D945" i="8"/>
  <c r="E945" i="8"/>
  <c r="F945" i="8"/>
  <c r="G945" i="8"/>
  <c r="D946" i="8"/>
  <c r="E946" i="8"/>
  <c r="F946" i="8"/>
  <c r="G946" i="8"/>
  <c r="D947" i="8"/>
  <c r="E947" i="8"/>
  <c r="F947" i="8"/>
  <c r="G947" i="8"/>
  <c r="A948" i="8"/>
  <c r="B948" i="8"/>
  <c r="E948" i="8"/>
  <c r="F948" i="8"/>
  <c r="D950" i="8"/>
  <c r="E950" i="8"/>
  <c r="F950" i="8"/>
  <c r="G950" i="8"/>
  <c r="D951" i="8"/>
  <c r="E951" i="8"/>
  <c r="F951" i="8"/>
  <c r="G951" i="8"/>
  <c r="H951" i="8"/>
  <c r="D952" i="8"/>
  <c r="E952" i="8"/>
  <c r="F952" i="8"/>
  <c r="G952" i="8"/>
  <c r="D953" i="8"/>
  <c r="E953" i="8"/>
  <c r="F953" i="8"/>
  <c r="G953" i="8"/>
  <c r="D954" i="8"/>
  <c r="E954" i="8"/>
  <c r="F954" i="8"/>
  <c r="G954" i="8"/>
  <c r="H954" i="8"/>
  <c r="D955" i="8"/>
  <c r="E955" i="8"/>
  <c r="F955" i="8"/>
  <c r="G955" i="8"/>
  <c r="H955" i="8"/>
  <c r="A956" i="8"/>
  <c r="B956" i="8"/>
  <c r="E956" i="8"/>
  <c r="F956" i="8"/>
  <c r="D958" i="8"/>
  <c r="E958" i="8"/>
  <c r="F958" i="8"/>
  <c r="G958" i="8"/>
  <c r="H958" i="8"/>
  <c r="D959" i="8"/>
  <c r="E959" i="8"/>
  <c r="F959" i="8"/>
  <c r="G959" i="8"/>
  <c r="D960" i="8"/>
  <c r="E960" i="8"/>
  <c r="F960" i="8"/>
  <c r="G960" i="8"/>
  <c r="D961" i="8"/>
  <c r="E961" i="8"/>
  <c r="F961" i="8"/>
  <c r="G961" i="8"/>
  <c r="H961" i="8"/>
  <c r="D963" i="8"/>
  <c r="F963" i="8"/>
  <c r="G963" i="8"/>
  <c r="H963" i="8"/>
  <c r="J963" i="8"/>
  <c r="J962" i="8"/>
  <c r="O123" i="1"/>
  <c r="D965" i="8"/>
  <c r="E965" i="8"/>
  <c r="F965" i="8"/>
  <c r="G965" i="8"/>
  <c r="D966" i="8"/>
  <c r="E966" i="8"/>
  <c r="F966" i="8"/>
  <c r="G966" i="8"/>
  <c r="H966" i="8"/>
  <c r="J966" i="8"/>
  <c r="A967" i="8"/>
  <c r="B967" i="8"/>
  <c r="E967" i="8"/>
  <c r="F967" i="8"/>
  <c r="D969" i="8"/>
  <c r="E969" i="8"/>
  <c r="F969" i="8"/>
  <c r="G969" i="8"/>
  <c r="H969" i="8"/>
  <c r="D970" i="8"/>
  <c r="E970" i="8"/>
  <c r="F970" i="8"/>
  <c r="G970" i="8"/>
  <c r="D971" i="8"/>
  <c r="E971" i="8"/>
  <c r="F971" i="8"/>
  <c r="G971" i="8"/>
  <c r="D972" i="8"/>
  <c r="E972" i="8"/>
  <c r="F972" i="8"/>
  <c r="G972" i="8"/>
  <c r="H972" i="8"/>
  <c r="D974" i="8"/>
  <c r="F974" i="8"/>
  <c r="G974" i="8"/>
  <c r="H974" i="8"/>
  <c r="J974" i="8"/>
  <c r="J973" i="8"/>
  <c r="O124" i="1"/>
  <c r="D976" i="8"/>
  <c r="E976" i="8"/>
  <c r="F976" i="8"/>
  <c r="G976" i="8"/>
  <c r="D977" i="8"/>
  <c r="E977" i="8"/>
  <c r="F977" i="8"/>
  <c r="G977" i="8"/>
  <c r="H977" i="8"/>
  <c r="A978" i="8"/>
  <c r="B978" i="8"/>
  <c r="E978" i="8"/>
  <c r="F978" i="8"/>
  <c r="D980" i="8"/>
  <c r="E980" i="8"/>
  <c r="F980" i="8"/>
  <c r="G980" i="8"/>
  <c r="D981" i="8"/>
  <c r="E981" i="8"/>
  <c r="F981" i="8"/>
  <c r="G981" i="8"/>
  <c r="H981" i="8"/>
  <c r="D983" i="8"/>
  <c r="F983" i="8"/>
  <c r="G983" i="8"/>
  <c r="H983" i="8"/>
  <c r="D985" i="8"/>
  <c r="E985" i="8"/>
  <c r="F985" i="8"/>
  <c r="G985" i="8"/>
  <c r="D986" i="8"/>
  <c r="E986" i="8"/>
  <c r="F986" i="8"/>
  <c r="G986" i="8"/>
  <c r="A987" i="8"/>
  <c r="B987" i="8"/>
  <c r="E987" i="8"/>
  <c r="F987" i="8"/>
  <c r="D989" i="8"/>
  <c r="E989" i="8"/>
  <c r="F989" i="8"/>
  <c r="G989" i="8"/>
  <c r="D990" i="8"/>
  <c r="E990" i="8"/>
  <c r="F990" i="8"/>
  <c r="G990" i="8"/>
  <c r="H990" i="8"/>
  <c r="D992" i="8"/>
  <c r="F992" i="8"/>
  <c r="G992" i="8"/>
  <c r="H992" i="8"/>
  <c r="D994" i="8"/>
  <c r="E994" i="8"/>
  <c r="F994" i="8"/>
  <c r="G994" i="8"/>
  <c r="D995" i="8"/>
  <c r="E995" i="8"/>
  <c r="F995" i="8"/>
  <c r="G995" i="8"/>
  <c r="A996" i="8"/>
  <c r="B996" i="8"/>
  <c r="E996" i="8"/>
  <c r="F996" i="8"/>
  <c r="D998" i="8"/>
  <c r="E998" i="8"/>
  <c r="F998" i="8"/>
  <c r="G998" i="8"/>
  <c r="D999" i="8"/>
  <c r="E999" i="8"/>
  <c r="F999" i="8"/>
  <c r="G999" i="8"/>
  <c r="H999" i="8"/>
  <c r="A1000" i="8"/>
  <c r="B1000" i="8"/>
  <c r="E1000" i="8"/>
  <c r="F1000" i="8"/>
  <c r="D1002" i="8"/>
  <c r="F1002" i="8"/>
  <c r="G1002" i="8"/>
  <c r="H1002" i="8"/>
  <c r="D1004" i="8"/>
  <c r="E1004" i="8"/>
  <c r="F1004" i="8"/>
  <c r="G1004" i="8"/>
  <c r="H1004" i="8"/>
  <c r="D1005" i="8"/>
  <c r="E1005" i="8"/>
  <c r="F1005" i="8"/>
  <c r="G1005" i="8"/>
  <c r="A1006" i="8"/>
  <c r="B1006" i="8"/>
  <c r="E1006" i="8"/>
  <c r="F1006" i="8"/>
  <c r="D1008" i="8"/>
  <c r="E1008" i="8"/>
  <c r="F1008" i="8"/>
  <c r="G1008" i="8"/>
  <c r="H1008" i="8"/>
  <c r="J1008" i="8"/>
  <c r="D1009" i="8"/>
  <c r="E1009" i="8"/>
  <c r="F1009" i="8"/>
  <c r="G1009" i="8"/>
  <c r="H1009" i="8"/>
  <c r="D1011" i="8"/>
  <c r="F1011" i="8"/>
  <c r="G1011" i="8"/>
  <c r="J1011" i="8"/>
  <c r="J1010" i="8"/>
  <c r="O131" i="1"/>
  <c r="S131" i="1"/>
  <c r="H1011" i="8"/>
  <c r="D1013" i="8"/>
  <c r="E1013" i="8"/>
  <c r="F1013" i="8"/>
  <c r="G1013" i="8"/>
  <c r="J1013" i="8"/>
  <c r="H1013" i="8"/>
  <c r="D1014" i="8"/>
  <c r="E1014" i="8"/>
  <c r="F1014" i="8"/>
  <c r="G1014" i="8"/>
  <c r="A1015" i="8"/>
  <c r="B1015" i="8"/>
  <c r="E1015" i="8"/>
  <c r="F1015" i="8"/>
  <c r="D1017" i="8"/>
  <c r="E1017" i="8"/>
  <c r="F1017" i="8"/>
  <c r="G1017" i="8"/>
  <c r="H1017" i="8"/>
  <c r="D1018" i="8"/>
  <c r="E1018" i="8"/>
  <c r="F1018" i="8"/>
  <c r="G1018" i="8"/>
  <c r="H1018" i="8"/>
  <c r="D1020" i="8"/>
  <c r="F1020" i="8"/>
  <c r="G1020" i="8"/>
  <c r="H1020" i="8"/>
  <c r="D1022" i="8"/>
  <c r="E1022" i="8"/>
  <c r="F1022" i="8"/>
  <c r="G1022" i="8"/>
  <c r="J1022" i="8"/>
  <c r="H1022" i="8"/>
  <c r="D1023" i="8"/>
  <c r="E1023" i="8"/>
  <c r="F1023" i="8"/>
  <c r="G1023" i="8"/>
  <c r="A1024" i="8"/>
  <c r="B1024" i="8"/>
  <c r="E1024" i="8"/>
  <c r="F1024" i="8"/>
  <c r="D1026" i="8"/>
  <c r="E1026" i="8"/>
  <c r="F1026" i="8"/>
  <c r="G1026" i="8"/>
  <c r="H1026" i="8"/>
  <c r="J1026" i="8"/>
  <c r="D1027" i="8"/>
  <c r="E1027" i="8"/>
  <c r="F1027" i="8"/>
  <c r="G1027" i="8"/>
  <c r="H1027" i="8"/>
  <c r="A1028" i="8"/>
  <c r="B1028" i="8"/>
  <c r="E1028" i="8"/>
  <c r="F1028" i="8"/>
  <c r="D1030" i="8"/>
  <c r="F1030" i="8"/>
  <c r="G1030" i="8"/>
  <c r="H1030" i="8"/>
  <c r="J1030" i="8"/>
  <c r="J1029" i="8"/>
  <c r="O135" i="1"/>
  <c r="S135" i="1"/>
  <c r="D1032" i="8"/>
  <c r="E1032" i="8"/>
  <c r="F1032" i="8"/>
  <c r="G1032" i="8"/>
  <c r="H1032" i="8"/>
  <c r="D1033" i="8"/>
  <c r="E1033" i="8"/>
  <c r="F1033" i="8"/>
  <c r="G1033" i="8"/>
  <c r="D1034" i="8"/>
  <c r="E1034" i="8"/>
  <c r="F1034" i="8"/>
  <c r="G1034" i="8"/>
  <c r="A1035" i="8"/>
  <c r="B1035" i="8"/>
  <c r="E1035" i="8"/>
  <c r="F1035" i="8"/>
  <c r="D1037" i="8"/>
  <c r="E1037" i="8"/>
  <c r="F1037" i="8"/>
  <c r="G1037" i="8"/>
  <c r="D1038" i="8"/>
  <c r="E1038" i="8"/>
  <c r="F1038" i="8"/>
  <c r="G1038" i="8"/>
  <c r="H1038" i="8"/>
  <c r="J1038" i="8"/>
  <c r="D1039" i="8"/>
  <c r="E1039" i="8"/>
  <c r="F1039" i="8"/>
  <c r="G1039" i="8"/>
  <c r="D1040" i="8"/>
  <c r="E1040" i="8"/>
  <c r="F1040" i="8"/>
  <c r="G1040" i="8"/>
  <c r="D1041" i="8"/>
  <c r="E1041" i="8"/>
  <c r="F1041" i="8"/>
  <c r="G1041" i="8"/>
  <c r="J1041" i="8"/>
  <c r="H1041" i="8"/>
  <c r="D1042" i="8"/>
  <c r="E1042" i="8"/>
  <c r="F1042" i="8"/>
  <c r="G1042" i="8"/>
  <c r="H1042" i="8"/>
  <c r="D1044" i="8"/>
  <c r="F1044" i="8"/>
  <c r="G1044" i="8"/>
  <c r="H1044" i="8"/>
  <c r="D1046" i="8"/>
  <c r="E1046" i="8"/>
  <c r="F1046" i="8"/>
  <c r="G1046" i="8"/>
  <c r="D1047" i="8"/>
  <c r="E1047" i="8"/>
  <c r="F1047" i="8"/>
  <c r="G1047" i="8"/>
  <c r="D1048" i="8"/>
  <c r="E1048" i="8"/>
  <c r="F1048" i="8"/>
  <c r="G1048" i="8"/>
  <c r="A1049" i="8"/>
  <c r="B1049" i="8"/>
  <c r="E1049" i="8"/>
  <c r="F1049" i="8"/>
  <c r="D1051" i="8"/>
  <c r="E1051" i="8"/>
  <c r="F1051" i="8"/>
  <c r="G1051" i="8"/>
  <c r="D1052" i="8"/>
  <c r="E1052" i="8"/>
  <c r="F1052" i="8"/>
  <c r="G1052" i="8"/>
  <c r="H1052" i="8"/>
  <c r="D1053" i="8"/>
  <c r="E1053" i="8"/>
  <c r="F1053" i="8"/>
  <c r="G1053" i="8"/>
  <c r="D1054" i="8"/>
  <c r="E1054" i="8"/>
  <c r="F1054" i="8"/>
  <c r="G1054" i="8"/>
  <c r="D1055" i="8"/>
  <c r="E1055" i="8"/>
  <c r="F1055" i="8"/>
  <c r="G1055" i="8"/>
  <c r="H1055" i="8"/>
  <c r="D1056" i="8"/>
  <c r="E1056" i="8"/>
  <c r="F1056" i="8"/>
  <c r="G1056" i="8"/>
  <c r="H1056" i="8"/>
  <c r="A1057" i="8"/>
  <c r="B1057" i="8"/>
  <c r="E1057" i="8"/>
  <c r="F1057" i="8"/>
  <c r="D1059" i="8"/>
  <c r="E1059" i="8"/>
  <c r="F1059" i="8"/>
  <c r="G1059" i="8"/>
  <c r="H1059" i="8"/>
  <c r="D1060" i="8"/>
  <c r="E1060" i="8"/>
  <c r="F1060" i="8"/>
  <c r="G1060" i="8"/>
  <c r="D1061" i="8"/>
  <c r="E1061" i="8"/>
  <c r="F1061" i="8"/>
  <c r="G1061" i="8"/>
  <c r="D1062" i="8"/>
  <c r="E1062" i="8"/>
  <c r="F1062" i="8"/>
  <c r="G1062" i="8"/>
  <c r="H1062" i="8"/>
  <c r="D1064" i="8"/>
  <c r="F1064" i="8"/>
  <c r="G1064" i="8"/>
  <c r="H1064" i="8"/>
  <c r="D1066" i="8"/>
  <c r="E1066" i="8"/>
  <c r="F1066" i="8"/>
  <c r="G1066" i="8"/>
  <c r="D1067" i="8"/>
  <c r="E1067" i="8"/>
  <c r="F1067" i="8"/>
  <c r="G1067" i="8"/>
  <c r="J1067" i="8"/>
  <c r="H1067" i="8"/>
  <c r="A1068" i="8"/>
  <c r="B1068" i="8"/>
  <c r="E1068" i="8"/>
  <c r="F1068" i="8"/>
  <c r="D1070" i="8"/>
  <c r="E1070" i="8"/>
  <c r="F1070" i="8"/>
  <c r="G1070" i="8"/>
  <c r="H1070" i="8"/>
  <c r="D1071" i="8"/>
  <c r="E1071" i="8"/>
  <c r="F1071" i="8"/>
  <c r="G1071" i="8"/>
  <c r="D1072" i="8"/>
  <c r="E1072" i="8"/>
  <c r="F1072" i="8"/>
  <c r="G1072" i="8"/>
  <c r="D1073" i="8"/>
  <c r="E1073" i="8"/>
  <c r="F1073" i="8"/>
  <c r="G1073" i="8"/>
  <c r="H1073" i="8"/>
  <c r="D1075" i="8"/>
  <c r="F1075" i="8"/>
  <c r="G1075" i="8"/>
  <c r="H1075" i="8"/>
  <c r="D1077" i="8"/>
  <c r="E1077" i="8"/>
  <c r="F1077" i="8"/>
  <c r="G1077" i="8"/>
  <c r="J1077" i="8"/>
  <c r="H1077" i="8"/>
  <c r="D1078" i="8"/>
  <c r="E1078" i="8"/>
  <c r="F1078" i="8"/>
  <c r="G1078" i="8"/>
  <c r="H1078" i="8"/>
  <c r="A1079" i="8"/>
  <c r="B1079" i="8"/>
  <c r="E1079" i="8"/>
  <c r="F1079" i="8"/>
  <c r="D1081" i="8"/>
  <c r="E1081" i="8"/>
  <c r="F1081" i="8"/>
  <c r="G1081" i="8"/>
  <c r="A1082" i="8"/>
  <c r="B1082" i="8"/>
  <c r="E1082" i="8"/>
  <c r="F1082" i="8"/>
  <c r="D1084" i="8"/>
  <c r="E1084" i="8"/>
  <c r="F1084" i="8"/>
  <c r="G1084" i="8"/>
  <c r="D1085" i="8"/>
  <c r="E1085" i="8"/>
  <c r="F1085" i="8"/>
  <c r="G1085" i="8"/>
  <c r="H1085" i="8"/>
  <c r="D1087" i="8"/>
  <c r="F1087" i="8"/>
  <c r="G1087" i="8"/>
  <c r="H1087" i="8"/>
  <c r="D1089" i="8"/>
  <c r="E1089" i="8"/>
  <c r="F1089" i="8"/>
  <c r="G1089" i="8"/>
  <c r="D1090" i="8"/>
  <c r="E1090" i="8"/>
  <c r="F1090" i="8"/>
  <c r="G1090" i="8"/>
  <c r="A1091" i="8"/>
  <c r="B1091" i="8"/>
  <c r="E1091" i="8"/>
  <c r="F1091" i="8"/>
  <c r="D1093" i="8"/>
  <c r="E1093" i="8"/>
  <c r="F1093" i="8"/>
  <c r="G1093" i="8"/>
  <c r="D1094" i="8"/>
  <c r="E1094" i="8"/>
  <c r="F1094" i="8"/>
  <c r="G1094" i="8"/>
  <c r="H1094" i="8"/>
  <c r="D1096" i="8"/>
  <c r="F1096" i="8"/>
  <c r="G1096" i="8"/>
  <c r="H1096" i="8"/>
  <c r="J1096" i="8"/>
  <c r="J1095" i="8"/>
  <c r="O143" i="1"/>
  <c r="S143" i="1"/>
  <c r="D1098" i="8"/>
  <c r="E1098" i="8"/>
  <c r="F1098" i="8"/>
  <c r="G1098" i="8"/>
  <c r="D1099" i="8"/>
  <c r="E1099" i="8"/>
  <c r="F1099" i="8"/>
  <c r="G1099" i="8"/>
  <c r="A1100" i="8"/>
  <c r="B1100" i="8"/>
  <c r="E1100" i="8"/>
  <c r="F1100" i="8"/>
  <c r="D1102" i="8"/>
  <c r="E1102" i="8"/>
  <c r="F1102" i="8"/>
  <c r="G1102" i="8"/>
  <c r="D1103" i="8"/>
  <c r="E1103" i="8"/>
  <c r="F1103" i="8"/>
  <c r="G1103" i="8"/>
  <c r="H1103" i="8"/>
  <c r="A1104" i="8"/>
  <c r="B1104" i="8"/>
  <c r="E1104" i="8"/>
  <c r="F1104" i="8"/>
  <c r="D1106" i="8"/>
  <c r="F1106" i="8"/>
  <c r="G1106" i="8"/>
  <c r="H1106" i="8"/>
  <c r="D1108" i="8"/>
  <c r="E1108" i="8"/>
  <c r="F1108" i="8"/>
  <c r="G1108" i="8"/>
  <c r="H1108" i="8"/>
  <c r="J1108" i="8"/>
  <c r="D1109" i="8"/>
  <c r="E1109" i="8"/>
  <c r="F1109" i="8"/>
  <c r="G1109" i="8"/>
  <c r="A1110" i="8"/>
  <c r="B1110" i="8"/>
  <c r="E1110" i="8"/>
  <c r="F1110" i="8"/>
  <c r="D1112" i="8"/>
  <c r="E1112" i="8"/>
  <c r="F1112" i="8"/>
  <c r="G1112" i="8"/>
  <c r="D1113" i="8"/>
  <c r="E1113" i="8"/>
  <c r="F1113" i="8"/>
  <c r="G1113" i="8"/>
  <c r="H1113" i="8"/>
  <c r="J1113" i="8"/>
  <c r="D1114" i="8"/>
  <c r="E1114" i="8"/>
  <c r="F1114" i="8"/>
  <c r="G1114" i="8"/>
  <c r="H1114" i="8"/>
  <c r="D1115" i="8"/>
  <c r="E1115" i="8"/>
  <c r="F1115" i="8"/>
  <c r="G1115" i="8"/>
  <c r="D1116" i="8"/>
  <c r="E1116" i="8"/>
  <c r="F1116" i="8"/>
  <c r="G1116" i="8"/>
  <c r="D1118" i="8"/>
  <c r="F1118" i="8"/>
  <c r="G1118" i="8"/>
  <c r="H1118" i="8"/>
  <c r="D1120" i="8"/>
  <c r="E1120" i="8"/>
  <c r="F1120" i="8"/>
  <c r="G1120" i="8"/>
  <c r="D1121" i="8"/>
  <c r="E1121" i="8"/>
  <c r="F1121" i="8"/>
  <c r="G1121" i="8"/>
  <c r="A1122" i="8"/>
  <c r="B1122" i="8"/>
  <c r="E1122" i="8"/>
  <c r="F1122" i="8"/>
  <c r="D1124" i="8"/>
  <c r="E1124" i="8"/>
  <c r="F1124" i="8"/>
  <c r="G1124" i="8"/>
  <c r="J1124" i="8"/>
  <c r="J1126" i="8"/>
  <c r="H1124" i="8"/>
  <c r="D1125" i="8"/>
  <c r="E1125" i="8"/>
  <c r="F1125" i="8"/>
  <c r="G1125" i="8"/>
  <c r="H1125" i="8"/>
  <c r="J1125" i="8"/>
  <c r="D1126" i="8"/>
  <c r="E1126" i="8"/>
  <c r="F1126" i="8"/>
  <c r="G1126" i="8"/>
  <c r="H1126" i="8"/>
  <c r="D1128" i="8"/>
  <c r="F1128" i="8"/>
  <c r="G1128" i="8"/>
  <c r="J1128" i="8"/>
  <c r="J1127" i="8"/>
  <c r="O148" i="1"/>
  <c r="H1128" i="8"/>
  <c r="D1130" i="8"/>
  <c r="E1130" i="8"/>
  <c r="F1130" i="8"/>
  <c r="G1130" i="8"/>
  <c r="D1131" i="8"/>
  <c r="E1131" i="8"/>
  <c r="F1131" i="8"/>
  <c r="G1131" i="8"/>
  <c r="A1132" i="8"/>
  <c r="B1132" i="8"/>
  <c r="E1132" i="8"/>
  <c r="F1132" i="8"/>
  <c r="D1134" i="8"/>
  <c r="E1134" i="8"/>
  <c r="F1134" i="8"/>
  <c r="G1134" i="8"/>
  <c r="D1135" i="8"/>
  <c r="E1135" i="8"/>
  <c r="F1135" i="8"/>
  <c r="G1135" i="8"/>
  <c r="D1136" i="8"/>
  <c r="E1136" i="8"/>
  <c r="F1136" i="8"/>
  <c r="G1136" i="8"/>
  <c r="D1137" i="8"/>
  <c r="E1137" i="8"/>
  <c r="F1137" i="8"/>
  <c r="G1137" i="8"/>
  <c r="H1137" i="8"/>
  <c r="D1139" i="8"/>
  <c r="F1139" i="8"/>
  <c r="G1139" i="8"/>
  <c r="H1139" i="8"/>
  <c r="A1140" i="8"/>
  <c r="B1140" i="8"/>
  <c r="E1140" i="8"/>
  <c r="F1140" i="8"/>
  <c r="D1142" i="8"/>
  <c r="E1142" i="8"/>
  <c r="F1142" i="8"/>
  <c r="G1142" i="8"/>
  <c r="D1143" i="8"/>
  <c r="E1143" i="8"/>
  <c r="F1143" i="8"/>
  <c r="G1143" i="8"/>
  <c r="H1143" i="8"/>
  <c r="D1145" i="8"/>
  <c r="F1145" i="8"/>
  <c r="G1145" i="8"/>
  <c r="H1145" i="8"/>
  <c r="A1146" i="8"/>
  <c r="B1146" i="8"/>
  <c r="E1146" i="8"/>
  <c r="F1146" i="8"/>
  <c r="D1148" i="8"/>
  <c r="E1148" i="8"/>
  <c r="F1148" i="8"/>
  <c r="G1148" i="8"/>
  <c r="D1150" i="8"/>
  <c r="F1150" i="8"/>
  <c r="G1150" i="8"/>
  <c r="H1150" i="8"/>
  <c r="A1151" i="8"/>
  <c r="B1151" i="8"/>
  <c r="E1151" i="8"/>
  <c r="F1151" i="8"/>
  <c r="D1153" i="8"/>
  <c r="E1153" i="8"/>
  <c r="F1153" i="8"/>
  <c r="G1153" i="8"/>
  <c r="D1154" i="8"/>
  <c r="E1154" i="8"/>
  <c r="F1154" i="8"/>
  <c r="G1154" i="8"/>
  <c r="H1154" i="8"/>
  <c r="D1156" i="8"/>
  <c r="F1156" i="8"/>
  <c r="G1156" i="8"/>
  <c r="J1156" i="8"/>
  <c r="J1155" i="8"/>
  <c r="O152" i="1"/>
  <c r="S152" i="1"/>
  <c r="H1156" i="8"/>
  <c r="A1157" i="8"/>
  <c r="B1157" i="8"/>
  <c r="E1157" i="8"/>
  <c r="F1157" i="8"/>
  <c r="D1159" i="8"/>
  <c r="F1159" i="8"/>
  <c r="G1159" i="8"/>
  <c r="J1159" i="8"/>
  <c r="J1158" i="8"/>
  <c r="O153" i="1"/>
  <c r="H1159" i="8"/>
  <c r="D1161" i="8"/>
  <c r="E1161" i="8"/>
  <c r="F1161" i="8"/>
  <c r="G1161" i="8"/>
  <c r="D1162" i="8"/>
  <c r="E1162" i="8"/>
  <c r="F1162" i="8"/>
  <c r="G1162" i="8"/>
  <c r="A1163" i="8"/>
  <c r="B1163" i="8"/>
  <c r="E1163" i="8"/>
  <c r="F1163" i="8"/>
  <c r="D1165" i="8"/>
  <c r="E1165" i="8"/>
  <c r="F1165" i="8"/>
  <c r="G1165" i="8"/>
  <c r="D1166" i="8"/>
  <c r="E1166" i="8"/>
  <c r="F1166" i="8"/>
  <c r="G1166" i="8"/>
  <c r="D1167" i="8"/>
  <c r="E1167" i="8"/>
  <c r="F1167" i="8"/>
  <c r="G1167" i="8"/>
  <c r="D1168" i="8"/>
  <c r="E1168" i="8"/>
  <c r="F1168" i="8"/>
  <c r="G1168" i="8"/>
  <c r="H1168" i="8"/>
  <c r="D1170" i="8"/>
  <c r="F1170" i="8"/>
  <c r="G1170" i="8"/>
  <c r="H1170" i="8"/>
  <c r="D1172" i="8"/>
  <c r="E1172" i="8"/>
  <c r="F1172" i="8"/>
  <c r="G1172" i="8"/>
  <c r="H1172" i="8"/>
  <c r="D1173" i="8"/>
  <c r="E1173" i="8"/>
  <c r="F1173" i="8"/>
  <c r="G1173" i="8"/>
  <c r="D1174" i="8"/>
  <c r="E1174" i="8"/>
  <c r="F1174" i="8"/>
  <c r="G1174" i="8"/>
  <c r="H1174" i="8"/>
  <c r="D1175" i="8"/>
  <c r="E1175" i="8"/>
  <c r="F1175" i="8"/>
  <c r="G1175" i="8"/>
  <c r="D1176" i="8"/>
  <c r="E1176" i="8"/>
  <c r="F1176" i="8"/>
  <c r="G1176" i="8"/>
  <c r="J1176" i="8"/>
  <c r="H1176" i="8"/>
  <c r="D1177" i="8"/>
  <c r="E1177" i="8"/>
  <c r="F1177" i="8"/>
  <c r="G1177" i="8"/>
  <c r="D1178" i="8"/>
  <c r="E1178" i="8"/>
  <c r="F1178" i="8"/>
  <c r="G1178" i="8"/>
  <c r="H1178" i="8"/>
  <c r="A1179" i="8"/>
  <c r="B1179" i="8"/>
  <c r="E1179" i="8"/>
  <c r="F1179" i="8"/>
  <c r="D1181" i="8"/>
  <c r="F1181" i="8"/>
  <c r="G1181" i="8"/>
  <c r="H1181" i="8"/>
  <c r="J1181" i="8"/>
  <c r="J1180" i="8"/>
  <c r="O155" i="1"/>
  <c r="D1183" i="8"/>
  <c r="E1183" i="8"/>
  <c r="F1183" i="8"/>
  <c r="G1183" i="8"/>
  <c r="A1184" i="8"/>
  <c r="B1184" i="8"/>
  <c r="E1184" i="8"/>
  <c r="F1184" i="8"/>
  <c r="D1186" i="8"/>
  <c r="E1186" i="8"/>
  <c r="F1186" i="8"/>
  <c r="G1186" i="8"/>
  <c r="D1187" i="8"/>
  <c r="E1187" i="8"/>
  <c r="F1187" i="8"/>
  <c r="G1187" i="8"/>
  <c r="H1187" i="8"/>
  <c r="D1188" i="8"/>
  <c r="E1188" i="8"/>
  <c r="F1188" i="8"/>
  <c r="G1188" i="8"/>
  <c r="D1189" i="8"/>
  <c r="E1189" i="8"/>
  <c r="F1189" i="8"/>
  <c r="G1189" i="8"/>
  <c r="D1190" i="8"/>
  <c r="E1190" i="8"/>
  <c r="F1190" i="8"/>
  <c r="G1190" i="8"/>
  <c r="H1190" i="8"/>
  <c r="J1190" i="8"/>
  <c r="D1191" i="8"/>
  <c r="E1191" i="8"/>
  <c r="F1191" i="8"/>
  <c r="G1191" i="8"/>
  <c r="H1191" i="8"/>
  <c r="D1193" i="8"/>
  <c r="F1193" i="8"/>
  <c r="G1193" i="8"/>
  <c r="J1193" i="8"/>
  <c r="J1192" i="8"/>
  <c r="O157" i="1"/>
  <c r="H1193" i="8"/>
  <c r="D1195" i="8"/>
  <c r="E1195" i="8"/>
  <c r="F1195" i="8"/>
  <c r="G1195" i="8"/>
  <c r="D1196" i="8"/>
  <c r="E1196" i="8"/>
  <c r="F1196" i="8"/>
  <c r="G1196" i="8"/>
  <c r="D1197" i="8"/>
  <c r="E1197" i="8"/>
  <c r="F1197" i="8"/>
  <c r="G1197" i="8"/>
  <c r="A1198" i="8"/>
  <c r="B1198" i="8"/>
  <c r="E1198" i="8"/>
  <c r="F1198" i="8"/>
  <c r="D1200" i="8"/>
  <c r="E1200" i="8"/>
  <c r="F1200" i="8"/>
  <c r="G1200" i="8"/>
  <c r="D1201" i="8"/>
  <c r="E1201" i="8"/>
  <c r="F1201" i="8"/>
  <c r="G1201" i="8"/>
  <c r="H1201" i="8"/>
  <c r="J1201" i="8"/>
  <c r="D1202" i="8"/>
  <c r="E1202" i="8"/>
  <c r="F1202" i="8"/>
  <c r="G1202" i="8"/>
  <c r="D1203" i="8"/>
  <c r="E1203" i="8"/>
  <c r="F1203" i="8"/>
  <c r="G1203" i="8"/>
  <c r="D1204" i="8"/>
  <c r="E1204" i="8"/>
  <c r="F1204" i="8"/>
  <c r="G1204" i="8"/>
  <c r="J1204" i="8"/>
  <c r="H1204" i="8"/>
  <c r="D1205" i="8"/>
  <c r="E1205" i="8"/>
  <c r="F1205" i="8"/>
  <c r="G1205" i="8"/>
  <c r="H1205" i="8"/>
  <c r="A1206" i="8"/>
  <c r="B1206" i="8"/>
  <c r="E1206" i="8"/>
  <c r="F1206" i="8"/>
  <c r="D1208" i="8"/>
  <c r="E1208" i="8"/>
  <c r="F1208" i="8"/>
  <c r="G1208" i="8"/>
  <c r="H1208" i="8"/>
  <c r="D1209" i="8"/>
  <c r="E1209" i="8"/>
  <c r="F1209" i="8"/>
  <c r="G1209" i="8"/>
  <c r="D1210" i="8"/>
  <c r="E1210" i="8"/>
  <c r="F1210" i="8"/>
  <c r="G1210" i="8"/>
  <c r="D1211" i="8"/>
  <c r="E1211" i="8"/>
  <c r="F1211" i="8"/>
  <c r="G1211" i="8"/>
  <c r="H1211" i="8"/>
  <c r="D1213" i="8"/>
  <c r="F1213" i="8"/>
  <c r="G1213" i="8"/>
  <c r="H1213" i="8"/>
  <c r="D1215" i="8"/>
  <c r="E1215" i="8"/>
  <c r="F1215" i="8"/>
  <c r="G1215" i="8"/>
  <c r="D1216" i="8"/>
  <c r="E1216" i="8"/>
  <c r="F1216" i="8"/>
  <c r="G1216" i="8"/>
  <c r="H1216" i="8"/>
  <c r="A1217" i="8"/>
  <c r="B1217" i="8"/>
  <c r="E1217" i="8"/>
  <c r="F1217" i="8"/>
  <c r="D1219" i="8"/>
  <c r="E1219" i="8"/>
  <c r="F1219" i="8"/>
  <c r="G1219" i="8"/>
  <c r="H1219" i="8"/>
  <c r="D1220" i="8"/>
  <c r="E1220" i="8"/>
  <c r="F1220" i="8"/>
  <c r="G1220" i="8"/>
  <c r="D1221" i="8"/>
  <c r="E1221" i="8"/>
  <c r="F1221" i="8"/>
  <c r="G1221" i="8"/>
  <c r="D1222" i="8"/>
  <c r="E1222" i="8"/>
  <c r="F1222" i="8"/>
  <c r="G1222" i="8"/>
  <c r="H1222" i="8"/>
  <c r="D1224" i="8"/>
  <c r="F1224" i="8"/>
  <c r="G1224" i="8"/>
  <c r="H1224" i="8"/>
  <c r="D1226" i="8"/>
  <c r="E1226" i="8"/>
  <c r="F1226" i="8"/>
  <c r="G1226" i="8"/>
  <c r="D1227" i="8"/>
  <c r="E1227" i="8"/>
  <c r="F1227" i="8"/>
  <c r="G1227" i="8"/>
  <c r="J1227" i="8"/>
  <c r="H1227" i="8"/>
  <c r="A1228" i="8"/>
  <c r="B1228" i="8"/>
  <c r="E1228" i="8"/>
  <c r="F1228" i="8"/>
  <c r="D1230" i="8"/>
  <c r="E1230" i="8"/>
  <c r="F1230" i="8"/>
  <c r="G1230" i="8"/>
  <c r="D1231" i="8"/>
  <c r="E1231" i="8"/>
  <c r="F1231" i="8"/>
  <c r="G1231" i="8"/>
  <c r="H1231" i="8"/>
  <c r="D1233" i="8"/>
  <c r="F1233" i="8"/>
  <c r="G1233" i="8"/>
  <c r="H1233" i="8"/>
  <c r="D1235" i="8"/>
  <c r="E1235" i="8"/>
  <c r="F1235" i="8"/>
  <c r="G1235" i="8"/>
  <c r="D1236" i="8"/>
  <c r="E1236" i="8"/>
  <c r="F1236" i="8"/>
  <c r="G1236" i="8"/>
  <c r="H1236" i="8"/>
  <c r="A1237" i="8"/>
  <c r="B1237" i="8"/>
  <c r="E1237" i="8"/>
  <c r="F1237" i="8"/>
  <c r="D1239" i="8"/>
  <c r="E1239" i="8"/>
  <c r="F1239" i="8"/>
  <c r="G1239" i="8"/>
  <c r="D1240" i="8"/>
  <c r="E1240" i="8"/>
  <c r="F1240" i="8"/>
  <c r="G1240" i="8"/>
  <c r="H1240" i="8"/>
  <c r="D1242" i="8"/>
  <c r="F1242" i="8"/>
  <c r="G1242" i="8"/>
  <c r="H1242" i="8"/>
  <c r="J1242" i="8"/>
  <c r="J1241" i="8"/>
  <c r="O163" i="1"/>
  <c r="S163" i="1"/>
  <c r="D1244" i="8"/>
  <c r="E1244" i="8"/>
  <c r="F1244" i="8"/>
  <c r="G1244" i="8"/>
  <c r="D1245" i="8"/>
  <c r="E1245" i="8"/>
  <c r="F1245" i="8"/>
  <c r="G1245" i="8"/>
  <c r="H1245" i="8"/>
  <c r="A1246" i="8"/>
  <c r="B1246" i="8"/>
  <c r="E1246" i="8"/>
  <c r="F1246" i="8"/>
  <c r="D1248" i="8"/>
  <c r="E1248" i="8"/>
  <c r="F1248" i="8"/>
  <c r="G1248" i="8"/>
  <c r="D1249" i="8"/>
  <c r="E1249" i="8"/>
  <c r="F1249" i="8"/>
  <c r="G1249" i="8"/>
  <c r="H1249" i="8"/>
  <c r="A1250" i="8"/>
  <c r="B1250" i="8"/>
  <c r="E1250" i="8"/>
  <c r="F1250" i="8"/>
  <c r="D1252" i="8"/>
  <c r="F1252" i="8"/>
  <c r="G1252" i="8"/>
  <c r="H1252" i="8"/>
  <c r="D1254" i="8"/>
  <c r="E1254" i="8"/>
  <c r="F1254" i="8"/>
  <c r="G1254" i="8"/>
  <c r="J1254" i="8"/>
  <c r="H1254" i="8"/>
  <c r="D1255" i="8"/>
  <c r="E1255" i="8"/>
  <c r="F1255" i="8"/>
  <c r="G1255" i="8"/>
  <c r="H1255" i="8"/>
  <c r="A1256" i="8"/>
  <c r="B1256" i="8"/>
  <c r="E1256" i="8"/>
  <c r="F1256" i="8"/>
  <c r="D1258" i="8"/>
  <c r="E1258" i="8"/>
  <c r="F1258" i="8"/>
  <c r="G1258" i="8"/>
  <c r="H1258" i="8"/>
  <c r="D1259" i="8"/>
  <c r="E1259" i="8"/>
  <c r="F1259" i="8"/>
  <c r="G1259" i="8"/>
  <c r="D1260" i="8"/>
  <c r="E1260" i="8"/>
  <c r="F1260" i="8"/>
  <c r="G1260" i="8"/>
  <c r="D1261" i="8"/>
  <c r="E1261" i="8"/>
  <c r="F1261" i="8"/>
  <c r="G1261" i="8"/>
  <c r="H1261" i="8"/>
  <c r="D1262" i="8"/>
  <c r="E1262" i="8"/>
  <c r="F1262" i="8"/>
  <c r="G1262" i="8"/>
  <c r="H1262" i="8"/>
  <c r="D1264" i="8"/>
  <c r="F1264" i="8"/>
  <c r="G1264" i="8"/>
  <c r="H1264" i="8"/>
  <c r="D1266" i="8"/>
  <c r="E1266" i="8"/>
  <c r="F1266" i="8"/>
  <c r="G1266" i="8"/>
  <c r="A1267" i="8"/>
  <c r="B1267" i="8"/>
  <c r="E1267" i="8"/>
  <c r="F1267" i="8"/>
  <c r="D1269" i="8"/>
  <c r="E1269" i="8"/>
  <c r="F1269" i="8"/>
  <c r="G1269" i="8"/>
  <c r="H1269" i="8"/>
  <c r="J1269" i="8"/>
  <c r="D1270" i="8"/>
  <c r="E1270" i="8"/>
  <c r="F1270" i="8"/>
  <c r="G1270" i="8"/>
  <c r="D1271" i="8"/>
  <c r="E1271" i="8"/>
  <c r="F1271" i="8"/>
  <c r="G1271" i="8"/>
  <c r="D1272" i="8"/>
  <c r="E1272" i="8"/>
  <c r="F1272" i="8"/>
  <c r="G1272" i="8"/>
  <c r="H1272" i="8"/>
  <c r="D1274" i="8"/>
  <c r="F1274" i="8"/>
  <c r="G1274" i="8"/>
  <c r="J1274" i="8"/>
  <c r="J1273" i="8"/>
  <c r="O168" i="1"/>
  <c r="S168" i="1"/>
  <c r="H1274" i="8"/>
  <c r="D1276" i="8"/>
  <c r="E1276" i="8"/>
  <c r="F1276" i="8"/>
  <c r="G1276" i="8"/>
  <c r="D1277" i="8"/>
  <c r="E1277" i="8"/>
  <c r="F1277" i="8"/>
  <c r="G1277" i="8"/>
  <c r="H1277" i="8"/>
  <c r="A1278" i="8"/>
  <c r="B1278" i="8"/>
  <c r="E1278" i="8"/>
  <c r="F1278" i="8"/>
  <c r="D1280" i="8"/>
  <c r="E1280" i="8"/>
  <c r="F1280" i="8"/>
  <c r="G1280" i="8"/>
  <c r="H1280" i="8"/>
  <c r="D1281" i="8"/>
  <c r="E1281" i="8"/>
  <c r="F1281" i="8"/>
  <c r="G1281" i="8"/>
  <c r="D1282" i="8"/>
  <c r="E1282" i="8"/>
  <c r="F1282" i="8"/>
  <c r="G1282" i="8"/>
  <c r="H1282" i="8"/>
  <c r="D1283" i="8"/>
  <c r="E1283" i="8"/>
  <c r="F1283" i="8"/>
  <c r="G1283" i="8"/>
  <c r="H1283" i="8"/>
  <c r="D1285" i="8"/>
  <c r="F1285" i="8"/>
  <c r="G1285" i="8"/>
  <c r="J1285" i="8"/>
  <c r="H1285" i="8"/>
  <c r="J1284" i="8"/>
  <c r="O169" i="1"/>
  <c r="S169" i="1"/>
  <c r="A1286" i="8"/>
  <c r="B1286" i="8"/>
  <c r="E1286" i="8"/>
  <c r="F1286" i="8"/>
  <c r="D1288" i="8"/>
  <c r="E1288" i="8"/>
  <c r="F1288" i="8"/>
  <c r="G1288" i="8"/>
  <c r="D1289" i="8"/>
  <c r="E1289" i="8"/>
  <c r="F1289" i="8"/>
  <c r="G1289" i="8"/>
  <c r="D1291" i="8"/>
  <c r="F1291" i="8"/>
  <c r="G1291" i="8"/>
  <c r="H1291" i="8"/>
  <c r="J1291" i="8"/>
  <c r="J1290" i="8"/>
  <c r="O170" i="1"/>
  <c r="S170" i="1"/>
  <c r="A1292" i="8"/>
  <c r="B1292" i="8"/>
  <c r="E1292" i="8"/>
  <c r="F1292" i="8"/>
  <c r="D1294" i="8"/>
  <c r="F1294" i="8"/>
  <c r="G1294" i="8"/>
  <c r="J1294" i="8"/>
  <c r="J1293" i="8"/>
  <c r="O171" i="1"/>
  <c r="S171" i="1"/>
  <c r="H1294" i="8"/>
  <c r="A1295" i="8"/>
  <c r="B1295" i="8"/>
  <c r="E1295" i="8"/>
  <c r="F1295" i="8"/>
  <c r="D1297" i="8"/>
  <c r="E1297" i="8"/>
  <c r="F1297" i="8"/>
  <c r="G1297" i="8"/>
  <c r="H1297" i="8"/>
  <c r="D1298" i="8"/>
  <c r="E1298" i="8"/>
  <c r="F1298" i="8"/>
  <c r="G1298" i="8"/>
  <c r="D1299" i="8"/>
  <c r="E1299" i="8"/>
  <c r="F1299" i="8"/>
  <c r="G1299" i="8"/>
  <c r="D1300" i="8"/>
  <c r="E1300" i="8"/>
  <c r="F1300" i="8"/>
  <c r="G1300" i="8"/>
  <c r="H1300" i="8"/>
  <c r="J1300" i="8"/>
  <c r="D1301" i="8"/>
  <c r="E1301" i="8"/>
  <c r="F1301" i="8"/>
  <c r="G1301" i="8"/>
  <c r="H1301" i="8"/>
  <c r="D1303" i="8"/>
  <c r="F1303" i="8"/>
  <c r="G1303" i="8"/>
  <c r="H1303" i="8"/>
  <c r="D1305" i="8"/>
  <c r="E1305" i="8"/>
  <c r="F1305" i="8"/>
  <c r="G1305" i="8"/>
  <c r="D1306" i="8"/>
  <c r="E1306" i="8"/>
  <c r="F1306" i="8"/>
  <c r="G1306" i="8"/>
  <c r="D1307" i="8"/>
  <c r="E1307" i="8"/>
  <c r="F1307" i="8"/>
  <c r="G1307" i="8"/>
  <c r="H1307" i="8"/>
  <c r="D1308" i="8"/>
  <c r="E1308" i="8"/>
  <c r="F1308" i="8"/>
  <c r="G1308" i="8"/>
  <c r="A1309" i="8"/>
  <c r="B1309" i="8"/>
  <c r="E1309" i="8"/>
  <c r="F1309" i="8"/>
  <c r="D1311" i="8"/>
  <c r="E1311" i="8"/>
  <c r="F1311" i="8"/>
  <c r="G1311" i="8"/>
  <c r="D1312" i="8"/>
  <c r="E1312" i="8"/>
  <c r="F1312" i="8"/>
  <c r="G1312" i="8"/>
  <c r="D1313" i="8"/>
  <c r="E1313" i="8"/>
  <c r="F1313" i="8"/>
  <c r="G1313" i="8"/>
  <c r="H1313" i="8"/>
  <c r="J1313" i="8"/>
  <c r="D1314" i="8"/>
  <c r="E1314" i="8"/>
  <c r="F1314" i="8"/>
  <c r="G1314" i="8"/>
  <c r="D1315" i="8"/>
  <c r="E1315" i="8"/>
  <c r="F1315" i="8"/>
  <c r="G1315" i="8"/>
  <c r="D1316" i="8"/>
  <c r="E1316" i="8"/>
  <c r="F1316" i="8"/>
  <c r="G1316" i="8"/>
  <c r="J1316" i="8"/>
  <c r="H1316" i="8"/>
  <c r="D1317" i="8"/>
  <c r="E1317" i="8"/>
  <c r="F1317" i="8"/>
  <c r="G1317" i="8"/>
  <c r="J1317" i="8"/>
  <c r="H1317" i="8"/>
  <c r="D1318" i="8"/>
  <c r="E1318" i="8"/>
  <c r="F1318" i="8"/>
  <c r="G1318" i="8"/>
  <c r="H1318" i="8"/>
  <c r="D1320" i="8"/>
  <c r="F1320" i="8"/>
  <c r="G1320" i="8"/>
  <c r="H1320" i="8"/>
  <c r="J1320" i="8"/>
  <c r="J1319" i="8"/>
  <c r="O175" i="1"/>
  <c r="S175" i="1"/>
  <c r="D1322" i="8"/>
  <c r="E1322" i="8"/>
  <c r="F1322" i="8"/>
  <c r="G1322" i="8"/>
  <c r="J1322" i="8"/>
  <c r="H1322" i="8"/>
  <c r="D1323" i="8"/>
  <c r="E1323" i="8"/>
  <c r="F1323" i="8"/>
  <c r="G1323" i="8"/>
  <c r="A1324" i="8"/>
  <c r="B1324" i="8"/>
  <c r="E1324" i="8"/>
  <c r="F1324" i="8"/>
  <c r="D1326" i="8"/>
  <c r="E1326" i="8"/>
  <c r="F1326" i="8"/>
  <c r="G1326" i="8"/>
  <c r="H1326" i="8"/>
  <c r="D1327" i="8"/>
  <c r="E1327" i="8"/>
  <c r="F1327" i="8"/>
  <c r="G1327" i="8"/>
  <c r="D1328" i="8"/>
  <c r="E1328" i="8"/>
  <c r="F1328" i="8"/>
  <c r="G1328" i="8"/>
  <c r="H1328" i="8"/>
  <c r="J1328" i="8"/>
  <c r="D1330" i="8"/>
  <c r="F1330" i="8"/>
  <c r="G1330" i="8"/>
  <c r="H1330" i="8"/>
  <c r="D1332" i="8"/>
  <c r="E1332" i="8"/>
  <c r="F1332" i="8"/>
  <c r="G1332" i="8"/>
  <c r="A1333" i="8"/>
  <c r="B1333" i="8"/>
  <c r="E1333" i="8"/>
  <c r="F1333" i="8"/>
  <c r="D1335" i="8"/>
  <c r="E1335" i="8"/>
  <c r="F1335" i="8"/>
  <c r="G1335" i="8"/>
  <c r="D1336" i="8"/>
  <c r="E1336" i="8"/>
  <c r="F1336" i="8"/>
  <c r="G1336" i="8"/>
  <c r="D1337" i="8"/>
  <c r="E1337" i="8"/>
  <c r="F1337" i="8"/>
  <c r="G1337" i="8"/>
  <c r="D1338" i="8"/>
  <c r="E1338" i="8"/>
  <c r="F1338" i="8"/>
  <c r="G1338" i="8"/>
  <c r="H1338" i="8"/>
  <c r="J1338" i="8"/>
  <c r="D1340" i="8"/>
  <c r="F1340" i="8"/>
  <c r="G1340" i="8"/>
  <c r="H1340" i="8"/>
  <c r="D1342" i="8"/>
  <c r="E1342" i="8"/>
  <c r="F1342" i="8"/>
  <c r="G1342" i="8"/>
  <c r="H1342" i="8"/>
  <c r="D1343" i="8"/>
  <c r="E1343" i="8"/>
  <c r="F1343" i="8"/>
  <c r="G1343" i="8"/>
  <c r="A1344" i="8"/>
  <c r="B1344" i="8"/>
  <c r="E1344" i="8"/>
  <c r="F1344" i="8"/>
  <c r="D1346" i="8"/>
  <c r="E1346" i="8"/>
  <c r="F1346" i="8"/>
  <c r="G1346" i="8"/>
  <c r="H1346" i="8"/>
  <c r="D1347" i="8"/>
  <c r="E1347" i="8"/>
  <c r="F1347" i="8"/>
  <c r="G1347" i="8"/>
  <c r="H1347" i="8"/>
  <c r="D1349" i="8"/>
  <c r="F1349" i="8"/>
  <c r="G1349" i="8"/>
  <c r="H1349" i="8"/>
  <c r="A1350" i="8"/>
  <c r="B1350" i="8"/>
  <c r="E1350" i="8"/>
  <c r="F1350" i="8"/>
  <c r="D1352" i="8"/>
  <c r="E1352" i="8"/>
  <c r="F1352" i="8"/>
  <c r="G1352" i="8"/>
  <c r="D1353" i="8"/>
  <c r="E1353" i="8"/>
  <c r="F1353" i="8"/>
  <c r="G1353" i="8"/>
  <c r="D1354" i="8"/>
  <c r="E1354" i="8"/>
  <c r="F1354" i="8"/>
  <c r="G1354" i="8"/>
  <c r="D1355" i="8"/>
  <c r="E1355" i="8"/>
  <c r="F1355" i="8"/>
  <c r="G1355" i="8"/>
  <c r="D1356" i="8"/>
  <c r="E1356" i="8"/>
  <c r="F1356" i="8"/>
  <c r="G1356" i="8"/>
  <c r="H1356" i="8"/>
  <c r="J1356" i="8"/>
  <c r="D1357" i="8"/>
  <c r="E1357" i="8"/>
  <c r="F1357" i="8"/>
  <c r="G1357" i="8"/>
  <c r="H1357" i="8"/>
  <c r="D1359" i="8"/>
  <c r="F1359" i="8"/>
  <c r="G1359" i="8"/>
  <c r="H1359" i="8"/>
  <c r="D1361" i="8"/>
  <c r="E1361" i="8"/>
  <c r="F1361" i="8"/>
  <c r="G1361" i="8"/>
  <c r="H1361" i="8"/>
  <c r="D1362" i="8"/>
  <c r="E1362" i="8"/>
  <c r="F1362" i="8"/>
  <c r="G1362" i="8"/>
  <c r="D1363" i="8"/>
  <c r="E1363" i="8"/>
  <c r="F1363" i="8"/>
  <c r="G1363" i="8"/>
  <c r="J1363" i="8"/>
  <c r="H1363" i="8"/>
  <c r="D1364" i="8"/>
  <c r="E1364" i="8"/>
  <c r="F1364" i="8"/>
  <c r="G1364" i="8"/>
  <c r="A1365" i="8"/>
  <c r="B1365" i="8"/>
  <c r="E1365" i="8"/>
  <c r="F1365" i="8"/>
  <c r="D1367" i="8"/>
  <c r="E1367" i="8"/>
  <c r="F1367" i="8"/>
  <c r="G1367" i="8"/>
  <c r="D1368" i="8"/>
  <c r="E1368" i="8"/>
  <c r="F1368" i="8"/>
  <c r="G1368" i="8"/>
  <c r="D1369" i="8"/>
  <c r="E1369" i="8"/>
  <c r="F1369" i="8"/>
  <c r="G1369" i="8"/>
  <c r="H1369" i="8"/>
  <c r="D1371" i="8"/>
  <c r="F1371" i="8"/>
  <c r="G1371" i="8"/>
  <c r="H1371" i="8"/>
  <c r="J1371" i="8"/>
  <c r="J1370" i="8"/>
  <c r="O180" i="1"/>
  <c r="S180" i="1"/>
  <c r="A1372" i="8"/>
  <c r="B1372" i="8"/>
  <c r="E1372" i="8"/>
  <c r="F1372" i="8"/>
  <c r="D1374" i="8"/>
  <c r="E1374" i="8"/>
  <c r="F1374" i="8"/>
  <c r="G1374" i="8"/>
  <c r="J1374" i="8"/>
  <c r="H1374" i="8"/>
  <c r="D1375" i="8"/>
  <c r="E1375" i="8"/>
  <c r="F1375" i="8"/>
  <c r="G1375" i="8"/>
  <c r="D1376" i="8"/>
  <c r="E1376" i="8"/>
  <c r="F1376" i="8"/>
  <c r="G1376" i="8"/>
  <c r="D1378" i="8"/>
  <c r="F1378" i="8"/>
  <c r="G1378" i="8"/>
  <c r="J1378" i="8"/>
  <c r="J1377" i="8"/>
  <c r="O181" i="1"/>
  <c r="S181" i="1"/>
  <c r="H1378" i="8"/>
  <c r="D1380" i="8"/>
  <c r="E1380" i="8"/>
  <c r="F1380" i="8"/>
  <c r="G1380" i="8"/>
  <c r="H1380" i="8"/>
  <c r="J1380" i="8"/>
  <c r="D1381" i="8"/>
  <c r="E1381" i="8"/>
  <c r="F1381" i="8"/>
  <c r="G1381" i="8"/>
  <c r="D1382" i="8"/>
  <c r="E1382" i="8"/>
  <c r="F1382" i="8"/>
  <c r="G1382" i="8"/>
  <c r="A1383" i="8"/>
  <c r="B1383" i="8"/>
  <c r="E1383" i="8"/>
  <c r="F1383" i="8"/>
  <c r="D1385" i="8"/>
  <c r="E1385" i="8"/>
  <c r="F1385" i="8"/>
  <c r="G1385" i="8"/>
  <c r="H1385" i="8"/>
  <c r="J1385" i="8"/>
  <c r="D1386" i="8"/>
  <c r="E1386" i="8"/>
  <c r="F1386" i="8"/>
  <c r="G1386" i="8"/>
  <c r="D1387" i="8"/>
  <c r="E1387" i="8"/>
  <c r="F1387" i="8"/>
  <c r="G1387" i="8"/>
  <c r="D1389" i="8"/>
  <c r="F1389" i="8"/>
  <c r="G1389" i="8"/>
  <c r="H1389" i="8"/>
  <c r="D1391" i="8"/>
  <c r="E1391" i="8"/>
  <c r="F1391" i="8"/>
  <c r="G1391" i="8"/>
  <c r="J1391" i="8"/>
  <c r="H1391" i="8"/>
  <c r="D1392" i="8"/>
  <c r="E1392" i="8"/>
  <c r="F1392" i="8"/>
  <c r="G1392" i="8"/>
  <c r="D1393" i="8"/>
  <c r="E1393" i="8"/>
  <c r="F1393" i="8"/>
  <c r="G1393" i="8"/>
  <c r="A1394" i="8"/>
  <c r="B1394" i="8"/>
  <c r="E1394" i="8"/>
  <c r="F1394" i="8"/>
  <c r="D1396" i="8"/>
  <c r="E1396" i="8"/>
  <c r="F1396" i="8"/>
  <c r="G1396" i="8"/>
  <c r="D1397" i="8"/>
  <c r="E1397" i="8"/>
  <c r="F1397" i="8"/>
  <c r="G1397" i="8"/>
  <c r="D1399" i="8"/>
  <c r="F1399" i="8"/>
  <c r="G1399" i="8"/>
  <c r="J1399" i="8"/>
  <c r="J1398" i="8"/>
  <c r="O183" i="1"/>
  <c r="S183" i="1"/>
  <c r="H1399" i="8"/>
  <c r="D1401" i="8"/>
  <c r="E1401" i="8"/>
  <c r="F1401" i="8"/>
  <c r="G1401" i="8"/>
  <c r="A1402" i="8"/>
  <c r="B1402" i="8"/>
  <c r="E1402" i="8"/>
  <c r="F1402" i="8"/>
  <c r="D1404" i="8"/>
  <c r="E1404" i="8"/>
  <c r="F1404" i="8"/>
  <c r="G1404" i="8"/>
  <c r="H1404" i="8"/>
  <c r="J1404" i="8"/>
  <c r="D1405" i="8"/>
  <c r="E1405" i="8"/>
  <c r="F1405" i="8"/>
  <c r="G1405" i="8"/>
  <c r="D1406" i="8"/>
  <c r="E1406" i="8"/>
  <c r="F1406" i="8"/>
  <c r="G1406" i="8"/>
  <c r="D1408" i="8"/>
  <c r="F1408" i="8"/>
  <c r="G1408" i="8"/>
  <c r="H1408" i="8"/>
  <c r="J1408" i="8"/>
  <c r="J1407" i="8"/>
  <c r="O184" i="1"/>
  <c r="S184" i="1"/>
  <c r="D1410" i="8"/>
  <c r="E1410" i="8"/>
  <c r="F1410" i="8"/>
  <c r="G1410" i="8"/>
  <c r="D1411" i="8"/>
  <c r="E1411" i="8"/>
  <c r="F1411" i="8"/>
  <c r="G1411" i="8"/>
  <c r="A1412" i="8"/>
  <c r="B1412" i="8"/>
  <c r="E1412" i="8"/>
  <c r="F1412" i="8"/>
  <c r="D1414" i="8"/>
  <c r="E1414" i="8"/>
  <c r="F1414" i="8"/>
  <c r="G1414" i="8"/>
  <c r="J1414" i="8"/>
  <c r="H1414" i="8"/>
  <c r="D1415" i="8"/>
  <c r="E1415" i="8"/>
  <c r="F1415" i="8"/>
  <c r="G1415" i="8"/>
  <c r="D1416" i="8"/>
  <c r="E1416" i="8"/>
  <c r="F1416" i="8"/>
  <c r="G1416" i="8"/>
  <c r="D1417" i="8"/>
  <c r="E1417" i="8"/>
  <c r="F1417" i="8"/>
  <c r="G1417" i="8"/>
  <c r="H1417" i="8"/>
  <c r="J1417" i="8"/>
  <c r="D1418" i="8"/>
  <c r="E1418" i="8"/>
  <c r="F1418" i="8"/>
  <c r="G1418" i="8"/>
  <c r="H1418" i="8"/>
  <c r="D1420" i="8"/>
  <c r="F1420" i="8"/>
  <c r="G1420" i="8"/>
  <c r="H1420" i="8"/>
  <c r="D1422" i="8"/>
  <c r="E1422" i="8"/>
  <c r="F1422" i="8"/>
  <c r="G1422" i="8"/>
  <c r="D1423" i="8"/>
  <c r="E1423" i="8"/>
  <c r="F1423" i="8"/>
  <c r="G1423" i="8"/>
  <c r="D1424" i="8"/>
  <c r="E1424" i="8"/>
  <c r="F1424" i="8"/>
  <c r="G1424" i="8"/>
  <c r="D1425" i="8"/>
  <c r="E1425" i="8"/>
  <c r="F1425" i="8"/>
  <c r="G1425" i="8"/>
  <c r="H1425" i="8"/>
  <c r="A1426" i="8"/>
  <c r="B1426" i="8"/>
  <c r="E1426" i="8"/>
  <c r="F1426" i="8"/>
  <c r="D1428" i="8"/>
  <c r="E1428" i="8"/>
  <c r="F1428" i="8"/>
  <c r="G1428" i="8"/>
  <c r="H1428" i="8"/>
  <c r="J1428" i="8"/>
  <c r="D1429" i="8"/>
  <c r="E1429" i="8"/>
  <c r="F1429" i="8"/>
  <c r="G1429" i="8"/>
  <c r="D1430" i="8"/>
  <c r="E1430" i="8"/>
  <c r="F1430" i="8"/>
  <c r="G1430" i="8"/>
  <c r="H1430" i="8"/>
  <c r="D1432" i="8"/>
  <c r="F1432" i="8"/>
  <c r="G1432" i="8"/>
  <c r="J1432" i="8"/>
  <c r="J1431" i="8"/>
  <c r="O187" i="1"/>
  <c r="S187" i="1"/>
  <c r="H1432" i="8"/>
  <c r="D1434" i="8"/>
  <c r="E1434" i="8"/>
  <c r="F1434" i="8"/>
  <c r="G1434" i="8"/>
  <c r="J1434" i="8"/>
  <c r="J1433" i="8"/>
  <c r="P187" i="1"/>
  <c r="T187" i="1"/>
  <c r="H1434" i="8"/>
  <c r="A1435" i="8"/>
  <c r="B1435" i="8"/>
  <c r="E1435" i="8"/>
  <c r="F1435" i="8"/>
  <c r="D1437" i="8"/>
  <c r="E1437" i="8"/>
  <c r="F1437" i="8"/>
  <c r="G1437" i="8"/>
  <c r="J1437" i="8"/>
  <c r="H1437" i="8"/>
  <c r="D1438" i="8"/>
  <c r="E1438" i="8"/>
  <c r="F1438" i="8"/>
  <c r="G1438" i="8"/>
  <c r="H1438" i="8"/>
  <c r="D1440" i="8"/>
  <c r="F1440" i="8"/>
  <c r="G1440" i="8"/>
  <c r="H1440" i="8"/>
  <c r="J1440" i="8"/>
  <c r="J1439" i="8"/>
  <c r="O188" i="1"/>
  <c r="S188" i="1"/>
  <c r="A1441" i="8"/>
  <c r="B1441" i="8"/>
  <c r="E1441" i="8"/>
  <c r="F1441" i="8"/>
  <c r="D1443" i="8"/>
  <c r="E1443" i="8"/>
  <c r="F1443" i="8"/>
  <c r="G1443" i="8"/>
  <c r="D1444" i="8"/>
  <c r="E1444" i="8"/>
  <c r="F1444" i="8"/>
  <c r="G1444" i="8"/>
  <c r="D1445" i="8"/>
  <c r="E1445" i="8"/>
  <c r="F1445" i="8"/>
  <c r="G1445" i="8"/>
  <c r="D1446" i="8"/>
  <c r="E1446" i="8"/>
  <c r="F1446" i="8"/>
  <c r="G1446" i="8"/>
  <c r="D1447" i="8"/>
  <c r="E1447" i="8"/>
  <c r="F1447" i="8"/>
  <c r="G1447" i="8"/>
  <c r="H1447" i="8"/>
  <c r="J1447" i="8"/>
  <c r="D1448" i="8"/>
  <c r="E1448" i="8"/>
  <c r="F1448" i="8"/>
  <c r="G1448" i="8"/>
  <c r="H1448" i="8"/>
  <c r="D1450" i="8"/>
  <c r="F1450" i="8"/>
  <c r="G1450" i="8"/>
  <c r="H1450" i="8"/>
  <c r="D1452" i="8"/>
  <c r="E1452" i="8"/>
  <c r="F1452" i="8"/>
  <c r="G1452" i="8"/>
  <c r="H1452" i="8"/>
  <c r="D1453" i="8"/>
  <c r="E1453" i="8"/>
  <c r="F1453" i="8"/>
  <c r="G1453" i="8"/>
  <c r="H1453" i="8"/>
  <c r="D1454" i="8"/>
  <c r="E1454" i="8"/>
  <c r="F1454" i="8"/>
  <c r="G1454" i="8"/>
  <c r="D1455" i="8"/>
  <c r="E1455" i="8"/>
  <c r="F1455" i="8"/>
  <c r="G1455" i="8"/>
  <c r="H1455" i="8"/>
  <c r="A1456" i="8"/>
  <c r="B1456" i="8"/>
  <c r="E1456" i="8"/>
  <c r="F1456" i="8"/>
  <c r="D1458" i="8"/>
  <c r="E1458" i="8"/>
  <c r="F1458" i="8"/>
  <c r="G1458" i="8"/>
  <c r="H1458" i="8"/>
  <c r="D1459" i="8"/>
  <c r="E1459" i="8"/>
  <c r="F1459" i="8"/>
  <c r="G1459" i="8"/>
  <c r="D1460" i="8"/>
  <c r="E1460" i="8"/>
  <c r="F1460" i="8"/>
  <c r="G1460" i="8"/>
  <c r="D1462" i="8"/>
  <c r="F1462" i="8"/>
  <c r="G1462" i="8"/>
  <c r="J1462" i="8"/>
  <c r="J1461" i="8"/>
  <c r="O190" i="1"/>
  <c r="S190" i="1"/>
  <c r="H1462" i="8"/>
  <c r="D1464" i="8"/>
  <c r="E1464" i="8"/>
  <c r="F1464" i="8"/>
  <c r="G1464" i="8"/>
  <c r="H1464" i="8"/>
  <c r="D1465" i="8"/>
  <c r="E1465" i="8"/>
  <c r="F1465" i="8"/>
  <c r="G1465" i="8"/>
  <c r="D1466" i="8"/>
  <c r="E1466" i="8"/>
  <c r="F1466" i="8"/>
  <c r="G1466" i="8"/>
  <c r="H1466" i="8"/>
  <c r="J1466" i="8"/>
  <c r="A1467" i="8"/>
  <c r="B1467" i="8"/>
  <c r="E1467" i="8"/>
  <c r="F1467" i="8"/>
  <c r="D1469" i="8"/>
  <c r="E1469" i="8"/>
  <c r="F1469" i="8"/>
  <c r="G1469" i="8"/>
  <c r="H1469" i="8"/>
  <c r="D1470" i="8"/>
  <c r="E1470" i="8"/>
  <c r="F1470" i="8"/>
  <c r="G1470" i="8"/>
  <c r="D1471" i="8"/>
  <c r="E1471" i="8"/>
  <c r="F1471" i="8"/>
  <c r="G1471" i="8"/>
  <c r="D1473" i="8"/>
  <c r="F1473" i="8"/>
  <c r="G1473" i="8"/>
  <c r="H1473" i="8"/>
  <c r="D1475" i="8"/>
  <c r="E1475" i="8"/>
  <c r="F1475" i="8"/>
  <c r="G1475" i="8"/>
  <c r="J1475" i="8"/>
  <c r="H1475" i="8"/>
  <c r="D1476" i="8"/>
  <c r="E1476" i="8"/>
  <c r="F1476" i="8"/>
  <c r="G1476" i="8"/>
  <c r="D1477" i="8"/>
  <c r="E1477" i="8"/>
  <c r="F1477" i="8"/>
  <c r="G1477" i="8"/>
  <c r="H1477" i="8"/>
  <c r="J1477" i="8"/>
  <c r="A1478" i="8"/>
  <c r="B1478" i="8"/>
  <c r="E1478" i="8"/>
  <c r="F1478" i="8"/>
  <c r="D1480" i="8"/>
  <c r="E1480" i="8"/>
  <c r="F1480" i="8"/>
  <c r="G1480" i="8"/>
  <c r="D1481" i="8"/>
  <c r="E1481" i="8"/>
  <c r="F1481" i="8"/>
  <c r="G1481" i="8"/>
  <c r="H1481" i="8"/>
  <c r="D1483" i="8"/>
  <c r="F1483" i="8"/>
  <c r="G1483" i="8"/>
  <c r="H1483" i="8"/>
  <c r="D1485" i="8"/>
  <c r="E1485" i="8"/>
  <c r="F1485" i="8"/>
  <c r="G1485" i="8"/>
  <c r="J1485" i="8"/>
  <c r="H1485" i="8"/>
  <c r="D1486" i="8"/>
  <c r="E1486" i="8"/>
  <c r="F1486" i="8"/>
  <c r="G1486" i="8"/>
  <c r="H1486" i="8"/>
  <c r="A1487" i="8"/>
  <c r="B1487" i="8"/>
  <c r="E1487" i="8"/>
  <c r="F1487" i="8"/>
  <c r="D1489" i="8"/>
  <c r="E1489" i="8"/>
  <c r="F1489" i="8"/>
  <c r="G1489" i="8"/>
  <c r="A1490" i="8"/>
  <c r="B1490" i="8"/>
  <c r="E1490" i="8"/>
  <c r="F1490" i="8"/>
  <c r="D1492" i="8"/>
  <c r="E1492" i="8"/>
  <c r="F1492" i="8"/>
  <c r="G1492" i="8"/>
  <c r="A1493" i="8"/>
  <c r="B1493" i="8"/>
  <c r="E1493" i="8"/>
  <c r="F1493" i="8"/>
  <c r="D1495" i="8"/>
  <c r="E1495" i="8"/>
  <c r="F1495" i="8"/>
  <c r="G1495" i="8"/>
  <c r="D1496" i="8"/>
  <c r="E1496" i="8"/>
  <c r="F1496" i="8"/>
  <c r="G1496" i="8"/>
  <c r="D1497" i="8"/>
  <c r="E1497" i="8"/>
  <c r="F1497" i="8"/>
  <c r="G1497" i="8"/>
  <c r="D1498" i="8"/>
  <c r="E1498" i="8"/>
  <c r="F1498" i="8"/>
  <c r="G1498" i="8"/>
  <c r="J1498" i="8"/>
  <c r="H1498" i="8"/>
  <c r="D1499" i="8"/>
  <c r="E1499" i="8"/>
  <c r="F1499" i="8"/>
  <c r="G1499" i="8"/>
  <c r="D1500" i="8"/>
  <c r="E1500" i="8"/>
  <c r="F1500" i="8"/>
  <c r="G1500" i="8"/>
  <c r="H1500" i="8"/>
  <c r="D1502" i="8"/>
  <c r="F1502" i="8"/>
  <c r="G1502" i="8"/>
  <c r="H1502" i="8"/>
  <c r="D1504" i="8"/>
  <c r="E1504" i="8"/>
  <c r="F1504" i="8"/>
  <c r="G1504" i="8"/>
  <c r="H1504" i="8"/>
  <c r="D1505" i="8"/>
  <c r="E1505" i="8"/>
  <c r="F1505" i="8"/>
  <c r="G1505" i="8"/>
  <c r="D1506" i="8"/>
  <c r="E1506" i="8"/>
  <c r="F1506" i="8"/>
  <c r="G1506" i="8"/>
  <c r="H1506" i="8"/>
  <c r="A1507" i="8"/>
  <c r="B1507" i="8"/>
  <c r="E1507" i="8"/>
  <c r="F1507" i="8"/>
  <c r="D1509" i="8"/>
  <c r="E1509" i="8"/>
  <c r="F1509" i="8"/>
  <c r="G1509" i="8"/>
  <c r="J1509" i="8"/>
  <c r="H1509" i="8"/>
  <c r="D1510" i="8"/>
  <c r="E1510" i="8"/>
  <c r="F1510" i="8"/>
  <c r="G1510" i="8"/>
  <c r="D1511" i="8"/>
  <c r="E1511" i="8"/>
  <c r="F1511" i="8"/>
  <c r="G1511" i="8"/>
  <c r="D1512" i="8"/>
  <c r="E1512" i="8"/>
  <c r="F1512" i="8"/>
  <c r="G1512" i="8"/>
  <c r="H1512" i="8"/>
  <c r="D1513" i="8"/>
  <c r="E1513" i="8"/>
  <c r="F1513" i="8"/>
  <c r="G1513" i="8"/>
  <c r="H1513" i="8"/>
  <c r="D1515" i="8"/>
  <c r="F1515" i="8"/>
  <c r="G1515" i="8"/>
  <c r="H1515" i="8"/>
  <c r="D1517" i="8"/>
  <c r="E1517" i="8"/>
  <c r="F1517" i="8"/>
  <c r="G1517" i="8"/>
  <c r="H1517" i="8"/>
  <c r="D1518" i="8"/>
  <c r="E1518" i="8"/>
  <c r="F1518" i="8"/>
  <c r="G1518" i="8"/>
  <c r="D1519" i="8"/>
  <c r="E1519" i="8"/>
  <c r="F1519" i="8"/>
  <c r="G1519" i="8"/>
  <c r="D1520" i="8"/>
  <c r="E1520" i="8"/>
  <c r="F1520" i="8"/>
  <c r="G1520" i="8"/>
  <c r="D1521" i="8"/>
  <c r="E1521" i="8"/>
  <c r="F1521" i="8"/>
  <c r="G1521" i="8"/>
  <c r="H1521" i="8"/>
  <c r="A1522" i="8"/>
  <c r="B1522" i="8"/>
  <c r="E1522" i="8"/>
  <c r="F1522" i="8"/>
  <c r="D1524" i="8"/>
  <c r="E1524" i="8"/>
  <c r="F1524" i="8"/>
  <c r="G1524" i="8"/>
  <c r="D1525" i="8"/>
  <c r="E1525" i="8"/>
  <c r="F1525" i="8"/>
  <c r="G1525" i="8"/>
  <c r="D1526" i="8"/>
  <c r="E1526" i="8"/>
  <c r="F1526" i="8"/>
  <c r="G1526" i="8"/>
  <c r="D1527" i="8"/>
  <c r="E1527" i="8"/>
  <c r="F1527" i="8"/>
  <c r="G1527" i="8"/>
  <c r="H1527" i="8"/>
  <c r="D1528" i="8"/>
  <c r="E1528" i="8"/>
  <c r="F1528" i="8"/>
  <c r="G1528" i="8"/>
  <c r="D1530" i="8"/>
  <c r="F1530" i="8"/>
  <c r="G1530" i="8"/>
  <c r="H1530" i="8"/>
  <c r="D1532" i="8"/>
  <c r="E1532" i="8"/>
  <c r="F1532" i="8"/>
  <c r="G1532" i="8"/>
  <c r="H1532" i="8"/>
  <c r="A1533" i="8"/>
  <c r="B1533" i="8"/>
  <c r="E1533" i="8"/>
  <c r="F1533" i="8"/>
  <c r="D1535" i="8"/>
  <c r="E1535" i="8"/>
  <c r="F1535" i="8"/>
  <c r="G1535" i="8"/>
  <c r="A1536" i="8"/>
  <c r="B1536" i="8"/>
  <c r="E1536" i="8"/>
  <c r="F1536" i="8"/>
  <c r="D1538" i="8"/>
  <c r="E1538" i="8"/>
  <c r="F1538" i="8"/>
  <c r="G1538" i="8"/>
  <c r="H1538" i="8"/>
  <c r="D1539" i="8"/>
  <c r="E1539" i="8"/>
  <c r="F1539" i="8"/>
  <c r="G1539" i="8"/>
  <c r="D1540" i="8"/>
  <c r="E1540" i="8"/>
  <c r="F1540" i="8"/>
  <c r="G1540" i="8"/>
  <c r="D1541" i="8"/>
  <c r="E1541" i="8"/>
  <c r="F1541" i="8"/>
  <c r="G1541" i="8"/>
  <c r="D1542" i="8"/>
  <c r="E1542" i="8"/>
  <c r="F1542" i="8"/>
  <c r="G1542" i="8"/>
  <c r="H1542" i="8"/>
  <c r="D1544" i="8"/>
  <c r="F1544" i="8"/>
  <c r="G1544" i="8"/>
  <c r="H1544" i="8"/>
  <c r="D1546" i="8"/>
  <c r="E1546" i="8"/>
  <c r="F1546" i="8"/>
  <c r="G1546" i="8"/>
  <c r="D1547" i="8"/>
  <c r="E1547" i="8"/>
  <c r="F1547" i="8"/>
  <c r="G1547" i="8"/>
  <c r="D1548" i="8"/>
  <c r="E1548" i="8"/>
  <c r="F1548" i="8"/>
  <c r="G1548" i="8"/>
  <c r="A1549" i="8"/>
  <c r="B1549" i="8"/>
  <c r="E1549" i="8"/>
  <c r="F1549" i="8"/>
  <c r="D1551" i="8"/>
  <c r="E1551" i="8"/>
  <c r="F1551" i="8"/>
  <c r="G1551" i="8"/>
  <c r="H1551" i="8"/>
  <c r="D1552" i="8"/>
  <c r="E1552" i="8"/>
  <c r="F1552" i="8"/>
  <c r="G1552" i="8"/>
  <c r="D1553" i="8"/>
  <c r="E1553" i="8"/>
  <c r="F1553" i="8"/>
  <c r="G1553" i="8"/>
  <c r="D1554" i="8"/>
  <c r="E1554" i="8"/>
  <c r="F1554" i="8"/>
  <c r="G1554" i="8"/>
  <c r="D1555" i="8"/>
  <c r="E1555" i="8"/>
  <c r="F1555" i="8"/>
  <c r="G1555" i="8"/>
  <c r="H1555" i="8"/>
  <c r="D1557" i="8"/>
  <c r="F1557" i="8"/>
  <c r="G1557" i="8"/>
  <c r="J1557" i="8"/>
  <c r="J1556" i="8"/>
  <c r="O201" i="1"/>
  <c r="S201" i="1"/>
  <c r="H1557" i="8"/>
  <c r="D1559" i="8"/>
  <c r="E1559" i="8"/>
  <c r="F1559" i="8"/>
  <c r="G1559" i="8"/>
  <c r="D1560" i="8"/>
  <c r="E1560" i="8"/>
  <c r="F1560" i="8"/>
  <c r="G1560" i="8"/>
  <c r="D1561" i="8"/>
  <c r="E1561" i="8"/>
  <c r="F1561" i="8"/>
  <c r="G1561" i="8"/>
  <c r="A1562" i="8"/>
  <c r="B1562" i="8"/>
  <c r="E1562" i="8"/>
  <c r="F1562" i="8"/>
  <c r="D1564" i="8"/>
  <c r="E1564" i="8"/>
  <c r="F1564" i="8"/>
  <c r="G1564" i="8"/>
  <c r="D1565" i="8"/>
  <c r="E1565" i="8"/>
  <c r="F1565" i="8"/>
  <c r="G1565" i="8"/>
  <c r="D1567" i="8"/>
  <c r="F1567" i="8"/>
  <c r="G1567" i="8"/>
  <c r="J1567" i="8"/>
  <c r="J1566" i="8"/>
  <c r="O202" i="1"/>
  <c r="S202" i="1"/>
  <c r="H1567" i="8"/>
  <c r="D1569" i="8"/>
  <c r="E1569" i="8"/>
  <c r="F1569" i="8"/>
  <c r="G1569" i="8"/>
  <c r="D1570" i="8"/>
  <c r="E1570" i="8"/>
  <c r="F1570" i="8"/>
  <c r="G1570" i="8"/>
  <c r="A1571" i="8"/>
  <c r="B1571" i="8"/>
  <c r="E1571" i="8"/>
  <c r="F1571" i="8"/>
  <c r="D1573" i="8"/>
  <c r="E1573" i="8"/>
  <c r="F1573" i="8"/>
  <c r="G1573" i="8"/>
  <c r="H1573" i="8"/>
  <c r="D1574" i="8"/>
  <c r="E1574" i="8"/>
  <c r="F1574" i="8"/>
  <c r="G1574" i="8"/>
  <c r="D1575" i="8"/>
  <c r="E1575" i="8"/>
  <c r="F1575" i="8"/>
  <c r="G1575" i="8"/>
  <c r="J1575" i="8"/>
  <c r="H1575" i="8"/>
  <c r="D1577" i="8"/>
  <c r="F1577" i="8"/>
  <c r="G1577" i="8"/>
  <c r="J1577" i="8"/>
  <c r="J1576" i="8"/>
  <c r="O204" i="1"/>
  <c r="S204" i="1"/>
  <c r="H1577" i="8"/>
  <c r="D1579" i="8"/>
  <c r="E1579" i="8"/>
  <c r="F1579" i="8"/>
  <c r="G1579" i="8"/>
  <c r="D1580" i="8"/>
  <c r="E1580" i="8"/>
  <c r="F1580" i="8"/>
  <c r="G1580" i="8"/>
  <c r="H1580" i="8"/>
  <c r="D1581" i="8"/>
  <c r="E1581" i="8"/>
  <c r="F1581" i="8"/>
  <c r="G1581" i="8"/>
  <c r="D1582" i="8"/>
  <c r="E1582" i="8"/>
  <c r="F1582" i="8"/>
  <c r="G1582" i="8"/>
  <c r="H1582" i="8"/>
  <c r="A1583" i="8"/>
  <c r="B1583" i="8"/>
  <c r="E1583" i="8"/>
  <c r="F1583" i="8"/>
  <c r="D1585" i="8"/>
  <c r="E1585" i="8"/>
  <c r="F1585" i="8"/>
  <c r="G1585" i="8"/>
  <c r="D1586" i="8"/>
  <c r="E1586" i="8"/>
  <c r="F1586" i="8"/>
  <c r="G1586" i="8"/>
  <c r="D1588" i="8"/>
  <c r="F1588" i="8"/>
  <c r="G1588" i="8"/>
  <c r="J1588" i="8"/>
  <c r="J1587" i="8"/>
  <c r="O206" i="1"/>
  <c r="S206" i="1"/>
  <c r="H1588" i="8"/>
  <c r="D1590" i="8"/>
  <c r="E1590" i="8"/>
  <c r="F1590" i="8"/>
  <c r="G1590" i="8"/>
  <c r="H1590" i="8"/>
  <c r="D1591" i="8"/>
  <c r="E1591" i="8"/>
  <c r="F1591" i="8"/>
  <c r="G1591" i="8"/>
  <c r="A1592" i="8"/>
  <c r="B1592" i="8"/>
  <c r="E1592" i="8"/>
  <c r="F1592" i="8"/>
  <c r="D1594" i="8"/>
  <c r="E1594" i="8"/>
  <c r="F1594" i="8"/>
  <c r="G1594" i="8"/>
  <c r="H1594" i="8"/>
  <c r="D1595" i="8"/>
  <c r="E1595" i="8"/>
  <c r="F1595" i="8"/>
  <c r="G1595" i="8"/>
  <c r="D1596" i="8"/>
  <c r="E1596" i="8"/>
  <c r="F1596" i="8"/>
  <c r="G1596" i="8"/>
  <c r="D1598" i="8"/>
  <c r="F1598" i="8"/>
  <c r="G1598" i="8"/>
  <c r="J1598" i="8"/>
  <c r="J1597" i="8"/>
  <c r="O208" i="1"/>
  <c r="S208" i="1"/>
  <c r="H1598" i="8"/>
  <c r="D1600" i="8"/>
  <c r="E1600" i="8"/>
  <c r="F1600" i="8"/>
  <c r="G1600" i="8"/>
  <c r="H1600" i="8"/>
  <c r="D1601" i="8"/>
  <c r="E1601" i="8"/>
  <c r="F1601" i="8"/>
  <c r="G1601" i="8"/>
  <c r="D1602" i="8"/>
  <c r="E1602" i="8"/>
  <c r="F1602" i="8"/>
  <c r="G1602" i="8"/>
  <c r="H1602" i="8"/>
  <c r="A1603" i="8"/>
  <c r="B1603" i="8"/>
  <c r="E1603" i="8"/>
  <c r="F1603" i="8"/>
  <c r="D1605" i="8"/>
  <c r="E1605" i="8"/>
  <c r="F1605" i="8"/>
  <c r="G1605" i="8"/>
  <c r="H1605" i="8"/>
  <c r="D1606" i="8"/>
  <c r="E1606" i="8"/>
  <c r="F1606" i="8"/>
  <c r="G1606" i="8"/>
  <c r="D1607" i="8"/>
  <c r="E1607" i="8"/>
  <c r="F1607" i="8"/>
  <c r="G1607" i="8"/>
  <c r="D1609" i="8"/>
  <c r="F1609" i="8"/>
  <c r="G1609" i="8"/>
  <c r="H1609" i="8"/>
  <c r="J1609" i="8"/>
  <c r="J1608" i="8"/>
  <c r="O210" i="1"/>
  <c r="S210" i="1"/>
  <c r="D1611" i="8"/>
  <c r="E1611" i="8"/>
  <c r="F1611" i="8"/>
  <c r="G1611" i="8"/>
  <c r="H1611" i="8"/>
  <c r="D1612" i="8"/>
  <c r="E1612" i="8"/>
  <c r="F1612" i="8"/>
  <c r="G1612" i="8"/>
  <c r="D1613" i="8"/>
  <c r="E1613" i="8"/>
  <c r="F1613" i="8"/>
  <c r="G1613" i="8"/>
  <c r="A1614" i="8"/>
  <c r="B1614" i="8"/>
  <c r="E1614" i="8"/>
  <c r="F1614" i="8"/>
  <c r="D1616" i="8"/>
  <c r="E1616" i="8"/>
  <c r="F1616" i="8"/>
  <c r="G1616" i="8"/>
  <c r="D1617" i="8"/>
  <c r="E1617" i="8"/>
  <c r="F1617" i="8"/>
  <c r="G1617" i="8"/>
  <c r="H1617" i="8"/>
  <c r="D1619" i="8"/>
  <c r="F1619" i="8"/>
  <c r="G1619" i="8"/>
  <c r="H1619" i="8"/>
  <c r="A1620" i="8"/>
  <c r="B1620" i="8"/>
  <c r="E1620" i="8"/>
  <c r="F1620" i="8"/>
  <c r="D1622" i="8"/>
  <c r="E1622" i="8"/>
  <c r="F1622" i="8"/>
  <c r="G1622" i="8"/>
  <c r="H1622" i="8"/>
  <c r="A1623" i="8"/>
  <c r="B1623" i="8"/>
  <c r="E1623" i="8"/>
  <c r="F1623" i="8"/>
  <c r="D1625" i="8"/>
  <c r="E1625" i="8"/>
  <c r="F1625" i="8"/>
  <c r="G1625" i="8"/>
  <c r="A1626" i="8"/>
  <c r="B1626" i="8"/>
  <c r="E1626" i="8"/>
  <c r="F1626" i="8"/>
  <c r="D1628" i="8"/>
  <c r="E1628" i="8"/>
  <c r="F1628" i="8"/>
  <c r="G1628" i="8"/>
  <c r="H1628" i="8"/>
  <c r="J1628" i="8"/>
  <c r="J1627" i="8"/>
  <c r="M216" i="1"/>
  <c r="Q216" i="1"/>
  <c r="A1629" i="8"/>
  <c r="B1629" i="8"/>
  <c r="E1629" i="8"/>
  <c r="F1629" i="8"/>
  <c r="D1631" i="8"/>
  <c r="E1631" i="8"/>
  <c r="F1631" i="8"/>
  <c r="G1631" i="8"/>
  <c r="D1632" i="8"/>
  <c r="E1632" i="8"/>
  <c r="F1632" i="8"/>
  <c r="G1632" i="8"/>
  <c r="D1633" i="8"/>
  <c r="E1633" i="8"/>
  <c r="F1633" i="8"/>
  <c r="G1633" i="8"/>
  <c r="D1634" i="8"/>
  <c r="E1634" i="8"/>
  <c r="F1634" i="8"/>
  <c r="G1634" i="8"/>
  <c r="H1634" i="8"/>
  <c r="D1635" i="8"/>
  <c r="E1635" i="8"/>
  <c r="F1635" i="8"/>
  <c r="G1635" i="8"/>
  <c r="D1636" i="8"/>
  <c r="E1636" i="8"/>
  <c r="F1636" i="8"/>
  <c r="G1636" i="8"/>
  <c r="H1636" i="8"/>
  <c r="D1638" i="8"/>
  <c r="F1638" i="8"/>
  <c r="G1638" i="8"/>
  <c r="H1638" i="8"/>
  <c r="D1640" i="8"/>
  <c r="E1640" i="8"/>
  <c r="F1640" i="8"/>
  <c r="G1640" i="8"/>
  <c r="D1641" i="8"/>
  <c r="E1641" i="8"/>
  <c r="F1641" i="8"/>
  <c r="G1641" i="8"/>
  <c r="A1642" i="8"/>
  <c r="B1642" i="8"/>
  <c r="E1642" i="8"/>
  <c r="F1642" i="8"/>
  <c r="D1644" i="8"/>
  <c r="E1644" i="8"/>
  <c r="F1644" i="8"/>
  <c r="G1644" i="8"/>
  <c r="J1644" i="8"/>
  <c r="H1644" i="8"/>
  <c r="D1645" i="8"/>
  <c r="E1645" i="8"/>
  <c r="F1645" i="8"/>
  <c r="G1645" i="8"/>
  <c r="D1646" i="8"/>
  <c r="E1646" i="8"/>
  <c r="F1646" i="8"/>
  <c r="G1646" i="8"/>
  <c r="D1648" i="8"/>
  <c r="F1648" i="8"/>
  <c r="G1648" i="8"/>
  <c r="H1648" i="8"/>
  <c r="D1650" i="8"/>
  <c r="E1650" i="8"/>
  <c r="F1650" i="8"/>
  <c r="G1650" i="8"/>
  <c r="D1651" i="8"/>
  <c r="E1651" i="8"/>
  <c r="F1651" i="8"/>
  <c r="G1651" i="8"/>
  <c r="A1652" i="8"/>
  <c r="B1652" i="8"/>
  <c r="E1652" i="8"/>
  <c r="F1652" i="8"/>
  <c r="D1654" i="8"/>
  <c r="E1654" i="8"/>
  <c r="F1654" i="8"/>
  <c r="G1654" i="8"/>
  <c r="D1655" i="8"/>
  <c r="E1655" i="8"/>
  <c r="F1655" i="8"/>
  <c r="G1655" i="8"/>
  <c r="D1657" i="8"/>
  <c r="F1657" i="8"/>
  <c r="G1657" i="8"/>
  <c r="H1657" i="8"/>
  <c r="D1659" i="8"/>
  <c r="E1659" i="8"/>
  <c r="F1659" i="8"/>
  <c r="G1659" i="8"/>
  <c r="A1660" i="8"/>
  <c r="B1660" i="8"/>
  <c r="E1660" i="8"/>
  <c r="F1660" i="8"/>
  <c r="D1662" i="8"/>
  <c r="E1662" i="8"/>
  <c r="F1662" i="8"/>
  <c r="G1662" i="8"/>
  <c r="H1662" i="8"/>
  <c r="J1662" i="8"/>
  <c r="D1663" i="8"/>
  <c r="E1663" i="8"/>
  <c r="F1663" i="8"/>
  <c r="G1663" i="8"/>
  <c r="D1664" i="8"/>
  <c r="E1664" i="8"/>
  <c r="F1664" i="8"/>
  <c r="G1664" i="8"/>
  <c r="D1666" i="8"/>
  <c r="F1666" i="8"/>
  <c r="G1666" i="8"/>
  <c r="H1666" i="8"/>
  <c r="J1666" i="8"/>
  <c r="J1665" i="8"/>
  <c r="O221" i="1"/>
  <c r="S221" i="1"/>
  <c r="D1668" i="8"/>
  <c r="E1668" i="8"/>
  <c r="F1668" i="8"/>
  <c r="G1668" i="8"/>
  <c r="D1669" i="8"/>
  <c r="E1669" i="8"/>
  <c r="F1669" i="8"/>
  <c r="G1669" i="8"/>
  <c r="A1670" i="8"/>
  <c r="B1670" i="8"/>
  <c r="E1670" i="8"/>
  <c r="F1670" i="8"/>
  <c r="D1672" i="8"/>
  <c r="E1672" i="8"/>
  <c r="F1672" i="8"/>
  <c r="G1672" i="8"/>
  <c r="D1673" i="8"/>
  <c r="E1673" i="8"/>
  <c r="F1673" i="8"/>
  <c r="G1673" i="8"/>
  <c r="H1673" i="8"/>
  <c r="D1675" i="8"/>
  <c r="F1675" i="8"/>
  <c r="G1675" i="8"/>
  <c r="H1675" i="8"/>
  <c r="A1676" i="8"/>
  <c r="B1676" i="8"/>
  <c r="E1676" i="8"/>
  <c r="F1676" i="8"/>
  <c r="D1678" i="8"/>
  <c r="E1678" i="8"/>
  <c r="F1678" i="8"/>
  <c r="G1678" i="8"/>
  <c r="H1678" i="8"/>
  <c r="J1678" i="8"/>
  <c r="J1677" i="8"/>
  <c r="M223" i="1"/>
  <c r="Q223" i="1"/>
  <c r="A1679" i="8"/>
  <c r="B1679" i="8"/>
  <c r="E1679" i="8"/>
  <c r="F1679" i="8"/>
  <c r="D1681" i="8"/>
  <c r="E1681" i="8"/>
  <c r="F1681" i="8"/>
  <c r="G1681" i="8"/>
  <c r="H1681" i="8"/>
  <c r="D1682" i="8"/>
  <c r="E1682" i="8"/>
  <c r="F1682" i="8"/>
  <c r="G1682" i="8"/>
  <c r="D1683" i="8"/>
  <c r="E1683" i="8"/>
  <c r="F1683" i="8"/>
  <c r="G1683" i="8"/>
  <c r="D1684" i="8"/>
  <c r="E1684" i="8"/>
  <c r="F1684" i="8"/>
  <c r="G1684" i="8"/>
  <c r="J1684" i="8"/>
  <c r="H1684" i="8"/>
  <c r="D1685" i="8"/>
  <c r="E1685" i="8"/>
  <c r="F1685" i="8"/>
  <c r="G1685" i="8"/>
  <c r="H1685" i="8"/>
  <c r="D1687" i="8"/>
  <c r="F1687" i="8"/>
  <c r="G1687" i="8"/>
  <c r="H1687" i="8"/>
  <c r="D1689" i="8"/>
  <c r="E1689" i="8"/>
  <c r="F1689" i="8"/>
  <c r="G1689" i="8"/>
  <c r="D1690" i="8"/>
  <c r="E1690" i="8"/>
  <c r="F1690" i="8"/>
  <c r="G1690" i="8"/>
  <c r="D1691" i="8"/>
  <c r="E1691" i="8"/>
  <c r="F1691" i="8"/>
  <c r="G1691" i="8"/>
  <c r="H1691" i="8"/>
  <c r="A1692" i="8"/>
  <c r="B1692" i="8"/>
  <c r="E1692" i="8"/>
  <c r="F1692" i="8"/>
  <c r="D1694" i="8"/>
  <c r="E1694" i="8"/>
  <c r="F1694" i="8"/>
  <c r="G1694" i="8"/>
  <c r="D1695" i="8"/>
  <c r="E1695" i="8"/>
  <c r="F1695" i="8"/>
  <c r="G1695" i="8"/>
  <c r="D1697" i="8"/>
  <c r="F1697" i="8"/>
  <c r="G1697" i="8"/>
  <c r="J1697" i="8"/>
  <c r="J1696" i="8"/>
  <c r="O226" i="1"/>
  <c r="S226" i="1"/>
  <c r="H1697" i="8"/>
  <c r="D1699" i="8"/>
  <c r="E1699" i="8"/>
  <c r="F1699" i="8"/>
  <c r="G1699" i="8"/>
  <c r="A1700" i="8"/>
  <c r="B1700" i="8"/>
  <c r="E1700" i="8"/>
  <c r="F1700" i="8"/>
  <c r="D1702" i="8"/>
  <c r="E1702" i="8"/>
  <c r="F1702" i="8"/>
  <c r="G1702" i="8"/>
  <c r="H1702" i="8"/>
  <c r="D1703" i="8"/>
  <c r="E1703" i="8"/>
  <c r="F1703" i="8"/>
  <c r="G1703" i="8"/>
  <c r="D1704" i="8"/>
  <c r="E1704" i="8"/>
  <c r="F1704" i="8"/>
  <c r="G1704" i="8"/>
  <c r="D1706" i="8"/>
  <c r="F1706" i="8"/>
  <c r="G1706" i="8"/>
  <c r="H1706" i="8"/>
  <c r="D1708" i="8"/>
  <c r="E1708" i="8"/>
  <c r="F1708" i="8"/>
  <c r="G1708" i="8"/>
  <c r="D1709" i="8"/>
  <c r="E1709" i="8"/>
  <c r="F1709" i="8"/>
  <c r="G1709" i="8"/>
  <c r="A1710" i="8"/>
  <c r="B1710" i="8"/>
  <c r="E1710" i="8"/>
  <c r="F1710" i="8"/>
  <c r="D1712" i="8"/>
  <c r="E1712" i="8"/>
  <c r="F1712" i="8"/>
  <c r="G1712" i="8"/>
  <c r="J1712" i="8"/>
  <c r="H1712" i="8"/>
  <c r="D1713" i="8"/>
  <c r="E1713" i="8"/>
  <c r="F1713" i="8"/>
  <c r="G1713" i="8"/>
  <c r="D1714" i="8"/>
  <c r="E1714" i="8"/>
  <c r="F1714" i="8"/>
  <c r="G1714" i="8"/>
  <c r="D1716" i="8"/>
  <c r="F1716" i="8"/>
  <c r="G1716" i="8"/>
  <c r="H1716" i="8"/>
  <c r="D1718" i="8"/>
  <c r="E1718" i="8"/>
  <c r="F1718" i="8"/>
  <c r="G1718" i="8"/>
  <c r="D1719" i="8"/>
  <c r="E1719" i="8"/>
  <c r="F1719" i="8"/>
  <c r="G1719" i="8"/>
  <c r="A1720" i="8"/>
  <c r="B1720" i="8"/>
  <c r="E1720" i="8"/>
  <c r="F1720" i="8"/>
  <c r="D1722" i="8"/>
  <c r="E1722" i="8"/>
  <c r="F1722" i="8"/>
  <c r="G1722" i="8"/>
  <c r="D1723" i="8"/>
  <c r="E1723" i="8"/>
  <c r="F1723" i="8"/>
  <c r="G1723" i="8"/>
  <c r="H1723" i="8"/>
  <c r="D1724" i="8"/>
  <c r="E1724" i="8"/>
  <c r="F1724" i="8"/>
  <c r="G1724" i="8"/>
  <c r="H1724" i="8"/>
  <c r="J1724" i="8"/>
  <c r="D1725" i="8"/>
  <c r="E1725" i="8"/>
  <c r="F1725" i="8"/>
  <c r="G1725" i="8"/>
  <c r="D1726" i="8"/>
  <c r="E1726" i="8"/>
  <c r="F1726" i="8"/>
  <c r="G1726" i="8"/>
  <c r="H1726" i="8"/>
  <c r="D1727" i="8"/>
  <c r="E1727" i="8"/>
  <c r="F1727" i="8"/>
  <c r="G1727" i="8"/>
  <c r="D1728" i="8"/>
  <c r="E1728" i="8"/>
  <c r="F1728" i="8"/>
  <c r="G1728" i="8"/>
  <c r="H1728" i="8"/>
  <c r="D1730" i="8"/>
  <c r="F1730" i="8"/>
  <c r="G1730" i="8"/>
  <c r="H1730" i="8"/>
  <c r="J1730" i="8"/>
  <c r="J1729" i="8"/>
  <c r="O229" i="1"/>
  <c r="D1732" i="8"/>
  <c r="E1732" i="8"/>
  <c r="F1732" i="8"/>
  <c r="G1732" i="8"/>
  <c r="D1733" i="8"/>
  <c r="E1733" i="8"/>
  <c r="F1733" i="8"/>
  <c r="G1733" i="8"/>
  <c r="D1734" i="8"/>
  <c r="E1734" i="8"/>
  <c r="F1734" i="8"/>
  <c r="G1734" i="8"/>
  <c r="D1735" i="8"/>
  <c r="E1735" i="8"/>
  <c r="F1735" i="8"/>
  <c r="G1735" i="8"/>
  <c r="H1735" i="8"/>
  <c r="A1736" i="8"/>
  <c r="B1736" i="8"/>
  <c r="E1736" i="8"/>
  <c r="F1736" i="8"/>
  <c r="D1738" i="8"/>
  <c r="E1738" i="8"/>
  <c r="F1738" i="8"/>
  <c r="G1738" i="8"/>
  <c r="H1738" i="8"/>
  <c r="D1739" i="8"/>
  <c r="E1739" i="8"/>
  <c r="F1739" i="8"/>
  <c r="G1739" i="8"/>
  <c r="D1740" i="8"/>
  <c r="E1740" i="8"/>
  <c r="F1740" i="8"/>
  <c r="G1740" i="8"/>
  <c r="D1741" i="8"/>
  <c r="E1741" i="8"/>
  <c r="F1741" i="8"/>
  <c r="G1741" i="8"/>
  <c r="H1741" i="8"/>
  <c r="D1743" i="8"/>
  <c r="F1743" i="8"/>
  <c r="G1743" i="8"/>
  <c r="H1743" i="8"/>
  <c r="D1745" i="8"/>
  <c r="E1745" i="8"/>
  <c r="F1745" i="8"/>
  <c r="G1745" i="8"/>
  <c r="D1746" i="8"/>
  <c r="E1746" i="8"/>
  <c r="F1746" i="8"/>
  <c r="G1746" i="8"/>
  <c r="H1746" i="8"/>
  <c r="A1747" i="8"/>
  <c r="B1747" i="8"/>
  <c r="E1747" i="8"/>
  <c r="F1747" i="8"/>
  <c r="D1749" i="8"/>
  <c r="E1749" i="8"/>
  <c r="F1749" i="8"/>
  <c r="G1749" i="8"/>
  <c r="H1749" i="8"/>
  <c r="D1750" i="8"/>
  <c r="E1750" i="8"/>
  <c r="F1750" i="8"/>
  <c r="G1750" i="8"/>
  <c r="J1750" i="8"/>
  <c r="H1750" i="8"/>
  <c r="D1751" i="8"/>
  <c r="E1751" i="8"/>
  <c r="F1751" i="8"/>
  <c r="G1751" i="8"/>
  <c r="D1752" i="8"/>
  <c r="E1752" i="8"/>
  <c r="F1752" i="8"/>
  <c r="G1752" i="8"/>
  <c r="D1753" i="8"/>
  <c r="E1753" i="8"/>
  <c r="F1753" i="8"/>
  <c r="G1753" i="8"/>
  <c r="D1754" i="8"/>
  <c r="E1754" i="8"/>
  <c r="F1754" i="8"/>
  <c r="G1754" i="8"/>
  <c r="D1755" i="8"/>
  <c r="E1755" i="8"/>
  <c r="F1755" i="8"/>
  <c r="G1755" i="8"/>
  <c r="H1755" i="8"/>
  <c r="D1757" i="8"/>
  <c r="F1757" i="8"/>
  <c r="G1757" i="8"/>
  <c r="H1757" i="8"/>
  <c r="D1759" i="8"/>
  <c r="E1759" i="8"/>
  <c r="F1759" i="8"/>
  <c r="G1759" i="8"/>
  <c r="J1759" i="8"/>
  <c r="D1760" i="8"/>
  <c r="E1760" i="8"/>
  <c r="F1760" i="8"/>
  <c r="G1760" i="8"/>
  <c r="D1761" i="8"/>
  <c r="E1761" i="8"/>
  <c r="F1761" i="8"/>
  <c r="G1761" i="8"/>
  <c r="H1761" i="8"/>
  <c r="J1761" i="8"/>
  <c r="D1762" i="8"/>
  <c r="E1762" i="8"/>
  <c r="F1762" i="8"/>
  <c r="G1762" i="8"/>
  <c r="A1763" i="8"/>
  <c r="B1763" i="8"/>
  <c r="E1763" i="8"/>
  <c r="F1763" i="8"/>
  <c r="D1765" i="8"/>
  <c r="E1765" i="8"/>
  <c r="F1765" i="8"/>
  <c r="G1765" i="8"/>
  <c r="D1766" i="8"/>
  <c r="E1766" i="8"/>
  <c r="F1766" i="8"/>
  <c r="G1766" i="8"/>
  <c r="H1766" i="8"/>
  <c r="D1768" i="8"/>
  <c r="F1768" i="8"/>
  <c r="G1768" i="8"/>
  <c r="H1768" i="8"/>
  <c r="D1770" i="8"/>
  <c r="E1770" i="8"/>
  <c r="F1770" i="8"/>
  <c r="G1770" i="8"/>
  <c r="H1770" i="8"/>
  <c r="D1771" i="8"/>
  <c r="E1771" i="8"/>
  <c r="F1771" i="8"/>
  <c r="G1771" i="8"/>
  <c r="A1772" i="8"/>
  <c r="B1772" i="8"/>
  <c r="E1772" i="8"/>
  <c r="F1772" i="8"/>
  <c r="D1774" i="8"/>
  <c r="E1774" i="8"/>
  <c r="F1774" i="8"/>
  <c r="G1774" i="8"/>
  <c r="D1775" i="8"/>
  <c r="E1775" i="8"/>
  <c r="F1775" i="8"/>
  <c r="G1775" i="8"/>
  <c r="H1775" i="8"/>
  <c r="D1777" i="8"/>
  <c r="F1777" i="8"/>
  <c r="G1777" i="8"/>
  <c r="J1777" i="8"/>
  <c r="J1776" i="8"/>
  <c r="O233" i="1"/>
  <c r="H1777" i="8"/>
  <c r="D1779" i="8"/>
  <c r="E1779" i="8"/>
  <c r="F1779" i="8"/>
  <c r="G1779" i="8"/>
  <c r="H1779" i="8"/>
  <c r="D1780" i="8"/>
  <c r="E1780" i="8"/>
  <c r="F1780" i="8"/>
  <c r="G1780" i="8"/>
  <c r="A1781" i="8"/>
  <c r="B1781" i="8"/>
  <c r="E1781" i="8"/>
  <c r="F1781" i="8"/>
  <c r="D1783" i="8"/>
  <c r="E1783" i="8"/>
  <c r="F1783" i="8"/>
  <c r="G1783" i="8"/>
  <c r="H1783" i="8"/>
  <c r="D1784" i="8"/>
  <c r="E1784" i="8"/>
  <c r="F1784" i="8"/>
  <c r="G1784" i="8"/>
  <c r="D1785" i="8"/>
  <c r="E1785" i="8"/>
  <c r="F1785" i="8"/>
  <c r="G1785" i="8"/>
  <c r="H1785" i="8"/>
  <c r="D1787" i="8"/>
  <c r="F1787" i="8"/>
  <c r="G1787" i="8"/>
  <c r="H1787" i="8"/>
  <c r="D1789" i="8"/>
  <c r="E1789" i="8"/>
  <c r="F1789" i="8"/>
  <c r="G1789" i="8"/>
  <c r="D1790" i="8"/>
  <c r="E1790" i="8"/>
  <c r="F1790" i="8"/>
  <c r="G1790" i="8"/>
  <c r="H1790" i="8"/>
  <c r="A1791" i="8"/>
  <c r="B1791" i="8"/>
  <c r="E1791" i="8"/>
  <c r="F1791" i="8"/>
  <c r="D1793" i="8"/>
  <c r="E1793" i="8"/>
  <c r="F1793" i="8"/>
  <c r="G1793" i="8"/>
  <c r="H1793" i="8"/>
  <c r="D1795" i="8"/>
  <c r="F1795" i="8"/>
  <c r="G1795" i="8"/>
  <c r="J1795" i="8"/>
  <c r="J1794" i="8"/>
  <c r="O235" i="1"/>
  <c r="S235" i="1"/>
  <c r="H1795" i="8"/>
  <c r="D1797" i="8"/>
  <c r="E1797" i="8"/>
  <c r="F1797" i="8"/>
  <c r="G1797" i="8"/>
  <c r="J1797" i="8"/>
  <c r="H1797" i="8"/>
  <c r="D1798" i="8"/>
  <c r="E1798" i="8"/>
  <c r="F1798" i="8"/>
  <c r="G1798" i="8"/>
  <c r="H1798" i="8"/>
  <c r="D1799" i="8"/>
  <c r="E1799" i="8"/>
  <c r="F1799" i="8"/>
  <c r="G1799" i="8"/>
  <c r="J1799" i="8"/>
  <c r="H1799" i="8"/>
  <c r="D1800" i="8"/>
  <c r="E1800" i="8"/>
  <c r="F1800" i="8"/>
  <c r="G1800" i="8"/>
  <c r="A1801" i="8"/>
  <c r="B1801" i="8"/>
  <c r="E1801" i="8"/>
  <c r="F1801" i="8"/>
  <c r="D1803" i="8"/>
  <c r="E1803" i="8"/>
  <c r="F1803" i="8"/>
  <c r="G1803" i="8"/>
  <c r="D1804" i="8"/>
  <c r="E1804" i="8"/>
  <c r="F1804" i="8"/>
  <c r="G1804" i="8"/>
  <c r="H1804" i="8"/>
  <c r="D1806" i="8"/>
  <c r="F1806" i="8"/>
  <c r="G1806" i="8"/>
  <c r="H1806" i="8"/>
  <c r="D1808" i="8"/>
  <c r="E1808" i="8"/>
  <c r="F1808" i="8"/>
  <c r="G1808" i="8"/>
  <c r="J1808" i="8"/>
  <c r="H1808" i="8"/>
  <c r="D1809" i="8"/>
  <c r="E1809" i="8"/>
  <c r="F1809" i="8"/>
  <c r="G1809" i="8"/>
  <c r="A1810" i="8"/>
  <c r="B1810" i="8"/>
  <c r="E1810" i="8"/>
  <c r="F1810" i="8"/>
  <c r="D1812" i="8"/>
  <c r="F1812" i="8"/>
  <c r="G1812" i="8"/>
  <c r="J1812" i="8"/>
  <c r="J1811" i="8"/>
  <c r="O238" i="1"/>
  <c r="S238" i="1"/>
  <c r="H1812" i="8"/>
  <c r="D1814" i="8"/>
  <c r="E1814" i="8"/>
  <c r="F1814" i="8"/>
  <c r="G1814" i="8"/>
  <c r="J1814" i="8"/>
  <c r="J1813" i="8"/>
  <c r="P238" i="1"/>
  <c r="T238" i="1"/>
  <c r="H1814" i="8"/>
  <c r="A1815" i="8"/>
  <c r="B1815" i="8"/>
  <c r="E1815" i="8"/>
  <c r="F1815" i="8"/>
  <c r="D1817" i="8"/>
  <c r="F1817" i="8"/>
  <c r="G1817" i="8"/>
  <c r="H1817" i="8"/>
  <c r="D1819" i="8"/>
  <c r="E1819" i="8"/>
  <c r="F1819" i="8"/>
  <c r="G1819" i="8"/>
  <c r="H1819" i="8"/>
  <c r="A1820" i="8"/>
  <c r="B1820" i="8"/>
  <c r="E1820" i="8"/>
  <c r="F1820" i="8"/>
  <c r="D1822" i="8"/>
  <c r="E1822" i="8"/>
  <c r="F1822" i="8"/>
  <c r="G1822" i="8"/>
  <c r="D1824" i="8"/>
  <c r="F1824" i="8"/>
  <c r="G1824" i="8"/>
  <c r="H1824" i="8"/>
  <c r="D1826" i="8"/>
  <c r="E1826" i="8"/>
  <c r="F1826" i="8"/>
  <c r="G1826" i="8"/>
  <c r="H1826" i="8"/>
  <c r="D1827" i="8"/>
  <c r="E1827" i="8"/>
  <c r="F1827" i="8"/>
  <c r="G1827" i="8"/>
  <c r="D1828" i="8"/>
  <c r="E1828" i="8"/>
  <c r="F1828" i="8"/>
  <c r="G1828" i="8"/>
  <c r="D1829" i="8"/>
  <c r="E1829" i="8"/>
  <c r="F1829" i="8"/>
  <c r="G1829" i="8"/>
  <c r="D1830" i="8"/>
  <c r="E1830" i="8"/>
  <c r="F1830" i="8"/>
  <c r="G1830" i="8"/>
  <c r="H1830" i="8"/>
  <c r="D1831" i="8"/>
  <c r="E1831" i="8"/>
  <c r="F1831" i="8"/>
  <c r="G1831" i="8"/>
  <c r="A1832" i="8"/>
  <c r="B1832" i="8"/>
  <c r="E1832" i="8"/>
  <c r="F1832" i="8"/>
  <c r="D1834" i="8"/>
  <c r="E1834" i="8"/>
  <c r="F1834" i="8"/>
  <c r="G1834" i="8"/>
  <c r="D1836" i="8"/>
  <c r="F1836" i="8"/>
  <c r="G1836" i="8"/>
  <c r="J1836" i="8"/>
  <c r="J1835" i="8"/>
  <c r="O242" i="1"/>
  <c r="H1836" i="8"/>
  <c r="D1838" i="8"/>
  <c r="E1838" i="8"/>
  <c r="F1838" i="8"/>
  <c r="G1838" i="8"/>
  <c r="D1839" i="8"/>
  <c r="E1839" i="8"/>
  <c r="F1839" i="8"/>
  <c r="G1839" i="8"/>
  <c r="D1840" i="8"/>
  <c r="E1840" i="8"/>
  <c r="F1840" i="8"/>
  <c r="G1840" i="8"/>
  <c r="A1841" i="8"/>
  <c r="B1841" i="8"/>
  <c r="E1841" i="8"/>
  <c r="F1841" i="8"/>
  <c r="D1843" i="8"/>
  <c r="F1843" i="8"/>
  <c r="G1843" i="8"/>
  <c r="H1843" i="8"/>
  <c r="J1843" i="8"/>
  <c r="J1842" i="8"/>
  <c r="O243" i="1"/>
  <c r="S243" i="1"/>
  <c r="D1845" i="8"/>
  <c r="E1845" i="8"/>
  <c r="F1845" i="8"/>
  <c r="G1845" i="8"/>
  <c r="H1845" i="8"/>
  <c r="D1846" i="8"/>
  <c r="E1846" i="8"/>
  <c r="F1846" i="8"/>
  <c r="G1846" i="8"/>
  <c r="H1846" i="8"/>
  <c r="A1847" i="8"/>
  <c r="B1847" i="8"/>
  <c r="E1847" i="8"/>
  <c r="F1847" i="8"/>
  <c r="D1849" i="8"/>
  <c r="F1849" i="8"/>
  <c r="G1849" i="8"/>
  <c r="J1849" i="8"/>
  <c r="J1848" i="8"/>
  <c r="O244" i="1"/>
  <c r="H1849" i="8"/>
  <c r="D1851" i="8"/>
  <c r="E1851" i="8"/>
  <c r="F1851" i="8"/>
  <c r="G1851" i="8"/>
  <c r="A1852" i="8"/>
  <c r="B1852" i="8"/>
  <c r="E1852" i="8"/>
  <c r="F1852" i="8"/>
  <c r="D1854" i="8"/>
  <c r="F1854" i="8"/>
  <c r="G1854" i="8"/>
  <c r="H1854" i="8"/>
  <c r="D1856" i="8"/>
  <c r="E1856" i="8"/>
  <c r="F1856" i="8"/>
  <c r="G1856" i="8"/>
  <c r="H1856" i="8"/>
  <c r="J1856" i="8"/>
  <c r="D1857" i="8"/>
  <c r="E1857" i="8"/>
  <c r="F1857" i="8"/>
  <c r="G1857" i="8"/>
  <c r="D1858" i="8"/>
  <c r="E1858" i="8"/>
  <c r="F1858" i="8"/>
  <c r="G1858" i="8"/>
  <c r="H1858" i="8"/>
  <c r="A1859" i="8"/>
  <c r="B1859" i="8"/>
  <c r="E1859" i="8"/>
  <c r="F1859" i="8"/>
  <c r="D1861" i="8"/>
  <c r="E1861" i="8"/>
  <c r="F1861" i="8"/>
  <c r="G1861" i="8"/>
  <c r="A1862" i="8"/>
  <c r="B1862" i="8"/>
  <c r="E1862" i="8"/>
  <c r="F1862" i="8"/>
  <c r="D1864" i="8"/>
  <c r="E1864" i="8"/>
  <c r="F1864" i="8"/>
  <c r="G1864" i="8"/>
  <c r="H1864" i="8"/>
  <c r="J1864" i="8"/>
  <c r="D1865" i="8"/>
  <c r="E1865" i="8"/>
  <c r="F1865" i="8"/>
  <c r="G1865" i="8"/>
  <c r="D1866" i="8"/>
  <c r="E1866" i="8"/>
  <c r="F1866" i="8"/>
  <c r="G1866" i="8"/>
  <c r="D1867" i="8"/>
  <c r="E1867" i="8"/>
  <c r="F1867" i="8"/>
  <c r="G1867" i="8"/>
  <c r="H1867" i="8"/>
  <c r="D1868" i="8"/>
  <c r="E1868" i="8"/>
  <c r="F1868" i="8"/>
  <c r="G1868" i="8"/>
  <c r="H1868" i="8"/>
  <c r="D1870" i="8"/>
  <c r="F1870" i="8"/>
  <c r="G1870" i="8"/>
  <c r="J1870" i="8"/>
  <c r="J1869" i="8"/>
  <c r="O247" i="1"/>
  <c r="S247" i="1"/>
  <c r="H1870" i="8"/>
  <c r="D1872" i="8"/>
  <c r="E1872" i="8"/>
  <c r="F1872" i="8"/>
  <c r="G1872" i="8"/>
  <c r="D1873" i="8"/>
  <c r="E1873" i="8"/>
  <c r="F1873" i="8"/>
  <c r="G1873" i="8"/>
  <c r="H1873" i="8"/>
  <c r="D1874" i="8"/>
  <c r="E1874" i="8"/>
  <c r="F1874" i="8"/>
  <c r="G1874" i="8"/>
  <c r="A1875" i="8"/>
  <c r="B1875" i="8"/>
  <c r="E1875" i="8"/>
  <c r="F1875" i="8"/>
  <c r="D1877" i="8"/>
  <c r="E1877" i="8"/>
  <c r="F1877" i="8"/>
  <c r="G1877" i="8"/>
  <c r="H1877" i="8"/>
  <c r="D1878" i="8"/>
  <c r="E1878" i="8"/>
  <c r="F1878" i="8"/>
  <c r="G1878" i="8"/>
  <c r="D1879" i="8"/>
  <c r="E1879" i="8"/>
  <c r="F1879" i="8"/>
  <c r="G1879" i="8"/>
  <c r="H1879" i="8"/>
  <c r="D1881" i="8"/>
  <c r="F1881" i="8"/>
  <c r="G1881" i="8"/>
  <c r="H1881" i="8"/>
  <c r="D1883" i="8"/>
  <c r="E1883" i="8"/>
  <c r="F1883" i="8"/>
  <c r="G1883" i="8"/>
  <c r="A1884" i="8"/>
  <c r="B1884" i="8"/>
  <c r="E1884" i="8"/>
  <c r="F1884" i="8"/>
  <c r="D1886" i="8"/>
  <c r="E1886" i="8"/>
  <c r="F1886" i="8"/>
  <c r="G1886" i="8"/>
  <c r="H1886" i="8"/>
  <c r="D1887" i="8"/>
  <c r="E1887" i="8"/>
  <c r="F1887" i="8"/>
  <c r="G1887" i="8"/>
  <c r="D1888" i="8"/>
  <c r="E1888" i="8"/>
  <c r="F1888" i="8"/>
  <c r="G1888" i="8"/>
  <c r="D1889" i="8"/>
  <c r="E1889" i="8"/>
  <c r="F1889" i="8"/>
  <c r="G1889" i="8"/>
  <c r="D1890" i="8"/>
  <c r="E1890" i="8"/>
  <c r="F1890" i="8"/>
  <c r="G1890" i="8"/>
  <c r="H1890" i="8"/>
  <c r="D1892" i="8"/>
  <c r="F1892" i="8"/>
  <c r="G1892" i="8"/>
  <c r="J1892" i="8"/>
  <c r="J1891" i="8"/>
  <c r="O249" i="1"/>
  <c r="S249" i="1"/>
  <c r="H1892" i="8"/>
  <c r="D1894" i="8"/>
  <c r="E1894" i="8"/>
  <c r="F1894" i="8"/>
  <c r="G1894" i="8"/>
  <c r="D1895" i="8"/>
  <c r="E1895" i="8"/>
  <c r="F1895" i="8"/>
  <c r="G1895" i="8"/>
  <c r="H1895" i="8"/>
  <c r="J1895" i="8"/>
  <c r="D1896" i="8"/>
  <c r="E1896" i="8"/>
  <c r="F1896" i="8"/>
  <c r="G1896" i="8"/>
  <c r="A1897" i="8"/>
  <c r="B1897" i="8"/>
  <c r="E1897" i="8"/>
  <c r="F1897" i="8"/>
  <c r="D1899" i="8"/>
  <c r="E1899" i="8"/>
  <c r="F1899" i="8"/>
  <c r="G1899" i="8"/>
  <c r="H1899" i="8"/>
  <c r="D1900" i="8"/>
  <c r="E1900" i="8"/>
  <c r="F1900" i="8"/>
  <c r="G1900" i="8"/>
  <c r="D1901" i="8"/>
  <c r="E1901" i="8"/>
  <c r="F1901" i="8"/>
  <c r="G1901" i="8"/>
  <c r="D1902" i="8"/>
  <c r="E1902" i="8"/>
  <c r="F1902" i="8"/>
  <c r="G1902" i="8"/>
  <c r="J1902" i="8"/>
  <c r="H1902" i="8"/>
  <c r="D1903" i="8"/>
  <c r="E1903" i="8"/>
  <c r="F1903" i="8"/>
  <c r="G1903" i="8"/>
  <c r="H1903" i="8"/>
  <c r="D1905" i="8"/>
  <c r="F1905" i="8"/>
  <c r="G1905" i="8"/>
  <c r="H1905" i="8"/>
  <c r="J1905" i="8"/>
  <c r="J1904" i="8"/>
  <c r="O250" i="1"/>
  <c r="S250" i="1"/>
  <c r="D1907" i="8"/>
  <c r="E1907" i="8"/>
  <c r="F1907" i="8"/>
  <c r="G1907" i="8"/>
  <c r="A1908" i="8"/>
  <c r="B1908" i="8"/>
  <c r="E1908" i="8"/>
  <c r="F1908" i="8"/>
  <c r="D1910" i="8"/>
  <c r="E1910" i="8"/>
  <c r="F1910" i="8"/>
  <c r="G1910" i="8"/>
  <c r="H1910" i="8"/>
  <c r="D1911" i="8"/>
  <c r="E1911" i="8"/>
  <c r="F1911" i="8"/>
  <c r="G1911" i="8"/>
  <c r="D1912" i="8"/>
  <c r="E1912" i="8"/>
  <c r="F1912" i="8"/>
  <c r="G1912" i="8"/>
  <c r="D1913" i="8"/>
  <c r="E1913" i="8"/>
  <c r="F1913" i="8"/>
  <c r="G1913" i="8"/>
  <c r="H1913" i="8"/>
  <c r="D1915" i="8"/>
  <c r="F1915" i="8"/>
  <c r="G1915" i="8"/>
  <c r="H1915" i="8"/>
  <c r="D1917" i="8"/>
  <c r="E1917" i="8"/>
  <c r="F1917" i="8"/>
  <c r="G1917" i="8"/>
  <c r="H1917" i="8"/>
  <c r="D1918" i="8"/>
  <c r="E1918" i="8"/>
  <c r="F1918" i="8"/>
  <c r="G1918" i="8"/>
  <c r="A1919" i="8"/>
  <c r="B1919" i="8"/>
  <c r="E1919" i="8"/>
  <c r="F1919" i="8"/>
  <c r="D1921" i="8"/>
  <c r="E1921" i="8"/>
  <c r="F1921" i="8"/>
  <c r="G1921" i="8"/>
  <c r="H1921" i="8"/>
  <c r="D1922" i="8"/>
  <c r="E1922" i="8"/>
  <c r="F1922" i="8"/>
  <c r="G1922" i="8"/>
  <c r="D1923" i="8"/>
  <c r="E1923" i="8"/>
  <c r="F1923" i="8"/>
  <c r="G1923" i="8"/>
  <c r="H1923" i="8"/>
  <c r="D1924" i="8"/>
  <c r="E1924" i="8"/>
  <c r="F1924" i="8"/>
  <c r="G1924" i="8"/>
  <c r="H1924" i="8"/>
  <c r="D1926" i="8"/>
  <c r="F1926" i="8"/>
  <c r="G1926" i="8"/>
  <c r="H1926" i="8"/>
  <c r="A1927" i="8"/>
  <c r="B1927" i="8"/>
  <c r="E1927" i="8"/>
  <c r="F1927" i="8"/>
  <c r="D1929" i="8"/>
  <c r="E1929" i="8"/>
  <c r="F1929" i="8"/>
  <c r="G1929" i="8"/>
  <c r="D1930" i="8"/>
  <c r="E1930" i="8"/>
  <c r="F1930" i="8"/>
  <c r="G1930" i="8"/>
  <c r="H1930" i="8"/>
  <c r="D1932" i="8"/>
  <c r="F1932" i="8"/>
  <c r="G1932" i="8"/>
  <c r="H1932" i="8"/>
  <c r="A1933" i="8"/>
  <c r="B1933" i="8"/>
  <c r="E1933" i="8"/>
  <c r="F1933" i="8"/>
  <c r="D1935" i="8"/>
  <c r="E1935" i="8"/>
  <c r="F1935" i="8"/>
  <c r="G1935" i="8"/>
  <c r="H1935" i="8"/>
  <c r="J1935" i="8"/>
  <c r="D1936" i="8"/>
  <c r="E1936" i="8"/>
  <c r="F1936" i="8"/>
  <c r="G1936" i="8"/>
  <c r="D1937" i="8"/>
  <c r="E1937" i="8"/>
  <c r="F1937" i="8"/>
  <c r="G1937" i="8"/>
  <c r="D1938" i="8"/>
  <c r="E1938" i="8"/>
  <c r="F1938" i="8"/>
  <c r="G1938" i="8"/>
  <c r="H1938" i="8"/>
  <c r="D1939" i="8"/>
  <c r="E1939" i="8"/>
  <c r="F1939" i="8"/>
  <c r="G1939" i="8"/>
  <c r="H1939" i="8"/>
  <c r="D1941" i="8"/>
  <c r="F1941" i="8"/>
  <c r="G1941" i="8"/>
  <c r="H1941" i="8"/>
  <c r="D1943" i="8"/>
  <c r="E1943" i="8"/>
  <c r="F1943" i="8"/>
  <c r="G1943" i="8"/>
  <c r="D1944" i="8"/>
  <c r="E1944" i="8"/>
  <c r="F1944" i="8"/>
  <c r="G1944" i="8"/>
  <c r="A1945" i="8"/>
  <c r="B1945" i="8"/>
  <c r="E1945" i="8"/>
  <c r="F1945" i="8"/>
  <c r="D1947" i="8"/>
  <c r="E1947" i="8"/>
  <c r="F1947" i="8"/>
  <c r="G1947" i="8"/>
  <c r="H1947" i="8"/>
  <c r="D1948" i="8"/>
  <c r="E1948" i="8"/>
  <c r="F1948" i="8"/>
  <c r="G1948" i="8"/>
  <c r="D1949" i="8"/>
  <c r="E1949" i="8"/>
  <c r="F1949" i="8"/>
  <c r="G1949" i="8"/>
  <c r="D1950" i="8"/>
  <c r="E1950" i="8"/>
  <c r="F1950" i="8"/>
  <c r="G1950" i="8"/>
  <c r="D1951" i="8"/>
  <c r="E1951" i="8"/>
  <c r="F1951" i="8"/>
  <c r="G1951" i="8"/>
  <c r="H1951" i="8"/>
  <c r="D1953" i="8"/>
  <c r="F1953" i="8"/>
  <c r="G1953" i="8"/>
  <c r="H1953" i="8"/>
  <c r="D1955" i="8"/>
  <c r="E1955" i="8"/>
  <c r="F1955" i="8"/>
  <c r="G1955" i="8"/>
  <c r="D1956" i="8"/>
  <c r="E1956" i="8"/>
  <c r="F1956" i="8"/>
  <c r="G1956" i="8"/>
  <c r="H1956" i="8"/>
  <c r="D1957" i="8"/>
  <c r="E1957" i="8"/>
  <c r="F1957" i="8"/>
  <c r="G1957" i="8"/>
  <c r="A1958" i="8"/>
  <c r="B1958" i="8"/>
  <c r="E1958" i="8"/>
  <c r="F1958" i="8"/>
  <c r="D1960" i="8"/>
  <c r="E1960" i="8"/>
  <c r="F1960" i="8"/>
  <c r="G1960" i="8"/>
  <c r="D1961" i="8"/>
  <c r="E1961" i="8"/>
  <c r="F1961" i="8"/>
  <c r="G1961" i="8"/>
  <c r="D1963" i="8"/>
  <c r="F1963" i="8"/>
  <c r="G1963" i="8"/>
  <c r="H1963" i="8"/>
  <c r="D1965" i="8"/>
  <c r="E1965" i="8"/>
  <c r="F1965" i="8"/>
  <c r="G1965" i="8"/>
  <c r="A1966" i="8"/>
  <c r="B1966" i="8"/>
  <c r="E1966" i="8"/>
  <c r="F1966" i="8"/>
  <c r="D1968" i="8"/>
  <c r="E1968" i="8"/>
  <c r="F1968" i="8"/>
  <c r="G1968" i="8"/>
  <c r="H1968" i="8"/>
  <c r="D1969" i="8"/>
  <c r="E1969" i="8"/>
  <c r="F1969" i="8"/>
  <c r="G1969" i="8"/>
  <c r="D1970" i="8"/>
  <c r="E1970" i="8"/>
  <c r="F1970" i="8"/>
  <c r="G1970" i="8"/>
  <c r="D1972" i="8"/>
  <c r="F1972" i="8"/>
  <c r="G1972" i="8"/>
  <c r="H1972" i="8"/>
  <c r="D1974" i="8"/>
  <c r="E1974" i="8"/>
  <c r="F1974" i="8"/>
  <c r="G1974" i="8"/>
  <c r="D1975" i="8"/>
  <c r="E1975" i="8"/>
  <c r="F1975" i="8"/>
  <c r="G1975" i="8"/>
  <c r="A1976" i="8"/>
  <c r="B1976" i="8"/>
  <c r="E1976" i="8"/>
  <c r="F1976" i="8"/>
  <c r="D1978" i="8"/>
  <c r="E1978" i="8"/>
  <c r="F1978" i="8"/>
  <c r="G1978" i="8"/>
  <c r="H1978" i="8"/>
  <c r="D1979" i="8"/>
  <c r="E1979" i="8"/>
  <c r="F1979" i="8"/>
  <c r="G1979" i="8"/>
  <c r="D1980" i="8"/>
  <c r="E1980" i="8"/>
  <c r="F1980" i="8"/>
  <c r="G1980" i="8"/>
  <c r="H1980" i="8"/>
  <c r="D1982" i="8"/>
  <c r="F1982" i="8"/>
  <c r="G1982" i="8"/>
  <c r="J1982" i="8"/>
  <c r="J1981" i="8"/>
  <c r="O259" i="1"/>
  <c r="S259" i="1"/>
  <c r="H1982" i="8"/>
  <c r="A1983" i="8"/>
  <c r="B1983" i="8"/>
  <c r="E1983" i="8"/>
  <c r="F1983" i="8"/>
  <c r="D1985" i="8"/>
  <c r="E1985" i="8"/>
  <c r="F1985" i="8"/>
  <c r="G1985" i="8"/>
  <c r="D1986" i="8"/>
  <c r="E1986" i="8"/>
  <c r="F1986" i="8"/>
  <c r="G1986" i="8"/>
  <c r="H1986" i="8"/>
  <c r="D1988" i="8"/>
  <c r="F1988" i="8"/>
  <c r="G1988" i="8"/>
  <c r="H1988" i="8"/>
  <c r="A1989" i="8"/>
  <c r="B1989" i="8"/>
  <c r="E1989" i="8"/>
  <c r="F1989" i="8"/>
  <c r="D1991" i="8"/>
  <c r="E1991" i="8"/>
  <c r="F1991" i="8"/>
  <c r="G1991" i="8"/>
  <c r="D1992" i="8"/>
  <c r="E1992" i="8"/>
  <c r="F1992" i="8"/>
  <c r="G1992" i="8"/>
  <c r="D1993" i="8"/>
  <c r="E1993" i="8"/>
  <c r="F1993" i="8"/>
  <c r="G1993" i="8"/>
  <c r="H1993" i="8"/>
  <c r="D1994" i="8"/>
  <c r="E1994" i="8"/>
  <c r="F1994" i="8"/>
  <c r="G1994" i="8"/>
  <c r="D1995" i="8"/>
  <c r="E1995" i="8"/>
  <c r="F1995" i="8"/>
  <c r="G1995" i="8"/>
  <c r="D1996" i="8"/>
  <c r="E1996" i="8"/>
  <c r="F1996" i="8"/>
  <c r="G1996" i="8"/>
  <c r="D1997" i="8"/>
  <c r="E1997" i="8"/>
  <c r="F1997" i="8"/>
  <c r="G1997" i="8"/>
  <c r="H1997" i="8"/>
  <c r="D1999" i="8"/>
  <c r="F1999" i="8"/>
  <c r="G1999" i="8"/>
  <c r="J1999" i="8"/>
  <c r="J1998" i="8"/>
  <c r="O262" i="1"/>
  <c r="S262" i="1"/>
  <c r="H1999" i="8"/>
  <c r="D2001" i="8"/>
  <c r="E2001" i="8"/>
  <c r="F2001" i="8"/>
  <c r="G2001" i="8"/>
  <c r="D2002" i="8"/>
  <c r="E2002" i="8"/>
  <c r="F2002" i="8"/>
  <c r="G2002" i="8"/>
  <c r="H2002" i="8"/>
  <c r="D2003" i="8"/>
  <c r="E2003" i="8"/>
  <c r="F2003" i="8"/>
  <c r="G2003" i="8"/>
  <c r="D2004" i="8"/>
  <c r="E2004" i="8"/>
  <c r="F2004" i="8"/>
  <c r="G2004" i="8"/>
  <c r="H2004" i="8"/>
  <c r="A2005" i="8"/>
  <c r="B2005" i="8"/>
  <c r="E2005" i="8"/>
  <c r="F2005" i="8"/>
  <c r="D2007" i="8"/>
  <c r="E2007" i="8"/>
  <c r="F2007" i="8"/>
  <c r="G2007" i="8"/>
  <c r="H2007" i="8"/>
  <c r="D2008" i="8"/>
  <c r="E2008" i="8"/>
  <c r="F2008" i="8"/>
  <c r="G2008" i="8"/>
  <c r="H2008" i="8"/>
  <c r="D2009" i="8"/>
  <c r="E2009" i="8"/>
  <c r="F2009" i="8"/>
  <c r="G2009" i="8"/>
  <c r="J2009" i="8"/>
  <c r="H2009" i="8"/>
  <c r="D2010" i="8"/>
  <c r="E2010" i="8"/>
  <c r="F2010" i="8"/>
  <c r="G2010" i="8"/>
  <c r="H2010" i="8"/>
  <c r="D2011" i="8"/>
  <c r="E2011" i="8"/>
  <c r="F2011" i="8"/>
  <c r="G2011" i="8"/>
  <c r="H2011" i="8"/>
  <c r="D2013" i="8"/>
  <c r="F2013" i="8"/>
  <c r="G2013" i="8"/>
  <c r="H2013" i="8"/>
  <c r="D2015" i="8"/>
  <c r="E2015" i="8"/>
  <c r="F2015" i="8"/>
  <c r="G2015" i="8"/>
  <c r="H2015" i="8"/>
  <c r="A2016" i="8"/>
  <c r="B2016" i="8"/>
  <c r="E2016" i="8"/>
  <c r="F2016" i="8"/>
  <c r="D2018" i="8"/>
  <c r="E2018" i="8"/>
  <c r="F2018" i="8"/>
  <c r="G2018" i="8"/>
  <c r="A2019" i="8"/>
  <c r="B2019" i="8"/>
  <c r="E2019" i="8"/>
  <c r="F2019" i="8"/>
  <c r="D2021" i="8"/>
  <c r="E2021" i="8"/>
  <c r="F2021" i="8"/>
  <c r="G2021" i="8"/>
  <c r="H2021" i="8"/>
  <c r="J2021" i="8"/>
  <c r="D2022" i="8"/>
  <c r="E2022" i="8"/>
  <c r="F2022" i="8"/>
  <c r="G2022" i="8"/>
  <c r="D2023" i="8"/>
  <c r="E2023" i="8"/>
  <c r="F2023" i="8"/>
  <c r="G2023" i="8"/>
  <c r="J2023" i="8"/>
  <c r="H2023" i="8"/>
  <c r="D2025" i="8"/>
  <c r="F2025" i="8"/>
  <c r="G2025" i="8"/>
  <c r="J2025" i="8"/>
  <c r="J2024" i="8"/>
  <c r="O265" i="1"/>
  <c r="H2025" i="8"/>
  <c r="D2027" i="8"/>
  <c r="E2027" i="8"/>
  <c r="F2027" i="8"/>
  <c r="G2027" i="8"/>
  <c r="J2027" i="8"/>
  <c r="H2027" i="8"/>
  <c r="J2026" i="8"/>
  <c r="P265" i="1"/>
  <c r="T265" i="1"/>
  <c r="A2028" i="8"/>
  <c r="B2028" i="8"/>
  <c r="E2028" i="8"/>
  <c r="F2028" i="8"/>
  <c r="D2030" i="8"/>
  <c r="E2030" i="8"/>
  <c r="F2030" i="8"/>
  <c r="G2030" i="8"/>
  <c r="H2030" i="8"/>
  <c r="J2030" i="8"/>
  <c r="D2031" i="8"/>
  <c r="E2031" i="8"/>
  <c r="F2031" i="8"/>
  <c r="G2031" i="8"/>
  <c r="D2032" i="8"/>
  <c r="E2032" i="8"/>
  <c r="F2032" i="8"/>
  <c r="G2032" i="8"/>
  <c r="D2033" i="8"/>
  <c r="E2033" i="8"/>
  <c r="F2033" i="8"/>
  <c r="G2033" i="8"/>
  <c r="J2033" i="8"/>
  <c r="H2033" i="8"/>
  <c r="D2034" i="8"/>
  <c r="E2034" i="8"/>
  <c r="F2034" i="8"/>
  <c r="G2034" i="8"/>
  <c r="H2034" i="8"/>
  <c r="D2036" i="8"/>
  <c r="F2036" i="8"/>
  <c r="G2036" i="8"/>
  <c r="H2036" i="8"/>
  <c r="J2036" i="8"/>
  <c r="J2035" i="8"/>
  <c r="O267" i="1"/>
  <c r="S267" i="1"/>
  <c r="D2038" i="8"/>
  <c r="E2038" i="8"/>
  <c r="F2038" i="8"/>
  <c r="G2038" i="8"/>
  <c r="H2038" i="8"/>
  <c r="D2039" i="8"/>
  <c r="E2039" i="8"/>
  <c r="F2039" i="8"/>
  <c r="G2039" i="8"/>
  <c r="H2039" i="8"/>
  <c r="A2040" i="8"/>
  <c r="B2040" i="8"/>
  <c r="E2040" i="8"/>
  <c r="F2040" i="8"/>
  <c r="D2042" i="8"/>
  <c r="E2042" i="8"/>
  <c r="F2042" i="8"/>
  <c r="G2042" i="8"/>
  <c r="D2043" i="8"/>
  <c r="E2043" i="8"/>
  <c r="F2043" i="8"/>
  <c r="G2043" i="8"/>
  <c r="D2044" i="8"/>
  <c r="E2044" i="8"/>
  <c r="F2044" i="8"/>
  <c r="G2044" i="8"/>
  <c r="H2044" i="8"/>
  <c r="D2046" i="8"/>
  <c r="F2046" i="8"/>
  <c r="G2046" i="8"/>
  <c r="H2046" i="8"/>
  <c r="J2046" i="8"/>
  <c r="J2045" i="8"/>
  <c r="O268" i="1"/>
  <c r="S268" i="1"/>
  <c r="D2048" i="8"/>
  <c r="E2048" i="8"/>
  <c r="F2048" i="8"/>
  <c r="G2048" i="8"/>
  <c r="H2048" i="8"/>
  <c r="D2049" i="8"/>
  <c r="E2049" i="8"/>
  <c r="F2049" i="8"/>
  <c r="G2049" i="8"/>
  <c r="H2049" i="8"/>
  <c r="A2050" i="8"/>
  <c r="B2050" i="8"/>
  <c r="E2050" i="8"/>
  <c r="F2050" i="8"/>
  <c r="D2052" i="8"/>
  <c r="E2052" i="8"/>
  <c r="F2052" i="8"/>
  <c r="G2052" i="8"/>
  <c r="D2053" i="8"/>
  <c r="E2053" i="8"/>
  <c r="F2053" i="8"/>
  <c r="G2053" i="8"/>
  <c r="H2053" i="8"/>
  <c r="D2054" i="8"/>
  <c r="E2054" i="8"/>
  <c r="F2054" i="8"/>
  <c r="G2054" i="8"/>
  <c r="D2055" i="8"/>
  <c r="E2055" i="8"/>
  <c r="F2055" i="8"/>
  <c r="G2055" i="8"/>
  <c r="D2056" i="8"/>
  <c r="E2056" i="8"/>
  <c r="F2056" i="8"/>
  <c r="G2056" i="8"/>
  <c r="H2056" i="8"/>
  <c r="D2057" i="8"/>
  <c r="E2057" i="8"/>
  <c r="F2057" i="8"/>
  <c r="G2057" i="8"/>
  <c r="H2057" i="8"/>
  <c r="D2059" i="8"/>
  <c r="F2059" i="8"/>
  <c r="G2059" i="8"/>
  <c r="J2059" i="8"/>
  <c r="J2058" i="8"/>
  <c r="O269" i="1"/>
  <c r="S269" i="1"/>
  <c r="H2059" i="8"/>
  <c r="D2061" i="8"/>
  <c r="E2061" i="8"/>
  <c r="F2061" i="8"/>
  <c r="G2061" i="8"/>
  <c r="A2062" i="8"/>
  <c r="B2062" i="8"/>
  <c r="E2062" i="8"/>
  <c r="F2062" i="8"/>
  <c r="D2064" i="8"/>
  <c r="E2064" i="8"/>
  <c r="F2064" i="8"/>
  <c r="G2064" i="8"/>
  <c r="A2065" i="8"/>
  <c r="B2065" i="8"/>
  <c r="E2065" i="8"/>
  <c r="F2065" i="8"/>
  <c r="D2067" i="8"/>
  <c r="E2067" i="8"/>
  <c r="F2067" i="8"/>
  <c r="G2067" i="8"/>
  <c r="D2068" i="8"/>
  <c r="E2068" i="8"/>
  <c r="F2068" i="8"/>
  <c r="G2068" i="8"/>
  <c r="D2069" i="8"/>
  <c r="E2069" i="8"/>
  <c r="F2069" i="8"/>
  <c r="G2069" i="8"/>
  <c r="D2070" i="8"/>
  <c r="E2070" i="8"/>
  <c r="F2070" i="8"/>
  <c r="G2070" i="8"/>
  <c r="H2070" i="8"/>
  <c r="D2072" i="8"/>
  <c r="F2072" i="8"/>
  <c r="G2072" i="8"/>
  <c r="H2072" i="8"/>
  <c r="J2072" i="8"/>
  <c r="J2071" i="8"/>
  <c r="O271" i="1"/>
  <c r="S271" i="1"/>
  <c r="A2073" i="8"/>
  <c r="B2073" i="8"/>
  <c r="E2073" i="8"/>
  <c r="F2073" i="8"/>
  <c r="D2075" i="8"/>
  <c r="F2075" i="8"/>
  <c r="G2075" i="8"/>
  <c r="H2075" i="8"/>
  <c r="A2076" i="8"/>
  <c r="B2076" i="8"/>
  <c r="E2076" i="8"/>
  <c r="F2076" i="8"/>
  <c r="D2078" i="8"/>
  <c r="E2078" i="8"/>
  <c r="F2078" i="8"/>
  <c r="G2078" i="8"/>
  <c r="J2078" i="8"/>
  <c r="J2077" i="8"/>
  <c r="M273" i="1"/>
  <c r="Q273" i="1"/>
  <c r="H2078" i="8"/>
  <c r="D2080" i="8"/>
  <c r="F2080" i="8"/>
  <c r="G2080" i="8"/>
  <c r="J2080" i="8"/>
  <c r="J2079" i="8"/>
  <c r="O273" i="1"/>
  <c r="S273" i="1"/>
  <c r="H2080" i="8"/>
  <c r="D2082" i="8"/>
  <c r="E2082" i="8"/>
  <c r="F2082" i="8"/>
  <c r="G2082" i="8"/>
  <c r="H2082" i="8"/>
  <c r="A2083" i="8"/>
  <c r="B2083" i="8"/>
  <c r="E2083" i="8"/>
  <c r="F2083" i="8"/>
  <c r="D2085" i="8"/>
  <c r="E2085" i="8"/>
  <c r="F2085" i="8"/>
  <c r="G2085" i="8"/>
  <c r="D2086" i="8"/>
  <c r="E2086" i="8"/>
  <c r="F2086" i="8"/>
  <c r="G2086" i="8"/>
  <c r="D2087" i="8"/>
  <c r="E2087" i="8"/>
  <c r="F2087" i="8"/>
  <c r="G2087" i="8"/>
  <c r="H2087" i="8"/>
  <c r="D2088" i="8"/>
  <c r="E2088" i="8"/>
  <c r="F2088" i="8"/>
  <c r="G2088" i="8"/>
  <c r="H2088" i="8"/>
  <c r="D2090" i="8"/>
  <c r="F2090" i="8"/>
  <c r="G2090" i="8"/>
  <c r="J2090" i="8"/>
  <c r="H2090" i="8"/>
  <c r="J2089" i="8"/>
  <c r="O275" i="1"/>
  <c r="S275" i="1"/>
  <c r="A2091" i="8"/>
  <c r="B2091" i="8"/>
  <c r="E2091" i="8"/>
  <c r="F2091" i="8"/>
  <c r="D2093" i="8"/>
  <c r="E2093" i="8"/>
  <c r="F2093" i="8"/>
  <c r="G2093" i="8"/>
  <c r="A2094" i="8"/>
  <c r="B2094" i="8"/>
  <c r="E2094" i="8"/>
  <c r="F2094" i="8"/>
  <c r="D2096" i="8"/>
  <c r="E2096" i="8"/>
  <c r="F2096" i="8"/>
  <c r="G2096" i="8"/>
  <c r="A2097" i="8"/>
  <c r="B2097" i="8"/>
  <c r="E2097" i="8"/>
  <c r="F2097" i="8"/>
  <c r="D2099" i="8"/>
  <c r="E2099" i="8"/>
  <c r="F2099" i="8"/>
  <c r="G2099" i="8"/>
  <c r="A2100" i="8"/>
  <c r="B2100" i="8"/>
  <c r="E2100" i="8"/>
  <c r="F2100" i="8"/>
  <c r="D2102" i="8"/>
  <c r="E2102" i="8"/>
  <c r="F2102" i="8"/>
  <c r="G2102" i="8"/>
  <c r="A2103" i="8"/>
  <c r="B2103" i="8"/>
  <c r="E2103" i="8"/>
  <c r="F2103" i="8"/>
  <c r="D2105" i="8"/>
  <c r="E2105" i="8"/>
  <c r="F2105" i="8"/>
  <c r="G2105" i="8"/>
  <c r="A2106" i="8"/>
  <c r="B2106" i="8"/>
  <c r="E2106" i="8"/>
  <c r="F2106" i="8"/>
  <c r="D2108" i="8"/>
  <c r="E2108" i="8"/>
  <c r="F2108" i="8"/>
  <c r="G2108" i="8"/>
  <c r="A2109" i="8"/>
  <c r="B2109" i="8"/>
  <c r="E2109" i="8"/>
  <c r="F2109" i="8"/>
  <c r="D2111" i="8"/>
  <c r="E2111" i="8"/>
  <c r="F2111" i="8"/>
  <c r="G2111" i="8"/>
  <c r="A2112" i="8"/>
  <c r="B2112" i="8"/>
  <c r="E2112" i="8"/>
  <c r="F2112" i="8"/>
  <c r="D2114" i="8"/>
  <c r="E2114" i="8"/>
  <c r="F2114" i="8"/>
  <c r="G2114" i="8"/>
  <c r="D2115" i="8"/>
  <c r="E2115" i="8"/>
  <c r="F2115" i="8"/>
  <c r="G2115" i="8"/>
  <c r="D2116" i="8"/>
  <c r="E2116" i="8"/>
  <c r="F2116" i="8"/>
  <c r="G2116" i="8"/>
  <c r="H2116" i="8"/>
  <c r="D2118" i="8"/>
  <c r="F2118" i="8"/>
  <c r="G2118" i="8"/>
  <c r="H2118" i="8"/>
  <c r="A2119" i="8"/>
  <c r="B2119" i="8"/>
  <c r="E2119" i="8"/>
  <c r="F2119" i="8"/>
  <c r="D2121" i="8"/>
  <c r="E2121" i="8"/>
  <c r="F2121" i="8"/>
  <c r="G2121" i="8"/>
  <c r="H2121" i="8"/>
  <c r="D2122" i="8"/>
  <c r="E2122" i="8"/>
  <c r="F2122" i="8"/>
  <c r="G2122" i="8"/>
  <c r="D2123" i="8"/>
  <c r="E2123" i="8"/>
  <c r="F2123" i="8"/>
  <c r="G2123" i="8"/>
  <c r="D2124" i="8"/>
  <c r="E2124" i="8"/>
  <c r="F2124" i="8"/>
  <c r="G2124" i="8"/>
  <c r="J2124" i="8"/>
  <c r="H2124" i="8"/>
  <c r="D2125" i="8"/>
  <c r="E2125" i="8"/>
  <c r="F2125" i="8"/>
  <c r="G2125" i="8"/>
  <c r="H2125" i="8"/>
  <c r="D2127" i="8"/>
  <c r="F2127" i="8"/>
  <c r="G2127" i="8"/>
  <c r="H2127" i="8"/>
  <c r="D2129" i="8"/>
  <c r="E2129" i="8"/>
  <c r="F2129" i="8"/>
  <c r="G2129" i="8"/>
  <c r="D2130" i="8"/>
  <c r="E2130" i="8"/>
  <c r="F2130" i="8"/>
  <c r="G2130" i="8"/>
  <c r="A2131" i="8"/>
  <c r="B2131" i="8"/>
  <c r="E2131" i="8"/>
  <c r="F2131" i="8"/>
  <c r="D2133" i="8"/>
  <c r="E2133" i="8"/>
  <c r="F2133" i="8"/>
  <c r="G2133" i="8"/>
  <c r="J2133" i="8"/>
  <c r="H2133" i="8"/>
  <c r="D2134" i="8"/>
  <c r="E2134" i="8"/>
  <c r="F2134" i="8"/>
  <c r="G2134" i="8"/>
  <c r="D2135" i="8"/>
  <c r="E2135" i="8"/>
  <c r="F2135" i="8"/>
  <c r="G2135" i="8"/>
  <c r="D2136" i="8"/>
  <c r="E2136" i="8"/>
  <c r="F2136" i="8"/>
  <c r="G2136" i="8"/>
  <c r="H2136" i="8"/>
  <c r="D2137" i="8"/>
  <c r="E2137" i="8"/>
  <c r="F2137" i="8"/>
  <c r="G2137" i="8"/>
  <c r="H2137" i="8"/>
  <c r="D2139" i="8"/>
  <c r="F2139" i="8"/>
  <c r="G2139" i="8"/>
  <c r="H2139" i="8"/>
  <c r="J2139" i="8"/>
  <c r="J2138" i="8"/>
  <c r="O285" i="1"/>
  <c r="S285" i="1"/>
  <c r="D2141" i="8"/>
  <c r="E2141" i="8"/>
  <c r="F2141" i="8"/>
  <c r="G2141" i="8"/>
  <c r="J2141" i="8"/>
  <c r="H2141" i="8"/>
  <c r="D2142" i="8"/>
  <c r="E2142" i="8"/>
  <c r="F2142" i="8"/>
  <c r="G2142" i="8"/>
  <c r="A2143" i="8"/>
  <c r="B2143" i="8"/>
  <c r="E2143" i="8"/>
  <c r="F2143" i="8"/>
  <c r="D2145" i="8"/>
  <c r="E2145" i="8"/>
  <c r="F2145" i="8"/>
  <c r="G2145" i="8"/>
  <c r="J2145" i="8"/>
  <c r="H2145" i="8"/>
  <c r="D2146" i="8"/>
  <c r="E2146" i="8"/>
  <c r="F2146" i="8"/>
  <c r="G2146" i="8"/>
  <c r="D2147" i="8"/>
  <c r="E2147" i="8"/>
  <c r="F2147" i="8"/>
  <c r="G2147" i="8"/>
  <c r="H2147" i="8"/>
  <c r="D2149" i="8"/>
  <c r="F2149" i="8"/>
  <c r="G2149" i="8"/>
  <c r="H2149" i="8"/>
  <c r="J2149" i="8"/>
  <c r="J2148" i="8"/>
  <c r="O286" i="1"/>
  <c r="S286" i="1"/>
  <c r="D2151" i="8"/>
  <c r="E2151" i="8"/>
  <c r="F2151" i="8"/>
  <c r="G2151" i="8"/>
  <c r="A2152" i="8"/>
  <c r="B2152" i="8"/>
  <c r="E2152" i="8"/>
  <c r="F2152" i="8"/>
  <c r="D2154" i="8"/>
  <c r="E2154" i="8"/>
  <c r="F2154" i="8"/>
  <c r="G2154" i="8"/>
  <c r="D2155" i="8"/>
  <c r="E2155" i="8"/>
  <c r="F2155" i="8"/>
  <c r="G2155" i="8"/>
  <c r="D2156" i="8"/>
  <c r="E2156" i="8"/>
  <c r="F2156" i="8"/>
  <c r="G2156" i="8"/>
  <c r="H2156" i="8"/>
  <c r="D2158" i="8"/>
  <c r="F2158" i="8"/>
  <c r="G2158" i="8"/>
  <c r="H2158" i="8"/>
  <c r="A2159" i="8"/>
  <c r="B2159" i="8"/>
  <c r="E2159" i="8"/>
  <c r="F2159" i="8"/>
  <c r="D2161" i="8"/>
  <c r="E2161" i="8"/>
  <c r="F2161" i="8"/>
  <c r="G2161" i="8"/>
  <c r="D2162" i="8"/>
  <c r="E2162" i="8"/>
  <c r="F2162" i="8"/>
  <c r="G2162" i="8"/>
  <c r="D2163" i="8"/>
  <c r="E2163" i="8"/>
  <c r="F2163" i="8"/>
  <c r="G2163" i="8"/>
  <c r="H2163" i="8"/>
  <c r="D2165" i="8"/>
  <c r="F2165" i="8"/>
  <c r="G2165" i="8"/>
  <c r="J2165" i="8"/>
  <c r="J2164" i="8"/>
  <c r="O289" i="1"/>
  <c r="S289" i="1"/>
  <c r="H2165" i="8"/>
  <c r="A2166" i="8"/>
  <c r="B2166" i="8"/>
  <c r="E2166" i="8"/>
  <c r="F2166" i="8"/>
  <c r="D2168" i="8"/>
  <c r="E2168" i="8"/>
  <c r="F2168" i="8"/>
  <c r="G2168" i="8"/>
  <c r="D2169" i="8"/>
  <c r="E2169" i="8"/>
  <c r="F2169" i="8"/>
  <c r="G2169" i="8"/>
  <c r="H2169" i="8"/>
  <c r="D2170" i="8"/>
  <c r="E2170" i="8"/>
  <c r="F2170" i="8"/>
  <c r="G2170" i="8"/>
  <c r="D2171" i="8"/>
  <c r="E2171" i="8"/>
  <c r="F2171" i="8"/>
  <c r="G2171" i="8"/>
  <c r="D2172" i="8"/>
  <c r="E2172" i="8"/>
  <c r="F2172" i="8"/>
  <c r="G2172" i="8"/>
  <c r="J2172" i="8"/>
  <c r="H2172" i="8"/>
  <c r="D2173" i="8"/>
  <c r="E2173" i="8"/>
  <c r="F2173" i="8"/>
  <c r="G2173" i="8"/>
  <c r="H2173" i="8"/>
  <c r="D2175" i="8"/>
  <c r="F2175" i="8"/>
  <c r="G2175" i="8"/>
  <c r="H2175" i="8"/>
  <c r="D2177" i="8"/>
  <c r="E2177" i="8"/>
  <c r="F2177" i="8"/>
  <c r="G2177" i="8"/>
  <c r="A2178" i="8"/>
  <c r="B2178" i="8"/>
  <c r="E2178" i="8"/>
  <c r="F2178" i="8"/>
  <c r="D2180" i="8"/>
  <c r="E2180" i="8"/>
  <c r="F2180" i="8"/>
  <c r="G2180" i="8"/>
  <c r="D2181" i="8"/>
  <c r="E2181" i="8"/>
  <c r="F2181" i="8"/>
  <c r="G2181" i="8"/>
  <c r="H2181" i="8"/>
  <c r="J2181" i="8"/>
  <c r="D2182" i="8"/>
  <c r="E2182" i="8"/>
  <c r="F2182" i="8"/>
  <c r="G2182" i="8"/>
  <c r="D2183" i="8"/>
  <c r="E2183" i="8"/>
  <c r="F2183" i="8"/>
  <c r="G2183" i="8"/>
  <c r="D2184" i="8"/>
  <c r="E2184" i="8"/>
  <c r="F2184" i="8"/>
  <c r="G2184" i="8"/>
  <c r="H2184" i="8"/>
  <c r="D2185" i="8"/>
  <c r="E2185" i="8"/>
  <c r="F2185" i="8"/>
  <c r="G2185" i="8"/>
  <c r="H2185" i="8"/>
  <c r="D2187" i="8"/>
  <c r="F2187" i="8"/>
  <c r="G2187" i="8"/>
  <c r="J2187" i="8"/>
  <c r="J2186" i="8"/>
  <c r="O291" i="1"/>
  <c r="S291" i="1"/>
  <c r="H2187" i="8"/>
  <c r="D2189" i="8"/>
  <c r="E2189" i="8"/>
  <c r="F2189" i="8"/>
  <c r="G2189" i="8"/>
  <c r="A2190" i="8"/>
  <c r="B2190" i="8"/>
  <c r="E2190" i="8"/>
  <c r="F2190" i="8"/>
  <c r="D2192" i="8"/>
  <c r="E2192" i="8"/>
  <c r="F2192" i="8"/>
  <c r="G2192" i="8"/>
  <c r="D2193" i="8"/>
  <c r="E2193" i="8"/>
  <c r="F2193" i="8"/>
  <c r="G2193" i="8"/>
  <c r="D2194" i="8"/>
  <c r="E2194" i="8"/>
  <c r="F2194" i="8"/>
  <c r="G2194" i="8"/>
  <c r="H2194" i="8"/>
  <c r="D2196" i="8"/>
  <c r="F2196" i="8"/>
  <c r="G2196" i="8"/>
  <c r="H2196" i="8"/>
  <c r="A2197" i="8"/>
  <c r="B2197" i="8"/>
  <c r="E2197" i="8"/>
  <c r="F2197" i="8"/>
  <c r="D2199" i="8"/>
  <c r="E2199" i="8"/>
  <c r="F2199" i="8"/>
  <c r="G2199" i="8"/>
  <c r="A2200" i="8"/>
  <c r="B2200" i="8"/>
  <c r="E2200" i="8"/>
  <c r="F2200" i="8"/>
  <c r="D2202" i="8"/>
  <c r="E2202" i="8"/>
  <c r="F2202" i="8"/>
  <c r="G2202" i="8"/>
  <c r="A2203" i="8"/>
  <c r="B2203" i="8"/>
  <c r="E2203" i="8"/>
  <c r="F2203" i="8"/>
  <c r="D2205" i="8"/>
  <c r="E2205" i="8"/>
  <c r="F2205" i="8"/>
  <c r="G2205" i="8"/>
  <c r="H2205" i="8"/>
  <c r="J2205" i="8"/>
  <c r="D2206" i="8"/>
  <c r="E2206" i="8"/>
  <c r="F2206" i="8"/>
  <c r="G2206" i="8"/>
  <c r="D2207" i="8"/>
  <c r="E2207" i="8"/>
  <c r="F2207" i="8"/>
  <c r="G2207" i="8"/>
  <c r="D2208" i="8"/>
  <c r="E2208" i="8"/>
  <c r="F2208" i="8"/>
  <c r="G2208" i="8"/>
  <c r="H2208" i="8"/>
  <c r="D2209" i="8"/>
  <c r="E2209" i="8"/>
  <c r="F2209" i="8"/>
  <c r="G2209" i="8"/>
  <c r="H2209" i="8"/>
  <c r="D2211" i="8"/>
  <c r="F2211" i="8"/>
  <c r="G2211" i="8"/>
  <c r="H2211" i="8"/>
  <c r="D2213" i="8"/>
  <c r="E2213" i="8"/>
  <c r="F2213" i="8"/>
  <c r="G2213" i="8"/>
  <c r="H2213" i="8"/>
  <c r="J2213" i="8"/>
  <c r="D2214" i="8"/>
  <c r="E2214" i="8"/>
  <c r="F2214" i="8"/>
  <c r="G2214" i="8"/>
  <c r="A2215" i="8"/>
  <c r="B2215" i="8"/>
  <c r="E2215" i="8"/>
  <c r="F2215" i="8"/>
  <c r="D2217" i="8"/>
  <c r="E2217" i="8"/>
  <c r="F2217" i="8"/>
  <c r="G2217" i="8"/>
  <c r="J2217" i="8"/>
  <c r="H2217" i="8"/>
  <c r="D2218" i="8"/>
  <c r="E2218" i="8"/>
  <c r="F2218" i="8"/>
  <c r="G2218" i="8"/>
  <c r="D2219" i="8"/>
  <c r="E2219" i="8"/>
  <c r="F2219" i="8"/>
  <c r="G2219" i="8"/>
  <c r="D2220" i="8"/>
  <c r="E2220" i="8"/>
  <c r="F2220" i="8"/>
  <c r="G2220" i="8"/>
  <c r="H2220" i="8"/>
  <c r="D2221" i="8"/>
  <c r="E2221" i="8"/>
  <c r="F2221" i="8"/>
  <c r="G2221" i="8"/>
  <c r="H2221" i="8"/>
  <c r="D2223" i="8"/>
  <c r="F2223" i="8"/>
  <c r="G2223" i="8"/>
  <c r="H2223" i="8"/>
  <c r="J2223" i="8"/>
  <c r="J2222" i="8"/>
  <c r="O296" i="1"/>
  <c r="S296" i="1"/>
  <c r="D2225" i="8"/>
  <c r="E2225" i="8"/>
  <c r="F2225" i="8"/>
  <c r="G2225" i="8"/>
  <c r="J2225" i="8"/>
  <c r="H2225" i="8"/>
  <c r="D2226" i="8"/>
  <c r="E2226" i="8"/>
  <c r="F2226" i="8"/>
  <c r="G2226" i="8"/>
  <c r="H2226" i="8"/>
  <c r="A2227" i="8"/>
  <c r="B2227" i="8"/>
  <c r="E2227" i="8"/>
  <c r="F2227" i="8"/>
  <c r="D2229" i="8"/>
  <c r="F2229" i="8"/>
  <c r="G2229" i="8"/>
  <c r="H2229" i="8"/>
  <c r="A2230" i="8"/>
  <c r="B2230" i="8"/>
  <c r="E2230" i="8"/>
  <c r="F2230" i="8"/>
  <c r="D2232" i="8"/>
  <c r="E2232" i="8"/>
  <c r="F2232" i="8"/>
  <c r="G2232" i="8"/>
  <c r="D2233" i="8"/>
  <c r="E2233" i="8"/>
  <c r="F2233" i="8"/>
  <c r="G2233" i="8"/>
  <c r="D2234" i="8"/>
  <c r="E2234" i="8"/>
  <c r="F2234" i="8"/>
  <c r="G2234" i="8"/>
  <c r="H2234" i="8"/>
  <c r="D2236" i="8"/>
  <c r="F2236" i="8"/>
  <c r="G2236" i="8"/>
  <c r="J2236" i="8"/>
  <c r="J2235" i="8"/>
  <c r="O298" i="1"/>
  <c r="S298" i="1"/>
  <c r="H2236" i="8"/>
  <c r="A2237" i="8"/>
  <c r="B2237" i="8"/>
  <c r="E2237" i="8"/>
  <c r="F2237" i="8"/>
  <c r="D2239" i="8"/>
  <c r="E2239" i="8"/>
  <c r="F2239" i="8"/>
  <c r="G2239" i="8"/>
  <c r="H2239" i="8"/>
  <c r="D2240" i="8"/>
  <c r="E2240" i="8"/>
  <c r="F2240" i="8"/>
  <c r="G2240" i="8"/>
  <c r="D2241" i="8"/>
  <c r="E2241" i="8"/>
  <c r="F2241" i="8"/>
  <c r="G2241" i="8"/>
  <c r="D2242" i="8"/>
  <c r="E2242" i="8"/>
  <c r="F2242" i="8"/>
  <c r="G2242" i="8"/>
  <c r="H2242" i="8"/>
  <c r="J2242" i="8"/>
  <c r="D2243" i="8"/>
  <c r="E2243" i="8"/>
  <c r="F2243" i="8"/>
  <c r="G2243" i="8"/>
  <c r="H2243" i="8"/>
  <c r="D2245" i="8"/>
  <c r="F2245" i="8"/>
  <c r="G2245" i="8"/>
  <c r="H2245" i="8"/>
  <c r="D2247" i="8"/>
  <c r="E2247" i="8"/>
  <c r="F2247" i="8"/>
  <c r="G2247" i="8"/>
  <c r="D2248" i="8"/>
  <c r="E2248" i="8"/>
  <c r="F2248" i="8"/>
  <c r="G2248" i="8"/>
  <c r="D2249" i="8"/>
  <c r="E2249" i="8"/>
  <c r="F2249" i="8"/>
  <c r="G2249" i="8"/>
  <c r="A2250" i="8"/>
  <c r="B2250" i="8"/>
  <c r="E2250" i="8"/>
  <c r="F2250" i="8"/>
  <c r="D2252" i="8"/>
  <c r="E2252" i="8"/>
  <c r="F2252" i="8"/>
  <c r="G2252" i="8"/>
  <c r="H2252" i="8"/>
  <c r="J2252" i="8"/>
  <c r="D2253" i="8"/>
  <c r="E2253" i="8"/>
  <c r="F2253" i="8"/>
  <c r="G2253" i="8"/>
  <c r="D2254" i="8"/>
  <c r="E2254" i="8"/>
  <c r="F2254" i="8"/>
  <c r="G2254" i="8"/>
  <c r="D2255" i="8"/>
  <c r="E2255" i="8"/>
  <c r="F2255" i="8"/>
  <c r="G2255" i="8"/>
  <c r="H2255" i="8"/>
  <c r="D2256" i="8"/>
  <c r="E2256" i="8"/>
  <c r="F2256" i="8"/>
  <c r="G2256" i="8"/>
  <c r="H2256" i="8"/>
  <c r="D2258" i="8"/>
  <c r="F2258" i="8"/>
  <c r="G2258" i="8"/>
  <c r="H2258" i="8"/>
  <c r="J2258" i="8"/>
  <c r="J2257" i="8"/>
  <c r="O301" i="1"/>
  <c r="S301" i="1"/>
  <c r="D2260" i="8"/>
  <c r="E2260" i="8"/>
  <c r="F2260" i="8"/>
  <c r="G2260" i="8"/>
  <c r="D2261" i="8"/>
  <c r="E2261" i="8"/>
  <c r="F2261" i="8"/>
  <c r="G2261" i="8"/>
  <c r="H2261" i="8"/>
  <c r="A2262" i="8"/>
  <c r="B2262" i="8"/>
  <c r="E2262" i="8"/>
  <c r="F2262" i="8"/>
  <c r="D2264" i="8"/>
  <c r="E2264" i="8"/>
  <c r="F2264" i="8"/>
  <c r="G2264" i="8"/>
  <c r="D2265" i="8"/>
  <c r="E2265" i="8"/>
  <c r="F2265" i="8"/>
  <c r="G2265" i="8"/>
  <c r="D2267" i="8"/>
  <c r="F2267" i="8"/>
  <c r="G2267" i="8"/>
  <c r="H2267" i="8"/>
  <c r="D2269" i="8"/>
  <c r="E2269" i="8"/>
  <c r="F2269" i="8"/>
  <c r="G2269" i="8"/>
  <c r="A2270" i="8"/>
  <c r="B2270" i="8"/>
  <c r="E2270" i="8"/>
  <c r="F2270" i="8"/>
  <c r="D2272" i="8"/>
  <c r="E2272" i="8"/>
  <c r="F2272" i="8"/>
  <c r="G2272" i="8"/>
  <c r="H2272" i="8"/>
  <c r="D2273" i="8"/>
  <c r="E2273" i="8"/>
  <c r="F2273" i="8"/>
  <c r="G2273" i="8"/>
  <c r="D2274" i="8"/>
  <c r="E2274" i="8"/>
  <c r="F2274" i="8"/>
  <c r="G2274" i="8"/>
  <c r="H2274" i="8"/>
  <c r="D2275" i="8"/>
  <c r="E2275" i="8"/>
  <c r="F2275" i="8"/>
  <c r="G2275" i="8"/>
  <c r="H2275" i="8"/>
  <c r="D2277" i="8"/>
  <c r="F2277" i="8"/>
  <c r="G2277" i="8"/>
  <c r="H2277" i="8"/>
  <c r="A2278" i="8"/>
  <c r="B2278" i="8"/>
  <c r="E2278" i="8"/>
  <c r="F2278" i="8"/>
  <c r="D2280" i="8"/>
  <c r="E2280" i="8"/>
  <c r="F2280" i="8"/>
  <c r="G2280" i="8"/>
  <c r="D2281" i="8"/>
  <c r="E2281" i="8"/>
  <c r="F2281" i="8"/>
  <c r="G2281" i="8"/>
  <c r="D2282" i="8"/>
  <c r="E2282" i="8"/>
  <c r="F2282" i="8"/>
  <c r="G2282" i="8"/>
  <c r="H2282" i="8"/>
  <c r="D2284" i="8"/>
  <c r="F2284" i="8"/>
  <c r="G2284" i="8"/>
  <c r="H2284" i="8"/>
  <c r="A2285" i="8"/>
  <c r="B2285" i="8"/>
  <c r="E2285" i="8"/>
  <c r="F2285" i="8"/>
  <c r="D2287" i="8"/>
  <c r="E2287" i="8"/>
  <c r="F2287" i="8"/>
  <c r="G2287" i="8"/>
  <c r="D2288" i="8"/>
  <c r="E2288" i="8"/>
  <c r="F2288" i="8"/>
  <c r="G2288" i="8"/>
  <c r="D2289" i="8"/>
  <c r="E2289" i="8"/>
  <c r="F2289" i="8"/>
  <c r="G2289" i="8"/>
  <c r="H2289" i="8"/>
  <c r="D2291" i="8"/>
  <c r="F2291" i="8"/>
  <c r="G2291" i="8"/>
  <c r="H2291" i="8"/>
  <c r="J2291" i="8"/>
  <c r="J2290" i="8"/>
  <c r="O305" i="1"/>
  <c r="S305" i="1"/>
  <c r="A2292" i="8"/>
  <c r="B2292" i="8"/>
  <c r="E2292" i="8"/>
  <c r="F2292" i="8"/>
  <c r="D2294" i="8"/>
  <c r="F2294" i="8"/>
  <c r="G2294" i="8"/>
  <c r="H2294" i="8"/>
  <c r="A2302" i="8"/>
  <c r="B2302" i="8"/>
  <c r="E2302" i="8"/>
  <c r="F2302" i="8"/>
  <c r="D2304" i="8"/>
  <c r="E2304" i="8"/>
  <c r="F2304" i="8"/>
  <c r="G2304" i="8"/>
  <c r="D2305" i="8"/>
  <c r="E2305" i="8"/>
  <c r="F2305" i="8"/>
  <c r="G2305" i="8"/>
  <c r="D2306" i="8"/>
  <c r="E2306" i="8"/>
  <c r="F2306" i="8"/>
  <c r="G2306" i="8"/>
  <c r="D2307" i="8"/>
  <c r="E2307" i="8"/>
  <c r="F2307" i="8"/>
  <c r="G2307" i="8"/>
  <c r="D2308" i="8"/>
  <c r="E2308" i="8"/>
  <c r="F2308" i="8"/>
  <c r="G2308" i="8"/>
  <c r="D2309" i="8"/>
  <c r="E2309" i="8"/>
  <c r="F2309" i="8"/>
  <c r="G2309" i="8"/>
  <c r="D2310" i="8"/>
  <c r="E2310" i="8"/>
  <c r="F2310" i="8"/>
  <c r="G2310" i="8"/>
  <c r="H2310" i="8"/>
  <c r="D2312" i="8"/>
  <c r="F2312" i="8"/>
  <c r="G2312" i="8"/>
  <c r="H2312" i="8"/>
  <c r="J2312" i="8"/>
  <c r="J2313" i="8"/>
  <c r="J2311" i="8"/>
  <c r="O316" i="1"/>
  <c r="I2313" i="8"/>
  <c r="D2315" i="8"/>
  <c r="E2315" i="8"/>
  <c r="F2315" i="8"/>
  <c r="G2315" i="8"/>
  <c r="H2315" i="8"/>
  <c r="D2316" i="8"/>
  <c r="E2316" i="8"/>
  <c r="F2316" i="8"/>
  <c r="G2316" i="8"/>
  <c r="H2316" i="8"/>
  <c r="J2316" i="8"/>
  <c r="D2317" i="8"/>
  <c r="E2317" i="8"/>
  <c r="F2317" i="8"/>
  <c r="G2317" i="8"/>
  <c r="H2317" i="8"/>
  <c r="D2318" i="8"/>
  <c r="E2318" i="8"/>
  <c r="F2318" i="8"/>
  <c r="G2318" i="8"/>
  <c r="H2318" i="8"/>
  <c r="I2319" i="8"/>
  <c r="A2320" i="8"/>
  <c r="B2320" i="8"/>
  <c r="E2320" i="8"/>
  <c r="F2320" i="8"/>
  <c r="D2322" i="8"/>
  <c r="E2322" i="8"/>
  <c r="F2322" i="8"/>
  <c r="G2322" i="8"/>
  <c r="D2323" i="8"/>
  <c r="E2323" i="8"/>
  <c r="F2323" i="8"/>
  <c r="G2323" i="8"/>
  <c r="D2324" i="8"/>
  <c r="E2324" i="8"/>
  <c r="F2324" i="8"/>
  <c r="G2324" i="8"/>
  <c r="D2325" i="8"/>
  <c r="E2325" i="8"/>
  <c r="F2325" i="8"/>
  <c r="G2325" i="8"/>
  <c r="D2326" i="8"/>
  <c r="E2326" i="8"/>
  <c r="F2326" i="8"/>
  <c r="G2326" i="8"/>
  <c r="D2327" i="8"/>
  <c r="E2327" i="8"/>
  <c r="F2327" i="8"/>
  <c r="G2327" i="8"/>
  <c r="H2327" i="8"/>
  <c r="D2329" i="8"/>
  <c r="F2329" i="8"/>
  <c r="G2329" i="8"/>
  <c r="H2329" i="8"/>
  <c r="I2330" i="8"/>
  <c r="D2332" i="8"/>
  <c r="E2332" i="8"/>
  <c r="F2332" i="8"/>
  <c r="G2332" i="8"/>
  <c r="H2332" i="8"/>
  <c r="J2332" i="8"/>
  <c r="D2333" i="8"/>
  <c r="E2333" i="8"/>
  <c r="F2333" i="8"/>
  <c r="G2333" i="8"/>
  <c r="H2333" i="8"/>
  <c r="D2334" i="8"/>
  <c r="E2334" i="8"/>
  <c r="F2334" i="8"/>
  <c r="G2334" i="8"/>
  <c r="J2334" i="8"/>
  <c r="H2334" i="8"/>
  <c r="D2335" i="8"/>
  <c r="E2335" i="8"/>
  <c r="F2335" i="8"/>
  <c r="G2335" i="8"/>
  <c r="H2335" i="8"/>
  <c r="I2336" i="8"/>
  <c r="A2337" i="8"/>
  <c r="B2337" i="8"/>
  <c r="E2337" i="8"/>
  <c r="F2337" i="8"/>
  <c r="D2339" i="8"/>
  <c r="E2339" i="8"/>
  <c r="F2339" i="8"/>
  <c r="G2339" i="8"/>
  <c r="D2340" i="8"/>
  <c r="E2340" i="8"/>
  <c r="F2340" i="8"/>
  <c r="G2340" i="8"/>
  <c r="D2341" i="8"/>
  <c r="E2341" i="8"/>
  <c r="F2341" i="8"/>
  <c r="G2341" i="8"/>
  <c r="D2342" i="8"/>
  <c r="E2342" i="8"/>
  <c r="F2342" i="8"/>
  <c r="G2342" i="8"/>
  <c r="D2343" i="8"/>
  <c r="E2343" i="8"/>
  <c r="F2343" i="8"/>
  <c r="G2343" i="8"/>
  <c r="D2344" i="8"/>
  <c r="E2344" i="8"/>
  <c r="F2344" i="8"/>
  <c r="G2344" i="8"/>
  <c r="D2345" i="8"/>
  <c r="E2345" i="8"/>
  <c r="F2345" i="8"/>
  <c r="G2345" i="8"/>
  <c r="H2345" i="8"/>
  <c r="D2347" i="8"/>
  <c r="F2347" i="8"/>
  <c r="G2347" i="8"/>
  <c r="H2347" i="8"/>
  <c r="I2348" i="8"/>
  <c r="D2350" i="8"/>
  <c r="E2350" i="8"/>
  <c r="F2350" i="8"/>
  <c r="G2350" i="8"/>
  <c r="H2350" i="8"/>
  <c r="J2350" i="8"/>
  <c r="D2351" i="8"/>
  <c r="E2351" i="8"/>
  <c r="F2351" i="8"/>
  <c r="G2351" i="8"/>
  <c r="H2351" i="8"/>
  <c r="D2352" i="8"/>
  <c r="E2352" i="8"/>
  <c r="F2352" i="8"/>
  <c r="G2352" i="8"/>
  <c r="H2352" i="8"/>
  <c r="D2353" i="8"/>
  <c r="E2353" i="8"/>
  <c r="F2353" i="8"/>
  <c r="G2353" i="8"/>
  <c r="H2353" i="8"/>
  <c r="I2354" i="8"/>
  <c r="A2355" i="8"/>
  <c r="B2355" i="8"/>
  <c r="E2355" i="8"/>
  <c r="F2355" i="8"/>
  <c r="D2357" i="8"/>
  <c r="E2357" i="8"/>
  <c r="F2357" i="8"/>
  <c r="G2357" i="8"/>
  <c r="D2358" i="8"/>
  <c r="E2358" i="8"/>
  <c r="F2358" i="8"/>
  <c r="G2358" i="8"/>
  <c r="D2359" i="8"/>
  <c r="E2359" i="8"/>
  <c r="F2359" i="8"/>
  <c r="G2359" i="8"/>
  <c r="D2360" i="8"/>
  <c r="E2360" i="8"/>
  <c r="F2360" i="8"/>
  <c r="G2360" i="8"/>
  <c r="D2361" i="8"/>
  <c r="E2361" i="8"/>
  <c r="F2361" i="8"/>
  <c r="G2361" i="8"/>
  <c r="D2362" i="8"/>
  <c r="E2362" i="8"/>
  <c r="F2362" i="8"/>
  <c r="G2362" i="8"/>
  <c r="H2362" i="8"/>
  <c r="D2364" i="8"/>
  <c r="F2364" i="8"/>
  <c r="G2364" i="8"/>
  <c r="H2364" i="8"/>
  <c r="I2365" i="8"/>
  <c r="D2367" i="8"/>
  <c r="E2367" i="8"/>
  <c r="F2367" i="8"/>
  <c r="G2367" i="8"/>
  <c r="H2367" i="8"/>
  <c r="D2368" i="8"/>
  <c r="E2368" i="8"/>
  <c r="F2368" i="8"/>
  <c r="G2368" i="8"/>
  <c r="H2368" i="8"/>
  <c r="J2368" i="8"/>
  <c r="D2369" i="8"/>
  <c r="E2369" i="8"/>
  <c r="F2369" i="8"/>
  <c r="G2369" i="8"/>
  <c r="J2369" i="8"/>
  <c r="H2369" i="8"/>
  <c r="D2370" i="8"/>
  <c r="E2370" i="8"/>
  <c r="F2370" i="8"/>
  <c r="G2370" i="8"/>
  <c r="H2370" i="8"/>
  <c r="I2371" i="8"/>
  <c r="A2372" i="8"/>
  <c r="B2372" i="8"/>
  <c r="E2372" i="8"/>
  <c r="F2372" i="8"/>
  <c r="D2374" i="8"/>
  <c r="E2374" i="8"/>
  <c r="F2374" i="8"/>
  <c r="G2374" i="8"/>
  <c r="H2374" i="8"/>
  <c r="D2375" i="8"/>
  <c r="E2375" i="8"/>
  <c r="F2375" i="8"/>
  <c r="G2375" i="8"/>
  <c r="J2375" i="8"/>
  <c r="H2375" i="8"/>
  <c r="D2376" i="8"/>
  <c r="E2376" i="8"/>
  <c r="F2376" i="8"/>
  <c r="G2376" i="8"/>
  <c r="H2376" i="8"/>
  <c r="D2377" i="8"/>
  <c r="E2377" i="8"/>
  <c r="F2377" i="8"/>
  <c r="G2377" i="8"/>
  <c r="D2378" i="8"/>
  <c r="E2378" i="8"/>
  <c r="F2378" i="8"/>
  <c r="G2378" i="8"/>
  <c r="H2378" i="8"/>
  <c r="D2380" i="8"/>
  <c r="F2380" i="8"/>
  <c r="G2380" i="8"/>
  <c r="J2380" i="8"/>
  <c r="J2381" i="8"/>
  <c r="J2379" i="8"/>
  <c r="O320" i="1"/>
  <c r="S320" i="1"/>
  <c r="H2380" i="8"/>
  <c r="I2381" i="8"/>
  <c r="D2383" i="8"/>
  <c r="E2383" i="8"/>
  <c r="F2383" i="8"/>
  <c r="G2383" i="8"/>
  <c r="J2383" i="8"/>
  <c r="H2383" i="8"/>
  <c r="D2384" i="8"/>
  <c r="E2384" i="8"/>
  <c r="F2384" i="8"/>
  <c r="G2384" i="8"/>
  <c r="H2384" i="8"/>
  <c r="D2385" i="8"/>
  <c r="E2385" i="8"/>
  <c r="F2385" i="8"/>
  <c r="G2385" i="8"/>
  <c r="H2385" i="8"/>
  <c r="J2385" i="8"/>
  <c r="D2386" i="8"/>
  <c r="E2386" i="8"/>
  <c r="F2386" i="8"/>
  <c r="G2386" i="8"/>
  <c r="J2386" i="8"/>
  <c r="H2386" i="8"/>
  <c r="D2387" i="8"/>
  <c r="E2387" i="8"/>
  <c r="F2387" i="8"/>
  <c r="G2387" i="8"/>
  <c r="H2387" i="8"/>
  <c r="J2387" i="8"/>
  <c r="D2388" i="8"/>
  <c r="E2388" i="8"/>
  <c r="F2388" i="8"/>
  <c r="G2388" i="8"/>
  <c r="H2388" i="8"/>
  <c r="D2389" i="8"/>
  <c r="E2389" i="8"/>
  <c r="F2389" i="8"/>
  <c r="G2389" i="8"/>
  <c r="J2389" i="8"/>
  <c r="H2389" i="8"/>
  <c r="D2390" i="8"/>
  <c r="E2390" i="8"/>
  <c r="F2390" i="8"/>
  <c r="G2390" i="8"/>
  <c r="H2390" i="8"/>
  <c r="D2391" i="8"/>
  <c r="E2391" i="8"/>
  <c r="F2391" i="8"/>
  <c r="G2391" i="8"/>
  <c r="J2391" i="8"/>
  <c r="H2391" i="8"/>
  <c r="D2392" i="8"/>
  <c r="E2392" i="8"/>
  <c r="F2392" i="8"/>
  <c r="G2392" i="8"/>
  <c r="H2392" i="8"/>
  <c r="I2393" i="8"/>
  <c r="A2394" i="8"/>
  <c r="B2394" i="8"/>
  <c r="E2394" i="8"/>
  <c r="F2394" i="8"/>
  <c r="D2396" i="8"/>
  <c r="E2396" i="8"/>
  <c r="F2396" i="8"/>
  <c r="G2396" i="8"/>
  <c r="D2397" i="8"/>
  <c r="E2397" i="8"/>
  <c r="F2397" i="8"/>
  <c r="G2397" i="8"/>
  <c r="D2398" i="8"/>
  <c r="E2398" i="8"/>
  <c r="F2398" i="8"/>
  <c r="G2398" i="8"/>
  <c r="D2399" i="8"/>
  <c r="E2399" i="8"/>
  <c r="F2399" i="8"/>
  <c r="G2399" i="8"/>
  <c r="J2399" i="8"/>
  <c r="H2399" i="8"/>
  <c r="D2400" i="8"/>
  <c r="E2400" i="8"/>
  <c r="F2400" i="8"/>
  <c r="G2400" i="8"/>
  <c r="H2400" i="8"/>
  <c r="J2400" i="8"/>
  <c r="D2401" i="8"/>
  <c r="E2401" i="8"/>
  <c r="F2401" i="8"/>
  <c r="G2401" i="8"/>
  <c r="H2401" i="8"/>
  <c r="D2403" i="8"/>
  <c r="F2403" i="8"/>
  <c r="G2403" i="8"/>
  <c r="H2403" i="8"/>
  <c r="I2404" i="8"/>
  <c r="D2406" i="8"/>
  <c r="E2406" i="8"/>
  <c r="F2406" i="8"/>
  <c r="G2406" i="8"/>
  <c r="H2406" i="8"/>
  <c r="J2406" i="8"/>
  <c r="D2407" i="8"/>
  <c r="E2407" i="8"/>
  <c r="F2407" i="8"/>
  <c r="G2407" i="8"/>
  <c r="H2407" i="8"/>
  <c r="D2408" i="8"/>
  <c r="E2408" i="8"/>
  <c r="F2408" i="8"/>
  <c r="G2408" i="8"/>
  <c r="H2408" i="8"/>
  <c r="J2408" i="8"/>
  <c r="D2409" i="8"/>
  <c r="E2409" i="8"/>
  <c r="F2409" i="8"/>
  <c r="G2409" i="8"/>
  <c r="J2409" i="8"/>
  <c r="H2409" i="8"/>
  <c r="D2410" i="8"/>
  <c r="E2410" i="8"/>
  <c r="F2410" i="8"/>
  <c r="G2410" i="8"/>
  <c r="H2410" i="8"/>
  <c r="J2410" i="8"/>
  <c r="D2411" i="8"/>
  <c r="E2411" i="8"/>
  <c r="F2411" i="8"/>
  <c r="G2411" i="8"/>
  <c r="H2411" i="8"/>
  <c r="I2412" i="8"/>
  <c r="A2413" i="8"/>
  <c r="B2413" i="8"/>
  <c r="E2413" i="8"/>
  <c r="F2413" i="8"/>
  <c r="D2415" i="8"/>
  <c r="E2415" i="8"/>
  <c r="F2415" i="8"/>
  <c r="G2415" i="8"/>
  <c r="D2416" i="8"/>
  <c r="E2416" i="8"/>
  <c r="F2416" i="8"/>
  <c r="G2416" i="8"/>
  <c r="D2417" i="8"/>
  <c r="E2417" i="8"/>
  <c r="F2417" i="8"/>
  <c r="G2417" i="8"/>
  <c r="D2418" i="8"/>
  <c r="E2418" i="8"/>
  <c r="F2418" i="8"/>
  <c r="G2418" i="8"/>
  <c r="D2419" i="8"/>
  <c r="E2419" i="8"/>
  <c r="F2419" i="8"/>
  <c r="G2419" i="8"/>
  <c r="D2420" i="8"/>
  <c r="E2420" i="8"/>
  <c r="F2420" i="8"/>
  <c r="G2420" i="8"/>
  <c r="D2421" i="8"/>
  <c r="E2421" i="8"/>
  <c r="F2421" i="8"/>
  <c r="G2421" i="8"/>
  <c r="H2421" i="8"/>
  <c r="D2423" i="8"/>
  <c r="F2423" i="8"/>
  <c r="G2423" i="8"/>
  <c r="H2423" i="8"/>
  <c r="I2424" i="8"/>
  <c r="D2426" i="8"/>
  <c r="E2426" i="8"/>
  <c r="F2426" i="8"/>
  <c r="G2426" i="8"/>
  <c r="H2426" i="8"/>
  <c r="D2427" i="8"/>
  <c r="E2427" i="8"/>
  <c r="F2427" i="8"/>
  <c r="G2427" i="8"/>
  <c r="J2427" i="8"/>
  <c r="H2427" i="8"/>
  <c r="D2428" i="8"/>
  <c r="E2428" i="8"/>
  <c r="F2428" i="8"/>
  <c r="G2428" i="8"/>
  <c r="H2428" i="8"/>
  <c r="D2429" i="8"/>
  <c r="E2429" i="8"/>
  <c r="F2429" i="8"/>
  <c r="G2429" i="8"/>
  <c r="J2429" i="8"/>
  <c r="H2429" i="8"/>
  <c r="D2430" i="8"/>
  <c r="E2430" i="8"/>
  <c r="F2430" i="8"/>
  <c r="G2430" i="8"/>
  <c r="H2430" i="8"/>
  <c r="D2431" i="8"/>
  <c r="E2431" i="8"/>
  <c r="F2431" i="8"/>
  <c r="G2431" i="8"/>
  <c r="H2431" i="8"/>
  <c r="I2432" i="8"/>
  <c r="A3" i="9"/>
  <c r="A2" i="10"/>
  <c r="D19" i="10"/>
  <c r="E19" i="10"/>
  <c r="F19" i="10"/>
  <c r="G19" i="10"/>
  <c r="F24" i="10"/>
  <c r="A3" i="11"/>
  <c r="F17" i="11"/>
  <c r="G17" i="11"/>
  <c r="A4" i="12"/>
  <c r="I11" i="12"/>
  <c r="J11" i="12"/>
  <c r="H19" i="12"/>
  <c r="I19" i="12"/>
  <c r="H20" i="12"/>
  <c r="I27" i="12"/>
  <c r="J27" i="12"/>
  <c r="H33" i="12"/>
  <c r="I33" i="12"/>
  <c r="I46" i="12"/>
  <c r="J46" i="12"/>
  <c r="H49" i="12"/>
  <c r="H50" i="12"/>
  <c r="J49" i="12"/>
  <c r="J50" i="12"/>
  <c r="H51" i="12"/>
  <c r="J51" i="12"/>
  <c r="H52" i="12"/>
  <c r="I52" i="12"/>
  <c r="J52" i="12"/>
  <c r="H57" i="12"/>
  <c r="H58" i="12"/>
  <c r="H62" i="12"/>
  <c r="I62" i="12"/>
  <c r="A2" i="13"/>
  <c r="F6" i="13"/>
  <c r="F7" i="13"/>
  <c r="H7" i="13"/>
  <c r="F8" i="13"/>
  <c r="H8" i="13"/>
  <c r="I8" i="13"/>
  <c r="F9" i="13"/>
  <c r="F10" i="13"/>
  <c r="B7" i="14"/>
  <c r="D7" i="14"/>
  <c r="J8" i="14"/>
  <c r="K8" i="14"/>
  <c r="B9" i="14"/>
  <c r="D9" i="14"/>
  <c r="B11" i="14"/>
  <c r="D11" i="14"/>
  <c r="G11" i="14"/>
  <c r="B12" i="14"/>
  <c r="D12" i="14"/>
  <c r="G12" i="14"/>
  <c r="B14" i="14"/>
  <c r="D14" i="14"/>
  <c r="B16" i="14"/>
  <c r="D16" i="14"/>
  <c r="G16" i="14"/>
  <c r="B17" i="14"/>
  <c r="D17" i="14"/>
  <c r="G17" i="14"/>
  <c r="B19" i="14"/>
  <c r="D19" i="14"/>
  <c r="B20" i="14"/>
  <c r="D20" i="14"/>
  <c r="B21" i="14"/>
  <c r="D21" i="14"/>
  <c r="B22" i="14"/>
  <c r="D22" i="14"/>
  <c r="B23" i="14"/>
  <c r="D23" i="14"/>
  <c r="B24" i="14"/>
  <c r="D24" i="14"/>
  <c r="B25" i="14"/>
  <c r="D25" i="14"/>
  <c r="B26" i="14"/>
  <c r="D26" i="14"/>
  <c r="B27" i="14"/>
  <c r="D27" i="14"/>
  <c r="J28" i="14"/>
  <c r="K28" i="14"/>
  <c r="B29" i="14"/>
  <c r="D29" i="14"/>
  <c r="J30" i="14"/>
  <c r="K30" i="14"/>
  <c r="B31" i="14"/>
  <c r="D31" i="14"/>
  <c r="G31" i="14"/>
  <c r="B33" i="14"/>
  <c r="D33" i="14"/>
  <c r="G33" i="14"/>
  <c r="J34" i="14"/>
  <c r="K34" i="14"/>
  <c r="B35" i="14"/>
  <c r="D35" i="14"/>
  <c r="G35" i="14"/>
  <c r="M35" i="14"/>
  <c r="B37" i="14"/>
  <c r="D37" i="14"/>
  <c r="G37" i="14"/>
  <c r="J38" i="14"/>
  <c r="K38" i="14"/>
  <c r="B39" i="14"/>
  <c r="D39" i="14"/>
  <c r="B40" i="14"/>
  <c r="D40" i="14"/>
  <c r="G40" i="14"/>
  <c r="M40" i="14"/>
  <c r="B42" i="14"/>
  <c r="D42" i="14"/>
  <c r="G42" i="14"/>
  <c r="G41" i="14"/>
  <c r="B44" i="14"/>
  <c r="D44" i="14"/>
  <c r="B45" i="14"/>
  <c r="D45" i="14"/>
  <c r="G45" i="14"/>
  <c r="B46" i="14"/>
  <c r="D46" i="14"/>
  <c r="G46" i="14"/>
  <c r="B47" i="14"/>
  <c r="D47" i="14"/>
  <c r="G47" i="14"/>
  <c r="J48" i="14"/>
  <c r="K48" i="14"/>
  <c r="B49" i="14"/>
  <c r="D49" i="14"/>
  <c r="G49" i="14"/>
  <c r="L49" i="14"/>
  <c r="J50" i="14"/>
  <c r="K50" i="14"/>
  <c r="B51" i="14"/>
  <c r="D51" i="14"/>
  <c r="B53" i="14"/>
  <c r="D53" i="14"/>
  <c r="G53" i="14"/>
  <c r="B54" i="14"/>
  <c r="D54" i="14"/>
  <c r="G54" i="14"/>
  <c r="B55" i="14"/>
  <c r="D55" i="14"/>
  <c r="G55" i="14"/>
  <c r="B56" i="14"/>
  <c r="D56" i="14"/>
  <c r="G56" i="14"/>
  <c r="B57" i="14"/>
  <c r="D57" i="14"/>
  <c r="G57" i="14"/>
  <c r="B58" i="14"/>
  <c r="D58" i="14"/>
  <c r="G58" i="14"/>
  <c r="B59" i="14"/>
  <c r="D59" i="14"/>
  <c r="G59" i="14"/>
  <c r="B60" i="14"/>
  <c r="D60" i="14"/>
  <c r="G60" i="14"/>
  <c r="B61" i="14"/>
  <c r="D61" i="14"/>
  <c r="G61" i="14"/>
  <c r="B62" i="14"/>
  <c r="D62" i="14"/>
  <c r="G62" i="14"/>
  <c r="B63" i="14"/>
  <c r="D63" i="14"/>
  <c r="G63" i="14"/>
  <c r="B64" i="14"/>
  <c r="D64" i="14"/>
  <c r="G64" i="14"/>
  <c r="B65" i="14"/>
  <c r="D65" i="14"/>
  <c r="G65" i="14"/>
  <c r="B66" i="14"/>
  <c r="D66" i="14"/>
  <c r="B67" i="14"/>
  <c r="D67" i="14"/>
  <c r="B68" i="14"/>
  <c r="D68" i="14"/>
  <c r="G68" i="14"/>
  <c r="B69" i="14"/>
  <c r="D69" i="14"/>
  <c r="B70" i="14"/>
  <c r="D70" i="14"/>
  <c r="B71" i="14"/>
  <c r="D71" i="14"/>
  <c r="G71" i="14"/>
  <c r="B72" i="14"/>
  <c r="D72" i="14"/>
  <c r="B73" i="14"/>
  <c r="D73" i="14"/>
  <c r="G73" i="14"/>
  <c r="B74" i="14"/>
  <c r="D74" i="14"/>
  <c r="G74" i="14"/>
  <c r="B75" i="14"/>
  <c r="D75" i="14"/>
  <c r="G75" i="14"/>
  <c r="B76" i="14"/>
  <c r="D76" i="14"/>
  <c r="G76" i="14"/>
  <c r="B77" i="14"/>
  <c r="D77" i="14"/>
  <c r="G77" i="14"/>
  <c r="B78" i="14"/>
  <c r="D78" i="14"/>
  <c r="G78" i="14"/>
  <c r="B79" i="14"/>
  <c r="D79" i="14"/>
  <c r="G79" i="14"/>
  <c r="B80" i="14"/>
  <c r="D80" i="14"/>
  <c r="G80" i="14"/>
  <c r="B81" i="14"/>
  <c r="D81" i="14"/>
  <c r="G81" i="14"/>
  <c r="B82" i="14"/>
  <c r="D82" i="14"/>
  <c r="B83" i="14"/>
  <c r="D83" i="14"/>
  <c r="G83" i="14"/>
  <c r="B84" i="14"/>
  <c r="D84" i="14"/>
  <c r="B85" i="14"/>
  <c r="D85" i="14"/>
  <c r="B86" i="14"/>
  <c r="D86" i="14"/>
  <c r="G86" i="14"/>
  <c r="B87" i="14"/>
  <c r="D87" i="14"/>
  <c r="G87" i="14"/>
  <c r="B88" i="14"/>
  <c r="D88" i="14"/>
  <c r="G88" i="14"/>
  <c r="B89" i="14"/>
  <c r="D89" i="14"/>
  <c r="B90" i="14"/>
  <c r="D90" i="14"/>
  <c r="G90" i="14"/>
  <c r="B91" i="14"/>
  <c r="D91" i="14"/>
  <c r="B92" i="14"/>
  <c r="D92" i="14"/>
  <c r="B93" i="14"/>
  <c r="D93" i="14"/>
  <c r="G93" i="14"/>
  <c r="B94" i="14"/>
  <c r="D94" i="14"/>
  <c r="G94" i="14"/>
  <c r="B95" i="14"/>
  <c r="D95" i="14"/>
  <c r="G95" i="14"/>
  <c r="B96" i="14"/>
  <c r="D96" i="14"/>
  <c r="G96" i="14"/>
  <c r="B97" i="14"/>
  <c r="D97" i="14"/>
  <c r="G97" i="14"/>
  <c r="B98" i="14"/>
  <c r="D98" i="14"/>
  <c r="G98" i="14"/>
  <c r="B100" i="14"/>
  <c r="D100" i="14"/>
  <c r="G100" i="14"/>
  <c r="B101" i="14"/>
  <c r="D101" i="14"/>
  <c r="B102" i="14"/>
  <c r="D102" i="14"/>
  <c r="B103" i="14"/>
  <c r="D103" i="14"/>
  <c r="B104" i="14"/>
  <c r="D104" i="14"/>
  <c r="B106" i="14"/>
  <c r="D106" i="14"/>
  <c r="G106" i="14"/>
  <c r="G105" i="14"/>
  <c r="B108" i="14"/>
  <c r="D108" i="14"/>
  <c r="G108" i="14"/>
  <c r="G107" i="14"/>
  <c r="B110" i="14"/>
  <c r="D110" i="14"/>
  <c r="G110" i="14"/>
  <c r="B111" i="14"/>
  <c r="D111" i="14"/>
  <c r="G111" i="14"/>
  <c r="B112" i="14"/>
  <c r="D112" i="14"/>
  <c r="G112" i="14"/>
  <c r="B113" i="14"/>
  <c r="D113" i="14"/>
  <c r="G113" i="14"/>
  <c r="B114" i="14"/>
  <c r="D114" i="14"/>
  <c r="G114" i="14"/>
  <c r="B116" i="14"/>
  <c r="D116" i="14"/>
  <c r="G116" i="14"/>
  <c r="B117" i="14"/>
  <c r="D117" i="14"/>
  <c r="G117" i="14"/>
  <c r="B118" i="14"/>
  <c r="D118" i="14"/>
  <c r="G118" i="14"/>
  <c r="B119" i="14"/>
  <c r="D119" i="14"/>
  <c r="G119" i="14"/>
  <c r="B120" i="14"/>
  <c r="D120" i="14"/>
  <c r="B121" i="14"/>
  <c r="D121" i="14"/>
  <c r="G121" i="14"/>
  <c r="B123" i="14"/>
  <c r="D123" i="14"/>
  <c r="G123" i="14"/>
  <c r="B124" i="14"/>
  <c r="D124" i="14"/>
  <c r="B125" i="14"/>
  <c r="D125" i="14"/>
  <c r="B126" i="14"/>
  <c r="D126" i="14"/>
  <c r="B127" i="14"/>
  <c r="D127" i="14"/>
  <c r="B129" i="14"/>
  <c r="D129" i="14"/>
  <c r="G129" i="14"/>
  <c r="J130" i="14"/>
  <c r="K130" i="14"/>
  <c r="B131" i="14"/>
  <c r="D131" i="14"/>
  <c r="G131" i="14"/>
  <c r="J132" i="14"/>
  <c r="B133" i="14"/>
  <c r="D133" i="14"/>
  <c r="G133" i="14"/>
  <c r="M133" i="14"/>
  <c r="B134" i="14"/>
  <c r="D134" i="14"/>
  <c r="G134" i="14"/>
  <c r="B135" i="14"/>
  <c r="D135" i="14"/>
  <c r="G135" i="14"/>
  <c r="B137" i="14"/>
  <c r="D137" i="14"/>
  <c r="B139" i="14"/>
  <c r="D139" i="14"/>
  <c r="B141" i="14"/>
  <c r="D141" i="14"/>
  <c r="G141" i="14"/>
  <c r="B142" i="14"/>
  <c r="D142" i="14"/>
  <c r="G142" i="14"/>
  <c r="B143" i="14"/>
  <c r="D143" i="14"/>
  <c r="G143" i="14"/>
  <c r="B144" i="14"/>
  <c r="D144" i="14"/>
  <c r="G144" i="14"/>
  <c r="B145" i="14"/>
  <c r="D145" i="14"/>
  <c r="G145" i="14"/>
  <c r="B146" i="14"/>
  <c r="D146" i="14"/>
  <c r="G146" i="14"/>
  <c r="B147" i="14"/>
  <c r="D147" i="14"/>
  <c r="G147" i="14"/>
  <c r="B148" i="14"/>
  <c r="D148" i="14"/>
  <c r="G148" i="14"/>
  <c r="B149" i="14"/>
  <c r="D149" i="14"/>
  <c r="G149" i="14"/>
  <c r="B150" i="14"/>
  <c r="D150" i="14"/>
  <c r="G150" i="14"/>
  <c r="B151" i="14"/>
  <c r="D151" i="14"/>
  <c r="B152" i="14"/>
  <c r="D152" i="14"/>
  <c r="G152" i="14"/>
  <c r="B153" i="14"/>
  <c r="D153" i="14"/>
  <c r="G153" i="14"/>
  <c r="B154" i="14"/>
  <c r="D154" i="14"/>
  <c r="G154" i="14"/>
  <c r="B155" i="14"/>
  <c r="D155" i="14"/>
  <c r="G155" i="14"/>
  <c r="B156" i="14"/>
  <c r="D156" i="14"/>
  <c r="G156" i="14"/>
  <c r="B157" i="14"/>
  <c r="D157" i="14"/>
  <c r="G157" i="14"/>
  <c r="B158" i="14"/>
  <c r="D158" i="14"/>
  <c r="G158" i="14"/>
  <c r="B159" i="14"/>
  <c r="D159" i="14"/>
  <c r="G159" i="14"/>
  <c r="B160" i="14"/>
  <c r="D160" i="14"/>
  <c r="G160" i="14"/>
  <c r="B161" i="14"/>
  <c r="D161" i="14"/>
  <c r="B162" i="14"/>
  <c r="D162" i="14"/>
  <c r="G162" i="14"/>
  <c r="B163" i="14"/>
  <c r="D163" i="14"/>
  <c r="B164" i="14"/>
  <c r="D164" i="14"/>
  <c r="B165" i="14"/>
  <c r="D165" i="14"/>
  <c r="G165" i="14"/>
  <c r="B166" i="14"/>
  <c r="D166" i="14"/>
  <c r="B167" i="14"/>
  <c r="D167" i="14"/>
  <c r="G167" i="14"/>
  <c r="B168" i="14"/>
  <c r="D168" i="14"/>
  <c r="G168" i="14"/>
  <c r="B169" i="14"/>
  <c r="D169" i="14"/>
  <c r="G169" i="14"/>
  <c r="B171" i="14"/>
  <c r="D171" i="14"/>
  <c r="G171" i="14"/>
  <c r="B172" i="14"/>
  <c r="D172" i="14"/>
  <c r="B173" i="14"/>
  <c r="D173" i="14"/>
  <c r="G173" i="14"/>
  <c r="B174" i="14"/>
  <c r="D174" i="14"/>
  <c r="G174" i="14"/>
  <c r="B176" i="14"/>
  <c r="D176" i="14"/>
  <c r="G176" i="14"/>
  <c r="B178" i="14"/>
  <c r="D178" i="14"/>
  <c r="G178" i="14"/>
  <c r="B179" i="14"/>
  <c r="D179" i="14"/>
  <c r="G179" i="14"/>
  <c r="B181" i="14"/>
  <c r="D181" i="14"/>
  <c r="B182" i="14"/>
  <c r="D182" i="14"/>
  <c r="G182" i="14"/>
  <c r="B183" i="14"/>
  <c r="D183" i="14"/>
  <c r="B185" i="14"/>
  <c r="D185" i="14"/>
  <c r="B186" i="14"/>
  <c r="D186" i="14"/>
  <c r="B187" i="14"/>
  <c r="D187" i="14"/>
  <c r="B188" i="14"/>
  <c r="D188" i="14"/>
  <c r="G188" i="14"/>
  <c r="B189" i="14"/>
  <c r="D189" i="14"/>
  <c r="G189" i="14"/>
  <c r="B190" i="14"/>
  <c r="D190" i="14"/>
  <c r="G190" i="14"/>
  <c r="B191" i="14"/>
  <c r="D191" i="14"/>
  <c r="G191" i="14"/>
  <c r="B192" i="14"/>
  <c r="D192" i="14"/>
  <c r="B193" i="14"/>
  <c r="D193" i="14"/>
  <c r="G193" i="14"/>
  <c r="B194" i="14"/>
  <c r="D194" i="14"/>
  <c r="B195" i="14"/>
  <c r="D195" i="14"/>
  <c r="G195" i="14"/>
  <c r="B196" i="14"/>
  <c r="D196" i="14"/>
  <c r="G196" i="14"/>
  <c r="B197" i="14"/>
  <c r="D197" i="14"/>
  <c r="G197" i="14"/>
  <c r="B199" i="14"/>
  <c r="D199" i="14"/>
  <c r="G199" i="14"/>
  <c r="G198" i="14"/>
  <c r="B201" i="14"/>
  <c r="D201" i="14"/>
  <c r="G201" i="14"/>
  <c r="B203" i="14"/>
  <c r="D203" i="14"/>
  <c r="G203" i="14"/>
  <c r="J204" i="14"/>
  <c r="K204" i="14"/>
  <c r="B205" i="14"/>
  <c r="D205" i="14"/>
  <c r="B206" i="14"/>
  <c r="D206" i="14"/>
  <c r="B207" i="14"/>
  <c r="D207" i="14"/>
  <c r="B208" i="14"/>
  <c r="D208" i="14"/>
  <c r="G208" i="14"/>
  <c r="B209" i="14"/>
  <c r="D209" i="14"/>
  <c r="G209" i="14"/>
  <c r="B210" i="14"/>
  <c r="D210" i="14"/>
  <c r="G210" i="14"/>
  <c r="M210" i="14"/>
  <c r="B211" i="14"/>
  <c r="D211" i="14"/>
  <c r="B212" i="14"/>
  <c r="D212" i="14"/>
  <c r="G212" i="14"/>
  <c r="B213" i="14"/>
  <c r="D213" i="14"/>
  <c r="G213" i="14"/>
  <c r="L213" i="14"/>
  <c r="B214" i="14"/>
  <c r="D214" i="14"/>
  <c r="G214" i="14"/>
  <c r="M214" i="14"/>
  <c r="B215" i="14"/>
  <c r="D215" i="14"/>
  <c r="G215" i="14"/>
  <c r="M215" i="14"/>
  <c r="B216" i="14"/>
  <c r="D216" i="14"/>
  <c r="B217" i="14"/>
  <c r="D217" i="14"/>
  <c r="G217" i="14"/>
  <c r="B218" i="14"/>
  <c r="D218" i="14"/>
  <c r="B219" i="14"/>
  <c r="D219" i="14"/>
  <c r="B220" i="14"/>
  <c r="D220" i="14"/>
  <c r="B221" i="14"/>
  <c r="D221" i="14"/>
  <c r="G221" i="14"/>
  <c r="B222" i="14"/>
  <c r="D222" i="14"/>
  <c r="G222" i="14"/>
  <c r="M222" i="14"/>
  <c r="B223" i="14"/>
  <c r="D223" i="14"/>
  <c r="G223" i="14"/>
  <c r="M223" i="14"/>
  <c r="B224" i="14"/>
  <c r="D224" i="14"/>
  <c r="B225" i="14"/>
  <c r="D225" i="14"/>
  <c r="G225" i="14"/>
  <c r="B226" i="14"/>
  <c r="D226" i="14"/>
  <c r="G226" i="14"/>
  <c r="M226" i="14"/>
  <c r="B228" i="14"/>
  <c r="D228" i="14"/>
  <c r="B230" i="14"/>
  <c r="D230" i="14"/>
  <c r="B232" i="14"/>
  <c r="D232" i="14"/>
  <c r="G232" i="14"/>
  <c r="B233" i="14"/>
  <c r="D233" i="14"/>
  <c r="G233" i="14"/>
  <c r="B234" i="14"/>
  <c r="D234" i="14"/>
  <c r="G234" i="14"/>
  <c r="B235" i="14"/>
  <c r="D235" i="14"/>
  <c r="G235" i="14"/>
  <c r="B236" i="14"/>
  <c r="D236" i="14"/>
  <c r="B237" i="14"/>
  <c r="D237" i="14"/>
  <c r="G237" i="14"/>
  <c r="B238" i="14"/>
  <c r="D238" i="14"/>
  <c r="B239" i="14"/>
  <c r="D239" i="14"/>
  <c r="B240" i="14"/>
  <c r="D240" i="14"/>
  <c r="B241" i="14"/>
  <c r="D241" i="14"/>
  <c r="G241" i="14"/>
  <c r="B242" i="14"/>
  <c r="D242" i="14"/>
  <c r="G242" i="14"/>
  <c r="B243" i="14"/>
  <c r="D243" i="14"/>
  <c r="B244" i="14"/>
  <c r="D244" i="14"/>
  <c r="G244" i="14"/>
  <c r="B245" i="14"/>
  <c r="D245" i="14"/>
  <c r="B246" i="14"/>
  <c r="D246" i="14"/>
  <c r="B247" i="14"/>
  <c r="D247" i="14"/>
  <c r="B248" i="14"/>
  <c r="D248" i="14"/>
  <c r="B249" i="14"/>
  <c r="D249" i="14"/>
  <c r="B250" i="14"/>
  <c r="D250" i="14"/>
  <c r="B251" i="14"/>
  <c r="D251" i="14"/>
  <c r="B252" i="14"/>
  <c r="D252" i="14"/>
  <c r="B253" i="14"/>
  <c r="D253" i="14"/>
  <c r="G253" i="14"/>
  <c r="B254" i="14"/>
  <c r="D254" i="14"/>
  <c r="B255" i="14"/>
  <c r="D255" i="14"/>
  <c r="G255" i="14"/>
  <c r="B256" i="14"/>
  <c r="D256" i="14"/>
  <c r="G256" i="14"/>
  <c r="B257" i="14"/>
  <c r="D257" i="14"/>
  <c r="B258" i="14"/>
  <c r="D258" i="14"/>
  <c r="B259" i="14"/>
  <c r="D259" i="14"/>
  <c r="B260" i="14"/>
  <c r="D260" i="14"/>
  <c r="G260" i="14"/>
  <c r="B261" i="14"/>
  <c r="D261" i="14"/>
  <c r="G261" i="14"/>
  <c r="B262" i="14"/>
  <c r="D262" i="14"/>
  <c r="B263" i="14"/>
  <c r="D263" i="14"/>
  <c r="G263" i="14"/>
  <c r="B264" i="14"/>
  <c r="D264" i="14"/>
  <c r="G264" i="14"/>
  <c r="B265" i="14"/>
  <c r="D265" i="14"/>
  <c r="G265" i="14"/>
  <c r="B266" i="14"/>
  <c r="D266" i="14"/>
  <c r="G266" i="14"/>
  <c r="B267" i="14"/>
  <c r="D267" i="14"/>
  <c r="G267" i="14"/>
  <c r="B268" i="14"/>
  <c r="D268" i="14"/>
  <c r="G268" i="14"/>
  <c r="B269" i="14"/>
  <c r="D269" i="14"/>
  <c r="B270" i="14"/>
  <c r="D270" i="14"/>
  <c r="B271" i="14"/>
  <c r="D271" i="14"/>
  <c r="B273" i="14"/>
  <c r="D273" i="14"/>
  <c r="B274" i="14"/>
  <c r="D274" i="14"/>
  <c r="G274" i="14"/>
  <c r="B275" i="14"/>
  <c r="D275" i="14"/>
  <c r="B277" i="14"/>
  <c r="D277" i="14"/>
  <c r="G277" i="14"/>
  <c r="B279" i="14"/>
  <c r="D279" i="14"/>
  <c r="G279" i="14"/>
  <c r="B280" i="14"/>
  <c r="D280" i="14"/>
  <c r="G280" i="14"/>
  <c r="B281" i="14"/>
  <c r="D281" i="14"/>
  <c r="B282" i="14"/>
  <c r="D282" i="14"/>
  <c r="B283" i="14"/>
  <c r="D283" i="14"/>
  <c r="G283" i="14"/>
  <c r="B284" i="14"/>
  <c r="D284" i="14"/>
  <c r="G284" i="14"/>
  <c r="B286" i="14"/>
  <c r="D286" i="14"/>
  <c r="G286" i="14"/>
  <c r="B287" i="14"/>
  <c r="D287" i="14"/>
  <c r="G287" i="14"/>
  <c r="B288" i="14"/>
  <c r="D288" i="14"/>
  <c r="B289" i="14"/>
  <c r="D289" i="14"/>
  <c r="G289" i="14"/>
  <c r="B290" i="14"/>
  <c r="D290" i="14"/>
  <c r="G290" i="14"/>
  <c r="J291" i="14"/>
  <c r="K291" i="14"/>
  <c r="B292" i="14"/>
  <c r="D292" i="14"/>
  <c r="B293" i="14"/>
  <c r="D293" i="14"/>
  <c r="G293" i="14"/>
  <c r="B294" i="14"/>
  <c r="D294" i="14"/>
  <c r="G294" i="14"/>
  <c r="B296" i="14"/>
  <c r="D296" i="14"/>
  <c r="B297" i="14"/>
  <c r="D297" i="14"/>
  <c r="G297" i="14"/>
  <c r="B298" i="14"/>
  <c r="D298" i="14"/>
  <c r="G298" i="14"/>
  <c r="B300" i="14"/>
  <c r="D300" i="14"/>
  <c r="B301" i="14"/>
  <c r="D301" i="14"/>
  <c r="B302" i="14"/>
  <c r="D302" i="14"/>
  <c r="G302" i="14"/>
  <c r="B304" i="14"/>
  <c r="D304" i="14"/>
  <c r="B306" i="14"/>
  <c r="D306" i="14"/>
  <c r="B307" i="14"/>
  <c r="D307" i="14"/>
  <c r="G307" i="14"/>
  <c r="B308" i="14"/>
  <c r="D308" i="14"/>
  <c r="B309" i="14"/>
  <c r="D309" i="14"/>
  <c r="B310" i="14"/>
  <c r="D310" i="14"/>
  <c r="B311" i="14"/>
  <c r="D311" i="14"/>
  <c r="G311" i="14"/>
  <c r="B312" i="14"/>
  <c r="D312" i="14"/>
  <c r="G312" i="14"/>
  <c r="B313" i="14"/>
  <c r="D313" i="14"/>
  <c r="B314" i="14"/>
  <c r="D314" i="14"/>
  <c r="G314" i="14"/>
  <c r="B315" i="14"/>
  <c r="D315" i="14"/>
  <c r="G315" i="14"/>
  <c r="B317" i="14"/>
  <c r="D317" i="14"/>
  <c r="B319" i="14"/>
  <c r="D319" i="14"/>
  <c r="G319" i="14"/>
  <c r="B320" i="14"/>
  <c r="D320" i="14"/>
  <c r="B321" i="14"/>
  <c r="D321" i="14"/>
  <c r="B322" i="14"/>
  <c r="D322" i="14"/>
  <c r="B323" i="14"/>
  <c r="D323" i="14"/>
  <c r="B324" i="14"/>
  <c r="D324" i="14"/>
  <c r="B325" i="14"/>
  <c r="D325" i="14"/>
  <c r="B327" i="14"/>
  <c r="D327" i="14"/>
  <c r="G327" i="14"/>
  <c r="G326" i="14"/>
  <c r="J328" i="14"/>
  <c r="B329" i="14"/>
  <c r="D329" i="14"/>
  <c r="G329" i="14"/>
  <c r="B330" i="14"/>
  <c r="D330" i="14"/>
  <c r="G330" i="14"/>
  <c r="B331" i="14"/>
  <c r="D331" i="14"/>
  <c r="B332" i="14"/>
  <c r="D332" i="14"/>
  <c r="G332" i="14"/>
  <c r="B333" i="14"/>
  <c r="D333" i="14"/>
  <c r="G333" i="14"/>
  <c r="J334" i="14"/>
  <c r="K334" i="14"/>
  <c r="B335" i="14"/>
  <c r="D335" i="14"/>
  <c r="B336" i="14"/>
  <c r="D336" i="14"/>
  <c r="G336" i="14"/>
  <c r="B338" i="14"/>
  <c r="D338" i="14"/>
  <c r="G338" i="14"/>
  <c r="B339" i="14"/>
  <c r="D339" i="14"/>
  <c r="G339" i="14"/>
  <c r="B340" i="14"/>
  <c r="D340" i="14"/>
  <c r="G340" i="14"/>
  <c r="G337" i="14"/>
  <c r="B342" i="14"/>
  <c r="D342" i="14"/>
  <c r="G342" i="14"/>
  <c r="B343" i="14"/>
  <c r="D343" i="14"/>
  <c r="G343" i="14"/>
  <c r="B344" i="14"/>
  <c r="D344" i="14"/>
  <c r="G344" i="14"/>
  <c r="B346" i="14"/>
  <c r="D346" i="14"/>
  <c r="G346" i="14"/>
  <c r="G345" i="14"/>
  <c r="B348" i="14"/>
  <c r="D348" i="14"/>
  <c r="G348" i="14"/>
  <c r="B350" i="14"/>
  <c r="D350" i="14"/>
  <c r="G350" i="14"/>
  <c r="G349" i="14"/>
  <c r="B352" i="14"/>
  <c r="D352" i="14"/>
  <c r="B353" i="14"/>
  <c r="D353" i="14"/>
  <c r="G353" i="14"/>
  <c r="B354" i="14"/>
  <c r="D354" i="14"/>
  <c r="G354" i="14"/>
  <c r="J355" i="14"/>
  <c r="B356" i="14"/>
  <c r="D356" i="14"/>
  <c r="B358" i="14"/>
  <c r="D358" i="14"/>
  <c r="J359" i="14"/>
  <c r="K359" i="14"/>
  <c r="B360" i="14"/>
  <c r="D360" i="14"/>
  <c r="B362" i="14"/>
  <c r="D362" i="14"/>
  <c r="B364" i="14"/>
  <c r="D364" i="14"/>
  <c r="G364" i="14"/>
  <c r="B366" i="14"/>
  <c r="D366" i="14"/>
  <c r="B367" i="14"/>
  <c r="D367" i="14"/>
  <c r="G367" i="14"/>
  <c r="B368" i="14"/>
  <c r="D368" i="14"/>
  <c r="G368" i="14"/>
  <c r="J369" i="14"/>
  <c r="K369" i="14"/>
  <c r="B370" i="14"/>
  <c r="D370" i="14"/>
  <c r="G370" i="14"/>
  <c r="L370" i="14"/>
  <c r="M370" i="14"/>
  <c r="B371" i="14"/>
  <c r="D371" i="14"/>
  <c r="G371" i="14"/>
  <c r="L371" i="14"/>
  <c r="M371" i="14"/>
  <c r="B372" i="14"/>
  <c r="D372" i="14"/>
  <c r="B373" i="14"/>
  <c r="D373" i="14"/>
  <c r="G373" i="14"/>
  <c r="L373" i="14"/>
  <c r="B374" i="14"/>
  <c r="D374" i="14"/>
  <c r="G374" i="14"/>
  <c r="M374" i="14"/>
  <c r="B375" i="14"/>
  <c r="D375" i="14"/>
  <c r="G375" i="14"/>
  <c r="M375" i="14"/>
  <c r="B376" i="14"/>
  <c r="D376" i="14"/>
  <c r="G376" i="14"/>
  <c r="M376" i="14"/>
  <c r="B377" i="14"/>
  <c r="D377" i="14"/>
  <c r="G377" i="14"/>
  <c r="B378" i="14"/>
  <c r="D378" i="14"/>
  <c r="G378" i="14"/>
  <c r="M378" i="14"/>
  <c r="B379" i="14"/>
  <c r="D379" i="14"/>
  <c r="G379" i="14"/>
  <c r="M379" i="14"/>
  <c r="B380" i="14"/>
  <c r="D380" i="14"/>
  <c r="B381" i="14"/>
  <c r="D381" i="14"/>
  <c r="G381" i="14"/>
  <c r="B382" i="14"/>
  <c r="D382" i="14"/>
  <c r="G382" i="14"/>
  <c r="M382" i="14"/>
  <c r="B383" i="14"/>
  <c r="D383" i="14"/>
  <c r="B384" i="14"/>
  <c r="D384" i="14"/>
  <c r="B385" i="14"/>
  <c r="D385" i="14"/>
  <c r="G385" i="14"/>
  <c r="M385" i="14"/>
  <c r="B386" i="14"/>
  <c r="D386" i="14"/>
  <c r="G386" i="14"/>
  <c r="B387" i="14"/>
  <c r="D387" i="14"/>
  <c r="B388" i="14"/>
  <c r="D388" i="14"/>
  <c r="G388" i="14"/>
  <c r="M388" i="14"/>
  <c r="B389" i="14"/>
  <c r="D389" i="14"/>
  <c r="B390" i="14"/>
  <c r="D390" i="14"/>
  <c r="B391" i="14"/>
  <c r="D391" i="14"/>
  <c r="G391" i="14"/>
  <c r="B392" i="14"/>
  <c r="D392" i="14"/>
  <c r="G392" i="14"/>
  <c r="M392" i="14"/>
  <c r="B393" i="14"/>
  <c r="D393" i="14"/>
  <c r="G393" i="14"/>
  <c r="M393" i="14"/>
  <c r="B394" i="14"/>
  <c r="D394" i="14"/>
  <c r="G394" i="14"/>
  <c r="M394" i="14"/>
  <c r="B395" i="14"/>
  <c r="D395" i="14"/>
  <c r="G395" i="14"/>
  <c r="B396" i="14"/>
  <c r="D396" i="14"/>
  <c r="G396" i="14"/>
  <c r="B397" i="14"/>
  <c r="D397" i="14"/>
  <c r="G397" i="14"/>
  <c r="M397" i="14"/>
  <c r="B398" i="14"/>
  <c r="D398" i="14"/>
  <c r="G398" i="14"/>
  <c r="M398" i="14"/>
  <c r="B399" i="14"/>
  <c r="D399" i="14"/>
  <c r="G399" i="14"/>
  <c r="L399" i="14"/>
  <c r="M399" i="14"/>
  <c r="B400" i="14"/>
  <c r="D400" i="14"/>
  <c r="G400" i="14"/>
  <c r="B401" i="14"/>
  <c r="D401" i="14"/>
  <c r="B402" i="14"/>
  <c r="D402" i="14"/>
  <c r="B403" i="14"/>
  <c r="D403" i="14"/>
  <c r="B404" i="14"/>
  <c r="D404" i="14"/>
  <c r="G404" i="14"/>
  <c r="M404" i="14"/>
  <c r="B405" i="14"/>
  <c r="D405" i="14"/>
  <c r="B406" i="14"/>
  <c r="D406" i="14"/>
  <c r="G406" i="14"/>
  <c r="M406" i="14"/>
  <c r="B407" i="14"/>
  <c r="D407" i="14"/>
  <c r="B408" i="14"/>
  <c r="D408" i="14"/>
  <c r="G408" i="14"/>
  <c r="M408" i="14"/>
  <c r="B409" i="14"/>
  <c r="D409" i="14"/>
  <c r="B410" i="14"/>
  <c r="D410" i="14"/>
  <c r="B411" i="14"/>
  <c r="D411" i="14"/>
  <c r="G411" i="14"/>
  <c r="M411" i="14"/>
  <c r="B412" i="14"/>
  <c r="D412" i="14"/>
  <c r="G412" i="14"/>
  <c r="B413" i="14"/>
  <c r="D413" i="14"/>
  <c r="G413" i="14"/>
  <c r="B414" i="14"/>
  <c r="D414" i="14"/>
  <c r="G414" i="14"/>
  <c r="M414" i="14"/>
  <c r="B415" i="14"/>
  <c r="D415" i="14"/>
  <c r="G415" i="14"/>
  <c r="M415" i="14"/>
  <c r="B416" i="14"/>
  <c r="D416" i="14"/>
  <c r="G416" i="14"/>
  <c r="M416" i="14"/>
  <c r="B418" i="14"/>
  <c r="D418" i="14"/>
  <c r="B419" i="14"/>
  <c r="D419" i="14"/>
  <c r="B420" i="14"/>
  <c r="D420" i="14"/>
  <c r="B421" i="14"/>
  <c r="D421" i="14"/>
  <c r="G421" i="14"/>
  <c r="B422" i="14"/>
  <c r="D422" i="14"/>
  <c r="G422" i="14"/>
  <c r="B423" i="14"/>
  <c r="D423" i="14"/>
  <c r="G423" i="14"/>
  <c r="B424" i="14"/>
  <c r="D424" i="14"/>
  <c r="B425" i="14"/>
  <c r="D425" i="14"/>
  <c r="G425" i="14"/>
  <c r="B426" i="14"/>
  <c r="D426" i="14"/>
  <c r="G426" i="14"/>
  <c r="B427" i="14"/>
  <c r="D427" i="14"/>
  <c r="G427" i="14"/>
  <c r="B428" i="14"/>
  <c r="D428" i="14"/>
  <c r="G428" i="14"/>
  <c r="B429" i="14"/>
  <c r="D429" i="14"/>
  <c r="B430" i="14"/>
  <c r="D430" i="14"/>
  <c r="G430" i="14"/>
  <c r="B431" i="14"/>
  <c r="D431" i="14"/>
  <c r="B432" i="14"/>
  <c r="D432" i="14"/>
  <c r="B433" i="14"/>
  <c r="D433" i="14"/>
  <c r="B434" i="14"/>
  <c r="D434" i="14"/>
  <c r="G434" i="14"/>
  <c r="B435" i="14"/>
  <c r="D435" i="14"/>
  <c r="G435" i="14"/>
  <c r="B436" i="14"/>
  <c r="D436" i="14"/>
  <c r="B437" i="14"/>
  <c r="D437" i="14"/>
  <c r="B438" i="14"/>
  <c r="D438" i="14"/>
  <c r="B439" i="14"/>
  <c r="D439" i="14"/>
  <c r="G439" i="14"/>
  <c r="B440" i="14"/>
  <c r="D440" i="14"/>
  <c r="B441" i="14"/>
  <c r="D441" i="14"/>
  <c r="G441" i="14"/>
  <c r="B442" i="14"/>
  <c r="D442" i="14"/>
  <c r="G442" i="14"/>
  <c r="J443" i="14"/>
  <c r="K443" i="14"/>
  <c r="B444" i="14"/>
  <c r="D444" i="14"/>
  <c r="G444" i="14"/>
  <c r="B446" i="14"/>
  <c r="D446" i="14"/>
  <c r="B448" i="14"/>
  <c r="D448" i="14"/>
  <c r="B450" i="14"/>
  <c r="D450" i="14"/>
  <c r="G450" i="14"/>
  <c r="G449" i="14"/>
  <c r="B451" i="14"/>
  <c r="D451" i="14"/>
  <c r="G451" i="14"/>
  <c r="B453" i="14"/>
  <c r="D453" i="14"/>
  <c r="G453" i="14"/>
  <c r="B455" i="14"/>
  <c r="D455" i="14"/>
  <c r="B457" i="14"/>
  <c r="D457" i="14"/>
  <c r="B459" i="14"/>
  <c r="D459" i="14"/>
  <c r="G459" i="14"/>
  <c r="G458" i="14"/>
  <c r="B461" i="14"/>
  <c r="D461" i="14"/>
  <c r="G461" i="14"/>
  <c r="B463" i="14"/>
  <c r="D463" i="14"/>
  <c r="G463" i="14"/>
  <c r="G462" i="14"/>
  <c r="B465" i="14"/>
  <c r="D465" i="14"/>
  <c r="G465" i="14"/>
  <c r="B467" i="14"/>
  <c r="D467" i="14"/>
  <c r="B469" i="14"/>
  <c r="D469" i="14"/>
  <c r="G469" i="14"/>
  <c r="B471" i="14"/>
  <c r="D471" i="14"/>
  <c r="G471" i="14"/>
  <c r="G470" i="14"/>
  <c r="J472" i="14"/>
  <c r="K472" i="14"/>
  <c r="B473" i="14"/>
  <c r="D473" i="14"/>
  <c r="G473" i="14"/>
  <c r="B474" i="14"/>
  <c r="D474" i="14"/>
  <c r="G474" i="14"/>
  <c r="L474" i="14"/>
  <c r="B475" i="14"/>
  <c r="D475" i="14"/>
  <c r="G475" i="14"/>
  <c r="L475" i="14"/>
  <c r="B476" i="14"/>
  <c r="D476" i="14"/>
  <c r="G476" i="14"/>
  <c r="B477" i="14"/>
  <c r="D477" i="14"/>
  <c r="B478" i="14"/>
  <c r="D478" i="14"/>
  <c r="G478" i="14"/>
  <c r="M478" i="14"/>
  <c r="B479" i="14"/>
  <c r="D479" i="14"/>
  <c r="G479" i="14"/>
  <c r="L479" i="14"/>
  <c r="M479" i="14"/>
  <c r="B480" i="14"/>
  <c r="D480" i="14"/>
  <c r="B481" i="14"/>
  <c r="D481" i="14"/>
  <c r="B482" i="14"/>
  <c r="D482" i="14"/>
  <c r="B483" i="14"/>
  <c r="D483" i="14"/>
  <c r="B484" i="14"/>
  <c r="D484" i="14"/>
  <c r="G484" i="14"/>
  <c r="B485" i="14"/>
  <c r="D485" i="14"/>
  <c r="B486" i="14"/>
  <c r="D486" i="14"/>
  <c r="G486" i="14"/>
  <c r="M486" i="14"/>
  <c r="B487" i="14"/>
  <c r="D487" i="14"/>
  <c r="B488" i="14"/>
  <c r="D488" i="14"/>
  <c r="G488" i="14"/>
  <c r="L488" i="14"/>
  <c r="B489" i="14"/>
  <c r="D489" i="14"/>
  <c r="B490" i="14"/>
  <c r="D490" i="14"/>
  <c r="G490" i="14"/>
  <c r="B491" i="14"/>
  <c r="D491" i="14"/>
  <c r="B492" i="14"/>
  <c r="D492" i="14"/>
  <c r="B493" i="14"/>
  <c r="D493" i="14"/>
  <c r="G493" i="14"/>
  <c r="B494" i="14"/>
  <c r="D494" i="14"/>
  <c r="G494" i="14"/>
  <c r="M494" i="14"/>
  <c r="B495" i="14"/>
  <c r="D495" i="14"/>
  <c r="G495" i="14"/>
  <c r="B496" i="14"/>
  <c r="D496" i="14"/>
  <c r="G496" i="14"/>
  <c r="L496" i="14"/>
  <c r="B497" i="14"/>
  <c r="D497" i="14"/>
  <c r="G497" i="14"/>
  <c r="M497" i="14"/>
  <c r="B498" i="14"/>
  <c r="D498" i="14"/>
  <c r="B499" i="14"/>
  <c r="D499" i="14"/>
  <c r="G499" i="14"/>
  <c r="B500" i="14"/>
  <c r="D500" i="14"/>
  <c r="G500" i="14"/>
  <c r="L500" i="14"/>
  <c r="B501" i="14"/>
  <c r="D501" i="14"/>
  <c r="G501" i="14"/>
  <c r="B502" i="14"/>
  <c r="D502" i="14"/>
  <c r="G502" i="14"/>
  <c r="M502" i="14"/>
  <c r="B503" i="14"/>
  <c r="D503" i="14"/>
  <c r="B504" i="14"/>
  <c r="D504" i="14"/>
  <c r="B505" i="14"/>
  <c r="D505" i="14"/>
  <c r="B506" i="14"/>
  <c r="D506" i="14"/>
  <c r="B507" i="14"/>
  <c r="D507" i="14"/>
  <c r="B508" i="14"/>
  <c r="D508" i="14"/>
  <c r="G508" i="14"/>
  <c r="B509" i="14"/>
  <c r="D509" i="14"/>
  <c r="B510" i="14"/>
  <c r="D510" i="14"/>
  <c r="B511" i="14"/>
  <c r="D511" i="14"/>
  <c r="B512" i="14"/>
  <c r="D512" i="14"/>
  <c r="B513" i="14"/>
  <c r="D513" i="14"/>
  <c r="B514" i="14"/>
  <c r="D514" i="14"/>
  <c r="B515" i="14"/>
  <c r="D515" i="14"/>
  <c r="B516" i="14"/>
  <c r="D516" i="14"/>
  <c r="B517" i="14"/>
  <c r="D517" i="14"/>
  <c r="G517" i="14"/>
  <c r="M517" i="14"/>
  <c r="L517" i="14"/>
  <c r="B518" i="14"/>
  <c r="D518" i="14"/>
  <c r="B519" i="14"/>
  <c r="D519" i="14"/>
  <c r="B520" i="14"/>
  <c r="D520" i="14"/>
  <c r="B521" i="14"/>
  <c r="D521" i="14"/>
  <c r="G521" i="14"/>
  <c r="B522" i="14"/>
  <c r="D522" i="14"/>
  <c r="B523" i="14"/>
  <c r="D523" i="14"/>
  <c r="G523" i="14"/>
  <c r="B524" i="14"/>
  <c r="D524" i="14"/>
  <c r="G524" i="14"/>
  <c r="B525" i="14"/>
  <c r="D525" i="14"/>
  <c r="B526" i="14"/>
  <c r="D526" i="14"/>
  <c r="B527" i="14"/>
  <c r="D527" i="14"/>
  <c r="G527" i="14"/>
  <c r="L527" i="14"/>
  <c r="B528" i="14"/>
  <c r="D528" i="14"/>
  <c r="B529" i="14"/>
  <c r="D529" i="14"/>
  <c r="G529" i="14"/>
  <c r="M529" i="14"/>
  <c r="B530" i="14"/>
  <c r="D530" i="14"/>
  <c r="G530" i="14"/>
  <c r="M530" i="14"/>
  <c r="B531" i="14"/>
  <c r="D531" i="14"/>
  <c r="G531" i="14"/>
  <c r="L531" i="14"/>
  <c r="M531" i="14"/>
  <c r="B532" i="14"/>
  <c r="D532" i="14"/>
  <c r="G532" i="14"/>
  <c r="B533" i="14"/>
  <c r="D533" i="14"/>
  <c r="G533" i="14"/>
  <c r="B534" i="14"/>
  <c r="D534" i="14"/>
  <c r="G534" i="14"/>
  <c r="L534" i="14"/>
  <c r="B535" i="14"/>
  <c r="D535" i="14"/>
  <c r="G535" i="14"/>
  <c r="M535" i="14"/>
  <c r="L535" i="14"/>
  <c r="B536" i="14"/>
  <c r="D536" i="14"/>
  <c r="B537" i="14"/>
  <c r="D537" i="14"/>
  <c r="G537" i="14"/>
  <c r="M537" i="14"/>
  <c r="B538" i="14"/>
  <c r="D538" i="14"/>
  <c r="G538" i="14"/>
  <c r="M538" i="14"/>
  <c r="B539" i="14"/>
  <c r="D539" i="14"/>
  <c r="B540" i="14"/>
  <c r="D540" i="14"/>
  <c r="B541" i="14"/>
  <c r="D541" i="14"/>
  <c r="G541" i="14"/>
  <c r="M541" i="14"/>
  <c r="B542" i="14"/>
  <c r="D542" i="14"/>
  <c r="B543" i="14"/>
  <c r="D543" i="14"/>
  <c r="B544" i="14"/>
  <c r="D544" i="14"/>
  <c r="G544" i="14"/>
  <c r="B545" i="14"/>
  <c r="D545" i="14"/>
  <c r="B546" i="14"/>
  <c r="D546" i="14"/>
  <c r="G546" i="14"/>
  <c r="M546" i="14"/>
  <c r="B547" i="14"/>
  <c r="D547" i="14"/>
  <c r="G547" i="14"/>
  <c r="B548" i="14"/>
  <c r="D548" i="14"/>
  <c r="B549" i="14"/>
  <c r="D549" i="14"/>
  <c r="G549" i="14"/>
  <c r="M549" i="14"/>
  <c r="B550" i="14"/>
  <c r="D550" i="14"/>
  <c r="B551" i="14"/>
  <c r="D551" i="14"/>
  <c r="B552" i="14"/>
  <c r="D552" i="14"/>
  <c r="G552" i="14"/>
  <c r="B553" i="14"/>
  <c r="D553" i="14"/>
  <c r="G553" i="14"/>
  <c r="B555" i="14"/>
  <c r="D555" i="14"/>
  <c r="B556" i="14"/>
  <c r="D556" i="14"/>
  <c r="G556" i="14"/>
  <c r="B558" i="14"/>
  <c r="D558" i="14"/>
  <c r="G558" i="14"/>
  <c r="G557" i="14"/>
  <c r="J559" i="14"/>
  <c r="K559" i="14"/>
  <c r="L560" i="14"/>
  <c r="B560" i="14"/>
  <c r="D560" i="14"/>
  <c r="G560" i="14"/>
  <c r="M560" i="14"/>
  <c r="B561" i="14"/>
  <c r="D561" i="14"/>
  <c r="G561" i="14"/>
  <c r="J562" i="14"/>
  <c r="K562" i="14"/>
  <c r="B563" i="14"/>
  <c r="D563" i="14"/>
  <c r="G563" i="14"/>
  <c r="J564" i="14"/>
  <c r="K564" i="14"/>
  <c r="B565" i="14"/>
  <c r="D565" i="14"/>
  <c r="G565" i="14"/>
  <c r="M565" i="14"/>
  <c r="B567" i="14"/>
  <c r="D567" i="14"/>
  <c r="B569" i="14"/>
  <c r="D569" i="14"/>
  <c r="B571" i="14"/>
  <c r="D571" i="14"/>
  <c r="B572" i="14"/>
  <c r="D572" i="14"/>
  <c r="B573" i="14"/>
  <c r="D573" i="14"/>
  <c r="B575" i="14"/>
  <c r="D575" i="14"/>
  <c r="B576" i="14"/>
  <c r="D576" i="14"/>
  <c r="B577" i="14"/>
  <c r="D577" i="14"/>
  <c r="G577" i="14"/>
  <c r="B579" i="14"/>
  <c r="D579" i="14"/>
  <c r="B581" i="14"/>
  <c r="D581" i="14"/>
  <c r="G581" i="14"/>
  <c r="J582" i="14"/>
  <c r="B583" i="14"/>
  <c r="D583" i="14"/>
  <c r="B585" i="14"/>
  <c r="D585" i="14"/>
  <c r="G585" i="14"/>
  <c r="B586" i="14"/>
  <c r="D586" i="14"/>
  <c r="G586" i="14"/>
  <c r="G584" i="14"/>
  <c r="B588" i="14"/>
  <c r="D588" i="14"/>
  <c r="G588" i="14"/>
  <c r="G587" i="14"/>
  <c r="B590" i="14"/>
  <c r="D590" i="14"/>
  <c r="G590" i="14"/>
  <c r="B591" i="14"/>
  <c r="D591" i="14"/>
  <c r="B592" i="14"/>
  <c r="D592" i="14"/>
  <c r="G592" i="14"/>
  <c r="B593" i="14"/>
  <c r="D593" i="14"/>
  <c r="B594" i="14"/>
  <c r="D594" i="14"/>
  <c r="B595" i="14"/>
  <c r="D595" i="14"/>
  <c r="B596" i="14"/>
  <c r="D596" i="14"/>
  <c r="G596" i="14"/>
  <c r="B597" i="14"/>
  <c r="D597" i="14"/>
  <c r="G597" i="14"/>
  <c r="B598" i="14"/>
  <c r="D598" i="14"/>
  <c r="B599" i="14"/>
  <c r="D599" i="14"/>
  <c r="G599" i="14"/>
  <c r="B600" i="14"/>
  <c r="D600" i="14"/>
  <c r="G600" i="14"/>
  <c r="B601" i="14"/>
  <c r="D601" i="14"/>
  <c r="G601" i="14"/>
  <c r="B602" i="14"/>
  <c r="D602" i="14"/>
  <c r="G602" i="14"/>
  <c r="B603" i="14"/>
  <c r="D603" i="14"/>
  <c r="B604" i="14"/>
  <c r="D604" i="14"/>
  <c r="B605" i="14"/>
  <c r="D605" i="14"/>
  <c r="B606" i="14"/>
  <c r="D606" i="14"/>
  <c r="B607" i="14"/>
  <c r="D607" i="14"/>
  <c r="B608" i="14"/>
  <c r="D608" i="14"/>
  <c r="G608" i="14"/>
  <c r="B609" i="14"/>
  <c r="D609" i="14"/>
  <c r="B610" i="14"/>
  <c r="D610" i="14"/>
  <c r="B611" i="14"/>
  <c r="D611" i="14"/>
  <c r="B612" i="14"/>
  <c r="D612" i="14"/>
  <c r="B613" i="14"/>
  <c r="D613" i="14"/>
  <c r="B614" i="14"/>
  <c r="D614" i="14"/>
  <c r="B615" i="14"/>
  <c r="D615" i="14"/>
  <c r="B616" i="14"/>
  <c r="D616" i="14"/>
  <c r="G616" i="14"/>
  <c r="B617" i="14"/>
  <c r="D617" i="14"/>
  <c r="G617" i="14"/>
  <c r="B618" i="14"/>
  <c r="D618" i="14"/>
  <c r="G618" i="14"/>
  <c r="B619" i="14"/>
  <c r="D619" i="14"/>
  <c r="G619" i="14"/>
  <c r="B620" i="14"/>
  <c r="D620" i="14"/>
  <c r="B621" i="14"/>
  <c r="D621" i="14"/>
  <c r="B622" i="14"/>
  <c r="D622" i="14"/>
  <c r="B623" i="14"/>
  <c r="D623" i="14"/>
  <c r="B624" i="14"/>
  <c r="D624" i="14"/>
  <c r="B625" i="14"/>
  <c r="D625" i="14"/>
  <c r="B626" i="14"/>
  <c r="D626" i="14"/>
  <c r="G626" i="14"/>
  <c r="B627" i="14"/>
  <c r="D627" i="14"/>
  <c r="G627" i="14"/>
  <c r="B628" i="14"/>
  <c r="D628" i="14"/>
  <c r="B629" i="14"/>
  <c r="D629" i="14"/>
  <c r="B630" i="14"/>
  <c r="D630" i="14"/>
  <c r="G630" i="14"/>
  <c r="B631" i="14"/>
  <c r="D631" i="14"/>
  <c r="B632" i="14"/>
  <c r="D632" i="14"/>
  <c r="G632" i="14"/>
  <c r="B633" i="14"/>
  <c r="D633" i="14"/>
  <c r="G633" i="14"/>
  <c r="B634" i="14"/>
  <c r="D634" i="14"/>
  <c r="G634" i="14"/>
  <c r="B635" i="14"/>
  <c r="D635" i="14"/>
  <c r="G635" i="14"/>
  <c r="B636" i="14"/>
  <c r="D636" i="14"/>
  <c r="G636" i="14"/>
  <c r="B637" i="14"/>
  <c r="D637" i="14"/>
  <c r="G637" i="14"/>
  <c r="B639" i="14"/>
  <c r="D639" i="14"/>
  <c r="J640" i="14"/>
  <c r="B641" i="14"/>
  <c r="D641" i="14"/>
  <c r="G641" i="14"/>
  <c r="B643" i="14"/>
  <c r="D643" i="14"/>
  <c r="B645" i="14"/>
  <c r="D645" i="14"/>
  <c r="B646" i="14"/>
  <c r="D646" i="14"/>
  <c r="G646" i="14"/>
  <c r="B648" i="14"/>
  <c r="D648" i="14"/>
  <c r="G648" i="14"/>
  <c r="B649" i="14"/>
  <c r="D649" i="14"/>
  <c r="B650" i="14"/>
  <c r="D650" i="14"/>
  <c r="G650" i="14"/>
  <c r="B651" i="14"/>
  <c r="D651" i="14"/>
  <c r="B652" i="14"/>
  <c r="D652" i="14"/>
  <c r="B653" i="14"/>
  <c r="D653" i="14"/>
  <c r="B654" i="14"/>
  <c r="D654" i="14"/>
  <c r="B655" i="14"/>
  <c r="D655" i="14"/>
  <c r="B656" i="14"/>
  <c r="D656" i="14"/>
  <c r="G656" i="14"/>
  <c r="B657" i="14"/>
  <c r="D657" i="14"/>
  <c r="G657" i="14"/>
  <c r="B658" i="14"/>
  <c r="D658" i="14"/>
  <c r="G658" i="14"/>
  <c r="B659" i="14"/>
  <c r="D659" i="14"/>
  <c r="B660" i="14"/>
  <c r="D660" i="14"/>
  <c r="G660" i="14"/>
  <c r="B661" i="14"/>
  <c r="D661" i="14"/>
  <c r="G661" i="14"/>
  <c r="B662" i="14"/>
  <c r="D662" i="14"/>
  <c r="G662" i="14"/>
  <c r="B663" i="14"/>
  <c r="D663" i="14"/>
  <c r="G663" i="14"/>
  <c r="B664" i="14"/>
  <c r="D664" i="14"/>
  <c r="B665" i="14"/>
  <c r="D665" i="14"/>
  <c r="G665" i="14"/>
  <c r="B666" i="14"/>
  <c r="D666" i="14"/>
  <c r="B667" i="14"/>
  <c r="D667" i="14"/>
  <c r="B668" i="14"/>
  <c r="D668" i="14"/>
  <c r="G668" i="14"/>
  <c r="B669" i="14"/>
  <c r="D669" i="14"/>
  <c r="G669" i="14"/>
  <c r="B670" i="14"/>
  <c r="D670" i="14"/>
  <c r="G670" i="14"/>
  <c r="B671" i="14"/>
  <c r="D671" i="14"/>
  <c r="G671" i="14"/>
  <c r="B672" i="14"/>
  <c r="D672" i="14"/>
  <c r="G672" i="14"/>
  <c r="B673" i="14"/>
  <c r="D673" i="14"/>
  <c r="B674" i="14"/>
  <c r="D674" i="14"/>
  <c r="B675" i="14"/>
  <c r="D675" i="14"/>
  <c r="B676" i="14"/>
  <c r="D676" i="14"/>
  <c r="G676" i="14"/>
  <c r="B677" i="14"/>
  <c r="D677" i="14"/>
  <c r="B678" i="14"/>
  <c r="D678" i="14"/>
  <c r="B679" i="14"/>
  <c r="D679" i="14"/>
  <c r="G679" i="14"/>
  <c r="B680" i="14"/>
  <c r="D680" i="14"/>
  <c r="G680" i="14"/>
  <c r="B681" i="14"/>
  <c r="D681" i="14"/>
  <c r="B682" i="14"/>
  <c r="D682" i="14"/>
  <c r="B683" i="14"/>
  <c r="D683" i="14"/>
  <c r="G683" i="14"/>
  <c r="B684" i="14"/>
  <c r="D684" i="14"/>
  <c r="G684" i="14"/>
  <c r="B685" i="14"/>
  <c r="D685" i="14"/>
  <c r="G685" i="14"/>
  <c r="B686" i="14"/>
  <c r="D686" i="14"/>
  <c r="G686" i="14"/>
  <c r="B687" i="14"/>
  <c r="D687" i="14"/>
  <c r="B688" i="14"/>
  <c r="D688" i="14"/>
  <c r="G688" i="14"/>
  <c r="B689" i="14"/>
  <c r="D689" i="14"/>
  <c r="G689" i="14"/>
  <c r="J690" i="14"/>
  <c r="K690" i="14"/>
  <c r="B691" i="14"/>
  <c r="D691" i="14"/>
  <c r="G691" i="14"/>
  <c r="G690" i="14"/>
  <c r="L690" i="14"/>
  <c r="B693" i="14"/>
  <c r="D693" i="14"/>
  <c r="B695" i="14"/>
  <c r="D695" i="14"/>
  <c r="B696" i="14"/>
  <c r="D696" i="14"/>
  <c r="B697" i="14"/>
  <c r="D697" i="14"/>
  <c r="B698" i="14"/>
  <c r="D698" i="14"/>
  <c r="G698" i="14"/>
  <c r="B699" i="14"/>
  <c r="D699" i="14"/>
  <c r="B700" i="14"/>
  <c r="D700" i="14"/>
  <c r="B701" i="14"/>
  <c r="D701" i="14"/>
  <c r="B702" i="14"/>
  <c r="D702" i="14"/>
  <c r="G702" i="14"/>
  <c r="B703" i="14"/>
  <c r="D703" i="14"/>
  <c r="B704" i="14"/>
  <c r="D704" i="14"/>
  <c r="G704" i="14"/>
  <c r="B705" i="14"/>
  <c r="D705" i="14"/>
  <c r="G705" i="14"/>
  <c r="B706" i="14"/>
  <c r="D706" i="14"/>
  <c r="G706" i="14"/>
  <c r="B707" i="14"/>
  <c r="D707" i="14"/>
  <c r="G707" i="14"/>
  <c r="B708" i="14"/>
  <c r="D708" i="14"/>
  <c r="B710" i="14"/>
  <c r="D710" i="14"/>
  <c r="G710" i="14"/>
  <c r="B711" i="14"/>
  <c r="D711" i="14"/>
  <c r="G711" i="14"/>
  <c r="B712" i="14"/>
  <c r="D712" i="14"/>
  <c r="G712" i="14"/>
  <c r="B713" i="14"/>
  <c r="D713" i="14"/>
  <c r="B714" i="14"/>
  <c r="D714" i="14"/>
  <c r="G714" i="14"/>
  <c r="B715" i="14"/>
  <c r="D715" i="14"/>
  <c r="B716" i="14"/>
  <c r="D716" i="14"/>
  <c r="B717" i="14"/>
  <c r="D717" i="14"/>
  <c r="B718" i="14"/>
  <c r="D718" i="14"/>
  <c r="B719" i="14"/>
  <c r="D719" i="14"/>
  <c r="G719" i="14"/>
  <c r="B720" i="14"/>
  <c r="D720" i="14"/>
  <c r="B721" i="14"/>
  <c r="D721" i="14"/>
  <c r="G721" i="14"/>
  <c r="B722" i="14"/>
  <c r="D722" i="14"/>
  <c r="B723" i="14"/>
  <c r="D723" i="14"/>
  <c r="G723" i="14"/>
  <c r="B724" i="14"/>
  <c r="D724" i="14"/>
  <c r="G724" i="14"/>
  <c r="B725" i="14"/>
  <c r="D725" i="14"/>
  <c r="J726" i="14"/>
  <c r="K726" i="14"/>
  <c r="B727" i="14"/>
  <c r="D727" i="14"/>
  <c r="G727" i="14"/>
  <c r="L727" i="14"/>
  <c r="J728" i="14"/>
  <c r="K728" i="14"/>
  <c r="B729" i="14"/>
  <c r="D729" i="14"/>
  <c r="B730" i="14"/>
  <c r="D730" i="14"/>
  <c r="B731" i="14"/>
  <c r="D731" i="14"/>
  <c r="G731" i="14"/>
  <c r="M731" i="14"/>
  <c r="L731" i="14"/>
  <c r="B732" i="14"/>
  <c r="D732" i="14"/>
  <c r="G732" i="14"/>
  <c r="B734" i="14"/>
  <c r="D734" i="14"/>
  <c r="G734" i="14"/>
  <c r="B735" i="14"/>
  <c r="D735" i="14"/>
  <c r="G735" i="14"/>
  <c r="B736" i="14"/>
  <c r="D736" i="14"/>
  <c r="G736" i="14"/>
  <c r="B737" i="14"/>
  <c r="D737" i="14"/>
  <c r="B738" i="14"/>
  <c r="D738" i="14"/>
  <c r="B739" i="14"/>
  <c r="D739" i="14"/>
  <c r="B740" i="14"/>
  <c r="D740" i="14"/>
  <c r="B741" i="14"/>
  <c r="D741" i="14"/>
  <c r="G741" i="14"/>
  <c r="B743" i="14"/>
  <c r="D743" i="14"/>
  <c r="G743" i="14"/>
  <c r="B745" i="14"/>
  <c r="D745" i="14"/>
  <c r="G745" i="14"/>
  <c r="J746" i="14"/>
  <c r="B747" i="14"/>
  <c r="D747" i="14"/>
  <c r="G747" i="14"/>
  <c r="B748" i="14"/>
  <c r="D748" i="14"/>
  <c r="B749" i="14"/>
  <c r="D749" i="14"/>
  <c r="G749" i="14"/>
  <c r="B750" i="14"/>
  <c r="D750" i="14"/>
  <c r="G750" i="14"/>
  <c r="J751" i="14"/>
  <c r="K751" i="14"/>
  <c r="L752" i="14"/>
  <c r="B752" i="14"/>
  <c r="D752" i="14"/>
  <c r="G752" i="14"/>
  <c r="G751" i="14"/>
  <c r="B754" i="14"/>
  <c r="D754" i="14"/>
  <c r="G754" i="14"/>
  <c r="B755" i="14"/>
  <c r="D755" i="14"/>
  <c r="G755" i="14"/>
  <c r="B756" i="14"/>
  <c r="D756" i="14"/>
  <c r="B757" i="14"/>
  <c r="D757" i="14"/>
  <c r="G757" i="14"/>
  <c r="B758" i="14"/>
  <c r="D758" i="14"/>
  <c r="B759" i="14"/>
  <c r="D759" i="14"/>
  <c r="B761" i="14"/>
  <c r="D761" i="14"/>
  <c r="G761" i="14"/>
  <c r="B762" i="14"/>
  <c r="D762" i="14"/>
  <c r="G762" i="14"/>
  <c r="B763" i="14"/>
  <c r="D763" i="14"/>
  <c r="G763" i="14"/>
  <c r="B764" i="14"/>
  <c r="D764" i="14"/>
  <c r="G764" i="14"/>
  <c r="J765" i="14"/>
  <c r="B766" i="14"/>
  <c r="D766" i="14"/>
  <c r="G766" i="14"/>
  <c r="M766" i="14"/>
  <c r="B767" i="14"/>
  <c r="D767" i="14"/>
  <c r="G767" i="14"/>
  <c r="M767" i="14"/>
  <c r="B768" i="14"/>
  <c r="D768" i="14"/>
  <c r="G768" i="14"/>
  <c r="B769" i="14"/>
  <c r="D769" i="14"/>
  <c r="G769" i="14"/>
  <c r="B770" i="14"/>
  <c r="D770" i="14"/>
  <c r="G770" i="14"/>
  <c r="B771" i="14"/>
  <c r="D771" i="14"/>
  <c r="G771" i="14"/>
  <c r="B772" i="14"/>
  <c r="D772" i="14"/>
  <c r="G772" i="14"/>
  <c r="B773" i="14"/>
  <c r="D773" i="14"/>
  <c r="G773" i="14"/>
  <c r="B774" i="14"/>
  <c r="D774" i="14"/>
  <c r="G774" i="14"/>
  <c r="M774" i="14"/>
  <c r="B775" i="14"/>
  <c r="D775" i="14"/>
  <c r="G775" i="14"/>
  <c r="M775" i="14"/>
  <c r="B776" i="14"/>
  <c r="D776" i="14"/>
  <c r="G776" i="14"/>
  <c r="B777" i="14"/>
  <c r="D777" i="14"/>
  <c r="G777" i="14"/>
  <c r="M777" i="14"/>
  <c r="B778" i="14"/>
  <c r="D778" i="14"/>
  <c r="B779" i="14"/>
  <c r="D779" i="14"/>
  <c r="B780" i="14"/>
  <c r="D780" i="14"/>
  <c r="G780" i="14"/>
  <c r="M780" i="14"/>
  <c r="B781" i="14"/>
  <c r="D781" i="14"/>
  <c r="B782" i="14"/>
  <c r="D782" i="14"/>
  <c r="G782" i="14"/>
  <c r="B783" i="14"/>
  <c r="D783" i="14"/>
  <c r="B784" i="14"/>
  <c r="D784" i="14"/>
  <c r="G784" i="14"/>
  <c r="B785" i="14"/>
  <c r="D785" i="14"/>
  <c r="G785" i="14"/>
  <c r="B786" i="14"/>
  <c r="D786" i="14"/>
  <c r="G786" i="14"/>
  <c r="M786" i="14"/>
  <c r="B787" i="14"/>
  <c r="D787" i="14"/>
  <c r="G787" i="14"/>
  <c r="B788" i="14"/>
  <c r="D788" i="14"/>
  <c r="G788" i="14"/>
  <c r="B789" i="14"/>
  <c r="D789" i="14"/>
  <c r="G789" i="14"/>
  <c r="B790" i="14"/>
  <c r="D790" i="14"/>
  <c r="G790" i="14"/>
  <c r="M790" i="14"/>
  <c r="B791" i="14"/>
  <c r="D791" i="14"/>
  <c r="G791" i="14"/>
  <c r="M791" i="14"/>
  <c r="B792" i="14"/>
  <c r="D792" i="14"/>
  <c r="G792" i="14"/>
  <c r="M792" i="14"/>
  <c r="B793" i="14"/>
  <c r="D793" i="14"/>
  <c r="B794" i="14"/>
  <c r="D794" i="14"/>
  <c r="G794" i="14"/>
  <c r="B795" i="14"/>
  <c r="D795" i="14"/>
  <c r="B796" i="14"/>
  <c r="D796" i="14"/>
  <c r="G796" i="14"/>
  <c r="B797" i="14"/>
  <c r="D797" i="14"/>
  <c r="G797" i="14"/>
  <c r="B798" i="14"/>
  <c r="D798" i="14"/>
  <c r="B799" i="14"/>
  <c r="D799" i="14"/>
  <c r="B800" i="14"/>
  <c r="D800" i="14"/>
  <c r="G800" i="14"/>
  <c r="B801" i="14"/>
  <c r="D801" i="14"/>
  <c r="B802" i="14"/>
  <c r="D802" i="14"/>
  <c r="B803" i="14"/>
  <c r="D803" i="14"/>
  <c r="G803" i="14"/>
  <c r="B804" i="14"/>
  <c r="D804" i="14"/>
  <c r="G804" i="14"/>
  <c r="B805" i="14"/>
  <c r="D805" i="14"/>
  <c r="G805" i="14"/>
  <c r="B806" i="14"/>
  <c r="D806" i="14"/>
  <c r="G806" i="14"/>
  <c r="B808" i="14"/>
  <c r="D808" i="14"/>
  <c r="G808" i="14"/>
  <c r="B809" i="14"/>
  <c r="D809" i="14"/>
  <c r="G809" i="14"/>
  <c r="B811" i="14"/>
  <c r="D811" i="14"/>
  <c r="G811" i="14"/>
  <c r="B812" i="14"/>
  <c r="D812" i="14"/>
  <c r="G812" i="14"/>
  <c r="B813" i="14"/>
  <c r="D813" i="14"/>
  <c r="G813" i="14"/>
  <c r="B814" i="14"/>
  <c r="D814" i="14"/>
  <c r="G814" i="14"/>
  <c r="B815" i="14"/>
  <c r="D815" i="14"/>
  <c r="G815" i="14"/>
  <c r="B816" i="14"/>
  <c r="D816" i="14"/>
  <c r="G816" i="14"/>
  <c r="B817" i="14"/>
  <c r="D817" i="14"/>
  <c r="G817" i="14"/>
  <c r="B818" i="14"/>
  <c r="D818" i="14"/>
  <c r="G818" i="14"/>
  <c r="B819" i="14"/>
  <c r="D819" i="14"/>
  <c r="G819" i="14"/>
  <c r="B820" i="14"/>
  <c r="D820" i="14"/>
  <c r="G820" i="14"/>
  <c r="B821" i="14"/>
  <c r="D821" i="14"/>
  <c r="G821" i="14"/>
  <c r="B822" i="14"/>
  <c r="D822" i="14"/>
  <c r="G822" i="14"/>
  <c r="B823" i="14"/>
  <c r="D823" i="14"/>
  <c r="G823" i="14"/>
  <c r="B824" i="14"/>
  <c r="D824" i="14"/>
  <c r="G824" i="14"/>
  <c r="B825" i="14"/>
  <c r="D825" i="14"/>
  <c r="G825" i="14"/>
  <c r="B826" i="14"/>
  <c r="D826" i="14"/>
  <c r="G826" i="14"/>
  <c r="B827" i="14"/>
  <c r="D827" i="14"/>
  <c r="G827" i="14"/>
  <c r="B828" i="14"/>
  <c r="D828" i="14"/>
  <c r="G828" i="14"/>
  <c r="B829" i="14"/>
  <c r="D829" i="14"/>
  <c r="G829" i="14"/>
  <c r="B830" i="14"/>
  <c r="D830" i="14"/>
  <c r="G830" i="14"/>
  <c r="B831" i="14"/>
  <c r="D831" i="14"/>
  <c r="G831" i="14"/>
  <c r="B832" i="14"/>
  <c r="D832" i="14"/>
  <c r="G832" i="14"/>
  <c r="B833" i="14"/>
  <c r="D833" i="14"/>
  <c r="G833" i="14"/>
  <c r="B834" i="14"/>
  <c r="D834" i="14"/>
  <c r="G834" i="14"/>
  <c r="B835" i="14"/>
  <c r="D835" i="14"/>
  <c r="G835" i="14"/>
  <c r="B836" i="14"/>
  <c r="D836" i="14"/>
  <c r="G836" i="14"/>
  <c r="B837" i="14"/>
  <c r="D837" i="14"/>
  <c r="G837" i="14"/>
  <c r="B838" i="14"/>
  <c r="D838" i="14"/>
  <c r="G838" i="14"/>
  <c r="B839" i="14"/>
  <c r="D839" i="14"/>
  <c r="G839" i="14"/>
  <c r="B840" i="14"/>
  <c r="D840" i="14"/>
  <c r="G840" i="14"/>
  <c r="B841" i="14"/>
  <c r="D841" i="14"/>
  <c r="G841" i="14"/>
  <c r="B842" i="14"/>
  <c r="D842" i="14"/>
  <c r="G842" i="14"/>
  <c r="B843" i="14"/>
  <c r="D843" i="14"/>
  <c r="G843" i="14"/>
  <c r="B844" i="14"/>
  <c r="D844" i="14"/>
  <c r="G844" i="14"/>
  <c r="B845" i="14"/>
  <c r="D845" i="14"/>
  <c r="G845" i="14"/>
  <c r="B846" i="14"/>
  <c r="D846" i="14"/>
  <c r="G846" i="14"/>
  <c r="B847" i="14"/>
  <c r="D847" i="14"/>
  <c r="G847" i="14"/>
  <c r="B848" i="14"/>
  <c r="D848" i="14"/>
  <c r="G848" i="14"/>
  <c r="B849" i="14"/>
  <c r="D849" i="14"/>
  <c r="G849" i="14"/>
  <c r="B850" i="14"/>
  <c r="D850" i="14"/>
  <c r="G850" i="14"/>
  <c r="B851" i="14"/>
  <c r="D851" i="14"/>
  <c r="G851" i="14"/>
  <c r="B852" i="14"/>
  <c r="D852" i="14"/>
  <c r="G852" i="14"/>
  <c r="B853" i="14"/>
  <c r="D853" i="14"/>
  <c r="G853" i="14"/>
  <c r="B854" i="14"/>
  <c r="D854" i="14"/>
  <c r="G854" i="14"/>
  <c r="B855" i="14"/>
  <c r="D855" i="14"/>
  <c r="G855" i="14"/>
  <c r="B856" i="14"/>
  <c r="D856" i="14"/>
  <c r="G856" i="14"/>
  <c r="B857" i="14"/>
  <c r="D857" i="14"/>
  <c r="G857" i="14"/>
  <c r="B858" i="14"/>
  <c r="D858" i="14"/>
  <c r="G858" i="14"/>
  <c r="B859" i="14"/>
  <c r="D859" i="14"/>
  <c r="G859" i="14"/>
  <c r="B860" i="14"/>
  <c r="D860" i="14"/>
  <c r="G860" i="14"/>
  <c r="B861" i="14"/>
  <c r="D861" i="14"/>
  <c r="G861" i="14"/>
  <c r="B862" i="14"/>
  <c r="D862" i="14"/>
  <c r="G862" i="14"/>
  <c r="B863" i="14"/>
  <c r="D863" i="14"/>
  <c r="G863" i="14"/>
  <c r="B864" i="14"/>
  <c r="D864" i="14"/>
  <c r="G864" i="14"/>
  <c r="B865" i="14"/>
  <c r="D865" i="14"/>
  <c r="G865" i="14"/>
  <c r="B866" i="14"/>
  <c r="D866" i="14"/>
  <c r="G866" i="14"/>
  <c r="B867" i="14"/>
  <c r="D867" i="14"/>
  <c r="G867" i="14"/>
  <c r="B868" i="14"/>
  <c r="D868" i="14"/>
  <c r="G868" i="14"/>
  <c r="B869" i="14"/>
  <c r="D869" i="14"/>
  <c r="G869" i="14"/>
  <c r="B870" i="14"/>
  <c r="D870" i="14"/>
  <c r="G870" i="14"/>
  <c r="B871" i="14"/>
  <c r="D871" i="14"/>
  <c r="G871" i="14"/>
  <c r="B872" i="14"/>
  <c r="D872" i="14"/>
  <c r="G872" i="14"/>
  <c r="B873" i="14"/>
  <c r="D873" i="14"/>
  <c r="G873" i="14"/>
  <c r="B874" i="14"/>
  <c r="D874" i="14"/>
  <c r="G874" i="14"/>
  <c r="B875" i="14"/>
  <c r="D875" i="14"/>
  <c r="G875" i="14"/>
  <c r="B876" i="14"/>
  <c r="D876" i="14"/>
  <c r="G876" i="14"/>
  <c r="B877" i="14"/>
  <c r="D877" i="14"/>
  <c r="G877" i="14"/>
  <c r="B878" i="14"/>
  <c r="D878" i="14"/>
  <c r="G878" i="14"/>
  <c r="B879" i="14"/>
  <c r="D879" i="14"/>
  <c r="G879" i="14"/>
  <c r="B880" i="14"/>
  <c r="D880" i="14"/>
  <c r="G880" i="14"/>
  <c r="B881" i="14"/>
  <c r="D881" i="14"/>
  <c r="G881" i="14"/>
  <c r="B882" i="14"/>
  <c r="D882" i="14"/>
  <c r="G882" i="14"/>
  <c r="B883" i="14"/>
  <c r="D883" i="14"/>
  <c r="G883" i="14"/>
  <c r="B884" i="14"/>
  <c r="D884" i="14"/>
  <c r="G884" i="14"/>
  <c r="B885" i="14"/>
  <c r="D885" i="14"/>
  <c r="G885" i="14"/>
  <c r="B886" i="14"/>
  <c r="D886" i="14"/>
  <c r="G886" i="14"/>
  <c r="B887" i="14"/>
  <c r="D887" i="14"/>
  <c r="G887" i="14"/>
  <c r="B888" i="14"/>
  <c r="D888" i="14"/>
  <c r="G888" i="14"/>
  <c r="B889" i="14"/>
  <c r="D889" i="14"/>
  <c r="G889" i="14"/>
  <c r="B890" i="14"/>
  <c r="D890" i="14"/>
  <c r="G890" i="14"/>
  <c r="B891" i="14"/>
  <c r="D891" i="14"/>
  <c r="G891" i="14"/>
  <c r="B892" i="14"/>
  <c r="D892" i="14"/>
  <c r="G892" i="14"/>
  <c r="B893" i="14"/>
  <c r="D893" i="14"/>
  <c r="G893" i="14"/>
  <c r="B894" i="14"/>
  <c r="D894" i="14"/>
  <c r="G894" i="14"/>
  <c r="B895" i="14"/>
  <c r="D895" i="14"/>
  <c r="G895" i="14"/>
  <c r="B896" i="14"/>
  <c r="D896" i="14"/>
  <c r="G896" i="14"/>
  <c r="B897" i="14"/>
  <c r="D897" i="14"/>
  <c r="G897" i="14"/>
  <c r="B898" i="14"/>
  <c r="D898" i="14"/>
  <c r="G898" i="14"/>
  <c r="B899" i="14"/>
  <c r="D899" i="14"/>
  <c r="G899" i="14"/>
  <c r="B900" i="14"/>
  <c r="D900" i="14"/>
  <c r="G900" i="14"/>
  <c r="B901" i="14"/>
  <c r="D901" i="14"/>
  <c r="G901" i="14"/>
  <c r="B902" i="14"/>
  <c r="D902" i="14"/>
  <c r="G902" i="14"/>
  <c r="B903" i="14"/>
  <c r="D903" i="14"/>
  <c r="G903" i="14"/>
  <c r="B904" i="14"/>
  <c r="D904" i="14"/>
  <c r="G904" i="14"/>
  <c r="B905" i="14"/>
  <c r="D905" i="14"/>
  <c r="G905" i="14"/>
  <c r="B906" i="14"/>
  <c r="D906" i="14"/>
  <c r="G906" i="14"/>
  <c r="B907" i="14"/>
  <c r="D907" i="14"/>
  <c r="G907" i="14"/>
  <c r="B908" i="14"/>
  <c r="D908" i="14"/>
  <c r="G908" i="14"/>
  <c r="B909" i="14"/>
  <c r="D909" i="14"/>
  <c r="G909" i="14"/>
  <c r="B910" i="14"/>
  <c r="D910" i="14"/>
  <c r="G910" i="14"/>
  <c r="B911" i="14"/>
  <c r="D911" i="14"/>
  <c r="G911" i="14"/>
  <c r="B912" i="14"/>
  <c r="D912" i="14"/>
  <c r="G912" i="14"/>
  <c r="B913" i="14"/>
  <c r="D913" i="14"/>
  <c r="G913" i="14"/>
  <c r="B914" i="14"/>
  <c r="D914" i="14"/>
  <c r="G914" i="14"/>
  <c r="B915" i="14"/>
  <c r="D915" i="14"/>
  <c r="G915" i="14"/>
  <c r="B916" i="14"/>
  <c r="D916" i="14"/>
  <c r="G916" i="14"/>
  <c r="B917" i="14"/>
  <c r="D917" i="14"/>
  <c r="G917" i="14"/>
  <c r="B918" i="14"/>
  <c r="D918" i="14"/>
  <c r="G918" i="14"/>
  <c r="B919" i="14"/>
  <c r="D919" i="14"/>
  <c r="G919" i="14"/>
  <c r="B920" i="14"/>
  <c r="D920" i="14"/>
  <c r="G920" i="14"/>
  <c r="B921" i="14"/>
  <c r="D921" i="14"/>
  <c r="G921" i="14"/>
  <c r="B922" i="14"/>
  <c r="D922" i="14"/>
  <c r="G922" i="14"/>
  <c r="B923" i="14"/>
  <c r="D923" i="14"/>
  <c r="G923" i="14"/>
  <c r="B924" i="14"/>
  <c r="D924" i="14"/>
  <c r="G924" i="14"/>
  <c r="B925" i="14"/>
  <c r="D925" i="14"/>
  <c r="G925" i="14"/>
  <c r="B926" i="14"/>
  <c r="D926" i="14"/>
  <c r="G926" i="14"/>
  <c r="B927" i="14"/>
  <c r="D927" i="14"/>
  <c r="G927" i="14"/>
  <c r="B928" i="14"/>
  <c r="D928" i="14"/>
  <c r="G928" i="14"/>
  <c r="B929" i="14"/>
  <c r="D929" i="14"/>
  <c r="G929" i="14"/>
  <c r="B930" i="14"/>
  <c r="D930" i="14"/>
  <c r="G930" i="14"/>
  <c r="B931" i="14"/>
  <c r="D931" i="14"/>
  <c r="G931" i="14"/>
  <c r="B932" i="14"/>
  <c r="D932" i="14"/>
  <c r="G932" i="14"/>
  <c r="B933" i="14"/>
  <c r="D933" i="14"/>
  <c r="G933" i="14"/>
  <c r="B934" i="14"/>
  <c r="D934" i="14"/>
  <c r="G934" i="14"/>
  <c r="B935" i="14"/>
  <c r="D935" i="14"/>
  <c r="G935" i="14"/>
  <c r="B936" i="14"/>
  <c r="D936" i="14"/>
  <c r="G936" i="14"/>
  <c r="B937" i="14"/>
  <c r="D937" i="14"/>
  <c r="G937" i="14"/>
  <c r="B938" i="14"/>
  <c r="D938" i="14"/>
  <c r="G938" i="14"/>
  <c r="B939" i="14"/>
  <c r="D939" i="14"/>
  <c r="G939" i="14"/>
  <c r="B940" i="14"/>
  <c r="D940" i="14"/>
  <c r="G940" i="14"/>
  <c r="B941" i="14"/>
  <c r="D941" i="14"/>
  <c r="G941" i="14"/>
  <c r="B942" i="14"/>
  <c r="D942" i="14"/>
  <c r="G942" i="14"/>
  <c r="B943" i="14"/>
  <c r="D943" i="14"/>
  <c r="G943" i="14"/>
  <c r="B944" i="14"/>
  <c r="D944" i="14"/>
  <c r="G944" i="14"/>
  <c r="B945" i="14"/>
  <c r="D945" i="14"/>
  <c r="G945" i="14"/>
  <c r="B946" i="14"/>
  <c r="D946" i="14"/>
  <c r="G946" i="14"/>
  <c r="B947" i="14"/>
  <c r="D947" i="14"/>
  <c r="G947" i="14"/>
  <c r="B948" i="14"/>
  <c r="D948" i="14"/>
  <c r="G948" i="14"/>
  <c r="B949" i="14"/>
  <c r="D949" i="14"/>
  <c r="G949" i="14"/>
  <c r="B950" i="14"/>
  <c r="D950" i="14"/>
  <c r="G950" i="14"/>
  <c r="B951" i="14"/>
  <c r="D951" i="14"/>
  <c r="G951" i="14"/>
  <c r="B952" i="14"/>
  <c r="D952" i="14"/>
  <c r="G952" i="14"/>
  <c r="B953" i="14"/>
  <c r="D953" i="14"/>
  <c r="G953" i="14"/>
  <c r="B954" i="14"/>
  <c r="D954" i="14"/>
  <c r="G954" i="14"/>
  <c r="B955" i="14"/>
  <c r="D955" i="14"/>
  <c r="G955" i="14"/>
  <c r="B956" i="14"/>
  <c r="D956" i="14"/>
  <c r="G956" i="14"/>
  <c r="B957" i="14"/>
  <c r="D957" i="14"/>
  <c r="G957" i="14"/>
  <c r="B958" i="14"/>
  <c r="D958" i="14"/>
  <c r="G958" i="14"/>
  <c r="B959" i="14"/>
  <c r="D959" i="14"/>
  <c r="G959" i="14"/>
  <c r="J962" i="14"/>
  <c r="K962" i="14"/>
  <c r="B963" i="14"/>
  <c r="D963" i="14"/>
  <c r="B964" i="14"/>
  <c r="D964" i="14"/>
  <c r="B965" i="14"/>
  <c r="D965" i="14"/>
  <c r="B966" i="14"/>
  <c r="D966" i="14"/>
  <c r="G966" i="14"/>
  <c r="B967" i="14"/>
  <c r="D967" i="14"/>
  <c r="B968" i="14"/>
  <c r="D968" i="14"/>
  <c r="B969" i="14"/>
  <c r="D969" i="14"/>
  <c r="B970" i="14"/>
  <c r="D970" i="14"/>
  <c r="B971" i="14"/>
  <c r="D971" i="14"/>
  <c r="B972" i="14"/>
  <c r="D972" i="14"/>
  <c r="G972" i="14"/>
  <c r="M972" i="14"/>
  <c r="B973" i="14"/>
  <c r="D973" i="14"/>
  <c r="B974" i="14"/>
  <c r="D974" i="14"/>
  <c r="B975" i="14"/>
  <c r="D975" i="14"/>
  <c r="G975" i="14"/>
  <c r="B976" i="14"/>
  <c r="D976" i="14"/>
  <c r="G976" i="14"/>
  <c r="B977" i="14"/>
  <c r="D977" i="14"/>
  <c r="G977" i="14"/>
  <c r="B978" i="14"/>
  <c r="D978" i="14"/>
  <c r="B979" i="14"/>
  <c r="D979" i="14"/>
  <c r="B980" i="14"/>
  <c r="D980" i="14"/>
  <c r="B981" i="14"/>
  <c r="D981" i="14"/>
  <c r="B982" i="14"/>
  <c r="D982" i="14"/>
  <c r="B983" i="14"/>
  <c r="D983" i="14"/>
  <c r="B984" i="14"/>
  <c r="D984" i="14"/>
  <c r="B985" i="14"/>
  <c r="D985" i="14"/>
  <c r="G985" i="14"/>
  <c r="M985" i="14"/>
  <c r="B986" i="14"/>
  <c r="D986" i="14"/>
  <c r="G986" i="14"/>
  <c r="M986" i="14"/>
  <c r="B987" i="14"/>
  <c r="D987" i="14"/>
  <c r="G987" i="14"/>
  <c r="M987" i="14"/>
  <c r="B988" i="14"/>
  <c r="D988" i="14"/>
  <c r="B989" i="14"/>
  <c r="D989" i="14"/>
  <c r="B990" i="14"/>
  <c r="D990" i="14"/>
  <c r="B991" i="14"/>
  <c r="D991" i="14"/>
  <c r="B992" i="14"/>
  <c r="D992" i="14"/>
  <c r="G992" i="14"/>
  <c r="L992" i="14"/>
  <c r="B993" i="14"/>
  <c r="D993" i="14"/>
  <c r="G993" i="14"/>
  <c r="M993" i="14"/>
  <c r="B994" i="14"/>
  <c r="D994" i="14"/>
  <c r="B995" i="14"/>
  <c r="D995" i="14"/>
  <c r="G995" i="14"/>
  <c r="B996" i="14"/>
  <c r="D996" i="14"/>
  <c r="G996" i="14"/>
  <c r="M996" i="14"/>
  <c r="B997" i="14"/>
  <c r="D997" i="14"/>
  <c r="B998" i="14"/>
  <c r="D998" i="14"/>
  <c r="G998" i="14"/>
  <c r="L998" i="14"/>
  <c r="B999" i="14"/>
  <c r="D999" i="14"/>
  <c r="B1000" i="14"/>
  <c r="D1000" i="14"/>
  <c r="J1001" i="14"/>
  <c r="K1001" i="14"/>
  <c r="B1002" i="14"/>
  <c r="D1002" i="14"/>
  <c r="B1003" i="14"/>
  <c r="D1003" i="14"/>
  <c r="B1004" i="14"/>
  <c r="D1004" i="14"/>
  <c r="B1005" i="14"/>
  <c r="D1005" i="14"/>
  <c r="B1006" i="14"/>
  <c r="D1006" i="14"/>
  <c r="G1006" i="14"/>
  <c r="B1007" i="14"/>
  <c r="D1007" i="14"/>
  <c r="B1008" i="14"/>
  <c r="D1008" i="14"/>
  <c r="G1008" i="14"/>
  <c r="M1008" i="14"/>
  <c r="B1009" i="14"/>
  <c r="D1009" i="14"/>
  <c r="B1010" i="14"/>
  <c r="D1010" i="14"/>
  <c r="G1010" i="14"/>
  <c r="L1010" i="14"/>
  <c r="B1011" i="14"/>
  <c r="D1011" i="14"/>
  <c r="B1012" i="14"/>
  <c r="D1012" i="14"/>
  <c r="B1013" i="14"/>
  <c r="D1013" i="14"/>
  <c r="B1014" i="14"/>
  <c r="D1014" i="14"/>
  <c r="G1014" i="14"/>
  <c r="M1014" i="14"/>
  <c r="B1015" i="14"/>
  <c r="D1015" i="14"/>
  <c r="B1016" i="14"/>
  <c r="D1016" i="14"/>
  <c r="B1017" i="14"/>
  <c r="D1017" i="14"/>
  <c r="G1017" i="14"/>
  <c r="M1017" i="14"/>
  <c r="B1018" i="14"/>
  <c r="D1018" i="14"/>
  <c r="B1019" i="14"/>
  <c r="D1019" i="14"/>
  <c r="G1019" i="14"/>
  <c r="M1019" i="14"/>
  <c r="B1020" i="14"/>
  <c r="D1020" i="14"/>
  <c r="B1021" i="14"/>
  <c r="D1021" i="14"/>
  <c r="B1022" i="14"/>
  <c r="D1022" i="14"/>
  <c r="G1022" i="14"/>
  <c r="M1022" i="14"/>
  <c r="B1023" i="14"/>
  <c r="D1023" i="14"/>
  <c r="B1024" i="14"/>
  <c r="D1024" i="14"/>
  <c r="B1025" i="14"/>
  <c r="D1025" i="14"/>
  <c r="B1026" i="14"/>
  <c r="D1026" i="14"/>
  <c r="G1026" i="14"/>
  <c r="L1026" i="14"/>
  <c r="B1027" i="14"/>
  <c r="D1027" i="14"/>
  <c r="B1028" i="14"/>
  <c r="D1028" i="14"/>
  <c r="G1028" i="14"/>
  <c r="M1028" i="14"/>
  <c r="B1029" i="14"/>
  <c r="D1029" i="14"/>
  <c r="B1030" i="14"/>
  <c r="D1030" i="14"/>
  <c r="G1030" i="14"/>
  <c r="M1030" i="14"/>
  <c r="B1031" i="14"/>
  <c r="D1031" i="14"/>
  <c r="B1032" i="14"/>
  <c r="D1032" i="14"/>
  <c r="B1033" i="14"/>
  <c r="D1033" i="14"/>
  <c r="B1034" i="14"/>
  <c r="D1034" i="14"/>
  <c r="B1035" i="14"/>
  <c r="D1035" i="14"/>
  <c r="G1035" i="14"/>
  <c r="B1036" i="14"/>
  <c r="D1036" i="14"/>
  <c r="G1036" i="14"/>
  <c r="B1037" i="14"/>
  <c r="D1037" i="14"/>
  <c r="G1037" i="14"/>
  <c r="M1037" i="14"/>
  <c r="B1038" i="14"/>
  <c r="D1038" i="14"/>
  <c r="B1039" i="14"/>
  <c r="D1039" i="14"/>
  <c r="B1040" i="14"/>
  <c r="D1040" i="14"/>
  <c r="B1041" i="14"/>
  <c r="D1041" i="14"/>
  <c r="B1042" i="14"/>
  <c r="D1042" i="14"/>
  <c r="B1043" i="14"/>
  <c r="D1043" i="14"/>
  <c r="B1044" i="14"/>
  <c r="D1044" i="14"/>
  <c r="B1045" i="14"/>
  <c r="D1045" i="14"/>
  <c r="B1046" i="14"/>
  <c r="D1046" i="14"/>
  <c r="B1047" i="14"/>
  <c r="D1047" i="14"/>
  <c r="G1047" i="14"/>
  <c r="L1047" i="14"/>
  <c r="B1048" i="14"/>
  <c r="D1048" i="14"/>
  <c r="G1048" i="14"/>
  <c r="M1048" i="14"/>
  <c r="B1049" i="14"/>
  <c r="D1049" i="14"/>
  <c r="B1050" i="14"/>
  <c r="D1050" i="14"/>
  <c r="B1051" i="14"/>
  <c r="D1051" i="14"/>
  <c r="B1052" i="14"/>
  <c r="D1052" i="14"/>
  <c r="B1053" i="14"/>
  <c r="D1053" i="14"/>
  <c r="B1054" i="14"/>
  <c r="D1054" i="14"/>
  <c r="G1054" i="14"/>
  <c r="B1055" i="14"/>
  <c r="D1055" i="14"/>
  <c r="G1055" i="14"/>
  <c r="B1056" i="14"/>
  <c r="D1056" i="14"/>
  <c r="G1056" i="14"/>
  <c r="M1056" i="14"/>
  <c r="B1057" i="14"/>
  <c r="D1057" i="14"/>
  <c r="B1058" i="14"/>
  <c r="D1058" i="14"/>
  <c r="J1059" i="14"/>
  <c r="K1059" i="14"/>
  <c r="B1060" i="14"/>
  <c r="D1060" i="14"/>
  <c r="G1060" i="14"/>
  <c r="M1060" i="14"/>
  <c r="B1061" i="14"/>
  <c r="D1061" i="14"/>
  <c r="G1061" i="14"/>
  <c r="L1061" i="14"/>
  <c r="B1062" i="14"/>
  <c r="D1062" i="14"/>
  <c r="G1062" i="14"/>
  <c r="B1063" i="14"/>
  <c r="D1063" i="14"/>
  <c r="B1064" i="14"/>
  <c r="D1064" i="14"/>
  <c r="G1064" i="14"/>
  <c r="B1065" i="14"/>
  <c r="D1065" i="14"/>
  <c r="B1066" i="14"/>
  <c r="D1066" i="14"/>
  <c r="G1066" i="14"/>
  <c r="L1066" i="14"/>
  <c r="B1067" i="14"/>
  <c r="D1067" i="14"/>
  <c r="G1067" i="14"/>
  <c r="M1067" i="14"/>
  <c r="B1068" i="14"/>
  <c r="D1068" i="14"/>
  <c r="B1069" i="14"/>
  <c r="D1069" i="14"/>
  <c r="G1069" i="14"/>
  <c r="L1069" i="14"/>
  <c r="B1070" i="14"/>
  <c r="D1070" i="14"/>
  <c r="B1071" i="14"/>
  <c r="D1071" i="14"/>
  <c r="G1071" i="14"/>
  <c r="B1072" i="14"/>
  <c r="D1072" i="14"/>
  <c r="B1073" i="14"/>
  <c r="D1073" i="14"/>
  <c r="B1074" i="14"/>
  <c r="D1074" i="14"/>
  <c r="B1075" i="14"/>
  <c r="D1075" i="14"/>
  <c r="B1076" i="14"/>
  <c r="D1076" i="14"/>
  <c r="G1076" i="14"/>
  <c r="M1076" i="14"/>
  <c r="B1077" i="14"/>
  <c r="D1077" i="14"/>
  <c r="B1078" i="14"/>
  <c r="D1078" i="14"/>
  <c r="B1079" i="14"/>
  <c r="D1079" i="14"/>
  <c r="B1080" i="14"/>
  <c r="D1080" i="14"/>
  <c r="G1080" i="14"/>
  <c r="B1081" i="14"/>
  <c r="D1081" i="14"/>
  <c r="G1081" i="14"/>
  <c r="J1082" i="14"/>
  <c r="K1082" i="14"/>
  <c r="B1083" i="14"/>
  <c r="D1083" i="14"/>
  <c r="G1083" i="14"/>
  <c r="M1083" i="14"/>
  <c r="B1084" i="14"/>
  <c r="D1084" i="14"/>
  <c r="B1085" i="14"/>
  <c r="D1085" i="14"/>
  <c r="J1086" i="14"/>
  <c r="K1086" i="14"/>
  <c r="B1087" i="14"/>
  <c r="D1087" i="14"/>
  <c r="G1087" i="14"/>
  <c r="M1087" i="14"/>
  <c r="B1088" i="14"/>
  <c r="D1088" i="14"/>
  <c r="B1089" i="14"/>
  <c r="D1089" i="14"/>
  <c r="B1090" i="14"/>
  <c r="D1090" i="14"/>
  <c r="B1091" i="14"/>
  <c r="D1091" i="14"/>
  <c r="G1091" i="14"/>
  <c r="B1092" i="14"/>
  <c r="D1092" i="14"/>
  <c r="G1092" i="14"/>
  <c r="B1093" i="14"/>
  <c r="D1093" i="14"/>
  <c r="B1094" i="14"/>
  <c r="D1094" i="14"/>
  <c r="B1095" i="14"/>
  <c r="D1095" i="14"/>
  <c r="B1096" i="14"/>
  <c r="D1096" i="14"/>
  <c r="B1097" i="14"/>
  <c r="D1097" i="14"/>
  <c r="B1098" i="14"/>
  <c r="D1098" i="14"/>
  <c r="B1099" i="14"/>
  <c r="D1099" i="14"/>
  <c r="B1100" i="14"/>
  <c r="D1100" i="14"/>
  <c r="B1101" i="14"/>
  <c r="D1101" i="14"/>
  <c r="B1102" i="14"/>
  <c r="D1102" i="14"/>
  <c r="B1103" i="14"/>
  <c r="D1103" i="14"/>
  <c r="B1104" i="14"/>
  <c r="D1104" i="14"/>
  <c r="B1105" i="14"/>
  <c r="D1105" i="14"/>
  <c r="G1105" i="14"/>
  <c r="L1105" i="14"/>
  <c r="M1105" i="14"/>
  <c r="B1106" i="14"/>
  <c r="D1106" i="14"/>
  <c r="B1107" i="14"/>
  <c r="D1107" i="14"/>
  <c r="B1108" i="14"/>
  <c r="D1108" i="14"/>
  <c r="G1108" i="14"/>
  <c r="M1108" i="14"/>
  <c r="B1109" i="14"/>
  <c r="D1109" i="14"/>
  <c r="B1110" i="14"/>
  <c r="D1110" i="14"/>
  <c r="B1111" i="14"/>
  <c r="D1111" i="14"/>
  <c r="B1112" i="14"/>
  <c r="D1112" i="14"/>
  <c r="G1112" i="14"/>
  <c r="M1112" i="14"/>
  <c r="B1113" i="14"/>
  <c r="D1113" i="14"/>
  <c r="B1114" i="14"/>
  <c r="D1114" i="14"/>
  <c r="B1115" i="14"/>
  <c r="D1115" i="14"/>
  <c r="B1116" i="14"/>
  <c r="D1116" i="14"/>
  <c r="B1117" i="14"/>
  <c r="D1117" i="14"/>
  <c r="B1118" i="14"/>
  <c r="D1118" i="14"/>
  <c r="B1119" i="14"/>
  <c r="D1119" i="14"/>
  <c r="B1120" i="14"/>
  <c r="D1120" i="14"/>
  <c r="B1121" i="14"/>
  <c r="D1121" i="14"/>
  <c r="B1122" i="14"/>
  <c r="D1122" i="14"/>
  <c r="G1122" i="14"/>
  <c r="M1122" i="14"/>
  <c r="B1123" i="14"/>
  <c r="D1123" i="14"/>
  <c r="B1124" i="14"/>
  <c r="D1124" i="14"/>
  <c r="G1124" i="14"/>
  <c r="L1124" i="14"/>
  <c r="B1125" i="14"/>
  <c r="D1125" i="14"/>
  <c r="B1126" i="14"/>
  <c r="D1126" i="14"/>
  <c r="B1127" i="14"/>
  <c r="D1127" i="14"/>
  <c r="B1128" i="14"/>
  <c r="D1128" i="14"/>
  <c r="B1129" i="14"/>
  <c r="D1129" i="14"/>
  <c r="B1130" i="14"/>
  <c r="D1130" i="14"/>
  <c r="G1130" i="14"/>
  <c r="M1130" i="14"/>
  <c r="B1131" i="14"/>
  <c r="D1131" i="14"/>
  <c r="G1131" i="14"/>
  <c r="L1131" i="14"/>
  <c r="B1132" i="14"/>
  <c r="D1132" i="14"/>
  <c r="G1132" i="14"/>
  <c r="M1132" i="14"/>
  <c r="B1133" i="14"/>
  <c r="D1133" i="14"/>
  <c r="B1134" i="14"/>
  <c r="D1134" i="14"/>
  <c r="B1135" i="14"/>
  <c r="D1135" i="14"/>
  <c r="B1136" i="14"/>
  <c r="D1136" i="14"/>
  <c r="B1137" i="14"/>
  <c r="D1137" i="14"/>
  <c r="G1137" i="14"/>
  <c r="M1137" i="14"/>
  <c r="B1138" i="14"/>
  <c r="D1138" i="14"/>
  <c r="J1139" i="14"/>
  <c r="K1139" i="14"/>
  <c r="B1140" i="14"/>
  <c r="D1140" i="14"/>
  <c r="G1140" i="14"/>
  <c r="J1141" i="14"/>
  <c r="B1142" i="14"/>
  <c r="D1142" i="14"/>
  <c r="B1143" i="14"/>
  <c r="D1143" i="14"/>
  <c r="G1143" i="14"/>
  <c r="M1143" i="14"/>
  <c r="B1144" i="14"/>
  <c r="D1144" i="14"/>
  <c r="B1145" i="14"/>
  <c r="D1145" i="14"/>
  <c r="B1146" i="14"/>
  <c r="D1146" i="14"/>
  <c r="G1146" i="14"/>
  <c r="M1146" i="14"/>
  <c r="B1147" i="14"/>
  <c r="D1147" i="14"/>
  <c r="B1148" i="14"/>
  <c r="D1148" i="14"/>
  <c r="B1149" i="14"/>
  <c r="D1149" i="14"/>
  <c r="B1150" i="14"/>
  <c r="D1150" i="14"/>
  <c r="B1151" i="14"/>
  <c r="D1151" i="14"/>
  <c r="B1152" i="14"/>
  <c r="D1152" i="14"/>
  <c r="B1153" i="14"/>
  <c r="D1153" i="14"/>
  <c r="B1154" i="14"/>
  <c r="D1154" i="14"/>
  <c r="G1154" i="14"/>
  <c r="M1154" i="14"/>
  <c r="B1155" i="14"/>
  <c r="D1155" i="14"/>
  <c r="G1155" i="14"/>
  <c r="B1156" i="14"/>
  <c r="D1156" i="14"/>
  <c r="B1157" i="14"/>
  <c r="D1157" i="14"/>
  <c r="B1158" i="14"/>
  <c r="D1158" i="14"/>
  <c r="B1159" i="14"/>
  <c r="D1159" i="14"/>
  <c r="G1159" i="14"/>
  <c r="B1160" i="14"/>
  <c r="D1160" i="14"/>
  <c r="B1161" i="14"/>
  <c r="D1161" i="14"/>
  <c r="G1161" i="14"/>
  <c r="B1162" i="14"/>
  <c r="D1162" i="14"/>
  <c r="B1163" i="14"/>
  <c r="D1163" i="14"/>
  <c r="G1163" i="14"/>
  <c r="M1163" i="14"/>
  <c r="B1164" i="14"/>
  <c r="D1164" i="14"/>
  <c r="G1164" i="14"/>
  <c r="B1165" i="14"/>
  <c r="D1165" i="14"/>
  <c r="B1166" i="14"/>
  <c r="D1166" i="14"/>
  <c r="G1166" i="14"/>
  <c r="M1166" i="14"/>
  <c r="B1167" i="14"/>
  <c r="D1167" i="14"/>
  <c r="B1168" i="14"/>
  <c r="D1168" i="14"/>
  <c r="G1168" i="14"/>
  <c r="M1168" i="14"/>
  <c r="B1169" i="14"/>
  <c r="D1169" i="14"/>
  <c r="B1170" i="14"/>
  <c r="D1170" i="14"/>
  <c r="B1171" i="14"/>
  <c r="D1171" i="14"/>
  <c r="G1171" i="14"/>
  <c r="M1171" i="14"/>
  <c r="B1172" i="14"/>
  <c r="D1172" i="14"/>
  <c r="G1172" i="14"/>
  <c r="M1172" i="14"/>
  <c r="B1173" i="14"/>
  <c r="D1173" i="14"/>
  <c r="G1173" i="14"/>
  <c r="B1174" i="14"/>
  <c r="D1174" i="14"/>
  <c r="G1174" i="14"/>
  <c r="M1174" i="14"/>
  <c r="J1175" i="14"/>
  <c r="K1175" i="14"/>
  <c r="B1176" i="14"/>
  <c r="D1176" i="14"/>
  <c r="J1177" i="14"/>
  <c r="K1177" i="14"/>
  <c r="L1190" i="14"/>
  <c r="B1178" i="14"/>
  <c r="D1178" i="14"/>
  <c r="G1178" i="14"/>
  <c r="B1179" i="14"/>
  <c r="D1179" i="14"/>
  <c r="B1180" i="14"/>
  <c r="D1180" i="14"/>
  <c r="B1181" i="14"/>
  <c r="D1181" i="14"/>
  <c r="B1182" i="14"/>
  <c r="D1182" i="14"/>
  <c r="B1183" i="14"/>
  <c r="D1183" i="14"/>
  <c r="B1184" i="14"/>
  <c r="D1184" i="14"/>
  <c r="B1185" i="14"/>
  <c r="D1185" i="14"/>
  <c r="B1186" i="14"/>
  <c r="D1186" i="14"/>
  <c r="B1187" i="14"/>
  <c r="D1187" i="14"/>
  <c r="B1188" i="14"/>
  <c r="D1188" i="14"/>
  <c r="B1189" i="14"/>
  <c r="D1189" i="14"/>
  <c r="B1190" i="14"/>
  <c r="D1190" i="14"/>
  <c r="G1190" i="14"/>
  <c r="B1191" i="14"/>
  <c r="D1191" i="14"/>
  <c r="B1192" i="14"/>
  <c r="D1192" i="14"/>
  <c r="G1193" i="14"/>
  <c r="J1193" i="14"/>
  <c r="K1193" i="14"/>
  <c r="B1194" i="14"/>
  <c r="D1194" i="14"/>
  <c r="G1194" i="14"/>
  <c r="J1197" i="14"/>
  <c r="B1198" i="14"/>
  <c r="D1198" i="14"/>
  <c r="B1199" i="14"/>
  <c r="D1199" i="14"/>
  <c r="B1200" i="14"/>
  <c r="D1200" i="14"/>
  <c r="B1201" i="14"/>
  <c r="D1201" i="14"/>
  <c r="B1202" i="14"/>
  <c r="D1202" i="14"/>
  <c r="B1203" i="14"/>
  <c r="D1203" i="14"/>
  <c r="B1204" i="14"/>
  <c r="D1204" i="14"/>
  <c r="B1205" i="14"/>
  <c r="D1205" i="14"/>
  <c r="B1206" i="14"/>
  <c r="D1206" i="14"/>
  <c r="B1207" i="14"/>
  <c r="D1207" i="14"/>
  <c r="B1208" i="14"/>
  <c r="D1208" i="14"/>
  <c r="B1209" i="14"/>
  <c r="D1209" i="14"/>
  <c r="B1210" i="14"/>
  <c r="D1210" i="14"/>
  <c r="B1211" i="14"/>
  <c r="D1211" i="14"/>
  <c r="B1212" i="14"/>
  <c r="D1212" i="14"/>
  <c r="B1213" i="14"/>
  <c r="D1213" i="14"/>
  <c r="B1214" i="14"/>
  <c r="D1214" i="14"/>
  <c r="B1215" i="14"/>
  <c r="D1215" i="14"/>
  <c r="B1216" i="14"/>
  <c r="D1216" i="14"/>
  <c r="B1217" i="14"/>
  <c r="D1217" i="14"/>
  <c r="B1218" i="14"/>
  <c r="D1218" i="14"/>
  <c r="B1219" i="14"/>
  <c r="D1219" i="14"/>
  <c r="B1220" i="14"/>
  <c r="D1220" i="14"/>
  <c r="B1221" i="14"/>
  <c r="D1221" i="14"/>
  <c r="B1222" i="14"/>
  <c r="D1222" i="14"/>
  <c r="B1223" i="14"/>
  <c r="D1223" i="14"/>
  <c r="B1224" i="14"/>
  <c r="D1224" i="14"/>
  <c r="B1225" i="14"/>
  <c r="D1225" i="14"/>
  <c r="B1226" i="14"/>
  <c r="D1226" i="14"/>
  <c r="B1227" i="14"/>
  <c r="D1227" i="14"/>
  <c r="B1228" i="14"/>
  <c r="D1228" i="14"/>
  <c r="B1229" i="14"/>
  <c r="D1229" i="14"/>
  <c r="B1230" i="14"/>
  <c r="D1230" i="14"/>
  <c r="B1231" i="14"/>
  <c r="D1231" i="14"/>
  <c r="B1232" i="14"/>
  <c r="D1232" i="14"/>
  <c r="B1233" i="14"/>
  <c r="D1233" i="14"/>
  <c r="B1234" i="14"/>
  <c r="D1234" i="14"/>
  <c r="B1235" i="14"/>
  <c r="D1235" i="14"/>
  <c r="B1236" i="14"/>
  <c r="D1236" i="14"/>
  <c r="B1237" i="14"/>
  <c r="D1237" i="14"/>
  <c r="B1238" i="14"/>
  <c r="D1238" i="14"/>
  <c r="B1239" i="14"/>
  <c r="D1239" i="14"/>
  <c r="B1240" i="14"/>
  <c r="D1240" i="14"/>
  <c r="B1241" i="14"/>
  <c r="D1241" i="14"/>
  <c r="B1242" i="14"/>
  <c r="D1242" i="14"/>
  <c r="B1243" i="14"/>
  <c r="D1243" i="14"/>
  <c r="B1244" i="14"/>
  <c r="D1244" i="14"/>
  <c r="B1245" i="14"/>
  <c r="D1245" i="14"/>
  <c r="B1246" i="14"/>
  <c r="D1246" i="14"/>
  <c r="B1247" i="14"/>
  <c r="D1247" i="14"/>
  <c r="B1248" i="14"/>
  <c r="D1248" i="14"/>
  <c r="B1249" i="14"/>
  <c r="D1249" i="14"/>
  <c r="G1249" i="14"/>
  <c r="B1250" i="14"/>
  <c r="D1250" i="14"/>
  <c r="G1250" i="14"/>
  <c r="M1250" i="14"/>
  <c r="B1251" i="14"/>
  <c r="D1251" i="14"/>
  <c r="B1252" i="14"/>
  <c r="D1252" i="14"/>
  <c r="B1253" i="14"/>
  <c r="D1253" i="14"/>
  <c r="B1254" i="14"/>
  <c r="D1254" i="14"/>
  <c r="B1255" i="14"/>
  <c r="D1255" i="14"/>
  <c r="B1256" i="14"/>
  <c r="D1256" i="14"/>
  <c r="B1257" i="14"/>
  <c r="D1257" i="14"/>
  <c r="B1258" i="14"/>
  <c r="D1258" i="14"/>
  <c r="B1259" i="14"/>
  <c r="D1259" i="14"/>
  <c r="B1260" i="14"/>
  <c r="D1260" i="14"/>
  <c r="B1261" i="14"/>
  <c r="D1261" i="14"/>
  <c r="B1262" i="14"/>
  <c r="D1262" i="14"/>
  <c r="B1263" i="14"/>
  <c r="D1263" i="14"/>
  <c r="B1264" i="14"/>
  <c r="D1264" i="14"/>
  <c r="B1265" i="14"/>
  <c r="D1265" i="14"/>
  <c r="B1266" i="14"/>
  <c r="D1266" i="14"/>
  <c r="B1267" i="14"/>
  <c r="D1267" i="14"/>
  <c r="B1268" i="14"/>
  <c r="D1268" i="14"/>
  <c r="B1269" i="14"/>
  <c r="D1269" i="14"/>
  <c r="B1270" i="14"/>
  <c r="D1270" i="14"/>
  <c r="B1271" i="14"/>
  <c r="D1271" i="14"/>
  <c r="B1272" i="14"/>
  <c r="D1272" i="14"/>
  <c r="B1273" i="14"/>
  <c r="D1273" i="14"/>
  <c r="B1274" i="14"/>
  <c r="D1274" i="14"/>
  <c r="B1275" i="14"/>
  <c r="D1275" i="14"/>
  <c r="B1276" i="14"/>
  <c r="D1276" i="14"/>
  <c r="J1277" i="14"/>
  <c r="K1277" i="14"/>
  <c r="B1278" i="14"/>
  <c r="D1278" i="14"/>
  <c r="B1279" i="14"/>
  <c r="D1279" i="14"/>
  <c r="B1280" i="14"/>
  <c r="D1280" i="14"/>
  <c r="J1281" i="14"/>
  <c r="B1282" i="14"/>
  <c r="D1282" i="14"/>
  <c r="B1283" i="14"/>
  <c r="D1283" i="14"/>
  <c r="B1284" i="14"/>
  <c r="D1284" i="14"/>
  <c r="B1285" i="14"/>
  <c r="D1285" i="14"/>
  <c r="B1286" i="14"/>
  <c r="D1286" i="14"/>
  <c r="G1286" i="14"/>
  <c r="B1287" i="14"/>
  <c r="D1287" i="14"/>
  <c r="B1288" i="14"/>
  <c r="D1288" i="14"/>
  <c r="B1289" i="14"/>
  <c r="D1289" i="14"/>
  <c r="G1289" i="14"/>
  <c r="J1290" i="14"/>
  <c r="K1290" i="14"/>
  <c r="B1291" i="14"/>
  <c r="D1291" i="14"/>
  <c r="B1292" i="14"/>
  <c r="D1292" i="14"/>
  <c r="B1293" i="14"/>
  <c r="D1293" i="14"/>
  <c r="J1294" i="14"/>
  <c r="K1294" i="14"/>
  <c r="B1295" i="14"/>
  <c r="D1295" i="14"/>
  <c r="B1296" i="14"/>
  <c r="D1296" i="14"/>
  <c r="J1297" i="14"/>
  <c r="K1297" i="14"/>
  <c r="B1298" i="14"/>
  <c r="D1298" i="14"/>
  <c r="B1299" i="14"/>
  <c r="D1299" i="14"/>
  <c r="B1300" i="14"/>
  <c r="D1300" i="14"/>
  <c r="J1301" i="14"/>
  <c r="K1301" i="14"/>
  <c r="B1302" i="14"/>
  <c r="D1302" i="14"/>
  <c r="J1303" i="14"/>
  <c r="K1303" i="14"/>
  <c r="B1304" i="14"/>
  <c r="D1304" i="14"/>
  <c r="J1305" i="14"/>
  <c r="K1305" i="14"/>
  <c r="B1306" i="14"/>
  <c r="D1306" i="14"/>
  <c r="B1308" i="14"/>
  <c r="D1308" i="14"/>
  <c r="J1309" i="14"/>
  <c r="K1309" i="14"/>
  <c r="B1310" i="14"/>
  <c r="D1310" i="14"/>
  <c r="J1311" i="14"/>
  <c r="K1311" i="14"/>
  <c r="B1312" i="14"/>
  <c r="D1312" i="14"/>
  <c r="B1313" i="14"/>
  <c r="D1313" i="14"/>
  <c r="B1314" i="14"/>
  <c r="D1314" i="14"/>
  <c r="B1315" i="14"/>
  <c r="D1315" i="14"/>
  <c r="B1316" i="14"/>
  <c r="D1316" i="14"/>
  <c r="B1317" i="14"/>
  <c r="D1317" i="14"/>
  <c r="J1318" i="14"/>
  <c r="K1318" i="14"/>
  <c r="B1319" i="14"/>
  <c r="D1319" i="14"/>
  <c r="J1320" i="14"/>
  <c r="K1320" i="14"/>
  <c r="B1321" i="14"/>
  <c r="D1321" i="14"/>
  <c r="J1322" i="14"/>
  <c r="K1322" i="14"/>
  <c r="B1323" i="14"/>
  <c r="D1323" i="14"/>
  <c r="B1324" i="14"/>
  <c r="D1324" i="14"/>
  <c r="B1325" i="14"/>
  <c r="D1325" i="14"/>
  <c r="B1326" i="14"/>
  <c r="D1326" i="14"/>
  <c r="B1327" i="14"/>
  <c r="D1327" i="14"/>
  <c r="B1328" i="14"/>
  <c r="D1328" i="14"/>
  <c r="B1329" i="14"/>
  <c r="D1329" i="14"/>
  <c r="B1330" i="14"/>
  <c r="D1330" i="14"/>
  <c r="B1331" i="14"/>
  <c r="D1331" i="14"/>
  <c r="B1332" i="14"/>
  <c r="D1332" i="14"/>
  <c r="B1333" i="14"/>
  <c r="D1333" i="14"/>
  <c r="B1334" i="14"/>
  <c r="D1334" i="14"/>
  <c r="B1335" i="14"/>
  <c r="D1335" i="14"/>
  <c r="B1336" i="14"/>
  <c r="D1336" i="14"/>
  <c r="J1337" i="14"/>
  <c r="K1337" i="14"/>
  <c r="B1338" i="14"/>
  <c r="D1338" i="14"/>
  <c r="B1339" i="14"/>
  <c r="D1339" i="14"/>
  <c r="B1340" i="14"/>
  <c r="D1340" i="14"/>
  <c r="B1341" i="14"/>
  <c r="D1341" i="14"/>
  <c r="B1342" i="14"/>
  <c r="D1342" i="14"/>
  <c r="B1343" i="14"/>
  <c r="D1343" i="14"/>
  <c r="B1344" i="14"/>
  <c r="D1344" i="14"/>
  <c r="B1345" i="14"/>
  <c r="D1345" i="14"/>
  <c r="J1346" i="14"/>
  <c r="K1346" i="14"/>
  <c r="B1347" i="14"/>
  <c r="D1347" i="14"/>
  <c r="J1348" i="14"/>
  <c r="K1348" i="14"/>
  <c r="B1349" i="14"/>
  <c r="D1349" i="14"/>
  <c r="J1350" i="14"/>
  <c r="K1350" i="14"/>
  <c r="B1351" i="14"/>
  <c r="D1351" i="14"/>
  <c r="B1352" i="14"/>
  <c r="D1352" i="14"/>
  <c r="B1353" i="14"/>
  <c r="D1353" i="14"/>
  <c r="B1354" i="14"/>
  <c r="D1354" i="14"/>
  <c r="B1355" i="14"/>
  <c r="D1355" i="14"/>
  <c r="J1356" i="14"/>
  <c r="K1356" i="14"/>
  <c r="B1357" i="14"/>
  <c r="D1357" i="14"/>
  <c r="B1358" i="14"/>
  <c r="D1358" i="14"/>
  <c r="B1359" i="14"/>
  <c r="D1359" i="14"/>
  <c r="J1360" i="14"/>
  <c r="B1361" i="14"/>
  <c r="D1361" i="14"/>
  <c r="B1362" i="14"/>
  <c r="D1362" i="14"/>
  <c r="B1363" i="14"/>
  <c r="D1363" i="14"/>
  <c r="G1363" i="14"/>
  <c r="J1364" i="14"/>
  <c r="B1365" i="14"/>
  <c r="D1365" i="14"/>
  <c r="B1366" i="14"/>
  <c r="D1366" i="14"/>
  <c r="B1367" i="14"/>
  <c r="D1367" i="14"/>
  <c r="B1368" i="14"/>
  <c r="D1368" i="14"/>
  <c r="J1369" i="14"/>
  <c r="K1369" i="14"/>
  <c r="B1370" i="14"/>
  <c r="D1370" i="14"/>
  <c r="B1371" i="14"/>
  <c r="D1371" i="14"/>
  <c r="B1372" i="14"/>
  <c r="D1372" i="14"/>
  <c r="J1373" i="14"/>
  <c r="K1373" i="14"/>
  <c r="B1374" i="14"/>
  <c r="D1374" i="14"/>
  <c r="J1375" i="14"/>
  <c r="K1375" i="14"/>
  <c r="B1376" i="14"/>
  <c r="D1376" i="14"/>
  <c r="J1377" i="14"/>
  <c r="B1378" i="14"/>
  <c r="D1378" i="14"/>
  <c r="J1379" i="14"/>
  <c r="K1379" i="14"/>
  <c r="B1380" i="14"/>
  <c r="D1380" i="14"/>
  <c r="B1381" i="14"/>
  <c r="D1381" i="14"/>
  <c r="B1382" i="14"/>
  <c r="D1382" i="14"/>
  <c r="B1383" i="14"/>
  <c r="D1383" i="14"/>
  <c r="B1384" i="14"/>
  <c r="D1384" i="14"/>
  <c r="B1385" i="14"/>
  <c r="D1385" i="14"/>
  <c r="J1386" i="14"/>
  <c r="K1386" i="14"/>
  <c r="B1387" i="14"/>
  <c r="D1387" i="14"/>
  <c r="B1389" i="14"/>
  <c r="D1389" i="14"/>
  <c r="B1390" i="14"/>
  <c r="D1390" i="14"/>
  <c r="B1391" i="14"/>
  <c r="D1391" i="14"/>
  <c r="B1392" i="14"/>
  <c r="D1392" i="14"/>
  <c r="B1393" i="14"/>
  <c r="D1393" i="14"/>
  <c r="B1394" i="14"/>
  <c r="D1394" i="14"/>
  <c r="B1395" i="14"/>
  <c r="D1395" i="14"/>
  <c r="B1396" i="14"/>
  <c r="D1396" i="14"/>
  <c r="B1397" i="14"/>
  <c r="D1397" i="14"/>
  <c r="B1398" i="14"/>
  <c r="D1398" i="14"/>
  <c r="B1399" i="14"/>
  <c r="D1399" i="14"/>
  <c r="G1399" i="14"/>
  <c r="B1400" i="14"/>
  <c r="D1400" i="14"/>
  <c r="B1401" i="14"/>
  <c r="D1401" i="14"/>
  <c r="B1402" i="14"/>
  <c r="D1402" i="14"/>
  <c r="B1403" i="14"/>
  <c r="D1403" i="14"/>
  <c r="B1404" i="14"/>
  <c r="D1404" i="14"/>
  <c r="B1405" i="14"/>
  <c r="D1405" i="14"/>
  <c r="B1406" i="14"/>
  <c r="D1406" i="14"/>
  <c r="B1407" i="14"/>
  <c r="D1407" i="14"/>
  <c r="B1408" i="14"/>
  <c r="D1408" i="14"/>
  <c r="B1409" i="14"/>
  <c r="D1409" i="14"/>
  <c r="B1410" i="14"/>
  <c r="D1410" i="14"/>
  <c r="B1411" i="14"/>
  <c r="D1411" i="14"/>
  <c r="B1412" i="14"/>
  <c r="D1412" i="14"/>
  <c r="B1413" i="14"/>
  <c r="D1413" i="14"/>
  <c r="B1414" i="14"/>
  <c r="D1414" i="14"/>
  <c r="B1415" i="14"/>
  <c r="D1415" i="14"/>
  <c r="B1416" i="14"/>
  <c r="D1416" i="14"/>
  <c r="B1417" i="14"/>
  <c r="D1417" i="14"/>
  <c r="B1418" i="14"/>
  <c r="D1418" i="14"/>
  <c r="B1419" i="14"/>
  <c r="D1419" i="14"/>
  <c r="B1420" i="14"/>
  <c r="D1420" i="14"/>
  <c r="B1421" i="14"/>
  <c r="D1421" i="14"/>
  <c r="G1421" i="14"/>
  <c r="B1422" i="14"/>
  <c r="D1422" i="14"/>
  <c r="G1422" i="14"/>
  <c r="B1423" i="14"/>
  <c r="D1423" i="14"/>
  <c r="G1423" i="14"/>
  <c r="B1424" i="14"/>
  <c r="D1424" i="14"/>
  <c r="B1425" i="14"/>
  <c r="D1425" i="14"/>
  <c r="B1426" i="14"/>
  <c r="D1426" i="14"/>
  <c r="B1427" i="14"/>
  <c r="D1427" i="14"/>
  <c r="B1428" i="14"/>
  <c r="D1428" i="14"/>
  <c r="B1429" i="14"/>
  <c r="D1429" i="14"/>
  <c r="J1430" i="14"/>
  <c r="K1430" i="14"/>
  <c r="B1431" i="14"/>
  <c r="D1431" i="14"/>
  <c r="J1432" i="14"/>
  <c r="K1432" i="14"/>
  <c r="B1433" i="14"/>
  <c r="D1433" i="14"/>
  <c r="B1434" i="14"/>
  <c r="D1434" i="14"/>
  <c r="B1435" i="14"/>
  <c r="D1435" i="14"/>
  <c r="B1436" i="14"/>
  <c r="D1436" i="14"/>
  <c r="G1436" i="14"/>
  <c r="B1437" i="14"/>
  <c r="D1437" i="14"/>
  <c r="J1438" i="14"/>
  <c r="B1439" i="14"/>
  <c r="D1439" i="14"/>
  <c r="G1439" i="14"/>
  <c r="M1439" i="14"/>
  <c r="B1440" i="14"/>
  <c r="D1440" i="14"/>
  <c r="B1441" i="14"/>
  <c r="D1441" i="14"/>
  <c r="B1442" i="14"/>
  <c r="D1442" i="14"/>
  <c r="B1443" i="14"/>
  <c r="D1443" i="14"/>
  <c r="B1444" i="14"/>
  <c r="D1444" i="14"/>
  <c r="B1445" i="14"/>
  <c r="D1445" i="14"/>
  <c r="B1446" i="14"/>
  <c r="D1446" i="14"/>
  <c r="B1447" i="14"/>
  <c r="D1447" i="14"/>
  <c r="B1448" i="14"/>
  <c r="D1448" i="14"/>
  <c r="B1449" i="14"/>
  <c r="D1449" i="14"/>
  <c r="B1450" i="14"/>
  <c r="D1450" i="14"/>
  <c r="B1451" i="14"/>
  <c r="D1451" i="14"/>
  <c r="B1452" i="14"/>
  <c r="D1452" i="14"/>
  <c r="B1453" i="14"/>
  <c r="D1453" i="14"/>
  <c r="B1454" i="14"/>
  <c r="D1454" i="14"/>
  <c r="B1455" i="14"/>
  <c r="D1455" i="14"/>
  <c r="B1456" i="14"/>
  <c r="D1456" i="14"/>
  <c r="B1457" i="14"/>
  <c r="D1457" i="14"/>
  <c r="B1458" i="14"/>
  <c r="D1458" i="14"/>
  <c r="B1459" i="14"/>
  <c r="D1459" i="14"/>
  <c r="B1460" i="14"/>
  <c r="D1460" i="14"/>
  <c r="B1461" i="14"/>
  <c r="D1461" i="14"/>
  <c r="B1462" i="14"/>
  <c r="D1462" i="14"/>
  <c r="B1463" i="14"/>
  <c r="D1463" i="14"/>
  <c r="G1463" i="14"/>
  <c r="J1464" i="14"/>
  <c r="K1464" i="14"/>
  <c r="B1465" i="14"/>
  <c r="D1465" i="14"/>
  <c r="B1466" i="14"/>
  <c r="D1466" i="14"/>
  <c r="J1467" i="14"/>
  <c r="K1467" i="14"/>
  <c r="B1468" i="14"/>
  <c r="D1468" i="14"/>
  <c r="B1469" i="14"/>
  <c r="D1469" i="14"/>
  <c r="B1470" i="14"/>
  <c r="D1470" i="14"/>
  <c r="G1470" i="14"/>
  <c r="L1470" i="14"/>
  <c r="J1471" i="14"/>
  <c r="K1471" i="14"/>
  <c r="B1472" i="14"/>
  <c r="D1472" i="14"/>
  <c r="B1474" i="14"/>
  <c r="D1474" i="14"/>
  <c r="J1475" i="14"/>
  <c r="K1475" i="14"/>
  <c r="B1476" i="14"/>
  <c r="D1476" i="14"/>
  <c r="B1477" i="14"/>
  <c r="D1477" i="14"/>
  <c r="B1478" i="14"/>
  <c r="D1478" i="14"/>
  <c r="J1479" i="14"/>
  <c r="K1479" i="14"/>
  <c r="B1480" i="14"/>
  <c r="D1480" i="14"/>
  <c r="B1481" i="14"/>
  <c r="D1481" i="14"/>
  <c r="G1481" i="14"/>
  <c r="J1482" i="14"/>
  <c r="K1482" i="14"/>
  <c r="B1483" i="14"/>
  <c r="D1483" i="14"/>
  <c r="J1484" i="14"/>
  <c r="K1484" i="14"/>
  <c r="B1485" i="14"/>
  <c r="D1485" i="14"/>
  <c r="J1486" i="14"/>
  <c r="K1486" i="14"/>
  <c r="B1487" i="14"/>
  <c r="D1487" i="14"/>
  <c r="B1488" i="14"/>
  <c r="D1488" i="14"/>
  <c r="B1489" i="14"/>
  <c r="D1489" i="14"/>
  <c r="B1490" i="14"/>
  <c r="D1490" i="14"/>
  <c r="B1491" i="14"/>
  <c r="D1491" i="14"/>
  <c r="B1492" i="14"/>
  <c r="D1492" i="14"/>
  <c r="B1493" i="14"/>
  <c r="D1493" i="14"/>
  <c r="B1494" i="14"/>
  <c r="D1494" i="14"/>
  <c r="B1495" i="14"/>
  <c r="D1495" i="14"/>
  <c r="B1496" i="14"/>
  <c r="D1496" i="14"/>
  <c r="B1497" i="14"/>
  <c r="D1497" i="14"/>
  <c r="J1498" i="14"/>
  <c r="K1498" i="14"/>
  <c r="B1499" i="14"/>
  <c r="D1499" i="14"/>
  <c r="B1500" i="14"/>
  <c r="D1500" i="14"/>
  <c r="B1501" i="14"/>
  <c r="D1501" i="14"/>
  <c r="J1502" i="14"/>
  <c r="K1502" i="14"/>
  <c r="B1503" i="14"/>
  <c r="D1503" i="14"/>
  <c r="B1504" i="14"/>
  <c r="D1504" i="14"/>
  <c r="B1505" i="14"/>
  <c r="D1505" i="14"/>
  <c r="B1506" i="14"/>
  <c r="D1506" i="14"/>
  <c r="B1507" i="14"/>
  <c r="D1507" i="14"/>
  <c r="B1508" i="14"/>
  <c r="D1508" i="14"/>
  <c r="B1509" i="14"/>
  <c r="D1509" i="14"/>
  <c r="B1510" i="14"/>
  <c r="D1510" i="14"/>
  <c r="B1511" i="14"/>
  <c r="D1511" i="14"/>
  <c r="B1512" i="14"/>
  <c r="D1512" i="14"/>
  <c r="B1513" i="14"/>
  <c r="D1513" i="14"/>
  <c r="B1514" i="14"/>
  <c r="D1514" i="14"/>
  <c r="J1515" i="14"/>
  <c r="K1515" i="14"/>
  <c r="B1516" i="14"/>
  <c r="D1516" i="14"/>
  <c r="B1517" i="14"/>
  <c r="D1517" i="14"/>
  <c r="J1518" i="14"/>
  <c r="K1518" i="14"/>
  <c r="B1519" i="14"/>
  <c r="D1519" i="14"/>
  <c r="J1520" i="14"/>
  <c r="K1520" i="14"/>
  <c r="B1521" i="14"/>
  <c r="D1521" i="14"/>
  <c r="J1522" i="14"/>
  <c r="K1522" i="14"/>
  <c r="B1523" i="14"/>
  <c r="D1523" i="14"/>
  <c r="B1524" i="14"/>
  <c r="D1524" i="14"/>
  <c r="G1524" i="14"/>
  <c r="B1525" i="14"/>
  <c r="D1525" i="14"/>
  <c r="J1526" i="14"/>
  <c r="K1526" i="14"/>
  <c r="B1527" i="14"/>
  <c r="D1527" i="14"/>
  <c r="J1528" i="14"/>
  <c r="K1528" i="14"/>
  <c r="B1529" i="14"/>
  <c r="D1529" i="14"/>
  <c r="J1530" i="14"/>
  <c r="K1530" i="14"/>
  <c r="B1531" i="14"/>
  <c r="D1531" i="14"/>
  <c r="G1531" i="14"/>
  <c r="M1531" i="14"/>
  <c r="B1532" i="14"/>
  <c r="D1532" i="14"/>
  <c r="G1532" i="14"/>
  <c r="J1533" i="14"/>
  <c r="K1533" i="14"/>
  <c r="B1534" i="14"/>
  <c r="D1534" i="14"/>
  <c r="J1535" i="14"/>
  <c r="K1535" i="14"/>
  <c r="B1536" i="14"/>
  <c r="D1536" i="14"/>
  <c r="G1536" i="14"/>
  <c r="M1536" i="14"/>
  <c r="B1537" i="14"/>
  <c r="D1537" i="14"/>
  <c r="B1538" i="14"/>
  <c r="D1538" i="14"/>
  <c r="B1539" i="14"/>
  <c r="D1539" i="14"/>
  <c r="B1540" i="14"/>
  <c r="D1540" i="14"/>
  <c r="B1541" i="14"/>
  <c r="D1541" i="14"/>
  <c r="B1542" i="14"/>
  <c r="D1542" i="14"/>
  <c r="B1543" i="14"/>
  <c r="D1543" i="14"/>
  <c r="B1544" i="14"/>
  <c r="D1544" i="14"/>
  <c r="B1545" i="14"/>
  <c r="D1545" i="14"/>
  <c r="B1546" i="14"/>
  <c r="D1546" i="14"/>
  <c r="B1547" i="14"/>
  <c r="D1547" i="14"/>
  <c r="B1548" i="14"/>
  <c r="D1548" i="14"/>
  <c r="B1549" i="14"/>
  <c r="D1549" i="14"/>
  <c r="B1550" i="14"/>
  <c r="D1550" i="14"/>
  <c r="B1551" i="14"/>
  <c r="D1551" i="14"/>
  <c r="B1552" i="14"/>
  <c r="D1552" i="14"/>
  <c r="B1553" i="14"/>
  <c r="D1553" i="14"/>
  <c r="B1554" i="14"/>
  <c r="D1554" i="14"/>
  <c r="B1555" i="14"/>
  <c r="D1555" i="14"/>
  <c r="B1556" i="14"/>
  <c r="D1556" i="14"/>
  <c r="B1557" i="14"/>
  <c r="D1557" i="14"/>
  <c r="B1558" i="14"/>
  <c r="D1558" i="14"/>
  <c r="B1559" i="14"/>
  <c r="D1559" i="14"/>
  <c r="B1560" i="14"/>
  <c r="D1560" i="14"/>
  <c r="B1561" i="14"/>
  <c r="D1561" i="14"/>
  <c r="B1562" i="14"/>
  <c r="D1562" i="14"/>
  <c r="B1563" i="14"/>
  <c r="D1563" i="14"/>
  <c r="B1564" i="14"/>
  <c r="D1564" i="14"/>
  <c r="B1565" i="14"/>
  <c r="D1565" i="14"/>
  <c r="B1566" i="14"/>
  <c r="D1566" i="14"/>
  <c r="B1567" i="14"/>
  <c r="D1567" i="14"/>
  <c r="G1567" i="14"/>
  <c r="M1567" i="14"/>
  <c r="B1568" i="14"/>
  <c r="D1568" i="14"/>
  <c r="B1569" i="14"/>
  <c r="D1569" i="14"/>
  <c r="J1570" i="14"/>
  <c r="K1570" i="14"/>
  <c r="B1571" i="14"/>
  <c r="D1571" i="14"/>
  <c r="B1572" i="14"/>
  <c r="D1572" i="14"/>
  <c r="B1573" i="14"/>
  <c r="D1573" i="14"/>
  <c r="B1574" i="14"/>
  <c r="D1574" i="14"/>
  <c r="B1575" i="14"/>
  <c r="D1575" i="14"/>
  <c r="B1576" i="14"/>
  <c r="D1576" i="14"/>
  <c r="B1577" i="14"/>
  <c r="D1577" i="14"/>
  <c r="G1577" i="14"/>
  <c r="B1578" i="14"/>
  <c r="D1578" i="14"/>
  <c r="J1579" i="14"/>
  <c r="K1579" i="14"/>
  <c r="B1580" i="14"/>
  <c r="D1580" i="14"/>
  <c r="B1581" i="14"/>
  <c r="D1581" i="14"/>
  <c r="B1582" i="14"/>
  <c r="D1582" i="14"/>
  <c r="B1583" i="14"/>
  <c r="D1583" i="14"/>
  <c r="B1584" i="14"/>
  <c r="D1584" i="14"/>
  <c r="B1585" i="14"/>
  <c r="D1585" i="14"/>
  <c r="G1585" i="14"/>
  <c r="M1585" i="14"/>
  <c r="B1586" i="14"/>
  <c r="D1586" i="14"/>
  <c r="J1587" i="14"/>
  <c r="B1588" i="14"/>
  <c r="D1588" i="14"/>
  <c r="B1589" i="14"/>
  <c r="D1589" i="14"/>
  <c r="G1589" i="14"/>
  <c r="B1590" i="14"/>
  <c r="D1590" i="14"/>
  <c r="B1591" i="14"/>
  <c r="D1591" i="14"/>
  <c r="B1592" i="14"/>
  <c r="D1592" i="14"/>
  <c r="B1593" i="14"/>
  <c r="D1593" i="14"/>
  <c r="B1594" i="14"/>
  <c r="D1594" i="14"/>
  <c r="B1595" i="14"/>
  <c r="D1595" i="14"/>
  <c r="B1596" i="14"/>
  <c r="D1596" i="14"/>
  <c r="B1597" i="14"/>
  <c r="D1597" i="14"/>
  <c r="B1598" i="14"/>
  <c r="D1598" i="14"/>
  <c r="B1599" i="14"/>
  <c r="D1599" i="14"/>
  <c r="B1600" i="14"/>
  <c r="D1600" i="14"/>
  <c r="B1601" i="14"/>
  <c r="D1601" i="14"/>
  <c r="B1602" i="14"/>
  <c r="D1602" i="14"/>
  <c r="J1603" i="14"/>
  <c r="K1603" i="14"/>
  <c r="B1604" i="14"/>
  <c r="D1604" i="14"/>
  <c r="B1605" i="14"/>
  <c r="D1605" i="14"/>
  <c r="B1606" i="14"/>
  <c r="D1606" i="14"/>
  <c r="J1607" i="14"/>
  <c r="K1607" i="14"/>
  <c r="B1608" i="14"/>
  <c r="D1608" i="14"/>
  <c r="B1609" i="14"/>
  <c r="D1609" i="14"/>
  <c r="B1610" i="14"/>
  <c r="D1610" i="14"/>
  <c r="J1611" i="14"/>
  <c r="K1611" i="14"/>
  <c r="B1612" i="14"/>
  <c r="D1612" i="14"/>
  <c r="J1613" i="14"/>
  <c r="K1613" i="14"/>
  <c r="B1614" i="14"/>
  <c r="D1614" i="14"/>
  <c r="J1615" i="14"/>
  <c r="K1615" i="14"/>
  <c r="B1616" i="14"/>
  <c r="D1616" i="14"/>
  <c r="J1617" i="14"/>
  <c r="B1618" i="14"/>
  <c r="D1618" i="14"/>
  <c r="J1619" i="14"/>
  <c r="K1619" i="14"/>
  <c r="B1620" i="14"/>
  <c r="D1620" i="14"/>
  <c r="B1621" i="14"/>
  <c r="D1621" i="14"/>
  <c r="B1622" i="14"/>
  <c r="D1622" i="14"/>
  <c r="B1623" i="14"/>
  <c r="D1623" i="14"/>
  <c r="J1624" i="14"/>
  <c r="K1624" i="14"/>
  <c r="B1625" i="14"/>
  <c r="D1625" i="14"/>
  <c r="J1626" i="14"/>
  <c r="K1626" i="14"/>
  <c r="B1627" i="14"/>
  <c r="D1627" i="14"/>
  <c r="B1628" i="14"/>
  <c r="D1628" i="14"/>
  <c r="B1629" i="14"/>
  <c r="D1629" i="14"/>
  <c r="B1630" i="14"/>
  <c r="D1630" i="14"/>
  <c r="J1631" i="14"/>
  <c r="K1631" i="14"/>
  <c r="B1632" i="14"/>
  <c r="D1632" i="14"/>
  <c r="J1633" i="14"/>
  <c r="K1633" i="14"/>
  <c r="B1634" i="14"/>
  <c r="D1634" i="14"/>
  <c r="B1636" i="14"/>
  <c r="D1636" i="14"/>
  <c r="G1636" i="14"/>
  <c r="B1637" i="14"/>
  <c r="D1637" i="14"/>
  <c r="G1637" i="14"/>
  <c r="B1638" i="14"/>
  <c r="D1638" i="14"/>
  <c r="G1638" i="14"/>
  <c r="B1639" i="14"/>
  <c r="D1639" i="14"/>
  <c r="G1639" i="14"/>
  <c r="B1640" i="14"/>
  <c r="D1640" i="14"/>
  <c r="G1640" i="14"/>
  <c r="B1641" i="14"/>
  <c r="D1641" i="14"/>
  <c r="G1641" i="14"/>
  <c r="B1642" i="14"/>
  <c r="D1642" i="14"/>
  <c r="G1642" i="14"/>
  <c r="B1643" i="14"/>
  <c r="D1643" i="14"/>
  <c r="G1643" i="14"/>
  <c r="B1644" i="14"/>
  <c r="D1644" i="14"/>
  <c r="G1644" i="14"/>
  <c r="B1645" i="14"/>
  <c r="D1645" i="14"/>
  <c r="G1645" i="14"/>
  <c r="B1646" i="14"/>
  <c r="D1646" i="14"/>
  <c r="G1646" i="14"/>
  <c r="B1647" i="14"/>
  <c r="D1647" i="14"/>
  <c r="G1647" i="14"/>
  <c r="B1648" i="14"/>
  <c r="D1648" i="14"/>
  <c r="G1648" i="14"/>
  <c r="B1649" i="14"/>
  <c r="D1649" i="14"/>
  <c r="G1649" i="14"/>
  <c r="B1650" i="14"/>
  <c r="D1650" i="14"/>
  <c r="G1650" i="14"/>
  <c r="B1651" i="14"/>
  <c r="D1651" i="14"/>
  <c r="G1651" i="14"/>
  <c r="B1652" i="14"/>
  <c r="D1652" i="14"/>
  <c r="G1652" i="14"/>
  <c r="B1653" i="14"/>
  <c r="D1653" i="14"/>
  <c r="G1653" i="14"/>
  <c r="B1654" i="14"/>
  <c r="D1654" i="14"/>
  <c r="G1654" i="14"/>
  <c r="B1655" i="14"/>
  <c r="D1655" i="14"/>
  <c r="G1655" i="14"/>
  <c r="B1656" i="14"/>
  <c r="D1656" i="14"/>
  <c r="G1656" i="14"/>
  <c r="B1657" i="14"/>
  <c r="D1657" i="14"/>
  <c r="G1657" i="14"/>
  <c r="B1658" i="14"/>
  <c r="D1658" i="14"/>
  <c r="G1658" i="14"/>
  <c r="B1659" i="14"/>
  <c r="D1659" i="14"/>
  <c r="G1659" i="14"/>
  <c r="B1660" i="14"/>
  <c r="D1660" i="14"/>
  <c r="G1660" i="14"/>
  <c r="B1661" i="14"/>
  <c r="D1661" i="14"/>
  <c r="G1661" i="14"/>
  <c r="B1662" i="14"/>
  <c r="D1662" i="14"/>
  <c r="G1662" i="14"/>
  <c r="B1663" i="14"/>
  <c r="D1663" i="14"/>
  <c r="G1663" i="14"/>
  <c r="B1664" i="14"/>
  <c r="D1664" i="14"/>
  <c r="G1664" i="14"/>
  <c r="B1665" i="14"/>
  <c r="D1665" i="14"/>
  <c r="G1665" i="14"/>
  <c r="B1666" i="14"/>
  <c r="D1666" i="14"/>
  <c r="G1666" i="14"/>
  <c r="B1667" i="14"/>
  <c r="D1667" i="14"/>
  <c r="G1667" i="14"/>
  <c r="B1668" i="14"/>
  <c r="D1668" i="14"/>
  <c r="G1668" i="14"/>
  <c r="B1669" i="14"/>
  <c r="D1669" i="14"/>
  <c r="G1669" i="14"/>
  <c r="B1670" i="14"/>
  <c r="D1670" i="14"/>
  <c r="G1670" i="14"/>
  <c r="B1671" i="14"/>
  <c r="D1671" i="14"/>
  <c r="G1671" i="14"/>
  <c r="B1672" i="14"/>
  <c r="D1672" i="14"/>
  <c r="G1672" i="14"/>
  <c r="B1673" i="14"/>
  <c r="D1673" i="14"/>
  <c r="G1673" i="14"/>
  <c r="B1674" i="14"/>
  <c r="D1674" i="14"/>
  <c r="G1674" i="14"/>
  <c r="B1675" i="14"/>
  <c r="D1675" i="14"/>
  <c r="G1675" i="14"/>
  <c r="B1676" i="14"/>
  <c r="D1676" i="14"/>
  <c r="G1676" i="14"/>
  <c r="B1677" i="14"/>
  <c r="D1677" i="14"/>
  <c r="G1677" i="14"/>
  <c r="B1678" i="14"/>
  <c r="D1678" i="14"/>
  <c r="G1678" i="14"/>
  <c r="B1679" i="14"/>
  <c r="D1679" i="14"/>
  <c r="G1679" i="14"/>
  <c r="B1680" i="14"/>
  <c r="D1680" i="14"/>
  <c r="G1680" i="14"/>
  <c r="B1681" i="14"/>
  <c r="D1681" i="14"/>
  <c r="G1681" i="14"/>
  <c r="B1682" i="14"/>
  <c r="D1682" i="14"/>
  <c r="G1682" i="14"/>
  <c r="B1683" i="14"/>
  <c r="D1683" i="14"/>
  <c r="G1683" i="14"/>
  <c r="B1684" i="14"/>
  <c r="D1684" i="14"/>
  <c r="G1684" i="14"/>
  <c r="B1685" i="14"/>
  <c r="D1685" i="14"/>
  <c r="G1685" i="14"/>
  <c r="B1686" i="14"/>
  <c r="D1686" i="14"/>
  <c r="G1686" i="14"/>
  <c r="B1687" i="14"/>
  <c r="D1687" i="14"/>
  <c r="G1687" i="14"/>
  <c r="B1688" i="14"/>
  <c r="D1688" i="14"/>
  <c r="G1688" i="14"/>
  <c r="B1689" i="14"/>
  <c r="D1689" i="14"/>
  <c r="G1689" i="14"/>
  <c r="B1690" i="14"/>
  <c r="D1690" i="14"/>
  <c r="G1690" i="14"/>
  <c r="B1691" i="14"/>
  <c r="D1691" i="14"/>
  <c r="G1691" i="14"/>
  <c r="B1692" i="14"/>
  <c r="D1692" i="14"/>
  <c r="G1692" i="14"/>
  <c r="B1693" i="14"/>
  <c r="D1693" i="14"/>
  <c r="G1693" i="14"/>
  <c r="B1694" i="14"/>
  <c r="D1694" i="14"/>
  <c r="G1694" i="14"/>
  <c r="B1695" i="14"/>
  <c r="D1695" i="14"/>
  <c r="G1695" i="14"/>
  <c r="B1696" i="14"/>
  <c r="D1696" i="14"/>
  <c r="G1696" i="14"/>
  <c r="B1697" i="14"/>
  <c r="D1697" i="14"/>
  <c r="G1697" i="14"/>
  <c r="B1698" i="14"/>
  <c r="D1698" i="14"/>
  <c r="G1698" i="14"/>
  <c r="B1699" i="14"/>
  <c r="D1699" i="14"/>
  <c r="G1699" i="14"/>
  <c r="B1700" i="14"/>
  <c r="D1700" i="14"/>
  <c r="G1700" i="14"/>
  <c r="B1701" i="14"/>
  <c r="D1701" i="14"/>
  <c r="G1701" i="14"/>
  <c r="B1702" i="14"/>
  <c r="D1702" i="14"/>
  <c r="G1702" i="14"/>
  <c r="B1703" i="14"/>
  <c r="D1703" i="14"/>
  <c r="G1703" i="14"/>
  <c r="B1704" i="14"/>
  <c r="D1704" i="14"/>
  <c r="G1704" i="14"/>
  <c r="B1705" i="14"/>
  <c r="D1705" i="14"/>
  <c r="G1705" i="14"/>
  <c r="B1706" i="14"/>
  <c r="D1706" i="14"/>
  <c r="G1706" i="14"/>
  <c r="B1707" i="14"/>
  <c r="D1707" i="14"/>
  <c r="G1707" i="14"/>
  <c r="B1708" i="14"/>
  <c r="D1708" i="14"/>
  <c r="G1708" i="14"/>
  <c r="B1709" i="14"/>
  <c r="D1709" i="14"/>
  <c r="G1709" i="14"/>
  <c r="B1710" i="14"/>
  <c r="D1710" i="14"/>
  <c r="G1710" i="14"/>
  <c r="B1711" i="14"/>
  <c r="D1711" i="14"/>
  <c r="G1711" i="14"/>
  <c r="B1712" i="14"/>
  <c r="D1712" i="14"/>
  <c r="G1712" i="14"/>
  <c r="B1713" i="14"/>
  <c r="D1713" i="14"/>
  <c r="G1713" i="14"/>
  <c r="G14" i="9"/>
  <c r="K1617" i="14"/>
  <c r="M1589" i="14"/>
  <c r="K1377" i="14"/>
  <c r="K1364" i="14"/>
  <c r="K1360" i="14"/>
  <c r="M1161" i="14"/>
  <c r="M1124" i="14"/>
  <c r="M1035" i="14"/>
  <c r="M805" i="14"/>
  <c r="M797" i="14"/>
  <c r="M789" i="14"/>
  <c r="M773" i="14"/>
  <c r="G744" i="14"/>
  <c r="M690" i="14"/>
  <c r="K582" i="14"/>
  <c r="L553" i="14"/>
  <c r="M553" i="14"/>
  <c r="G202" i="14"/>
  <c r="H1162" i="8"/>
  <c r="J1162" i="8"/>
  <c r="O267" i="5"/>
  <c r="H740" i="8"/>
  <c r="J740" i="8"/>
  <c r="H813" i="8"/>
  <c r="J813" i="8"/>
  <c r="O162" i="5"/>
  <c r="H1839" i="8"/>
  <c r="H1857" i="8"/>
  <c r="J1857" i="8"/>
  <c r="K1281" i="14"/>
  <c r="M1289" i="14"/>
  <c r="M1669" i="14"/>
  <c r="M1155" i="14"/>
  <c r="M1071" i="14"/>
  <c r="L1054" i="14"/>
  <c r="M1054" i="14"/>
  <c r="L1036" i="14"/>
  <c r="M1036" i="14"/>
  <c r="M1006" i="14"/>
  <c r="K640" i="14"/>
  <c r="M641" i="14"/>
  <c r="M500" i="14"/>
  <c r="M484" i="14"/>
  <c r="L484" i="14"/>
  <c r="M476" i="14"/>
  <c r="L476" i="14"/>
  <c r="M412" i="14"/>
  <c r="L412" i="14"/>
  <c r="G200" i="14"/>
  <c r="O301" i="5"/>
  <c r="H1828" i="8"/>
  <c r="M1286" i="14"/>
  <c r="M1662" i="14"/>
  <c r="K1141" i="14"/>
  <c r="M1173" i="14"/>
  <c r="L1092" i="14"/>
  <c r="M966" i="14"/>
  <c r="M544" i="14"/>
  <c r="L544" i="14"/>
  <c r="L501" i="14"/>
  <c r="M501" i="14"/>
  <c r="L493" i="14"/>
  <c r="M493" i="14"/>
  <c r="L413" i="14"/>
  <c r="M413" i="14"/>
  <c r="L217" i="14"/>
  <c r="M217" i="14"/>
  <c r="M212" i="14"/>
  <c r="L212" i="14"/>
  <c r="L210" i="14"/>
  <c r="L226" i="14"/>
  <c r="L214" i="14"/>
  <c r="L222" i="14"/>
  <c r="L215" i="14"/>
  <c r="L223" i="14"/>
  <c r="G175" i="14"/>
  <c r="M1532" i="14"/>
  <c r="J1473" i="14"/>
  <c r="M1436" i="14"/>
  <c r="M1194" i="14"/>
  <c r="M1164" i="14"/>
  <c r="M1159" i="14"/>
  <c r="L1087" i="14"/>
  <c r="L1080" i="14"/>
  <c r="M1080" i="14"/>
  <c r="M804" i="14"/>
  <c r="M796" i="14"/>
  <c r="M788" i="14"/>
  <c r="M772" i="14"/>
  <c r="M732" i="14"/>
  <c r="L732" i="14"/>
  <c r="M552" i="14"/>
  <c r="L552" i="14"/>
  <c r="L537" i="14"/>
  <c r="L529" i="14"/>
  <c r="L521" i="14"/>
  <c r="M521" i="14"/>
  <c r="M444" i="14"/>
  <c r="G443" i="14"/>
  <c r="L444" i="14"/>
  <c r="L221" i="14"/>
  <c r="M221" i="14"/>
  <c r="M213" i="14"/>
  <c r="I6" i="13"/>
  <c r="F11" i="13"/>
  <c r="H16" i="12"/>
  <c r="H6" i="13"/>
  <c r="L1112" i="14"/>
  <c r="G564" i="14"/>
  <c r="L565" i="14"/>
  <c r="L404" i="14"/>
  <c r="M396" i="14"/>
  <c r="L396" i="14"/>
  <c r="L388" i="14"/>
  <c r="G363" i="14"/>
  <c r="G130" i="14"/>
  <c r="L131" i="14"/>
  <c r="M131" i="14"/>
  <c r="G109" i="14"/>
  <c r="L1060" i="14"/>
  <c r="M806" i="14"/>
  <c r="M800" i="14"/>
  <c r="M784" i="14"/>
  <c r="M782" i="14"/>
  <c r="M776" i="14"/>
  <c r="M768" i="14"/>
  <c r="G760" i="14"/>
  <c r="G460" i="14"/>
  <c r="G452" i="14"/>
  <c r="L397" i="14"/>
  <c r="L381" i="14"/>
  <c r="M381" i="14"/>
  <c r="M373" i="14"/>
  <c r="L374" i="14"/>
  <c r="L382" i="14"/>
  <c r="L398" i="14"/>
  <c r="L406" i="14"/>
  <c r="M336" i="14"/>
  <c r="M943" i="14"/>
  <c r="L336" i="14"/>
  <c r="L943" i="14"/>
  <c r="G276" i="14"/>
  <c r="J1109" i="8"/>
  <c r="J1107" i="8"/>
  <c r="P146" i="1"/>
  <c r="T146" i="1"/>
  <c r="G1139" i="14"/>
  <c r="M1055" i="14"/>
  <c r="M1047" i="14"/>
  <c r="L1037" i="14"/>
  <c r="L996" i="14"/>
  <c r="M691" i="14"/>
  <c r="M945" i="14"/>
  <c r="G640" i="14"/>
  <c r="L641" i="14"/>
  <c r="G580" i="14"/>
  <c r="M563" i="14"/>
  <c r="L546" i="14"/>
  <c r="L538" i="14"/>
  <c r="L530" i="14"/>
  <c r="L502" i="14"/>
  <c r="L494" i="14"/>
  <c r="L486" i="14"/>
  <c r="L414" i="14"/>
  <c r="M208" i="14"/>
  <c r="L208" i="14"/>
  <c r="G36" i="14"/>
  <c r="M49" i="14"/>
  <c r="G48" i="14"/>
  <c r="H10" i="13"/>
  <c r="I10" i="13"/>
  <c r="H21" i="12"/>
  <c r="I20" i="12"/>
  <c r="J20" i="12"/>
  <c r="H38" i="12"/>
  <c r="J2374" i="8"/>
  <c r="J2211" i="8"/>
  <c r="J2210" i="8"/>
  <c r="O295" i="1"/>
  <c r="S295" i="1"/>
  <c r="J1854" i="8"/>
  <c r="J1853" i="8"/>
  <c r="O245" i="1"/>
  <c r="S245" i="1"/>
  <c r="J1436" i="8"/>
  <c r="M188" i="1"/>
  <c r="Q188" i="1"/>
  <c r="J1438" i="8"/>
  <c r="J1027" i="8"/>
  <c r="J1025" i="8"/>
  <c r="M133" i="1"/>
  <c r="Q133" i="1"/>
  <c r="J1023" i="8"/>
  <c r="J1021" i="8"/>
  <c r="P132" i="1"/>
  <c r="T132" i="1"/>
  <c r="H2177" i="8"/>
  <c r="J2177" i="8"/>
  <c r="J2176" i="8"/>
  <c r="P290" i="1"/>
  <c r="T290" i="1"/>
  <c r="O378" i="5"/>
  <c r="H2061" i="8"/>
  <c r="J2061" i="8"/>
  <c r="J2060" i="8"/>
  <c r="H2189" i="8"/>
  <c r="J2189" i="8"/>
  <c r="J2188" i="8"/>
  <c r="P291" i="1"/>
  <c r="T291" i="1"/>
  <c r="L299" i="5"/>
  <c r="I299" i="5"/>
  <c r="Q299" i="5"/>
  <c r="O72" i="4"/>
  <c r="P72" i="4"/>
  <c r="K72" i="4"/>
  <c r="J64" i="3"/>
  <c r="S64" i="3"/>
  <c r="O64" i="3"/>
  <c r="L64" i="3"/>
  <c r="Q64" i="3"/>
  <c r="Z43" i="3"/>
  <c r="AA44" i="3"/>
  <c r="AB44" i="3"/>
  <c r="J41" i="14"/>
  <c r="H1822" i="8"/>
  <c r="J1822" i="8"/>
  <c r="J1821" i="8"/>
  <c r="M241" i="1"/>
  <c r="Q241" i="1"/>
  <c r="K132" i="14"/>
  <c r="M134" i="14"/>
  <c r="M862" i="14"/>
  <c r="G32" i="14"/>
  <c r="J2347" i="8"/>
  <c r="J2348" i="8"/>
  <c r="J2346" i="8"/>
  <c r="O318" i="1"/>
  <c r="J2053" i="8"/>
  <c r="H2003" i="8"/>
  <c r="O295" i="5"/>
  <c r="H1173" i="8"/>
  <c r="J1173" i="8"/>
  <c r="O173" i="5"/>
  <c r="L956" i="3"/>
  <c r="Y956" i="3"/>
  <c r="H955" i="3"/>
  <c r="O956" i="3"/>
  <c r="AB956" i="3"/>
  <c r="Q956" i="3"/>
  <c r="J956" i="3"/>
  <c r="AA956" i="3"/>
  <c r="S956" i="3"/>
  <c r="G15" i="14"/>
  <c r="I7" i="13"/>
  <c r="J2376" i="8"/>
  <c r="J2364" i="8"/>
  <c r="J2365" i="8"/>
  <c r="J2363" i="8"/>
  <c r="O319" i="1"/>
  <c r="J2261" i="8"/>
  <c r="J2208" i="8"/>
  <c r="J2003" i="8"/>
  <c r="J1839" i="8"/>
  <c r="J1828" i="8"/>
  <c r="O384" i="5"/>
  <c r="H594" i="8"/>
  <c r="J594" i="8"/>
  <c r="H710" i="8"/>
  <c r="J710" i="8"/>
  <c r="H857" i="8"/>
  <c r="J857" i="8"/>
  <c r="H1161" i="8"/>
  <c r="L305" i="5"/>
  <c r="I305" i="5"/>
  <c r="Q305" i="5"/>
  <c r="O205" i="4"/>
  <c r="O217" i="4"/>
  <c r="O190" i="4"/>
  <c r="O198" i="4"/>
  <c r="O210" i="4"/>
  <c r="O218" i="4"/>
  <c r="O21" i="4"/>
  <c r="K21" i="4"/>
  <c r="P21" i="4"/>
  <c r="K16" i="4"/>
  <c r="O16" i="4"/>
  <c r="P16" i="4"/>
  <c r="J2333" i="8"/>
  <c r="J2335" i="8"/>
  <c r="J2272" i="8"/>
  <c r="J2239" i="8"/>
  <c r="J2169" i="8"/>
  <c r="J2121" i="8"/>
  <c r="J2048" i="8"/>
  <c r="J2013" i="8"/>
  <c r="J2012" i="8"/>
  <c r="O263" i="1"/>
  <c r="S263" i="1"/>
  <c r="J1993" i="8"/>
  <c r="J1947" i="8"/>
  <c r="J1921" i="8"/>
  <c r="J1910" i="8"/>
  <c r="J1899" i="8"/>
  <c r="J1877" i="8"/>
  <c r="J1687" i="8"/>
  <c r="J1686" i="8"/>
  <c r="O225" i="1"/>
  <c r="S225" i="1"/>
  <c r="J1675" i="8"/>
  <c r="J1674" i="8"/>
  <c r="O222" i="1"/>
  <c r="S222" i="1"/>
  <c r="J1611" i="8"/>
  <c r="J1600" i="8"/>
  <c r="J1515" i="8"/>
  <c r="J1514" i="8"/>
  <c r="O197" i="1"/>
  <c r="S197" i="1"/>
  <c r="J1502" i="8"/>
  <c r="J1501" i="8"/>
  <c r="O196" i="1"/>
  <c r="S196" i="1"/>
  <c r="J1342" i="8"/>
  <c r="J1174" i="8"/>
  <c r="J1106" i="8"/>
  <c r="J1105" i="8"/>
  <c r="O146" i="1"/>
  <c r="S146" i="1"/>
  <c r="J1020" i="8"/>
  <c r="J1019" i="8"/>
  <c r="O132" i="1"/>
  <c r="S132" i="1"/>
  <c r="J983" i="8"/>
  <c r="J982" i="8"/>
  <c r="O125" i="1"/>
  <c r="S125" i="1"/>
  <c r="J969" i="8"/>
  <c r="J904" i="8"/>
  <c r="J903" i="8"/>
  <c r="P113" i="1"/>
  <c r="J865" i="8"/>
  <c r="J855" i="8"/>
  <c r="J854" i="8"/>
  <c r="O107" i="1"/>
  <c r="S107" i="1"/>
  <c r="J727" i="8"/>
  <c r="J726" i="8"/>
  <c r="M88" i="1"/>
  <c r="Q88" i="1"/>
  <c r="J708" i="8"/>
  <c r="J707" i="8"/>
  <c r="O86" i="1"/>
  <c r="S86" i="1"/>
  <c r="J666" i="8"/>
  <c r="J656" i="8"/>
  <c r="J655" i="8"/>
  <c r="O82" i="1"/>
  <c r="S82" i="1"/>
  <c r="J627" i="8"/>
  <c r="J626" i="8"/>
  <c r="O79" i="1"/>
  <c r="S79" i="1"/>
  <c r="J611" i="8"/>
  <c r="J610" i="8"/>
  <c r="M77" i="1"/>
  <c r="Q77" i="1"/>
  <c r="J592" i="8"/>
  <c r="J591" i="8"/>
  <c r="O75" i="1"/>
  <c r="S75" i="1"/>
  <c r="J550" i="8"/>
  <c r="J540" i="8"/>
  <c r="J539" i="8"/>
  <c r="O71" i="1"/>
  <c r="S71" i="1"/>
  <c r="J511" i="8"/>
  <c r="J510" i="8"/>
  <c r="O68" i="1"/>
  <c r="S68" i="1"/>
  <c r="J395" i="8"/>
  <c r="J393" i="8"/>
  <c r="M54" i="1"/>
  <c r="Q54" i="1"/>
  <c r="J317" i="8"/>
  <c r="J316" i="8"/>
  <c r="O42" i="1"/>
  <c r="S42" i="1"/>
  <c r="J292" i="8"/>
  <c r="O391" i="5"/>
  <c r="H595" i="8"/>
  <c r="J595" i="8"/>
  <c r="H711" i="8"/>
  <c r="H858" i="8"/>
  <c r="O382" i="5"/>
  <c r="H1518" i="8"/>
  <c r="J1518" i="8"/>
  <c r="H795" i="8"/>
  <c r="J795" i="8"/>
  <c r="H1838" i="8"/>
  <c r="J1838" i="8"/>
  <c r="O350" i="5"/>
  <c r="H812" i="8"/>
  <c r="J812" i="8"/>
  <c r="L348" i="5"/>
  <c r="I348" i="5"/>
  <c r="Q348" i="5"/>
  <c r="H1175" i="8"/>
  <c r="J1175" i="8"/>
  <c r="O293" i="5"/>
  <c r="H771" i="8"/>
  <c r="J771" i="8"/>
  <c r="J770" i="8"/>
  <c r="P95" i="1"/>
  <c r="T95" i="1"/>
  <c r="O265" i="5"/>
  <c r="O258" i="5"/>
  <c r="H1183" i="8"/>
  <c r="H19" i="8"/>
  <c r="J19" i="8"/>
  <c r="H340" i="8"/>
  <c r="J340" i="8"/>
  <c r="H1424" i="8"/>
  <c r="J1424" i="8"/>
  <c r="H1640" i="8"/>
  <c r="J1640" i="8"/>
  <c r="H2129" i="8"/>
  <c r="J2129" i="8"/>
  <c r="H2247" i="8"/>
  <c r="J2247" i="8"/>
  <c r="H2260" i="8"/>
  <c r="J2260" i="8"/>
  <c r="J2259" i="8"/>
  <c r="P301" i="1"/>
  <c r="T301" i="1"/>
  <c r="O232" i="5"/>
  <c r="H131" i="8"/>
  <c r="J131" i="8"/>
  <c r="H211" i="8"/>
  <c r="J211" i="8"/>
  <c r="H255" i="8"/>
  <c r="J255" i="8"/>
  <c r="H513" i="8"/>
  <c r="J513" i="8"/>
  <c r="H629" i="8"/>
  <c r="J629" i="8"/>
  <c r="H1520" i="8"/>
  <c r="J1520" i="8"/>
  <c r="H946" i="8"/>
  <c r="J946" i="8"/>
  <c r="H874" i="8"/>
  <c r="J874" i="8"/>
  <c r="H1047" i="8"/>
  <c r="J1047" i="8"/>
  <c r="O177" i="5"/>
  <c r="H1196" i="8"/>
  <c r="J1196" i="8"/>
  <c r="H1454" i="8"/>
  <c r="O105" i="5"/>
  <c r="H1033" i="8"/>
  <c r="J1033" i="8"/>
  <c r="P183" i="4"/>
  <c r="K183" i="4"/>
  <c r="O183" i="4"/>
  <c r="O52" i="4"/>
  <c r="P52" i="4"/>
  <c r="K52" i="4"/>
  <c r="L968" i="3"/>
  <c r="O968" i="3"/>
  <c r="Q968" i="3"/>
  <c r="J968" i="3"/>
  <c r="S968" i="3"/>
  <c r="X933" i="3"/>
  <c r="Y934" i="3"/>
  <c r="L934" i="3"/>
  <c r="V933" i="3"/>
  <c r="W933" i="3"/>
  <c r="AB647" i="3"/>
  <c r="AB896" i="3"/>
  <c r="Z646" i="3"/>
  <c r="H1480" i="8"/>
  <c r="J1480" i="8"/>
  <c r="O629" i="3"/>
  <c r="L629" i="3"/>
  <c r="Q629" i="3"/>
  <c r="J629" i="3"/>
  <c r="Y629" i="3"/>
  <c r="S629" i="3"/>
  <c r="L35" i="14"/>
  <c r="L31" i="14"/>
  <c r="J19" i="12"/>
  <c r="J2294" i="8"/>
  <c r="J2293" i="8"/>
  <c r="O306" i="1"/>
  <c r="S306" i="1"/>
  <c r="J2277" i="8"/>
  <c r="J2276" i="8"/>
  <c r="O303" i="1"/>
  <c r="S303" i="1"/>
  <c r="J2229" i="8"/>
  <c r="J2228" i="8"/>
  <c r="O297" i="1"/>
  <c r="S297" i="1"/>
  <c r="J2196" i="8"/>
  <c r="J2195" i="8"/>
  <c r="O292" i="1"/>
  <c r="S292" i="1"/>
  <c r="J2184" i="8"/>
  <c r="J2147" i="8"/>
  <c r="J2136" i="8"/>
  <c r="J2008" i="8"/>
  <c r="J1963" i="8"/>
  <c r="J1962" i="8"/>
  <c r="O257" i="1"/>
  <c r="S257" i="1"/>
  <c r="J1941" i="8"/>
  <c r="J1940" i="8"/>
  <c r="O255" i="1"/>
  <c r="S255" i="1"/>
  <c r="J1926" i="8"/>
  <c r="J1925" i="8"/>
  <c r="O252" i="1"/>
  <c r="S252" i="1"/>
  <c r="J1915" i="8"/>
  <c r="J1914" i="8"/>
  <c r="O251" i="1"/>
  <c r="S251" i="1"/>
  <c r="J1806" i="8"/>
  <c r="J1805" i="8"/>
  <c r="O236" i="1"/>
  <c r="S236" i="1"/>
  <c r="J1768" i="8"/>
  <c r="J1767" i="8"/>
  <c r="O232" i="1"/>
  <c r="J1757" i="8"/>
  <c r="J1756" i="8"/>
  <c r="O231" i="1"/>
  <c r="J1726" i="8"/>
  <c r="J1716" i="8"/>
  <c r="J1715" i="8"/>
  <c r="O228" i="1"/>
  <c r="J1657" i="8"/>
  <c r="J1656" i="8"/>
  <c r="O220" i="1"/>
  <c r="S220" i="1"/>
  <c r="J1602" i="8"/>
  <c r="J1527" i="8"/>
  <c r="J1359" i="8"/>
  <c r="J1358" i="8"/>
  <c r="O179" i="1"/>
  <c r="J1216" i="8"/>
  <c r="J1114" i="8"/>
  <c r="J1087" i="8"/>
  <c r="J1086" i="8"/>
  <c r="O142" i="1"/>
  <c r="S142" i="1"/>
  <c r="J1055" i="8"/>
  <c r="J1017" i="8"/>
  <c r="J1014" i="8"/>
  <c r="J1012" i="8"/>
  <c r="P131" i="1"/>
  <c r="T131" i="1"/>
  <c r="J1002" i="8"/>
  <c r="J1001" i="8"/>
  <c r="O129" i="1"/>
  <c r="J958" i="8"/>
  <c r="J932" i="8"/>
  <c r="J858" i="8"/>
  <c r="J820" i="8"/>
  <c r="J819" i="8"/>
  <c r="O101" i="1"/>
  <c r="S101" i="1"/>
  <c r="J794" i="8"/>
  <c r="J785" i="8"/>
  <c r="J784" i="8"/>
  <c r="O97" i="1"/>
  <c r="S97" i="1"/>
  <c r="J761" i="8"/>
  <c r="J721" i="8"/>
  <c r="J720" i="8"/>
  <c r="O87" i="1"/>
  <c r="S87" i="1"/>
  <c r="J711" i="8"/>
  <c r="J642" i="8"/>
  <c r="J624" i="8"/>
  <c r="J605" i="8"/>
  <c r="J604" i="8"/>
  <c r="O76" i="1"/>
  <c r="S76" i="1"/>
  <c r="J526" i="8"/>
  <c r="J508" i="8"/>
  <c r="J275" i="8"/>
  <c r="J274" i="8"/>
  <c r="O36" i="1"/>
  <c r="S36" i="1"/>
  <c r="J231" i="8"/>
  <c r="J230" i="8"/>
  <c r="O32" i="1"/>
  <c r="S32" i="1"/>
  <c r="J190" i="8"/>
  <c r="J168" i="8"/>
  <c r="J151" i="8"/>
  <c r="J150" i="8"/>
  <c r="O20" i="1"/>
  <c r="S20" i="1"/>
  <c r="H793" i="8"/>
  <c r="J793" i="8"/>
  <c r="H1827" i="8"/>
  <c r="J1827" i="8"/>
  <c r="O374" i="5"/>
  <c r="L360" i="5"/>
  <c r="I360" i="5"/>
  <c r="Q360" i="5"/>
  <c r="H438" i="8"/>
  <c r="J438" i="8"/>
  <c r="J437" i="8"/>
  <c r="P58" i="1"/>
  <c r="T58" i="1"/>
  <c r="H493" i="8"/>
  <c r="J493" i="8"/>
  <c r="J492" i="8"/>
  <c r="P64" i="1"/>
  <c r="H1332" i="8"/>
  <c r="J1332" i="8"/>
  <c r="J1331" i="8"/>
  <c r="P176" i="1"/>
  <c r="T176" i="1"/>
  <c r="H1883" i="8"/>
  <c r="J1883" i="8"/>
  <c r="J1882" i="8"/>
  <c r="P248" i="1"/>
  <c r="T248" i="1"/>
  <c r="H2151" i="8"/>
  <c r="J2151" i="8"/>
  <c r="J2150" i="8"/>
  <c r="P286" i="1"/>
  <c r="T286" i="1"/>
  <c r="O341" i="5"/>
  <c r="L307" i="5"/>
  <c r="I307" i="5"/>
  <c r="Q307" i="5"/>
  <c r="H36" i="8"/>
  <c r="J36" i="8"/>
  <c r="H329" i="8"/>
  <c r="J329" i="8"/>
  <c r="H429" i="8"/>
  <c r="J429" i="8"/>
  <c r="H484" i="8"/>
  <c r="J484" i="8"/>
  <c r="H751" i="8"/>
  <c r="J751" i="8"/>
  <c r="H1306" i="8"/>
  <c r="J1306" i="8"/>
  <c r="H1323" i="8"/>
  <c r="J1323" i="8"/>
  <c r="J1321" i="8"/>
  <c r="P175" i="1"/>
  <c r="T175" i="1"/>
  <c r="H1343" i="8"/>
  <c r="J1343" i="8"/>
  <c r="H1690" i="8"/>
  <c r="J1690" i="8"/>
  <c r="H1874" i="8"/>
  <c r="J1874" i="8"/>
  <c r="H1907" i="8"/>
  <c r="J1907" i="8"/>
  <c r="J1906" i="8"/>
  <c r="P250" i="1"/>
  <c r="T250" i="1"/>
  <c r="H2142" i="8"/>
  <c r="J2142" i="8"/>
  <c r="J2140" i="8"/>
  <c r="P285" i="1"/>
  <c r="T285" i="1"/>
  <c r="O306" i="5"/>
  <c r="H132" i="8"/>
  <c r="J132" i="8"/>
  <c r="H212" i="8"/>
  <c r="H256" i="8"/>
  <c r="H385" i="8"/>
  <c r="J385" i="8"/>
  <c r="J384" i="8"/>
  <c r="P52" i="1"/>
  <c r="T52" i="1"/>
  <c r="H514" i="8"/>
  <c r="J514" i="8"/>
  <c r="H630" i="8"/>
  <c r="J630" i="8"/>
  <c r="H1505" i="8"/>
  <c r="J1505" i="8"/>
  <c r="G303" i="5"/>
  <c r="L304" i="5"/>
  <c r="I304" i="5"/>
  <c r="Q304" i="5"/>
  <c r="H762" i="8"/>
  <c r="J762" i="8"/>
  <c r="O303" i="5"/>
  <c r="P305" i="5"/>
  <c r="H1800" i="8"/>
  <c r="J1800" i="8"/>
  <c r="O297" i="5"/>
  <c r="P299" i="5"/>
  <c r="H618" i="8"/>
  <c r="J618" i="8"/>
  <c r="H734" i="8"/>
  <c r="J734" i="8"/>
  <c r="H1734" i="8"/>
  <c r="J1734" i="8"/>
  <c r="H585" i="8"/>
  <c r="J585" i="8"/>
  <c r="H701" i="8"/>
  <c r="J701" i="8"/>
  <c r="O285" i="5"/>
  <c r="H302" i="8"/>
  <c r="J302" i="8"/>
  <c r="H558" i="8"/>
  <c r="J558" i="8"/>
  <c r="H674" i="8"/>
  <c r="J674" i="8"/>
  <c r="H838" i="8"/>
  <c r="J838" i="8"/>
  <c r="O281" i="5"/>
  <c r="H1120" i="8"/>
  <c r="J1120" i="8"/>
  <c r="J1119" i="8"/>
  <c r="P147" i="1"/>
  <c r="T147" i="1"/>
  <c r="H1732" i="8"/>
  <c r="J1732" i="8"/>
  <c r="H583" i="8"/>
  <c r="J583" i="8"/>
  <c r="H699" i="8"/>
  <c r="J699" i="8"/>
  <c r="O273" i="5"/>
  <c r="H300" i="8"/>
  <c r="J300" i="8"/>
  <c r="H556" i="8"/>
  <c r="J556" i="8"/>
  <c r="H672" i="8"/>
  <c r="J672" i="8"/>
  <c r="H1851" i="8"/>
  <c r="J1851" i="8"/>
  <c r="J1850" i="8"/>
  <c r="P244" i="1"/>
  <c r="T244" i="1"/>
  <c r="O269" i="5"/>
  <c r="H797" i="8"/>
  <c r="J797" i="8"/>
  <c r="H1829" i="8"/>
  <c r="J1829" i="8"/>
  <c r="O261" i="5"/>
  <c r="P264" i="5"/>
  <c r="H69" i="8"/>
  <c r="J69" i="8"/>
  <c r="H89" i="8"/>
  <c r="J89" i="8"/>
  <c r="H469" i="8"/>
  <c r="J469" i="8"/>
  <c r="H1215" i="8"/>
  <c r="J1215" i="8"/>
  <c r="J1214" i="8"/>
  <c r="P160" i="1"/>
  <c r="H1226" i="8"/>
  <c r="J1226" i="8"/>
  <c r="J1225" i="8"/>
  <c r="P161" i="1"/>
  <c r="H1276" i="8"/>
  <c r="J1276" i="8"/>
  <c r="H1382" i="8"/>
  <c r="J1382" i="8"/>
  <c r="H1393" i="8"/>
  <c r="J1393" i="8"/>
  <c r="H1411" i="8"/>
  <c r="J1411" i="8"/>
  <c r="H1651" i="8"/>
  <c r="J1651" i="8"/>
  <c r="H1669" i="8"/>
  <c r="J1669" i="8"/>
  <c r="H1719" i="8"/>
  <c r="J1719" i="8"/>
  <c r="H1745" i="8"/>
  <c r="J1745" i="8"/>
  <c r="H1760" i="8"/>
  <c r="J1760" i="8"/>
  <c r="J1762" i="8"/>
  <c r="H1789" i="8"/>
  <c r="J1789" i="8"/>
  <c r="H1975" i="8"/>
  <c r="J1975" i="8"/>
  <c r="H2001" i="8"/>
  <c r="J2001" i="8"/>
  <c r="H118" i="8"/>
  <c r="J118" i="8"/>
  <c r="H144" i="8"/>
  <c r="J144" i="8"/>
  <c r="H173" i="8"/>
  <c r="J173" i="8"/>
  <c r="H224" i="8"/>
  <c r="J224" i="8"/>
  <c r="H268" i="8"/>
  <c r="J268" i="8"/>
  <c r="H301" i="8"/>
  <c r="J301" i="8"/>
  <c r="H533" i="8"/>
  <c r="J533" i="8"/>
  <c r="H557" i="8"/>
  <c r="J557" i="8"/>
  <c r="H607" i="8"/>
  <c r="J607" i="8"/>
  <c r="H649" i="8"/>
  <c r="J649" i="8"/>
  <c r="H673" i="8"/>
  <c r="J673" i="8"/>
  <c r="H723" i="8"/>
  <c r="J723" i="8"/>
  <c r="H965" i="8"/>
  <c r="J965" i="8"/>
  <c r="J964" i="8"/>
  <c r="P123" i="1"/>
  <c r="H976" i="8"/>
  <c r="J976" i="8"/>
  <c r="H1121" i="8"/>
  <c r="J1121" i="8"/>
  <c r="H1130" i="8"/>
  <c r="J1130" i="8"/>
  <c r="H1197" i="8"/>
  <c r="J1197" i="8"/>
  <c r="O6" i="5"/>
  <c r="H163" i="8"/>
  <c r="J163" i="8"/>
  <c r="H243" i="8"/>
  <c r="H287" i="8"/>
  <c r="H543" i="8"/>
  <c r="J543" i="8"/>
  <c r="H569" i="8"/>
  <c r="J569" i="8"/>
  <c r="H584" i="8"/>
  <c r="H615" i="8"/>
  <c r="J615" i="8"/>
  <c r="H659" i="8"/>
  <c r="J659" i="8"/>
  <c r="H685" i="8"/>
  <c r="J685" i="8"/>
  <c r="H700" i="8"/>
  <c r="H731" i="8"/>
  <c r="J731" i="8"/>
  <c r="H875" i="8"/>
  <c r="J875" i="8"/>
  <c r="H1048" i="8"/>
  <c r="J1048" i="8"/>
  <c r="H1362" i="8"/>
  <c r="L950" i="3"/>
  <c r="O950" i="3"/>
  <c r="Q950" i="3"/>
  <c r="J950" i="3"/>
  <c r="S950" i="3"/>
  <c r="J929" i="3"/>
  <c r="S929" i="3"/>
  <c r="O929" i="3"/>
  <c r="Q929" i="3"/>
  <c r="L929" i="3"/>
  <c r="L977" i="3"/>
  <c r="Y929" i="3"/>
  <c r="P269" i="1"/>
  <c r="T269" i="1"/>
  <c r="J1454" i="8"/>
  <c r="J1362" i="8"/>
  <c r="J1183" i="8"/>
  <c r="J1182" i="8"/>
  <c r="P155" i="1"/>
  <c r="J1161" i="8"/>
  <c r="J1123" i="8"/>
  <c r="M148" i="1"/>
  <c r="J1009" i="8"/>
  <c r="J1007" i="8"/>
  <c r="M131" i="1"/>
  <c r="Q131" i="1"/>
  <c r="J750" i="8"/>
  <c r="J749" i="8"/>
  <c r="P92" i="1"/>
  <c r="T92" i="1"/>
  <c r="J700" i="8"/>
  <c r="J690" i="8"/>
  <c r="J664" i="8"/>
  <c r="J584" i="8"/>
  <c r="J574" i="8"/>
  <c r="J548" i="8"/>
  <c r="J391" i="8"/>
  <c r="J390" i="8"/>
  <c r="O53" i="1"/>
  <c r="S53" i="1"/>
  <c r="J354" i="8"/>
  <c r="J353" i="8"/>
  <c r="O47" i="1"/>
  <c r="S47" i="1"/>
  <c r="J287" i="8"/>
  <c r="J259" i="8"/>
  <c r="J256" i="8"/>
  <c r="J246" i="8"/>
  <c r="J243" i="8"/>
  <c r="J212" i="8"/>
  <c r="J206" i="8"/>
  <c r="J135" i="8"/>
  <c r="H191" i="8"/>
  <c r="H416" i="8"/>
  <c r="H451" i="8"/>
  <c r="H764" i="8"/>
  <c r="H914" i="8"/>
  <c r="H923" i="8"/>
  <c r="H933" i="8"/>
  <c r="H1308" i="8"/>
  <c r="H1548" i="8"/>
  <c r="H1561" i="8"/>
  <c r="H1570" i="8"/>
  <c r="H1762" i="8"/>
  <c r="H1771" i="8"/>
  <c r="H1780" i="8"/>
  <c r="H1809" i="8"/>
  <c r="H1831" i="8"/>
  <c r="H1840" i="8"/>
  <c r="H1896" i="8"/>
  <c r="H1918" i="8"/>
  <c r="H1944" i="8"/>
  <c r="H1957" i="8"/>
  <c r="H2249" i="8"/>
  <c r="H303" i="8"/>
  <c r="H515" i="8"/>
  <c r="H559" i="8"/>
  <c r="H570" i="8"/>
  <c r="H598" i="8"/>
  <c r="H631" i="8"/>
  <c r="H675" i="8"/>
  <c r="H686" i="8"/>
  <c r="H714" i="8"/>
  <c r="H861" i="8"/>
  <c r="H1034" i="8"/>
  <c r="H119" i="8"/>
  <c r="H145" i="8"/>
  <c r="H225" i="8"/>
  <c r="H269" i="8"/>
  <c r="H586" i="8"/>
  <c r="H608" i="8"/>
  <c r="H702" i="8"/>
  <c r="H724" i="8"/>
  <c r="H814" i="8"/>
  <c r="H986" i="8"/>
  <c r="H995" i="8"/>
  <c r="H1005" i="8"/>
  <c r="H1014" i="8"/>
  <c r="H1023" i="8"/>
  <c r="H1090" i="8"/>
  <c r="H1099" i="8"/>
  <c r="H1109" i="8"/>
  <c r="H1364" i="8"/>
  <c r="H1177" i="8"/>
  <c r="J1177" i="8"/>
  <c r="O389" i="5"/>
  <c r="H34" i="8"/>
  <c r="J34" i="8"/>
  <c r="H427" i="8"/>
  <c r="J427" i="8"/>
  <c r="H449" i="8"/>
  <c r="J449" i="8"/>
  <c r="H1546" i="8"/>
  <c r="J1546" i="8"/>
  <c r="H1559" i="8"/>
  <c r="J1559" i="8"/>
  <c r="H1579" i="8"/>
  <c r="J1579" i="8"/>
  <c r="H1872" i="8"/>
  <c r="J1872" i="8"/>
  <c r="H1894" i="8"/>
  <c r="J1894" i="8"/>
  <c r="H1955" i="8"/>
  <c r="J1955" i="8"/>
  <c r="O358" i="5"/>
  <c r="H117" i="8"/>
  <c r="J117" i="8"/>
  <c r="H130" i="8"/>
  <c r="J130" i="8"/>
  <c r="H143" i="8"/>
  <c r="J143" i="8"/>
  <c r="H223" i="8"/>
  <c r="J223" i="8"/>
  <c r="H254" i="8"/>
  <c r="J254" i="8"/>
  <c r="J253" i="8"/>
  <c r="P34" i="1"/>
  <c r="T34" i="1"/>
  <c r="H267" i="8"/>
  <c r="J267" i="8"/>
  <c r="L356" i="5"/>
  <c r="I356" i="5"/>
  <c r="Q356" i="5"/>
  <c r="L338" i="5"/>
  <c r="I338" i="5"/>
  <c r="Q338" i="5"/>
  <c r="H47" i="8"/>
  <c r="J47" i="8"/>
  <c r="H58" i="8"/>
  <c r="J58" i="8"/>
  <c r="O226" i="5"/>
  <c r="P230" i="5"/>
  <c r="O113" i="4"/>
  <c r="K113" i="4"/>
  <c r="P113" i="4"/>
  <c r="J1255" i="8"/>
  <c r="J1253" i="8"/>
  <c r="P166" i="1"/>
  <c r="I264" i="5"/>
  <c r="Q264" i="5"/>
  <c r="I230" i="5"/>
  <c r="Q230" i="5"/>
  <c r="I218" i="5"/>
  <c r="O215" i="4"/>
  <c r="K215" i="4"/>
  <c r="O187" i="4"/>
  <c r="K187" i="4"/>
  <c r="K40" i="4"/>
  <c r="O40" i="4"/>
  <c r="P40" i="4"/>
  <c r="O37" i="4"/>
  <c r="K37" i="4"/>
  <c r="X966" i="3"/>
  <c r="L947" i="3"/>
  <c r="H946" i="3"/>
  <c r="O947" i="3"/>
  <c r="AB947" i="3"/>
  <c r="Q947" i="3"/>
  <c r="J947" i="3"/>
  <c r="AA947" i="3"/>
  <c r="O524" i="3"/>
  <c r="L524" i="3"/>
  <c r="AB524" i="3"/>
  <c r="Q524" i="3"/>
  <c r="J524" i="3"/>
  <c r="Y524" i="3"/>
  <c r="S524" i="3"/>
  <c r="L511" i="3"/>
  <c r="Y511" i="3"/>
  <c r="J511" i="3"/>
  <c r="S511" i="3"/>
  <c r="Q511" i="3"/>
  <c r="O511" i="3"/>
  <c r="AB511" i="3"/>
  <c r="L170" i="3"/>
  <c r="Y170" i="3"/>
  <c r="Q170" i="3"/>
  <c r="J170" i="3"/>
  <c r="O170" i="3"/>
  <c r="S170" i="3"/>
  <c r="J157" i="3"/>
  <c r="S157" i="3"/>
  <c r="Q157" i="3"/>
  <c r="L157" i="3"/>
  <c r="O157" i="3"/>
  <c r="Y157" i="3"/>
  <c r="L264" i="5"/>
  <c r="I257" i="5"/>
  <c r="Q257" i="5"/>
  <c r="I233" i="5"/>
  <c r="Q233" i="5"/>
  <c r="L230" i="5"/>
  <c r="I219" i="5"/>
  <c r="L218" i="5"/>
  <c r="I217" i="5"/>
  <c r="I195" i="5"/>
  <c r="O212" i="4"/>
  <c r="O208" i="4"/>
  <c r="O203" i="4"/>
  <c r="K203" i="4"/>
  <c r="O175" i="4"/>
  <c r="K175" i="4"/>
  <c r="K136" i="4"/>
  <c r="O136" i="4"/>
  <c r="P136" i="4"/>
  <c r="K120" i="4"/>
  <c r="O120" i="4"/>
  <c r="P120" i="4"/>
  <c r="K108" i="4"/>
  <c r="O108" i="4"/>
  <c r="P108" i="4"/>
  <c r="O100" i="4"/>
  <c r="P100" i="4"/>
  <c r="K100" i="4"/>
  <c r="O92" i="4"/>
  <c r="P92" i="4"/>
  <c r="K92" i="4"/>
  <c r="L971" i="3"/>
  <c r="O971" i="3"/>
  <c r="Q971" i="3"/>
  <c r="J971" i="3"/>
  <c r="L965" i="3"/>
  <c r="Y965" i="3"/>
  <c r="H964" i="3"/>
  <c r="O965" i="3"/>
  <c r="AB965" i="3"/>
  <c r="Q965" i="3"/>
  <c r="J965" i="3"/>
  <c r="AA965" i="3"/>
  <c r="X948" i="3"/>
  <c r="Y950" i="3"/>
  <c r="W948" i="3"/>
  <c r="AB951" i="3"/>
  <c r="W941" i="3"/>
  <c r="X941" i="3"/>
  <c r="L942" i="3"/>
  <c r="L945" i="3"/>
  <c r="Q839" i="3"/>
  <c r="J839" i="3"/>
  <c r="L742" i="3"/>
  <c r="Y742" i="3"/>
  <c r="O742" i="3"/>
  <c r="AB742" i="3"/>
  <c r="Q742" i="3"/>
  <c r="J742" i="3"/>
  <c r="S742" i="3"/>
  <c r="L726" i="3"/>
  <c r="Y726" i="3"/>
  <c r="O726" i="3"/>
  <c r="AB726" i="3"/>
  <c r="Q726" i="3"/>
  <c r="J726" i="3"/>
  <c r="S726" i="3"/>
  <c r="O658" i="3"/>
  <c r="L658" i="3"/>
  <c r="Q658" i="3"/>
  <c r="J658" i="3"/>
  <c r="S658" i="3"/>
  <c r="J594" i="3"/>
  <c r="S594" i="3"/>
  <c r="O594" i="3"/>
  <c r="Q594" i="3"/>
  <c r="L594" i="3"/>
  <c r="J555" i="3"/>
  <c r="S555" i="3"/>
  <c r="O555" i="3"/>
  <c r="Q555" i="3"/>
  <c r="Q797" i="3"/>
  <c r="L555" i="3"/>
  <c r="H554" i="3"/>
  <c r="Q496" i="5"/>
  <c r="O216" i="4"/>
  <c r="O207" i="4"/>
  <c r="K207" i="4"/>
  <c r="O199" i="4"/>
  <c r="K199" i="4"/>
  <c r="K124" i="4"/>
  <c r="O124" i="4"/>
  <c r="P124" i="4"/>
  <c r="O105" i="4"/>
  <c r="K105" i="4"/>
  <c r="O80" i="4"/>
  <c r="P80" i="4"/>
  <c r="K80" i="4"/>
  <c r="X969" i="3"/>
  <c r="Y971" i="3"/>
  <c r="W969" i="3"/>
  <c r="V966" i="3"/>
  <c r="W966" i="3"/>
  <c r="S947" i="3"/>
  <c r="O723" i="3"/>
  <c r="L723" i="3"/>
  <c r="AB723" i="3"/>
  <c r="Q723" i="3"/>
  <c r="J723" i="3"/>
  <c r="Y723" i="3"/>
  <c r="S723" i="3"/>
  <c r="J635" i="3"/>
  <c r="S635" i="3"/>
  <c r="O635" i="3"/>
  <c r="Q635" i="3"/>
  <c r="L635" i="3"/>
  <c r="Y635" i="3"/>
  <c r="O564" i="3"/>
  <c r="L564" i="3"/>
  <c r="Q564" i="3"/>
  <c r="J564" i="3"/>
  <c r="S564" i="3"/>
  <c r="L527" i="3"/>
  <c r="Y527" i="3"/>
  <c r="O527" i="3"/>
  <c r="AB527" i="3"/>
  <c r="Q527" i="3"/>
  <c r="J527" i="3"/>
  <c r="S527" i="3"/>
  <c r="O508" i="3"/>
  <c r="L508" i="3"/>
  <c r="Y508" i="3"/>
  <c r="Q508" i="3"/>
  <c r="S508" i="3"/>
  <c r="J508" i="3"/>
  <c r="AB508" i="3"/>
  <c r="O972" i="3"/>
  <c r="J961" i="3"/>
  <c r="S961" i="3"/>
  <c r="H960" i="3"/>
  <c r="O957" i="3"/>
  <c r="AA957" i="3"/>
  <c r="O951" i="3"/>
  <c r="L938" i="3"/>
  <c r="Y938" i="3"/>
  <c r="L930" i="3"/>
  <c r="Y930" i="3"/>
  <c r="O927" i="3"/>
  <c r="AB724" i="3"/>
  <c r="AB728" i="3"/>
  <c r="AB732" i="3"/>
  <c r="AB736" i="3"/>
  <c r="AB740" i="3"/>
  <c r="AB744" i="3"/>
  <c r="AB748" i="3"/>
  <c r="AB752" i="3"/>
  <c r="AB756" i="3"/>
  <c r="AB760" i="3"/>
  <c r="Z721" i="3"/>
  <c r="AB727" i="3"/>
  <c r="AB730" i="3"/>
  <c r="AB733" i="3"/>
  <c r="AB743" i="3"/>
  <c r="AB746" i="3"/>
  <c r="AB759" i="3"/>
  <c r="AB762" i="3"/>
  <c r="O687" i="3"/>
  <c r="L687" i="3"/>
  <c r="AB687" i="3"/>
  <c r="Q687" i="3"/>
  <c r="J687" i="3"/>
  <c r="Y687" i="3"/>
  <c r="AB688" i="3"/>
  <c r="Z684" i="3"/>
  <c r="L670" i="3"/>
  <c r="L677" i="3"/>
  <c r="X665" i="3"/>
  <c r="L666" i="3"/>
  <c r="L661" i="3"/>
  <c r="O661" i="3"/>
  <c r="Q661" i="3"/>
  <c r="J661" i="3"/>
  <c r="O645" i="3"/>
  <c r="L645" i="3"/>
  <c r="Q645" i="3"/>
  <c r="J645" i="3"/>
  <c r="Y645" i="3"/>
  <c r="L567" i="3"/>
  <c r="O567" i="3"/>
  <c r="Q567" i="3"/>
  <c r="J567" i="3"/>
  <c r="J552" i="3"/>
  <c r="J792" i="3"/>
  <c r="S552" i="3"/>
  <c r="O552" i="3"/>
  <c r="Q552" i="3"/>
  <c r="Q792" i="3"/>
  <c r="L552" i="3"/>
  <c r="L792" i="3"/>
  <c r="X545" i="3"/>
  <c r="O456" i="3"/>
  <c r="L456" i="3"/>
  <c r="Y456" i="3"/>
  <c r="Q456" i="3"/>
  <c r="S456" i="3"/>
  <c r="S770" i="3"/>
  <c r="J456" i="3"/>
  <c r="O441" i="3"/>
  <c r="L441" i="3"/>
  <c r="Y441" i="3"/>
  <c r="Q441" i="3"/>
  <c r="S441" i="3"/>
  <c r="H440" i="3"/>
  <c r="J441" i="3"/>
  <c r="O410" i="3"/>
  <c r="L410" i="3"/>
  <c r="J410" i="3"/>
  <c r="Y410" i="3"/>
  <c r="S410" i="3"/>
  <c r="Q410" i="3"/>
  <c r="J357" i="3"/>
  <c r="S357" i="3"/>
  <c r="O357" i="3"/>
  <c r="AB357" i="3"/>
  <c r="Q357" i="3"/>
  <c r="L357" i="3"/>
  <c r="V262" i="3"/>
  <c r="L264" i="3"/>
  <c r="X262" i="3"/>
  <c r="W262" i="3"/>
  <c r="L198" i="3"/>
  <c r="O198" i="3"/>
  <c r="J198" i="3"/>
  <c r="S198" i="3"/>
  <c r="Q198" i="3"/>
  <c r="O66" i="4"/>
  <c r="O58" i="4"/>
  <c r="AB972" i="3"/>
  <c r="L972" i="3"/>
  <c r="O963" i="3"/>
  <c r="O961" i="3"/>
  <c r="AB957" i="3"/>
  <c r="L957" i="3"/>
  <c r="O954" i="3"/>
  <c r="L951" i="3"/>
  <c r="O945" i="3"/>
  <c r="O978" i="3"/>
  <c r="O938" i="3"/>
  <c r="H937" i="3"/>
  <c r="O930" i="3"/>
  <c r="L927" i="3"/>
  <c r="O924" i="3"/>
  <c r="J869" i="3"/>
  <c r="S869" i="3"/>
  <c r="J763" i="3"/>
  <c r="Q763" i="3"/>
  <c r="L763" i="3"/>
  <c r="O763" i="3"/>
  <c r="J761" i="3"/>
  <c r="S761" i="3"/>
  <c r="O761" i="3"/>
  <c r="AB761" i="3"/>
  <c r="Q761" i="3"/>
  <c r="L761" i="3"/>
  <c r="AA761" i="3"/>
  <c r="AB753" i="3"/>
  <c r="AB747" i="3"/>
  <c r="J745" i="3"/>
  <c r="S745" i="3"/>
  <c r="O745" i="3"/>
  <c r="AB745" i="3"/>
  <c r="Q745" i="3"/>
  <c r="L745" i="3"/>
  <c r="AA745" i="3"/>
  <c r="AB731" i="3"/>
  <c r="J729" i="3"/>
  <c r="S729" i="3"/>
  <c r="O729" i="3"/>
  <c r="AB729" i="3"/>
  <c r="Q729" i="3"/>
  <c r="L729" i="3"/>
  <c r="AA729" i="3"/>
  <c r="Y717" i="3"/>
  <c r="O713" i="3"/>
  <c r="O799" i="3"/>
  <c r="L713" i="3"/>
  <c r="L799" i="3"/>
  <c r="Q713" i="3"/>
  <c r="Q799" i="3"/>
  <c r="J713" i="3"/>
  <c r="J799" i="3"/>
  <c r="L654" i="3"/>
  <c r="J619" i="3"/>
  <c r="S619" i="3"/>
  <c r="O619" i="3"/>
  <c r="Q619" i="3"/>
  <c r="L619" i="3"/>
  <c r="L616" i="3"/>
  <c r="Y616" i="3"/>
  <c r="O616" i="3"/>
  <c r="Q616" i="3"/>
  <c r="J616" i="3"/>
  <c r="L575" i="3"/>
  <c r="O575" i="3"/>
  <c r="Q575" i="3"/>
  <c r="J575" i="3"/>
  <c r="Z549" i="3"/>
  <c r="J544" i="3"/>
  <c r="S544" i="3"/>
  <c r="O544" i="3"/>
  <c r="Q544" i="3"/>
  <c r="L544" i="3"/>
  <c r="L475" i="3"/>
  <c r="Y475" i="3"/>
  <c r="Y800" i="3"/>
  <c r="J475" i="3"/>
  <c r="S475" i="3"/>
  <c r="Q475" i="3"/>
  <c r="O475" i="3"/>
  <c r="O472" i="3"/>
  <c r="L472" i="3"/>
  <c r="Y472" i="3"/>
  <c r="Q472" i="3"/>
  <c r="S472" i="3"/>
  <c r="J472" i="3"/>
  <c r="V446" i="3"/>
  <c r="W446" i="3"/>
  <c r="L447" i="3"/>
  <c r="X446" i="3"/>
  <c r="O406" i="3"/>
  <c r="Q406" i="3"/>
  <c r="L406" i="3"/>
  <c r="S406" i="3"/>
  <c r="Y406" i="3"/>
  <c r="J406" i="3"/>
  <c r="AB360" i="3"/>
  <c r="AB372" i="3"/>
  <c r="AB376" i="3"/>
  <c r="AB380" i="3"/>
  <c r="AB384" i="3"/>
  <c r="AB388" i="3"/>
  <c r="AB392" i="3"/>
  <c r="AB396" i="3"/>
  <c r="AB400" i="3"/>
  <c r="Z353" i="3"/>
  <c r="AB355" i="3"/>
  <c r="AB358" i="3"/>
  <c r="AB361" i="3"/>
  <c r="AB377" i="3"/>
  <c r="AB390" i="3"/>
  <c r="AB365" i="3"/>
  <c r="AB375" i="3"/>
  <c r="AB397" i="3"/>
  <c r="AB362" i="3"/>
  <c r="AB378" i="3"/>
  <c r="Q161" i="5"/>
  <c r="Q93" i="5"/>
  <c r="Q432" i="5"/>
  <c r="Q90" i="5"/>
  <c r="Q425" i="5"/>
  <c r="Q59" i="5"/>
  <c r="Q58" i="5"/>
  <c r="K222" i="4"/>
  <c r="K184" i="4"/>
  <c r="K110" i="4"/>
  <c r="P106" i="4"/>
  <c r="K104" i="4"/>
  <c r="P98" i="4"/>
  <c r="P74" i="4"/>
  <c r="P70" i="4"/>
  <c r="P54" i="4"/>
  <c r="P50" i="4"/>
  <c r="K42" i="4"/>
  <c r="K30" i="4"/>
  <c r="P10" i="4"/>
  <c r="Y972" i="3"/>
  <c r="J972" i="3"/>
  <c r="Q963" i="3"/>
  <c r="L962" i="3"/>
  <c r="L961" i="3"/>
  <c r="L959" i="3"/>
  <c r="Y959" i="3"/>
  <c r="Y957" i="3"/>
  <c r="J957" i="3"/>
  <c r="Q954" i="3"/>
  <c r="Y951" i="3"/>
  <c r="J951" i="3"/>
  <c r="Q945" i="3"/>
  <c r="L944" i="3"/>
  <c r="Y944" i="3"/>
  <c r="J938" i="3"/>
  <c r="X935" i="3"/>
  <c r="J930" i="3"/>
  <c r="Y927" i="3"/>
  <c r="J927" i="3"/>
  <c r="L925" i="3"/>
  <c r="L979" i="3"/>
  <c r="Q924" i="3"/>
  <c r="L923" i="3"/>
  <c r="O838" i="3"/>
  <c r="J764" i="3"/>
  <c r="S764" i="3"/>
  <c r="O764" i="3"/>
  <c r="Q764" i="3"/>
  <c r="L764" i="3"/>
  <c r="AB750" i="3"/>
  <c r="J718" i="3"/>
  <c r="S718" i="3"/>
  <c r="O718" i="3"/>
  <c r="Q718" i="3"/>
  <c r="L718" i="3"/>
  <c r="Y703" i="3"/>
  <c r="Y705" i="3"/>
  <c r="S687" i="3"/>
  <c r="J679" i="3"/>
  <c r="S679" i="3"/>
  <c r="O679" i="3"/>
  <c r="Q679" i="3"/>
  <c r="L679" i="3"/>
  <c r="V665" i="3"/>
  <c r="W665" i="3"/>
  <c r="S661" i="3"/>
  <c r="W650" i="3"/>
  <c r="L662" i="3"/>
  <c r="X650" i="3"/>
  <c r="S645" i="3"/>
  <c r="S567" i="3"/>
  <c r="L585" i="3"/>
  <c r="L601" i="3"/>
  <c r="L568" i="3"/>
  <c r="L586" i="3"/>
  <c r="X556" i="3"/>
  <c r="Y594" i="3"/>
  <c r="L557" i="3"/>
  <c r="L597" i="3"/>
  <c r="H551" i="3"/>
  <c r="O548" i="3"/>
  <c r="L548" i="3"/>
  <c r="H547" i="3"/>
  <c r="Q548" i="3"/>
  <c r="J548" i="3"/>
  <c r="V545" i="3"/>
  <c r="W545" i="3"/>
  <c r="L495" i="3"/>
  <c r="Y495" i="3"/>
  <c r="J495" i="3"/>
  <c r="S495" i="3"/>
  <c r="Q495" i="3"/>
  <c r="O495" i="3"/>
  <c r="O842" i="3"/>
  <c r="AB456" i="3"/>
  <c r="AB453" i="3"/>
  <c r="AB457" i="3"/>
  <c r="AB473" i="3"/>
  <c r="AB477" i="3"/>
  <c r="AB501" i="3"/>
  <c r="AB505" i="3"/>
  <c r="AB509" i="3"/>
  <c r="AB513" i="3"/>
  <c r="AB525" i="3"/>
  <c r="AB454" i="3"/>
  <c r="AB462" i="3"/>
  <c r="AB466" i="3"/>
  <c r="AB474" i="3"/>
  <c r="AB478" i="3"/>
  <c r="AB486" i="3"/>
  <c r="AB502" i="3"/>
  <c r="AB510" i="3"/>
  <c r="Z450" i="3"/>
  <c r="AB451" i="3"/>
  <c r="AB464" i="3"/>
  <c r="AB480" i="3"/>
  <c r="AB516" i="3"/>
  <c r="AB519" i="3"/>
  <c r="AB479" i="3"/>
  <c r="AB499" i="3"/>
  <c r="AB512" i="3"/>
  <c r="AB515" i="3"/>
  <c r="AB452" i="3"/>
  <c r="AB468" i="3"/>
  <c r="AB471" i="3"/>
  <c r="AB507" i="3"/>
  <c r="L443" i="3"/>
  <c r="J443" i="3"/>
  <c r="S443" i="3"/>
  <c r="Q443" i="3"/>
  <c r="H442" i="3"/>
  <c r="O443" i="3"/>
  <c r="O283" i="3"/>
  <c r="L283" i="3"/>
  <c r="AB283" i="3"/>
  <c r="Q283" i="3"/>
  <c r="J283" i="3"/>
  <c r="S283" i="3"/>
  <c r="L765" i="3"/>
  <c r="L762" i="3"/>
  <c r="Y762" i="3"/>
  <c r="O759" i="3"/>
  <c r="AA759" i="3"/>
  <c r="L746" i="3"/>
  <c r="Y746" i="3"/>
  <c r="O743" i="3"/>
  <c r="AA743" i="3"/>
  <c r="AB741" i="3"/>
  <c r="AB738" i="3"/>
  <c r="J733" i="3"/>
  <c r="S733" i="3"/>
  <c r="L730" i="3"/>
  <c r="Y730" i="3"/>
  <c r="O727" i="3"/>
  <c r="AA727" i="3"/>
  <c r="AB725" i="3"/>
  <c r="AB722" i="3"/>
  <c r="O722" i="3"/>
  <c r="L719" i="3"/>
  <c r="Y719" i="3"/>
  <c r="W709" i="3"/>
  <c r="AB713" i="3"/>
  <c r="AB799" i="3"/>
  <c r="J708" i="3"/>
  <c r="S708" i="3"/>
  <c r="H707" i="3"/>
  <c r="J705" i="3"/>
  <c r="S705" i="3"/>
  <c r="J692" i="3"/>
  <c r="S692" i="3"/>
  <c r="L691" i="3"/>
  <c r="AB683" i="3"/>
  <c r="O683" i="3"/>
  <c r="L680" i="3"/>
  <c r="Y680" i="3"/>
  <c r="O677" i="3"/>
  <c r="J667" i="3"/>
  <c r="S667" i="3"/>
  <c r="O662" i="3"/>
  <c r="AB660" i="3"/>
  <c r="L647" i="3"/>
  <c r="L896" i="3"/>
  <c r="Y647" i="3"/>
  <c r="Y896" i="3"/>
  <c r="J639" i="3"/>
  <c r="S639" i="3"/>
  <c r="L620" i="3"/>
  <c r="Y620" i="3"/>
  <c r="O617" i="3"/>
  <c r="J607" i="3"/>
  <c r="S607" i="3"/>
  <c r="O568" i="3"/>
  <c r="L553" i="3"/>
  <c r="W533" i="3"/>
  <c r="J532" i="3"/>
  <c r="S532" i="3"/>
  <c r="H531" i="3"/>
  <c r="L507" i="3"/>
  <c r="Y507" i="3"/>
  <c r="J507" i="3"/>
  <c r="S507" i="3"/>
  <c r="L471" i="3"/>
  <c r="Y471" i="3"/>
  <c r="J471" i="3"/>
  <c r="S471" i="3"/>
  <c r="O468" i="3"/>
  <c r="L468" i="3"/>
  <c r="Y468" i="3"/>
  <c r="O452" i="3"/>
  <c r="L452" i="3"/>
  <c r="Y452" i="3"/>
  <c r="X444" i="3"/>
  <c r="W444" i="3"/>
  <c r="W430" i="3"/>
  <c r="L430" i="3"/>
  <c r="X430" i="3"/>
  <c r="J429" i="3"/>
  <c r="S429" i="3"/>
  <c r="O429" i="3"/>
  <c r="L429" i="3"/>
  <c r="W427" i="3"/>
  <c r="AB429" i="3"/>
  <c r="O383" i="3"/>
  <c r="L383" i="3"/>
  <c r="AB383" i="3"/>
  <c r="Q383" i="3"/>
  <c r="J383" i="3"/>
  <c r="J868" i="3"/>
  <c r="L354" i="3"/>
  <c r="O354" i="3"/>
  <c r="AB354" i="3"/>
  <c r="Q354" i="3"/>
  <c r="J354" i="3"/>
  <c r="J336" i="3"/>
  <c r="S336" i="3"/>
  <c r="O336" i="3"/>
  <c r="Q336" i="3"/>
  <c r="L336" i="3"/>
  <c r="O303" i="3"/>
  <c r="L303" i="3"/>
  <c r="Q303" i="3"/>
  <c r="J303" i="3"/>
  <c r="Y303" i="3"/>
  <c r="AB284" i="3"/>
  <c r="Z281" i="3"/>
  <c r="O256" i="3"/>
  <c r="L256" i="3"/>
  <c r="Q256" i="3"/>
  <c r="J256" i="3"/>
  <c r="J246" i="3"/>
  <c r="S246" i="3"/>
  <c r="O246" i="3"/>
  <c r="Q246" i="3"/>
  <c r="L246" i="3"/>
  <c r="J741" i="3"/>
  <c r="S741" i="3"/>
  <c r="L738" i="3"/>
  <c r="Y738" i="3"/>
  <c r="J725" i="3"/>
  <c r="S725" i="3"/>
  <c r="L722" i="3"/>
  <c r="Y722" i="3"/>
  <c r="W716" i="3"/>
  <c r="Z702" i="3"/>
  <c r="AA703" i="3"/>
  <c r="L697" i="3"/>
  <c r="L683" i="3"/>
  <c r="Y683" i="3"/>
  <c r="J675" i="3"/>
  <c r="S675" i="3"/>
  <c r="J660" i="3"/>
  <c r="S660" i="3"/>
  <c r="O654" i="3"/>
  <c r="L644" i="3"/>
  <c r="Y644" i="3"/>
  <c r="J631" i="3"/>
  <c r="S631" i="3"/>
  <c r="L628" i="3"/>
  <c r="Y628" i="3"/>
  <c r="J615" i="3"/>
  <c r="S615" i="3"/>
  <c r="O609" i="3"/>
  <c r="O600" i="3"/>
  <c r="O584" i="3"/>
  <c r="J566" i="3"/>
  <c r="S566" i="3"/>
  <c r="L563" i="3"/>
  <c r="L515" i="3"/>
  <c r="Y515" i="3"/>
  <c r="J515" i="3"/>
  <c r="S515" i="3"/>
  <c r="O512" i="3"/>
  <c r="AA512" i="3"/>
  <c r="L512" i="3"/>
  <c r="L857" i="3"/>
  <c r="Y512" i="3"/>
  <c r="L499" i="3"/>
  <c r="Y499" i="3"/>
  <c r="J499" i="3"/>
  <c r="S499" i="3"/>
  <c r="L479" i="3"/>
  <c r="Y479" i="3"/>
  <c r="J479" i="3"/>
  <c r="S479" i="3"/>
  <c r="L448" i="3"/>
  <c r="S448" i="3"/>
  <c r="Y448" i="3"/>
  <c r="X436" i="3"/>
  <c r="Y437" i="3"/>
  <c r="J412" i="3"/>
  <c r="S412" i="3"/>
  <c r="Q412" i="3"/>
  <c r="O412" i="3"/>
  <c r="O399" i="3"/>
  <c r="AA399" i="3"/>
  <c r="L399" i="3"/>
  <c r="AB399" i="3"/>
  <c r="Q399" i="3"/>
  <c r="J399" i="3"/>
  <c r="L370" i="3"/>
  <c r="O370" i="3"/>
  <c r="AB370" i="3"/>
  <c r="Q370" i="3"/>
  <c r="J370" i="3"/>
  <c r="AA370" i="3"/>
  <c r="W337" i="3"/>
  <c r="X337" i="3"/>
  <c r="Y340" i="3"/>
  <c r="Y300" i="3"/>
  <c r="Y301" i="3"/>
  <c r="Y304" i="3"/>
  <c r="Y296" i="3"/>
  <c r="L213" i="3"/>
  <c r="Y213" i="3"/>
  <c r="J213" i="3"/>
  <c r="S213" i="3"/>
  <c r="Q213" i="3"/>
  <c r="O213" i="3"/>
  <c r="Z134" i="3"/>
  <c r="AA137" i="3"/>
  <c r="AA819" i="3"/>
  <c r="AB135" i="3"/>
  <c r="AB817" i="3"/>
  <c r="L36" i="3"/>
  <c r="J36" i="3"/>
  <c r="S36" i="3"/>
  <c r="AA36" i="3"/>
  <c r="Q36" i="3"/>
  <c r="AB36" i="3"/>
  <c r="O36" i="3"/>
  <c r="Y36" i="3"/>
  <c r="J765" i="3"/>
  <c r="AA762" i="3"/>
  <c r="J762" i="3"/>
  <c r="Y759" i="3"/>
  <c r="J759" i="3"/>
  <c r="Y753" i="3"/>
  <c r="J753" i="3"/>
  <c r="S753" i="3"/>
  <c r="Y752" i="3"/>
  <c r="L750" i="3"/>
  <c r="Y750" i="3"/>
  <c r="O747" i="3"/>
  <c r="O868" i="3"/>
  <c r="AA747" i="3"/>
  <c r="AA746" i="3"/>
  <c r="J746" i="3"/>
  <c r="Y743" i="3"/>
  <c r="J743" i="3"/>
  <c r="Q741" i="3"/>
  <c r="Q738" i="3"/>
  <c r="AA733" i="3"/>
  <c r="L733" i="3"/>
  <c r="O731" i="3"/>
  <c r="AA731" i="3"/>
  <c r="AA730" i="3"/>
  <c r="J730" i="3"/>
  <c r="Y727" i="3"/>
  <c r="J727" i="3"/>
  <c r="Q725" i="3"/>
  <c r="Q722" i="3"/>
  <c r="O720" i="3"/>
  <c r="J719" i="3"/>
  <c r="H716" i="3"/>
  <c r="J711" i="3"/>
  <c r="J780" i="3"/>
  <c r="S711" i="3"/>
  <c r="S780" i="3"/>
  <c r="L710" i="3"/>
  <c r="L772" i="3"/>
  <c r="X709" i="3"/>
  <c r="Y713" i="3"/>
  <c r="Y799" i="3"/>
  <c r="L708" i="3"/>
  <c r="L706" i="3"/>
  <c r="Y706" i="3"/>
  <c r="AA705" i="3"/>
  <c r="L705" i="3"/>
  <c r="O703" i="3"/>
  <c r="W700" i="3"/>
  <c r="J699" i="3"/>
  <c r="S699" i="3"/>
  <c r="H698" i="3"/>
  <c r="Q697" i="3"/>
  <c r="L692" i="3"/>
  <c r="O690" i="3"/>
  <c r="Q683" i="3"/>
  <c r="J680" i="3"/>
  <c r="J677" i="3"/>
  <c r="Q675" i="3"/>
  <c r="L668" i="3"/>
  <c r="L667" i="3"/>
  <c r="Y662" i="3"/>
  <c r="J662" i="3"/>
  <c r="Q660" i="3"/>
  <c r="Q654" i="3"/>
  <c r="AA647" i="3"/>
  <c r="AA896" i="3"/>
  <c r="J647" i="3"/>
  <c r="J896" i="3"/>
  <c r="Q644" i="3"/>
  <c r="J643" i="3"/>
  <c r="S643" i="3"/>
  <c r="L639" i="3"/>
  <c r="Q631" i="3"/>
  <c r="Q628" i="3"/>
  <c r="J627" i="3"/>
  <c r="S627" i="3"/>
  <c r="L624" i="3"/>
  <c r="Y624" i="3"/>
  <c r="O621" i="3"/>
  <c r="J620" i="3"/>
  <c r="Y617" i="3"/>
  <c r="J617" i="3"/>
  <c r="Q615" i="3"/>
  <c r="Q609" i="3"/>
  <c r="L607" i="3"/>
  <c r="Q600" i="3"/>
  <c r="Q906" i="3"/>
  <c r="L599" i="3"/>
  <c r="J586" i="3"/>
  <c r="S586" i="3"/>
  <c r="Q584" i="3"/>
  <c r="L583" i="3"/>
  <c r="J568" i="3"/>
  <c r="Q566" i="3"/>
  <c r="Q563" i="3"/>
  <c r="L559" i="3"/>
  <c r="Y559" i="3"/>
  <c r="J553" i="3"/>
  <c r="X547" i="3"/>
  <c r="Y548" i="3"/>
  <c r="X533" i="3"/>
  <c r="AA532" i="3"/>
  <c r="L532" i="3"/>
  <c r="L530" i="3"/>
  <c r="J522" i="3"/>
  <c r="S522" i="3"/>
  <c r="L519" i="3"/>
  <c r="Y519" i="3"/>
  <c r="J519" i="3"/>
  <c r="S519" i="3"/>
  <c r="O516" i="3"/>
  <c r="AA516" i="3"/>
  <c r="L516" i="3"/>
  <c r="Y516" i="3"/>
  <c r="AA515" i="3"/>
  <c r="S512" i="3"/>
  <c r="O507" i="3"/>
  <c r="AA499" i="3"/>
  <c r="O480" i="3"/>
  <c r="AA480" i="3"/>
  <c r="L480" i="3"/>
  <c r="Y480" i="3"/>
  <c r="AA479" i="3"/>
  <c r="O471" i="3"/>
  <c r="J468" i="3"/>
  <c r="O464" i="3"/>
  <c r="AA464" i="3"/>
  <c r="L464" i="3"/>
  <c r="Y464" i="3"/>
  <c r="J452" i="3"/>
  <c r="L451" i="3"/>
  <c r="Y451" i="3"/>
  <c r="J451" i="3"/>
  <c r="S451" i="3"/>
  <c r="O449" i="3"/>
  <c r="L449" i="3"/>
  <c r="Y449" i="3"/>
  <c r="O448" i="3"/>
  <c r="V438" i="3"/>
  <c r="W438" i="3"/>
  <c r="V436" i="3"/>
  <c r="W436" i="3"/>
  <c r="L431" i="3"/>
  <c r="Q429" i="3"/>
  <c r="L428" i="3"/>
  <c r="X425" i="3"/>
  <c r="W425" i="3"/>
  <c r="L409" i="3"/>
  <c r="Y409" i="3"/>
  <c r="Q409" i="3"/>
  <c r="O409" i="3"/>
  <c r="Y407" i="3"/>
  <c r="Y419" i="3"/>
  <c r="S383" i="3"/>
  <c r="S354" i="3"/>
  <c r="Y336" i="3"/>
  <c r="H335" i="3"/>
  <c r="O332" i="3"/>
  <c r="L332" i="3"/>
  <c r="H331" i="3"/>
  <c r="Q332" i="3"/>
  <c r="J332" i="3"/>
  <c r="O326" i="3"/>
  <c r="O826" i="3"/>
  <c r="L326" i="3"/>
  <c r="L826" i="3"/>
  <c r="Q326" i="3"/>
  <c r="Q826" i="3"/>
  <c r="J326" i="3"/>
  <c r="J826" i="3"/>
  <c r="AA322" i="3"/>
  <c r="AA894" i="3"/>
  <c r="Y318" i="3"/>
  <c r="S303" i="3"/>
  <c r="S256" i="3"/>
  <c r="L243" i="3"/>
  <c r="O243" i="3"/>
  <c r="Q243" i="3"/>
  <c r="J243" i="3"/>
  <c r="H436" i="3"/>
  <c r="L419" i="3"/>
  <c r="O414" i="3"/>
  <c r="AB398" i="3"/>
  <c r="AB395" i="3"/>
  <c r="L390" i="3"/>
  <c r="AB382" i="3"/>
  <c r="AB379" i="3"/>
  <c r="J377" i="3"/>
  <c r="S377" i="3"/>
  <c r="AB369" i="3"/>
  <c r="AB366" i="3"/>
  <c r="AB363" i="3"/>
  <c r="J361" i="3"/>
  <c r="S361" i="3"/>
  <c r="L358" i="3"/>
  <c r="O355" i="3"/>
  <c r="AA355" i="3"/>
  <c r="W343" i="3"/>
  <c r="J339" i="3"/>
  <c r="S339" i="3"/>
  <c r="L334" i="3"/>
  <c r="L849" i="3"/>
  <c r="L328" i="3"/>
  <c r="L838" i="3"/>
  <c r="AB322" i="3"/>
  <c r="AB894" i="3"/>
  <c r="AB319" i="3"/>
  <c r="AB316" i="3"/>
  <c r="Z314" i="3"/>
  <c r="O308" i="3"/>
  <c r="L296" i="3"/>
  <c r="W289" i="3"/>
  <c r="J288" i="3"/>
  <c r="S288" i="3"/>
  <c r="L287" i="3"/>
  <c r="L279" i="3"/>
  <c r="O276" i="3"/>
  <c r="L270" i="3"/>
  <c r="J250" i="3"/>
  <c r="S250" i="3"/>
  <c r="J234" i="3"/>
  <c r="S234" i="3"/>
  <c r="L231" i="3"/>
  <c r="AB211" i="3"/>
  <c r="Z200" i="3"/>
  <c r="AA213" i="3"/>
  <c r="AB205" i="3"/>
  <c r="AB208" i="3"/>
  <c r="O167" i="3"/>
  <c r="Q167" i="3"/>
  <c r="J167" i="3"/>
  <c r="Y167" i="3"/>
  <c r="L167" i="3"/>
  <c r="O108" i="3"/>
  <c r="L108" i="3"/>
  <c r="S108" i="3"/>
  <c r="H107" i="3"/>
  <c r="J108" i="3"/>
  <c r="Q108" i="3"/>
  <c r="V101" i="3"/>
  <c r="W101" i="3"/>
  <c r="L102" i="3"/>
  <c r="L61" i="3"/>
  <c r="O61" i="3"/>
  <c r="S61" i="3"/>
  <c r="J61" i="3"/>
  <c r="Q61" i="3"/>
  <c r="J60" i="3"/>
  <c r="S60" i="3"/>
  <c r="Q60" i="3"/>
  <c r="L60" i="3"/>
  <c r="O60" i="3"/>
  <c r="L398" i="3"/>
  <c r="O395" i="3"/>
  <c r="AA395" i="3"/>
  <c r="L382" i="3"/>
  <c r="O379" i="3"/>
  <c r="AA379" i="3"/>
  <c r="J369" i="3"/>
  <c r="S369" i="3"/>
  <c r="L366" i="3"/>
  <c r="O363" i="3"/>
  <c r="AA363" i="3"/>
  <c r="O352" i="3"/>
  <c r="L325" i="3"/>
  <c r="L825" i="3"/>
  <c r="L322" i="3"/>
  <c r="L894" i="3"/>
  <c r="Y322" i="3"/>
  <c r="Y894" i="3"/>
  <c r="L319" i="3"/>
  <c r="Y319" i="3"/>
  <c r="O316" i="3"/>
  <c r="AA316" i="3"/>
  <c r="L308" i="3"/>
  <c r="O273" i="3"/>
  <c r="J258" i="3"/>
  <c r="S258" i="3"/>
  <c r="L255" i="3"/>
  <c r="L223" i="3"/>
  <c r="J223" i="3"/>
  <c r="S223" i="3"/>
  <c r="X221" i="3"/>
  <c r="Y255" i="3"/>
  <c r="L217" i="3"/>
  <c r="L853" i="3"/>
  <c r="Y217" i="3"/>
  <c r="J217" i="3"/>
  <c r="S217" i="3"/>
  <c r="O151" i="3"/>
  <c r="Q151" i="3"/>
  <c r="J151" i="3"/>
  <c r="Y151" i="3"/>
  <c r="L151" i="3"/>
  <c r="O137" i="3"/>
  <c r="O819" i="3"/>
  <c r="L137" i="3"/>
  <c r="L819" i="3"/>
  <c r="AB137" i="3"/>
  <c r="AB819" i="3"/>
  <c r="S137" i="3"/>
  <c r="S819" i="3"/>
  <c r="J137" i="3"/>
  <c r="J819" i="3"/>
  <c r="Q137" i="3"/>
  <c r="Q819" i="3"/>
  <c r="L136" i="3"/>
  <c r="L818" i="3"/>
  <c r="Y136" i="3"/>
  <c r="Y818" i="3"/>
  <c r="Q136" i="3"/>
  <c r="Q818" i="3"/>
  <c r="S136" i="3"/>
  <c r="S818" i="3"/>
  <c r="J136" i="3"/>
  <c r="J818" i="3"/>
  <c r="AB136" i="3"/>
  <c r="AB818" i="3"/>
  <c r="O136" i="3"/>
  <c r="O818" i="3"/>
  <c r="Y118" i="3"/>
  <c r="Y811" i="3"/>
  <c r="Y119" i="3"/>
  <c r="Y812" i="3"/>
  <c r="Y121" i="3"/>
  <c r="Y816" i="3"/>
  <c r="Y123" i="3"/>
  <c r="Y828" i="3"/>
  <c r="O49" i="3"/>
  <c r="J49" i="3"/>
  <c r="S49" i="3"/>
  <c r="L49" i="3"/>
  <c r="Q49" i="3"/>
  <c r="AA42" i="3"/>
  <c r="L39" i="3"/>
  <c r="Q39" i="3"/>
  <c r="S39" i="3"/>
  <c r="H38" i="3"/>
  <c r="J39" i="3"/>
  <c r="O39" i="3"/>
  <c r="V8" i="3"/>
  <c r="W8" i="3"/>
  <c r="H1992" i="8"/>
  <c r="J1992" i="8"/>
  <c r="X8" i="3"/>
  <c r="K2268" i="2"/>
  <c r="I88" i="4"/>
  <c r="L2270" i="2"/>
  <c r="O430" i="3"/>
  <c r="K2047" i="2"/>
  <c r="G1079" i="14"/>
  <c r="L2049" i="2"/>
  <c r="L13" i="3"/>
  <c r="S13" i="3"/>
  <c r="J13" i="3"/>
  <c r="H12" i="3"/>
  <c r="O13" i="3"/>
  <c r="Q13" i="3"/>
  <c r="S510" i="3"/>
  <c r="S502" i="3"/>
  <c r="S486" i="3"/>
  <c r="S478" i="3"/>
  <c r="S474" i="3"/>
  <c r="S797" i="3"/>
  <c r="S466" i="3"/>
  <c r="S792" i="3"/>
  <c r="S462" i="3"/>
  <c r="S454" i="3"/>
  <c r="S437" i="3"/>
  <c r="H427" i="3"/>
  <c r="O418" i="3"/>
  <c r="Y414" i="3"/>
  <c r="J414" i="3"/>
  <c r="L407" i="3"/>
  <c r="L405" i="3"/>
  <c r="Y405" i="3"/>
  <c r="Q398" i="3"/>
  <c r="J397" i="3"/>
  <c r="S397" i="3"/>
  <c r="Q395" i="3"/>
  <c r="AA390" i="3"/>
  <c r="J390" i="3"/>
  <c r="Q382" i="3"/>
  <c r="J381" i="3"/>
  <c r="S381" i="3"/>
  <c r="Q379" i="3"/>
  <c r="L378" i="3"/>
  <c r="AA377" i="3"/>
  <c r="L377" i="3"/>
  <c r="O375" i="3"/>
  <c r="AA375" i="3"/>
  <c r="Q369" i="3"/>
  <c r="Q366" i="3"/>
  <c r="J365" i="3"/>
  <c r="S365" i="3"/>
  <c r="Q363" i="3"/>
  <c r="L362" i="3"/>
  <c r="AA361" i="3"/>
  <c r="L361" i="3"/>
  <c r="O359" i="3"/>
  <c r="AA359" i="3"/>
  <c r="AA358" i="3"/>
  <c r="J358" i="3"/>
  <c r="J355" i="3"/>
  <c r="Q352" i="3"/>
  <c r="L351" i="3"/>
  <c r="Y351" i="3"/>
  <c r="L348" i="3"/>
  <c r="Y348" i="3"/>
  <c r="X343" i="3"/>
  <c r="L340" i="3"/>
  <c r="L339" i="3"/>
  <c r="J334" i="3"/>
  <c r="J849" i="3"/>
  <c r="X331" i="3"/>
  <c r="Y332" i="3"/>
  <c r="O329" i="3"/>
  <c r="O839" i="3"/>
  <c r="J328" i="3"/>
  <c r="J838" i="3"/>
  <c r="Q325" i="3"/>
  <c r="Q825" i="3"/>
  <c r="J324" i="3"/>
  <c r="J824" i="3"/>
  <c r="S324" i="3"/>
  <c r="S824" i="3"/>
  <c r="H323" i="3"/>
  <c r="Q322" i="3"/>
  <c r="Q894" i="3"/>
  <c r="Q319" i="3"/>
  <c r="J318" i="3"/>
  <c r="S318" i="3"/>
  <c r="Q316" i="3"/>
  <c r="L315" i="3"/>
  <c r="Y315" i="3"/>
  <c r="Q308" i="3"/>
  <c r="J301" i="3"/>
  <c r="J860" i="3"/>
  <c r="S301" i="3"/>
  <c r="L300" i="3"/>
  <c r="X289" i="3"/>
  <c r="L288" i="3"/>
  <c r="O280" i="3"/>
  <c r="J279" i="3"/>
  <c r="J276" i="3"/>
  <c r="L274" i="3"/>
  <c r="Q273" i="3"/>
  <c r="O269" i="3"/>
  <c r="Q258" i="3"/>
  <c r="Q255" i="3"/>
  <c r="J254" i="3"/>
  <c r="S254" i="3"/>
  <c r="L253" i="3"/>
  <c r="L251" i="3"/>
  <c r="Y251" i="3"/>
  <c r="L250" i="3"/>
  <c r="L234" i="3"/>
  <c r="O232" i="3"/>
  <c r="J231" i="3"/>
  <c r="L227" i="3"/>
  <c r="Y227" i="3"/>
  <c r="J227" i="3"/>
  <c r="S227" i="3"/>
  <c r="O224" i="3"/>
  <c r="L224" i="3"/>
  <c r="Y224" i="3"/>
  <c r="V221" i="3"/>
  <c r="W221" i="3"/>
  <c r="AB218" i="3"/>
  <c r="O218" i="3"/>
  <c r="AA218" i="3"/>
  <c r="L218" i="3"/>
  <c r="Y218" i="3"/>
  <c r="AA217" i="3"/>
  <c r="L209" i="3"/>
  <c r="Y209" i="3"/>
  <c r="Q209" i="3"/>
  <c r="J209" i="3"/>
  <c r="AA209" i="3"/>
  <c r="O209" i="3"/>
  <c r="AB209" i="3"/>
  <c r="O206" i="3"/>
  <c r="AA206" i="3"/>
  <c r="Q206" i="3"/>
  <c r="J206" i="3"/>
  <c r="Y206" i="3"/>
  <c r="L206" i="3"/>
  <c r="AB206" i="3"/>
  <c r="Y208" i="3"/>
  <c r="Y211" i="3"/>
  <c r="Y204" i="3"/>
  <c r="Y191" i="3"/>
  <c r="Y192" i="3"/>
  <c r="Y179" i="3"/>
  <c r="Y181" i="3"/>
  <c r="S167" i="3"/>
  <c r="L154" i="3"/>
  <c r="Y154" i="3"/>
  <c r="Q154" i="3"/>
  <c r="J154" i="3"/>
  <c r="O154" i="3"/>
  <c r="V117" i="3"/>
  <c r="W117" i="3"/>
  <c r="L118" i="3"/>
  <c r="L811" i="3"/>
  <c r="L121" i="3"/>
  <c r="L816" i="3"/>
  <c r="L110" i="3"/>
  <c r="L801" i="3"/>
  <c r="J110" i="3"/>
  <c r="J801" i="3"/>
  <c r="S110" i="3"/>
  <c r="S801" i="3"/>
  <c r="H109" i="3"/>
  <c r="O110" i="3"/>
  <c r="O801" i="3"/>
  <c r="Q110" i="3"/>
  <c r="Q801" i="3"/>
  <c r="X101" i="3"/>
  <c r="O70" i="3"/>
  <c r="Q70" i="3"/>
  <c r="S70" i="3"/>
  <c r="J70" i="3"/>
  <c r="L70" i="3"/>
  <c r="AB42" i="3"/>
  <c r="Y210" i="3"/>
  <c r="J210" i="3"/>
  <c r="J204" i="3"/>
  <c r="S204" i="3"/>
  <c r="L197" i="3"/>
  <c r="L193" i="3"/>
  <c r="Y193" i="3"/>
  <c r="O190" i="3"/>
  <c r="X182" i="3"/>
  <c r="O180" i="3"/>
  <c r="S179" i="3"/>
  <c r="J179" i="3"/>
  <c r="W177" i="3"/>
  <c r="J176" i="3"/>
  <c r="S176" i="3"/>
  <c r="L173" i="3"/>
  <c r="Y171" i="3"/>
  <c r="L162" i="3"/>
  <c r="Y162" i="3"/>
  <c r="O159" i="3"/>
  <c r="Y155" i="3"/>
  <c r="Y149" i="3"/>
  <c r="J149" i="3"/>
  <c r="S149" i="3"/>
  <c r="Y148" i="3"/>
  <c r="L146" i="3"/>
  <c r="Y146" i="3"/>
  <c r="O143" i="3"/>
  <c r="X140" i="3"/>
  <c r="AB133" i="3"/>
  <c r="J133" i="3"/>
  <c r="L120" i="3"/>
  <c r="L815" i="3"/>
  <c r="Y120" i="3"/>
  <c r="Y815" i="3"/>
  <c r="J120" i="3"/>
  <c r="J815" i="3"/>
  <c r="J116" i="3"/>
  <c r="J858" i="3"/>
  <c r="S116" i="3"/>
  <c r="S858" i="3"/>
  <c r="Q116" i="3"/>
  <c r="Q858" i="3"/>
  <c r="L113" i="3"/>
  <c r="L803" i="3"/>
  <c r="J113" i="3"/>
  <c r="J803" i="3"/>
  <c r="X111" i="3"/>
  <c r="Y113" i="3"/>
  <c r="Y803" i="3"/>
  <c r="W111" i="3"/>
  <c r="J100" i="3"/>
  <c r="S100" i="3"/>
  <c r="Q100" i="3"/>
  <c r="Q907" i="3"/>
  <c r="L89" i="3"/>
  <c r="J89" i="3"/>
  <c r="L81" i="3"/>
  <c r="J81" i="3"/>
  <c r="O78" i="3"/>
  <c r="J78" i="3"/>
  <c r="J852" i="3"/>
  <c r="Y78" i="3"/>
  <c r="W54" i="3"/>
  <c r="X54" i="3"/>
  <c r="L55" i="3"/>
  <c r="L95" i="3"/>
  <c r="O14" i="3"/>
  <c r="Q14" i="3"/>
  <c r="J14" i="3"/>
  <c r="O199" i="3"/>
  <c r="J195" i="3"/>
  <c r="S195" i="3"/>
  <c r="H194" i="3"/>
  <c r="J192" i="3"/>
  <c r="S192" i="3"/>
  <c r="O171" i="3"/>
  <c r="J161" i="3"/>
  <c r="S161" i="3"/>
  <c r="L158" i="3"/>
  <c r="Y158" i="3"/>
  <c r="O155" i="3"/>
  <c r="J145" i="3"/>
  <c r="S145" i="3"/>
  <c r="L133" i="3"/>
  <c r="Y133" i="3"/>
  <c r="Q133" i="3"/>
  <c r="W124" i="3"/>
  <c r="X124" i="3"/>
  <c r="L125" i="3"/>
  <c r="O98" i="3"/>
  <c r="L98" i="3"/>
  <c r="L97" i="3"/>
  <c r="Y97" i="3"/>
  <c r="Q97" i="3"/>
  <c r="L48" i="3"/>
  <c r="L832" i="3"/>
  <c r="O48" i="3"/>
  <c r="O832" i="3"/>
  <c r="J47" i="3"/>
  <c r="S47" i="3"/>
  <c r="Q47" i="3"/>
  <c r="L17" i="3"/>
  <c r="J17" i="3"/>
  <c r="S17" i="3"/>
  <c r="K2374" i="2"/>
  <c r="L2376" i="2"/>
  <c r="L2377" i="2"/>
  <c r="L2378" i="2"/>
  <c r="L2379" i="2"/>
  <c r="L2380" i="2"/>
  <c r="G518" i="5"/>
  <c r="L2381" i="2"/>
  <c r="L2382" i="2"/>
  <c r="L2383" i="2"/>
  <c r="L2384" i="2"/>
  <c r="G1480" i="14"/>
  <c r="K2345" i="2"/>
  <c r="L2347" i="2"/>
  <c r="L2348" i="2"/>
  <c r="L2349" i="2"/>
  <c r="K2314" i="2"/>
  <c r="L2316" i="2"/>
  <c r="L2317" i="2"/>
  <c r="L2318" i="2"/>
  <c r="K2188" i="2"/>
  <c r="L2190" i="2"/>
  <c r="G381" i="5"/>
  <c r="S222" i="3"/>
  <c r="AA210" i="3"/>
  <c r="L210" i="3"/>
  <c r="J208" i="3"/>
  <c r="S208" i="3"/>
  <c r="L205" i="3"/>
  <c r="Y205" i="3"/>
  <c r="AA204" i="3"/>
  <c r="L204" i="3"/>
  <c r="L199" i="3"/>
  <c r="X198" i="3"/>
  <c r="Y198" i="3"/>
  <c r="O195" i="3"/>
  <c r="W194" i="3"/>
  <c r="H1492" i="8"/>
  <c r="J193" i="3"/>
  <c r="O192" i="3"/>
  <c r="Y190" i="3"/>
  <c r="J190" i="3"/>
  <c r="W186" i="3"/>
  <c r="AB192" i="3"/>
  <c r="L184" i="3"/>
  <c r="Y180" i="3"/>
  <c r="J180" i="3"/>
  <c r="L178" i="3"/>
  <c r="X177" i="3"/>
  <c r="L176" i="3"/>
  <c r="J173" i="3"/>
  <c r="L171" i="3"/>
  <c r="Y169" i="3"/>
  <c r="J169" i="3"/>
  <c r="S169" i="3"/>
  <c r="J162" i="3"/>
  <c r="O161" i="3"/>
  <c r="Y159" i="3"/>
  <c r="J159" i="3"/>
  <c r="O158" i="3"/>
  <c r="L155" i="3"/>
  <c r="L152" i="3"/>
  <c r="L150" i="3"/>
  <c r="Y150" i="3"/>
  <c r="L149" i="3"/>
  <c r="O147" i="3"/>
  <c r="J146" i="3"/>
  <c r="O145" i="3"/>
  <c r="Y143" i="3"/>
  <c r="J143" i="3"/>
  <c r="O133" i="3"/>
  <c r="J123" i="3"/>
  <c r="J828" i="3"/>
  <c r="S123" i="3"/>
  <c r="S828" i="3"/>
  <c r="L123" i="3"/>
  <c r="L828" i="3"/>
  <c r="O120" i="3"/>
  <c r="O815" i="3"/>
  <c r="J119" i="3"/>
  <c r="J812" i="3"/>
  <c r="S119" i="3"/>
  <c r="S812" i="3"/>
  <c r="O119" i="3"/>
  <c r="O812" i="3"/>
  <c r="L116" i="3"/>
  <c r="L858" i="3"/>
  <c r="L115" i="3"/>
  <c r="L856" i="3"/>
  <c r="L114" i="3"/>
  <c r="L855" i="3"/>
  <c r="O113" i="3"/>
  <c r="O803" i="3"/>
  <c r="J112" i="3"/>
  <c r="J802" i="3"/>
  <c r="S112" i="3"/>
  <c r="S802" i="3"/>
  <c r="O112" i="3"/>
  <c r="O802" i="3"/>
  <c r="V107" i="3"/>
  <c r="W107" i="3"/>
  <c r="X107" i="3"/>
  <c r="Y108" i="3"/>
  <c r="AB100" i="3"/>
  <c r="L100" i="3"/>
  <c r="Q98" i="3"/>
  <c r="Q900" i="3"/>
  <c r="O97" i="3"/>
  <c r="J92" i="3"/>
  <c r="J886" i="3"/>
  <c r="S92" i="3"/>
  <c r="L92" i="3"/>
  <c r="L90" i="3"/>
  <c r="O89" i="3"/>
  <c r="J88" i="3"/>
  <c r="S88" i="3"/>
  <c r="O88" i="3"/>
  <c r="L82" i="3"/>
  <c r="O81" i="3"/>
  <c r="J80" i="3"/>
  <c r="S80" i="3"/>
  <c r="O80" i="3"/>
  <c r="L79" i="3"/>
  <c r="L859" i="3"/>
  <c r="L78" i="3"/>
  <c r="L77" i="3"/>
  <c r="Y77" i="3"/>
  <c r="O77" i="3"/>
  <c r="AB77" i="3"/>
  <c r="J76" i="3"/>
  <c r="S76" i="3"/>
  <c r="Q76" i="3"/>
  <c r="L73" i="3"/>
  <c r="Y73" i="3"/>
  <c r="J73" i="3"/>
  <c r="L65" i="3"/>
  <c r="Y65" i="3"/>
  <c r="J65" i="3"/>
  <c r="O62" i="3"/>
  <c r="J62" i="3"/>
  <c r="Y62" i="3"/>
  <c r="O58" i="3"/>
  <c r="L58" i="3"/>
  <c r="L778" i="3"/>
  <c r="L57" i="3"/>
  <c r="Y57" i="3"/>
  <c r="Q57" i="3"/>
  <c r="Q48" i="3"/>
  <c r="Q832" i="3"/>
  <c r="O47" i="3"/>
  <c r="L44" i="3"/>
  <c r="L42" i="3"/>
  <c r="Y42" i="3"/>
  <c r="Q42" i="3"/>
  <c r="L19" i="3"/>
  <c r="O17" i="3"/>
  <c r="W15" i="3"/>
  <c r="L14" i="3"/>
  <c r="O18" i="3"/>
  <c r="S18" i="3"/>
  <c r="K1796" i="2"/>
  <c r="L1798" i="2"/>
  <c r="L1799" i="2"/>
  <c r="L1800" i="2"/>
  <c r="G84" i="5"/>
  <c r="Q84" i="5"/>
  <c r="L1801" i="2"/>
  <c r="K2259" i="2"/>
  <c r="L2261" i="2"/>
  <c r="L2262" i="2"/>
  <c r="K1973" i="2"/>
  <c r="L1975" i="2"/>
  <c r="L1976" i="2"/>
  <c r="K1818" i="2"/>
  <c r="I167" i="4"/>
  <c r="L1820" i="2"/>
  <c r="K1331" i="2"/>
  <c r="L1333" i="2"/>
  <c r="K1097" i="2"/>
  <c r="L1099" i="2"/>
  <c r="K2000" i="2"/>
  <c r="L2002" i="2"/>
  <c r="L2003" i="2"/>
  <c r="G1501" i="14"/>
  <c r="M1501" i="14"/>
  <c r="L2004" i="2"/>
  <c r="K1964" i="2"/>
  <c r="L1966" i="2"/>
  <c r="L1957" i="2"/>
  <c r="L1956" i="2"/>
  <c r="K1807" i="2"/>
  <c r="L1809" i="2"/>
  <c r="K1688" i="2"/>
  <c r="L1690" i="2"/>
  <c r="L1691" i="2"/>
  <c r="K1578" i="2"/>
  <c r="L1580" i="2"/>
  <c r="G366" i="5"/>
  <c r="L1581" i="2"/>
  <c r="G53" i="5"/>
  <c r="L1582" i="2"/>
  <c r="K1545" i="2"/>
  <c r="L1547" i="2"/>
  <c r="L1548" i="2"/>
  <c r="G1243" i="14"/>
  <c r="Q75" i="3"/>
  <c r="AB75" i="3"/>
  <c r="K1503" i="2"/>
  <c r="I73" i="4"/>
  <c r="O73" i="4"/>
  <c r="L1505" i="2"/>
  <c r="G229" i="5"/>
  <c r="L1506" i="2"/>
  <c r="K1341" i="2"/>
  <c r="L1343" i="2"/>
  <c r="L1344" i="2"/>
  <c r="G1548" i="14"/>
  <c r="J135" i="3"/>
  <c r="J817" i="3"/>
  <c r="S135" i="3"/>
  <c r="S817" i="3"/>
  <c r="H134" i="3"/>
  <c r="O131" i="3"/>
  <c r="O121" i="3"/>
  <c r="O816" i="3"/>
  <c r="O114" i="3"/>
  <c r="O855" i="3"/>
  <c r="J96" i="3"/>
  <c r="S96" i="3"/>
  <c r="O90" i="3"/>
  <c r="L85" i="3"/>
  <c r="Y85" i="3"/>
  <c r="O82" i="3"/>
  <c r="O66" i="3"/>
  <c r="J56" i="3"/>
  <c r="S56" i="3"/>
  <c r="L51" i="3"/>
  <c r="W45" i="3"/>
  <c r="AB48" i="3"/>
  <c r="AB832" i="3"/>
  <c r="J44" i="3"/>
  <c r="S44" i="3"/>
  <c r="H43" i="3"/>
  <c r="O37" i="3"/>
  <c r="AA37" i="3"/>
  <c r="J33" i="3"/>
  <c r="S33" i="3"/>
  <c r="H32" i="3"/>
  <c r="K2224" i="2"/>
  <c r="L2226" i="2"/>
  <c r="G251" i="5"/>
  <c r="G1457" i="14"/>
  <c r="M1457" i="14"/>
  <c r="L2227" i="2"/>
  <c r="Q19" i="3"/>
  <c r="K2150" i="2"/>
  <c r="G1128" i="14"/>
  <c r="I172" i="4"/>
  <c r="L2152" i="2"/>
  <c r="K2140" i="2"/>
  <c r="L2142" i="2"/>
  <c r="G249" i="5"/>
  <c r="L2143" i="2"/>
  <c r="L2083" i="2"/>
  <c r="K1893" i="2"/>
  <c r="L1895" i="2"/>
  <c r="G1597" i="14"/>
  <c r="M1597" i="14"/>
  <c r="L1896" i="2"/>
  <c r="Q115" i="3"/>
  <c r="Q856" i="3"/>
  <c r="AB115" i="3"/>
  <c r="AB856" i="3"/>
  <c r="K1778" i="2"/>
  <c r="L1780" i="2"/>
  <c r="K1758" i="2"/>
  <c r="L1760" i="2"/>
  <c r="G1493" i="14"/>
  <c r="L1761" i="2"/>
  <c r="G1252" i="14"/>
  <c r="L1762" i="2"/>
  <c r="K1731" i="2"/>
  <c r="L1733" i="2"/>
  <c r="G279" i="5"/>
  <c r="L1734" i="2"/>
  <c r="L1735" i="2"/>
  <c r="K1825" i="2"/>
  <c r="L1827" i="2"/>
  <c r="G1371" i="14"/>
  <c r="L1371" i="14"/>
  <c r="L1828" i="2"/>
  <c r="L1829" i="2"/>
  <c r="L1830" i="2"/>
  <c r="L1831" i="2"/>
  <c r="G160" i="5"/>
  <c r="K1813" i="2"/>
  <c r="L1815" i="2"/>
  <c r="K1649" i="2"/>
  <c r="I76" i="4"/>
  <c r="K76" i="4"/>
  <c r="L1651" i="2"/>
  <c r="G1418" i="14"/>
  <c r="L1652" i="2"/>
  <c r="K1639" i="2"/>
  <c r="I23" i="4"/>
  <c r="L1641" i="2"/>
  <c r="L1642" i="2"/>
  <c r="G323" i="5"/>
  <c r="K1531" i="2"/>
  <c r="I180" i="4"/>
  <c r="L1533" i="2"/>
  <c r="K1234" i="2"/>
  <c r="L1236" i="2"/>
  <c r="G1288" i="14"/>
  <c r="S318" i="1"/>
  <c r="R318" i="1"/>
  <c r="K1421" i="2"/>
  <c r="L1423" i="2"/>
  <c r="G118" i="5"/>
  <c r="L1424" i="2"/>
  <c r="L1425" i="2"/>
  <c r="G242" i="5"/>
  <c r="K1304" i="2"/>
  <c r="I154" i="4"/>
  <c r="O154" i="4"/>
  <c r="L1306" i="2"/>
  <c r="L1307" i="2"/>
  <c r="L1308" i="2"/>
  <c r="G241" i="5"/>
  <c r="G1447" i="14"/>
  <c r="K993" i="2"/>
  <c r="L995" i="2"/>
  <c r="G1285" i="14"/>
  <c r="K921" i="2"/>
  <c r="G1150" i="14"/>
  <c r="L923" i="2"/>
  <c r="K384" i="2"/>
  <c r="L386" i="2"/>
  <c r="G311" i="5"/>
  <c r="K210" i="2"/>
  <c r="L212" i="2"/>
  <c r="L213" i="2"/>
  <c r="K77" i="2"/>
  <c r="G1003" i="14"/>
  <c r="L79" i="2"/>
  <c r="L80" i="2"/>
  <c r="S316" i="1"/>
  <c r="K322" i="1"/>
  <c r="R316" i="1"/>
  <c r="K1658" i="2"/>
  <c r="L1660" i="2"/>
  <c r="K1484" i="2"/>
  <c r="L1486" i="2"/>
  <c r="K1463" i="2"/>
  <c r="L1465" i="2"/>
  <c r="L1466" i="2"/>
  <c r="L1467" i="2"/>
  <c r="L1412" i="2"/>
  <c r="L1411" i="2"/>
  <c r="L1402" i="2"/>
  <c r="L1383" i="2"/>
  <c r="L1382" i="2"/>
  <c r="L1381" i="2"/>
  <c r="L1267" i="2"/>
  <c r="L1198" i="2"/>
  <c r="L1197" i="2"/>
  <c r="L1196" i="2"/>
  <c r="L1023" i="2"/>
  <c r="L861" i="2"/>
  <c r="L860" i="2"/>
  <c r="L859" i="2"/>
  <c r="L858" i="2"/>
  <c r="L798" i="2"/>
  <c r="K606" i="2"/>
  <c r="L608" i="2"/>
  <c r="K87" i="2"/>
  <c r="L89" i="2"/>
  <c r="L90" i="2"/>
  <c r="Q244" i="1"/>
  <c r="R244" i="1"/>
  <c r="R232" i="1"/>
  <c r="S232" i="1"/>
  <c r="R228" i="1"/>
  <c r="S228" i="1"/>
  <c r="K791" i="2"/>
  <c r="L793" i="2"/>
  <c r="L794" i="2"/>
  <c r="L795" i="2"/>
  <c r="L796" i="2"/>
  <c r="K722" i="2"/>
  <c r="L724" i="2"/>
  <c r="K698" i="2"/>
  <c r="L700" i="2"/>
  <c r="L701" i="2"/>
  <c r="L702" i="2"/>
  <c r="K671" i="2"/>
  <c r="L673" i="2"/>
  <c r="L674" i="2"/>
  <c r="L675" i="2"/>
  <c r="K142" i="2"/>
  <c r="L144" i="2"/>
  <c r="L145" i="2"/>
  <c r="K67" i="2"/>
  <c r="L69" i="2"/>
  <c r="L70" i="2"/>
  <c r="S265" i="1"/>
  <c r="R230" i="1"/>
  <c r="L1184" i="2"/>
  <c r="L660" i="2"/>
  <c r="L659" i="2"/>
  <c r="L640" i="2"/>
  <c r="K492" i="2"/>
  <c r="L494" i="2"/>
  <c r="G1572" i="14"/>
  <c r="K482" i="2"/>
  <c r="L484" i="2"/>
  <c r="L485" i="2"/>
  <c r="K339" i="2"/>
  <c r="G964" i="14"/>
  <c r="L341" i="2"/>
  <c r="L342" i="2"/>
  <c r="K266" i="2"/>
  <c r="L268" i="2"/>
  <c r="G373" i="5"/>
  <c r="L269" i="2"/>
  <c r="K97" i="2"/>
  <c r="L99" i="2"/>
  <c r="L100" i="2"/>
  <c r="G10" i="5"/>
  <c r="K57" i="2"/>
  <c r="L59" i="2"/>
  <c r="L60" i="2"/>
  <c r="S319" i="1"/>
  <c r="R319" i="1"/>
  <c r="R317" i="1"/>
  <c r="R302" i="1"/>
  <c r="S244" i="1"/>
  <c r="L288" i="2"/>
  <c r="G80" i="5"/>
  <c r="G1271" i="14"/>
  <c r="M1271" i="14"/>
  <c r="L287" i="2"/>
  <c r="L278" i="2"/>
  <c r="L225" i="2"/>
  <c r="G14" i="5"/>
  <c r="L224" i="2"/>
  <c r="L191" i="2"/>
  <c r="L190" i="2"/>
  <c r="L189" i="2"/>
  <c r="L174" i="2"/>
  <c r="G1269" i="14"/>
  <c r="L173" i="2"/>
  <c r="L164" i="2"/>
  <c r="G13" i="5"/>
  <c r="L163" i="2"/>
  <c r="L154" i="2"/>
  <c r="G189" i="5"/>
  <c r="L21" i="2"/>
  <c r="G335" i="5"/>
  <c r="L20" i="2"/>
  <c r="G1460" i="14"/>
  <c r="M1460" i="14"/>
  <c r="T298" i="1"/>
  <c r="S242" i="1"/>
  <c r="S157" i="1"/>
  <c r="S153" i="1"/>
  <c r="R127" i="1"/>
  <c r="T127" i="1"/>
  <c r="S127" i="1"/>
  <c r="R243" i="1"/>
  <c r="R233" i="1"/>
  <c r="S233" i="1"/>
  <c r="R231" i="1"/>
  <c r="S231" i="1"/>
  <c r="R229" i="1"/>
  <c r="S229" i="1"/>
  <c r="R227" i="1"/>
  <c r="T149" i="1"/>
  <c r="R147" i="1"/>
  <c r="R144" i="1"/>
  <c r="T144" i="1"/>
  <c r="Q91" i="1"/>
  <c r="S91" i="1"/>
  <c r="R91" i="1"/>
  <c r="T155" i="1"/>
  <c r="Q155" i="1"/>
  <c r="S155" i="1"/>
  <c r="S129" i="1"/>
  <c r="K123" i="1"/>
  <c r="R180" i="1"/>
  <c r="R174" i="1"/>
  <c r="K148" i="1"/>
  <c r="T48" i="1"/>
  <c r="S48" i="1"/>
  <c r="R48" i="1"/>
  <c r="K160" i="1"/>
  <c r="Q153" i="1"/>
  <c r="R137" i="1"/>
  <c r="Q129" i="1"/>
  <c r="S121" i="1"/>
  <c r="S109" i="1"/>
  <c r="K112" i="1"/>
  <c r="R109" i="1"/>
  <c r="R110" i="1"/>
  <c r="T110" i="1"/>
  <c r="T96" i="1"/>
  <c r="S96" i="1"/>
  <c r="T28" i="1"/>
  <c r="S26" i="1"/>
  <c r="R26" i="1"/>
  <c r="R22" i="1"/>
  <c r="R20" i="1"/>
  <c r="R19" i="1"/>
  <c r="S77" i="1"/>
  <c r="R77" i="1"/>
  <c r="R61" i="1"/>
  <c r="R60" i="1"/>
  <c r="S59" i="1"/>
  <c r="R59" i="1"/>
  <c r="R58" i="1"/>
  <c r="T49" i="1"/>
  <c r="T42" i="1"/>
  <c r="R28" i="1"/>
  <c r="T65" i="1"/>
  <c r="T64" i="1"/>
  <c r="S64" i="1"/>
  <c r="AB437" i="3"/>
  <c r="H1167" i="8"/>
  <c r="J1167" i="8"/>
  <c r="H2360" i="8"/>
  <c r="J2360" i="8"/>
  <c r="J644" i="14"/>
  <c r="J119" i="8"/>
  <c r="J116" i="8"/>
  <c r="P16" i="1"/>
  <c r="T16" i="1"/>
  <c r="J686" i="8"/>
  <c r="J684" i="8"/>
  <c r="P84" i="1"/>
  <c r="T84" i="1"/>
  <c r="J570" i="8"/>
  <c r="J568" i="8"/>
  <c r="P73" i="1"/>
  <c r="T73" i="1"/>
  <c r="J1840" i="8"/>
  <c r="J1837" i="8"/>
  <c r="P242" i="1"/>
  <c r="T242" i="1"/>
  <c r="J225" i="8"/>
  <c r="AB934" i="3"/>
  <c r="Z933" i="3"/>
  <c r="H2396" i="8"/>
  <c r="J2396" i="8"/>
  <c r="J145" i="8"/>
  <c r="J142" i="8"/>
  <c r="P19" i="1"/>
  <c r="T19" i="1"/>
  <c r="J675" i="8"/>
  <c r="J671" i="8"/>
  <c r="P83" i="1"/>
  <c r="T83" i="1"/>
  <c r="J814" i="8"/>
  <c r="J811" i="8"/>
  <c r="P100" i="1"/>
  <c r="T100" i="1"/>
  <c r="AB224" i="3"/>
  <c r="AB250" i="3"/>
  <c r="AB254" i="3"/>
  <c r="H93" i="8"/>
  <c r="J93" i="8"/>
  <c r="H454" i="8"/>
  <c r="J454" i="8"/>
  <c r="H1564" i="8"/>
  <c r="J1564" i="8"/>
  <c r="H1969" i="8"/>
  <c r="J1969" i="8"/>
  <c r="H272" i="8"/>
  <c r="J272" i="8"/>
  <c r="H1713" i="8"/>
  <c r="J1713" i="8"/>
  <c r="H237" i="8"/>
  <c r="J237" i="8"/>
  <c r="AB258" i="3"/>
  <c r="H181" i="8"/>
  <c r="J181" i="8"/>
  <c r="AB670" i="3"/>
  <c r="AB667" i="3"/>
  <c r="AB677" i="3"/>
  <c r="AB668" i="3"/>
  <c r="H238" i="8"/>
  <c r="J238" i="8"/>
  <c r="H1460" i="8"/>
  <c r="J1460" i="8"/>
  <c r="H84" i="8"/>
  <c r="J84" i="8"/>
  <c r="H1376" i="8"/>
  <c r="J1376" i="8"/>
  <c r="H1596" i="8"/>
  <c r="J1596" i="8"/>
  <c r="H1970" i="8"/>
  <c r="J1970" i="8"/>
  <c r="H644" i="8"/>
  <c r="J644" i="8"/>
  <c r="H1704" i="8"/>
  <c r="J1704" i="8"/>
  <c r="AB675" i="3"/>
  <c r="J269" i="8"/>
  <c r="J266" i="8"/>
  <c r="P35" i="1"/>
  <c r="T35" i="1"/>
  <c r="J1896" i="8"/>
  <c r="J1893" i="8"/>
  <c r="P249" i="1"/>
  <c r="T249" i="1"/>
  <c r="J559" i="8"/>
  <c r="J555" i="8"/>
  <c r="P72" i="1"/>
  <c r="T72" i="1"/>
  <c r="K124" i="1"/>
  <c r="S123" i="1"/>
  <c r="F957" i="2"/>
  <c r="R160" i="1"/>
  <c r="F1207" i="2"/>
  <c r="G254" i="5"/>
  <c r="G1393" i="14"/>
  <c r="G78" i="5"/>
  <c r="G1201" i="14"/>
  <c r="G1602" i="14"/>
  <c r="M1602" i="14"/>
  <c r="M1713" i="14"/>
  <c r="G343" i="5"/>
  <c r="G12" i="5"/>
  <c r="G1203" i="14"/>
  <c r="G28" i="5"/>
  <c r="G1219" i="14"/>
  <c r="G168" i="5"/>
  <c r="G1370" i="14"/>
  <c r="G262" i="5"/>
  <c r="G1468" i="14"/>
  <c r="G138" i="5"/>
  <c r="G1340" i="14"/>
  <c r="G129" i="5"/>
  <c r="G1331" i="14"/>
  <c r="I160" i="4"/>
  <c r="G1116" i="14"/>
  <c r="I47" i="4"/>
  <c r="G1540" i="14"/>
  <c r="G89" i="5"/>
  <c r="G1448" i="14"/>
  <c r="G92" i="5"/>
  <c r="G1552" i="14"/>
  <c r="G214" i="5"/>
  <c r="G1362" i="14"/>
  <c r="G169" i="5"/>
  <c r="G1492" i="14"/>
  <c r="G280" i="5"/>
  <c r="I169" i="4"/>
  <c r="G1125" i="14"/>
  <c r="G319" i="5"/>
  <c r="G1435" i="14"/>
  <c r="G52" i="5"/>
  <c r="G1244" i="14"/>
  <c r="G284" i="5"/>
  <c r="Q284" i="5"/>
  <c r="G1123" i="14"/>
  <c r="G1280" i="14"/>
  <c r="Z194" i="3"/>
  <c r="AA195" i="3"/>
  <c r="J1492" i="8"/>
  <c r="J1491" i="8"/>
  <c r="M195" i="1"/>
  <c r="Q195" i="1"/>
  <c r="J198" i="14"/>
  <c r="G495" i="5"/>
  <c r="G1534" i="14"/>
  <c r="H1135" i="8"/>
  <c r="J1135" i="8"/>
  <c r="H775" i="8"/>
  <c r="J775" i="8"/>
  <c r="J122" i="14"/>
  <c r="AB59" i="3"/>
  <c r="AB67" i="3"/>
  <c r="AB79" i="3"/>
  <c r="AB99" i="3"/>
  <c r="AB65" i="3"/>
  <c r="AB82" i="3"/>
  <c r="AB90" i="3"/>
  <c r="AB78" i="3"/>
  <c r="AB89" i="3"/>
  <c r="AB96" i="3"/>
  <c r="AB85" i="3"/>
  <c r="AB66" i="3"/>
  <c r="AB76" i="3"/>
  <c r="H203" i="8"/>
  <c r="J203" i="8"/>
  <c r="H378" i="8"/>
  <c r="J378" i="8"/>
  <c r="H2218" i="8"/>
  <c r="J2218" i="8"/>
  <c r="H333" i="8"/>
  <c r="J333" i="8"/>
  <c r="H433" i="8"/>
  <c r="J433" i="8"/>
  <c r="H475" i="8"/>
  <c r="J475" i="8"/>
  <c r="H744" i="8"/>
  <c r="J744" i="8"/>
  <c r="H11" i="8"/>
  <c r="J11" i="8"/>
  <c r="H52" i="8"/>
  <c r="J52" i="8"/>
  <c r="H1259" i="8"/>
  <c r="J1259" i="8"/>
  <c r="H1298" i="8"/>
  <c r="J1298" i="8"/>
  <c r="H401" i="8"/>
  <c r="J401" i="8"/>
  <c r="H1525" i="8"/>
  <c r="J1525" i="8"/>
  <c r="H2031" i="8"/>
  <c r="J2031" i="8"/>
  <c r="H2253" i="8"/>
  <c r="J2253" i="8"/>
  <c r="H622" i="8"/>
  <c r="J622" i="8"/>
  <c r="H1900" i="8"/>
  <c r="J1900" i="8"/>
  <c r="H2022" i="8"/>
  <c r="J2022" i="8"/>
  <c r="J2020" i="8"/>
  <c r="M265" i="1"/>
  <c r="Q265" i="1"/>
  <c r="H2240" i="8"/>
  <c r="J2240" i="8"/>
  <c r="H1327" i="8"/>
  <c r="J1327" i="8"/>
  <c r="H1510" i="8"/>
  <c r="J1510" i="8"/>
  <c r="H2206" i="8"/>
  <c r="J2206" i="8"/>
  <c r="H1865" i="8"/>
  <c r="J1865" i="8"/>
  <c r="J427" i="3"/>
  <c r="S427" i="3"/>
  <c r="L427" i="3"/>
  <c r="AB427" i="3"/>
  <c r="I123" i="4"/>
  <c r="G1044" i="14"/>
  <c r="Y253" i="3"/>
  <c r="Y254" i="3"/>
  <c r="Y222" i="3"/>
  <c r="Y225" i="3"/>
  <c r="Y232" i="3"/>
  <c r="Y257" i="3"/>
  <c r="Y258" i="3"/>
  <c r="Y234" i="3"/>
  <c r="Y250" i="3"/>
  <c r="Y245" i="3"/>
  <c r="AB61" i="3"/>
  <c r="Z343" i="3"/>
  <c r="H2161" i="8"/>
  <c r="J2161" i="8"/>
  <c r="J357" i="14"/>
  <c r="H183" i="8"/>
  <c r="J183" i="8"/>
  <c r="AB719" i="3"/>
  <c r="AB720" i="3"/>
  <c r="H1335" i="8"/>
  <c r="J1335" i="8"/>
  <c r="H1495" i="8"/>
  <c r="J1495" i="8"/>
  <c r="Y256" i="3"/>
  <c r="AA284" i="3"/>
  <c r="Z444" i="3"/>
  <c r="H1499" i="8"/>
  <c r="J1499" i="8"/>
  <c r="J466" i="14"/>
  <c r="AA283" i="3"/>
  <c r="Q442" i="3"/>
  <c r="L442" i="3"/>
  <c r="AA453" i="3"/>
  <c r="AA457" i="3"/>
  <c r="AA473" i="3"/>
  <c r="AA477" i="3"/>
  <c r="AA501" i="3"/>
  <c r="AA505" i="3"/>
  <c r="AA509" i="3"/>
  <c r="AA513" i="3"/>
  <c r="AA454" i="3"/>
  <c r="AA466" i="3"/>
  <c r="AA502" i="3"/>
  <c r="AA522" i="3"/>
  <c r="AA451" i="3"/>
  <c r="AA474" i="3"/>
  <c r="AA486" i="3"/>
  <c r="AA510" i="3"/>
  <c r="AA519" i="3"/>
  <c r="AA462" i="3"/>
  <c r="AA525" i="3"/>
  <c r="AA478" i="3"/>
  <c r="AA507" i="3"/>
  <c r="AA471" i="3"/>
  <c r="AB718" i="3"/>
  <c r="AA360" i="3"/>
  <c r="AA376" i="3"/>
  <c r="AA392" i="3"/>
  <c r="AA362" i="3"/>
  <c r="AA365" i="3"/>
  <c r="AA378" i="3"/>
  <c r="AA380" i="3"/>
  <c r="AA381" i="3"/>
  <c r="AA396" i="3"/>
  <c r="AA397" i="3"/>
  <c r="AA372" i="3"/>
  <c r="AA388" i="3"/>
  <c r="AA382" i="3"/>
  <c r="AA400" i="3"/>
  <c r="AA366" i="3"/>
  <c r="AA369" i="3"/>
  <c r="AA384" i="3"/>
  <c r="AA398" i="3"/>
  <c r="AB447" i="3"/>
  <c r="Z446" i="3"/>
  <c r="H1635" i="8"/>
  <c r="J1635" i="8"/>
  <c r="J468" i="14"/>
  <c r="Y264" i="3"/>
  <c r="L440" i="3"/>
  <c r="S440" i="3"/>
  <c r="Y440" i="3"/>
  <c r="J440" i="3"/>
  <c r="Q440" i="3"/>
  <c r="O440" i="3"/>
  <c r="Y567" i="3"/>
  <c r="AA688" i="3"/>
  <c r="J960" i="3"/>
  <c r="Q960" i="3"/>
  <c r="L960" i="3"/>
  <c r="S960" i="3"/>
  <c r="O960" i="3"/>
  <c r="AA508" i="3"/>
  <c r="Y564" i="3"/>
  <c r="L899" i="3"/>
  <c r="S899" i="3"/>
  <c r="Z948" i="3"/>
  <c r="H2305" i="8"/>
  <c r="J2305" i="8"/>
  <c r="H2340" i="8"/>
  <c r="J2340" i="8"/>
  <c r="H2418" i="8"/>
  <c r="J2418" i="8"/>
  <c r="S852" i="3"/>
  <c r="S946" i="3"/>
  <c r="O946" i="3"/>
  <c r="J946" i="3"/>
  <c r="Q946" i="3"/>
  <c r="L946" i="3"/>
  <c r="AB946" i="3"/>
  <c r="AA946" i="3"/>
  <c r="J303" i="8"/>
  <c r="J299" i="8"/>
  <c r="P39" i="1"/>
  <c r="T39" i="1"/>
  <c r="J608" i="8"/>
  <c r="J606" i="8"/>
  <c r="P76" i="1"/>
  <c r="T76" i="1"/>
  <c r="J1277" i="8"/>
  <c r="J1275" i="8"/>
  <c r="P168" i="1"/>
  <c r="T168" i="1"/>
  <c r="J210" i="8"/>
  <c r="P30" i="1"/>
  <c r="T30" i="1"/>
  <c r="J2049" i="8"/>
  <c r="J2047" i="8"/>
  <c r="P268" i="1"/>
  <c r="T268" i="1"/>
  <c r="P304" i="5"/>
  <c r="S955" i="3"/>
  <c r="Y955" i="3"/>
  <c r="O955" i="3"/>
  <c r="J955" i="3"/>
  <c r="Q955" i="3"/>
  <c r="L955" i="3"/>
  <c r="AB955" i="3"/>
  <c r="AA955" i="3"/>
  <c r="L134" i="14"/>
  <c r="L862" i="14"/>
  <c r="I21" i="12"/>
  <c r="M1139" i="14"/>
  <c r="L1139" i="14"/>
  <c r="M130" i="14"/>
  <c r="L130" i="14"/>
  <c r="L1166" i="14"/>
  <c r="L1289" i="14"/>
  <c r="L1669" i="14"/>
  <c r="S148" i="1"/>
  <c r="R148" i="1"/>
  <c r="Q148" i="1"/>
  <c r="F1123" i="2"/>
  <c r="G339" i="5"/>
  <c r="G1568" i="14"/>
  <c r="L1568" i="14"/>
  <c r="G188" i="5"/>
  <c r="G1392" i="14"/>
  <c r="I182" i="4"/>
  <c r="G1138" i="14"/>
  <c r="M1138" i="14"/>
  <c r="G200" i="5"/>
  <c r="G1404" i="14"/>
  <c r="G7" i="5"/>
  <c r="G1198" i="14"/>
  <c r="M1198" i="14"/>
  <c r="G1590" i="14"/>
  <c r="G361" i="5"/>
  <c r="G277" i="5"/>
  <c r="G1490" i="14"/>
  <c r="G278" i="5"/>
  <c r="G1491" i="14"/>
  <c r="G352" i="5"/>
  <c r="G1581" i="14"/>
  <c r="I192" i="4"/>
  <c r="G1148" i="14"/>
  <c r="G9" i="5"/>
  <c r="G1200" i="14"/>
  <c r="M1200" i="14"/>
  <c r="G387" i="5"/>
  <c r="G1622" i="14"/>
  <c r="G100" i="5"/>
  <c r="G1296" i="14"/>
  <c r="M1296" i="14"/>
  <c r="G181" i="5"/>
  <c r="G1383" i="14"/>
  <c r="G203" i="5"/>
  <c r="G1407" i="14"/>
  <c r="G50" i="5"/>
  <c r="G1241" i="14"/>
  <c r="G147" i="5"/>
  <c r="G1349" i="14"/>
  <c r="G308" i="5"/>
  <c r="G1537" i="14"/>
  <c r="I9" i="4"/>
  <c r="P9" i="4"/>
  <c r="G965" i="14"/>
  <c r="M965" i="14"/>
  <c r="I196" i="4"/>
  <c r="G1152" i="14"/>
  <c r="G318" i="5"/>
  <c r="G1547" i="14"/>
  <c r="L1547" i="14"/>
  <c r="G320" i="5"/>
  <c r="G1549" i="14"/>
  <c r="I204" i="4"/>
  <c r="G1160" i="14"/>
  <c r="M1160" i="14"/>
  <c r="G244" i="5"/>
  <c r="G1450" i="14"/>
  <c r="G1032" i="14"/>
  <c r="L1032" i="14"/>
  <c r="I211" i="4"/>
  <c r="G1167" i="14"/>
  <c r="I227" i="4"/>
  <c r="G1183" i="14"/>
  <c r="I228" i="4"/>
  <c r="G1184" i="14"/>
  <c r="I35" i="4"/>
  <c r="G991" i="14"/>
  <c r="L991" i="14"/>
  <c r="J134" i="3"/>
  <c r="Q134" i="3"/>
  <c r="AB134" i="3"/>
  <c r="S134" i="3"/>
  <c r="O134" i="3"/>
  <c r="AA134" i="3"/>
  <c r="L134" i="3"/>
  <c r="Y134" i="3"/>
  <c r="G1029" i="14"/>
  <c r="L1029" i="14"/>
  <c r="G1595" i="14"/>
  <c r="M1595" i="14"/>
  <c r="G97" i="5"/>
  <c r="G1293" i="14"/>
  <c r="G220" i="5"/>
  <c r="I220" i="5"/>
  <c r="G1424" i="14"/>
  <c r="G75" i="5"/>
  <c r="G1266" i="14"/>
  <c r="G91" i="5"/>
  <c r="Q91" i="5"/>
  <c r="G1287" i="14"/>
  <c r="G253" i="5"/>
  <c r="Q253" i="5"/>
  <c r="G1459" i="14"/>
  <c r="M1459" i="14"/>
  <c r="G119" i="5"/>
  <c r="G1317" i="14"/>
  <c r="Y178" i="3"/>
  <c r="G482" i="5"/>
  <c r="G1275" i="14"/>
  <c r="M1275" i="14"/>
  <c r="G513" i="5"/>
  <c r="G1516" i="14"/>
  <c r="G489" i="5"/>
  <c r="G1321" i="14"/>
  <c r="I246" i="4"/>
  <c r="G1191" i="14"/>
  <c r="J194" i="3"/>
  <c r="Q194" i="3"/>
  <c r="AB194" i="3"/>
  <c r="L194" i="3"/>
  <c r="S194" i="3"/>
  <c r="AA194" i="3"/>
  <c r="Y194" i="3"/>
  <c r="O194" i="3"/>
  <c r="Y184" i="3"/>
  <c r="S12" i="3"/>
  <c r="J12" i="3"/>
  <c r="Q12" i="3"/>
  <c r="L12" i="3"/>
  <c r="O12" i="3"/>
  <c r="Y60" i="3"/>
  <c r="L107" i="3"/>
  <c r="O107" i="3"/>
  <c r="Y107" i="3"/>
  <c r="S107" i="3"/>
  <c r="AB107" i="3"/>
  <c r="J107" i="3"/>
  <c r="Q107" i="3"/>
  <c r="Z289" i="3"/>
  <c r="H1353" i="8"/>
  <c r="J1353" i="8"/>
  <c r="H1444" i="8"/>
  <c r="J1444" i="8"/>
  <c r="J299" i="14"/>
  <c r="Y246" i="3"/>
  <c r="L331" i="3"/>
  <c r="O331" i="3"/>
  <c r="Q331" i="3"/>
  <c r="Y331" i="3"/>
  <c r="J331" i="3"/>
  <c r="S331" i="3"/>
  <c r="AB701" i="3"/>
  <c r="Z700" i="3"/>
  <c r="H2086" i="8"/>
  <c r="J2086" i="8"/>
  <c r="J744" i="14"/>
  <c r="O716" i="3"/>
  <c r="J716" i="3"/>
  <c r="S716" i="3"/>
  <c r="AB716" i="3"/>
  <c r="Q716" i="3"/>
  <c r="Y716" i="3"/>
  <c r="L716" i="3"/>
  <c r="Y339" i="3"/>
  <c r="Y430" i="3"/>
  <c r="Y431" i="3"/>
  <c r="Z533" i="3"/>
  <c r="H344" i="8"/>
  <c r="J344" i="8"/>
  <c r="J566" i="14"/>
  <c r="AB710" i="3"/>
  <c r="AB772" i="3"/>
  <c r="AB711" i="3"/>
  <c r="AB780" i="3"/>
  <c r="H363" i="8"/>
  <c r="J363" i="8"/>
  <c r="Z709" i="3"/>
  <c r="H1142" i="8"/>
  <c r="J1142" i="8"/>
  <c r="H194" i="8"/>
  <c r="J194" i="8"/>
  <c r="H782" i="8"/>
  <c r="J782" i="8"/>
  <c r="H1929" i="8"/>
  <c r="J1929" i="8"/>
  <c r="H388" i="8"/>
  <c r="J388" i="8"/>
  <c r="J753" i="14"/>
  <c r="AA495" i="3"/>
  <c r="L547" i="3"/>
  <c r="O547" i="3"/>
  <c r="Q547" i="3"/>
  <c r="Y547" i="3"/>
  <c r="J547" i="3"/>
  <c r="S547" i="3"/>
  <c r="Y660" i="3"/>
  <c r="Y654" i="3"/>
  <c r="Y663" i="3"/>
  <c r="Y447" i="3"/>
  <c r="AA475" i="3"/>
  <c r="Y575" i="3"/>
  <c r="S937" i="3"/>
  <c r="Y937" i="3"/>
  <c r="L937" i="3"/>
  <c r="O937" i="3"/>
  <c r="J937" i="3"/>
  <c r="Q937" i="3"/>
  <c r="AA357" i="3"/>
  <c r="AA456" i="3"/>
  <c r="L908" i="3"/>
  <c r="Z969" i="3"/>
  <c r="H2307" i="8"/>
  <c r="J2307" i="8"/>
  <c r="H2419" i="8"/>
  <c r="J2419" i="8"/>
  <c r="H2342" i="8"/>
  <c r="J2342" i="8"/>
  <c r="J554" i="3"/>
  <c r="Q554" i="3"/>
  <c r="L554" i="3"/>
  <c r="O554" i="3"/>
  <c r="S554" i="3"/>
  <c r="J899" i="3"/>
  <c r="S964" i="3"/>
  <c r="Y964" i="3"/>
  <c r="O964" i="3"/>
  <c r="J964" i="3"/>
  <c r="Q964" i="3"/>
  <c r="L964" i="3"/>
  <c r="AB964" i="3"/>
  <c r="AA964" i="3"/>
  <c r="AB950" i="3"/>
  <c r="J724" i="8"/>
  <c r="J722" i="8"/>
  <c r="P87" i="1"/>
  <c r="T87" i="1"/>
  <c r="J1746" i="8"/>
  <c r="J1744" i="8"/>
  <c r="P230" i="1"/>
  <c r="T230" i="1"/>
  <c r="J702" i="8"/>
  <c r="J698" i="8"/>
  <c r="P85" i="1"/>
  <c r="T85" i="1"/>
  <c r="P348" i="5"/>
  <c r="J1018" i="8"/>
  <c r="J1016" i="8"/>
  <c r="M132" i="1"/>
  <c r="Q132" i="1"/>
  <c r="J631" i="8"/>
  <c r="J628" i="8"/>
  <c r="P79" i="1"/>
  <c r="T79" i="1"/>
  <c r="J2336" i="8"/>
  <c r="J2331" i="8"/>
  <c r="P317" i="1"/>
  <c r="T317" i="1"/>
  <c r="J714" i="8"/>
  <c r="J709" i="8"/>
  <c r="P86" i="1"/>
  <c r="T86" i="1"/>
  <c r="J1758" i="8"/>
  <c r="P231" i="1"/>
  <c r="T231" i="1"/>
  <c r="L133" i="14"/>
  <c r="L861" i="14"/>
  <c r="Y64" i="3"/>
  <c r="M48" i="14"/>
  <c r="L48" i="14"/>
  <c r="M443" i="14"/>
  <c r="L443" i="14"/>
  <c r="L1286" i="14"/>
  <c r="L1662" i="14"/>
  <c r="I137" i="4"/>
  <c r="G1093" i="14"/>
  <c r="L1093" i="14"/>
  <c r="G108" i="5"/>
  <c r="P108" i="5"/>
  <c r="G1304" i="14"/>
  <c r="M1304" i="14"/>
  <c r="G225" i="5"/>
  <c r="G1429" i="14"/>
  <c r="G310" i="5"/>
  <c r="Q310" i="5"/>
  <c r="G1539" i="14"/>
  <c r="G238" i="5"/>
  <c r="G1444" i="14"/>
  <c r="G198" i="5"/>
  <c r="I198" i="5"/>
  <c r="G1402" i="14"/>
  <c r="G26" i="5"/>
  <c r="G1217" i="14"/>
  <c r="G185" i="5"/>
  <c r="G1389" i="14"/>
  <c r="I133" i="4"/>
  <c r="G1089" i="14"/>
  <c r="I225" i="4"/>
  <c r="K225" i="4"/>
  <c r="G1181" i="14"/>
  <c r="I226" i="4"/>
  <c r="G1182" i="14"/>
  <c r="G159" i="5"/>
  <c r="P159" i="5"/>
  <c r="G1361" i="14"/>
  <c r="L1361" i="14"/>
  <c r="G187" i="5"/>
  <c r="G1391" i="14"/>
  <c r="G22" i="5"/>
  <c r="I22" i="5"/>
  <c r="G1213" i="14"/>
  <c r="M1213" i="14"/>
  <c r="G394" i="5"/>
  <c r="G1629" i="14"/>
  <c r="G45" i="5"/>
  <c r="G1236" i="14"/>
  <c r="G47" i="5"/>
  <c r="G1238" i="14"/>
  <c r="G205" i="5"/>
  <c r="L205" i="5"/>
  <c r="G1409" i="14"/>
  <c r="G207" i="5"/>
  <c r="G1411" i="14"/>
  <c r="I229" i="4"/>
  <c r="G1185" i="14"/>
  <c r="G8" i="5"/>
  <c r="G1199" i="14"/>
  <c r="G234" i="5"/>
  <c r="I234" i="5"/>
  <c r="G1440" i="14"/>
  <c r="G87" i="5"/>
  <c r="G1283" i="14"/>
  <c r="G117" i="5"/>
  <c r="Q117" i="5"/>
  <c r="G1315" i="14"/>
  <c r="G349" i="5"/>
  <c r="I349" i="5"/>
  <c r="G1578" i="14"/>
  <c r="M1578" i="14"/>
  <c r="G270" i="5"/>
  <c r="Q270" i="5"/>
  <c r="G1476" i="14"/>
  <c r="G302" i="5"/>
  <c r="G1529" i="14"/>
  <c r="G291" i="5"/>
  <c r="Q291" i="5"/>
  <c r="G1508" i="14"/>
  <c r="G292" i="5"/>
  <c r="G1509" i="14"/>
  <c r="G96" i="5"/>
  <c r="Q96" i="5"/>
  <c r="Q446" i="5"/>
  <c r="G1292" i="14"/>
  <c r="M1292" i="14"/>
  <c r="M1683" i="14"/>
  <c r="G64" i="5"/>
  <c r="G1255" i="14"/>
  <c r="I33" i="4"/>
  <c r="K33" i="4"/>
  <c r="G989" i="14"/>
  <c r="J32" i="3"/>
  <c r="Q32" i="3"/>
  <c r="AB32" i="3"/>
  <c r="S32" i="3"/>
  <c r="L32" i="3"/>
  <c r="Y32" i="3"/>
  <c r="O32" i="3"/>
  <c r="Z45" i="3"/>
  <c r="AB49" i="3"/>
  <c r="H801" i="8"/>
  <c r="J801" i="8"/>
  <c r="H1153" i="8"/>
  <c r="J1153" i="8"/>
  <c r="H808" i="8"/>
  <c r="J808" i="8"/>
  <c r="J807" i="8"/>
  <c r="M100" i="1"/>
  <c r="Q100" i="1"/>
  <c r="H1834" i="8"/>
  <c r="J1834" i="8"/>
  <c r="J1833" i="8"/>
  <c r="M242" i="1"/>
  <c r="Q242" i="1"/>
  <c r="J43" i="14"/>
  <c r="I22" i="4"/>
  <c r="G978" i="14"/>
  <c r="I163" i="4"/>
  <c r="P163" i="4"/>
  <c r="G1119" i="14"/>
  <c r="I75" i="4"/>
  <c r="G1031" i="14"/>
  <c r="M1031" i="14"/>
  <c r="G324" i="5"/>
  <c r="G1553" i="14"/>
  <c r="I119" i="4"/>
  <c r="G1075" i="14"/>
  <c r="L1075" i="14"/>
  <c r="I84" i="4"/>
  <c r="G1040" i="14"/>
  <c r="I220" i="4"/>
  <c r="G1176" i="14"/>
  <c r="G1175" i="14"/>
  <c r="I200" i="4"/>
  <c r="G1156" i="14"/>
  <c r="G221" i="5"/>
  <c r="G1425" i="14"/>
  <c r="I38" i="4"/>
  <c r="O38" i="4"/>
  <c r="G994" i="14"/>
  <c r="G62" i="5"/>
  <c r="G1253" i="14"/>
  <c r="H2085" i="8"/>
  <c r="J2085" i="8"/>
  <c r="J13" i="14"/>
  <c r="Z15" i="3"/>
  <c r="Z107" i="3"/>
  <c r="AA108" i="3"/>
  <c r="H2199" i="8"/>
  <c r="J2199" i="8"/>
  <c r="J2198" i="8"/>
  <c r="M293" i="1"/>
  <c r="Q293" i="1"/>
  <c r="J105" i="14"/>
  <c r="AB195" i="3"/>
  <c r="G1610" i="14"/>
  <c r="G502" i="5"/>
  <c r="G1494" i="14"/>
  <c r="G504" i="5"/>
  <c r="G1496" i="14"/>
  <c r="G516" i="5"/>
  <c r="G1527" i="14"/>
  <c r="G500" i="5"/>
  <c r="G1485" i="14"/>
  <c r="AB97" i="3"/>
  <c r="Z111" i="3"/>
  <c r="AB114" i="3"/>
  <c r="AB855" i="3"/>
  <c r="AB113" i="3"/>
  <c r="AB803" i="3"/>
  <c r="H1774" i="8"/>
  <c r="J1774" i="8"/>
  <c r="J1775" i="8"/>
  <c r="J1773" i="8"/>
  <c r="M233" i="1"/>
  <c r="Q233" i="1"/>
  <c r="J109" i="14"/>
  <c r="H1765" i="8"/>
  <c r="J1765" i="8"/>
  <c r="H1803" i="8"/>
  <c r="J1803" i="8"/>
  <c r="H852" i="8"/>
  <c r="J852" i="8"/>
  <c r="J853" i="8"/>
  <c r="J851" i="8"/>
  <c r="M107" i="1"/>
  <c r="Q107" i="1"/>
  <c r="H589" i="8"/>
  <c r="J589" i="8"/>
  <c r="Y102" i="3"/>
  <c r="J323" i="3"/>
  <c r="Q323" i="3"/>
  <c r="S323" i="3"/>
  <c r="O323" i="3"/>
  <c r="L323" i="3"/>
  <c r="Y61" i="3"/>
  <c r="Y231" i="3"/>
  <c r="AA315" i="3"/>
  <c r="AA318" i="3"/>
  <c r="AA319" i="3"/>
  <c r="J335" i="3"/>
  <c r="Q335" i="3"/>
  <c r="L335" i="3"/>
  <c r="O335" i="3"/>
  <c r="Y335" i="3"/>
  <c r="S335" i="3"/>
  <c r="O698" i="3"/>
  <c r="AA135" i="3"/>
  <c r="AA817" i="3"/>
  <c r="AA136" i="3"/>
  <c r="AA818" i="3"/>
  <c r="Z337" i="3"/>
  <c r="AB339" i="3"/>
  <c r="AB340" i="3"/>
  <c r="H2054" i="8"/>
  <c r="J2054" i="8"/>
  <c r="H2170" i="8"/>
  <c r="J2170" i="8"/>
  <c r="H2182" i="8"/>
  <c r="J2182" i="8"/>
  <c r="J351" i="14"/>
  <c r="AB428" i="3"/>
  <c r="Z427" i="3"/>
  <c r="H2093" i="8"/>
  <c r="J2093" i="8"/>
  <c r="J2092" i="8"/>
  <c r="M276" i="1"/>
  <c r="Q276" i="1"/>
  <c r="H2102" i="8"/>
  <c r="J2102" i="8"/>
  <c r="J2101" i="8"/>
  <c r="M279" i="1"/>
  <c r="Q279" i="1"/>
  <c r="J449" i="14"/>
  <c r="Q531" i="3"/>
  <c r="S531" i="3"/>
  <c r="J707" i="3"/>
  <c r="Q707" i="3"/>
  <c r="AB707" i="3"/>
  <c r="L707" i="3"/>
  <c r="S707" i="3"/>
  <c r="O707" i="3"/>
  <c r="J551" i="3"/>
  <c r="Q551" i="3"/>
  <c r="L551" i="3"/>
  <c r="O551" i="3"/>
  <c r="S551" i="3"/>
  <c r="L767" i="3"/>
  <c r="AB663" i="3"/>
  <c r="Z650" i="3"/>
  <c r="AB662" i="3"/>
  <c r="H149" i="8"/>
  <c r="J149" i="8"/>
  <c r="H229" i="8"/>
  <c r="J229" i="8"/>
  <c r="H273" i="8"/>
  <c r="J273" i="8"/>
  <c r="J271" i="8"/>
  <c r="M36" i="1"/>
  <c r="Q36" i="1"/>
  <c r="H818" i="8"/>
  <c r="J818" i="8"/>
  <c r="H455" i="8"/>
  <c r="J455" i="8"/>
  <c r="H1586" i="8"/>
  <c r="J1586" i="8"/>
  <c r="H1565" i="8"/>
  <c r="J1565" i="8"/>
  <c r="J1563" i="8"/>
  <c r="M202" i="1"/>
  <c r="Q202" i="1"/>
  <c r="H1655" i="8"/>
  <c r="J1655" i="8"/>
  <c r="H1961" i="8"/>
  <c r="J1961" i="8"/>
  <c r="H1695" i="8"/>
  <c r="J1695" i="8"/>
  <c r="H519" i="8"/>
  <c r="J519" i="8"/>
  <c r="H635" i="8"/>
  <c r="J635" i="8"/>
  <c r="H1397" i="8"/>
  <c r="J1397" i="8"/>
  <c r="H2265" i="8"/>
  <c r="J2265" i="8"/>
  <c r="J694" i="14"/>
  <c r="AA472" i="3"/>
  <c r="S778" i="3"/>
  <c r="O770" i="3"/>
  <c r="Y670" i="3"/>
  <c r="Y675" i="3"/>
  <c r="Y666" i="3"/>
  <c r="Y667" i="3"/>
  <c r="AA732" i="3"/>
  <c r="AA748" i="3"/>
  <c r="AA736" i="3"/>
  <c r="AA750" i="3"/>
  <c r="AA752" i="3"/>
  <c r="AA753" i="3"/>
  <c r="AA728" i="3"/>
  <c r="AA744" i="3"/>
  <c r="AA760" i="3"/>
  <c r="AA724" i="3"/>
  <c r="AA740" i="3"/>
  <c r="AA756" i="3"/>
  <c r="AA722" i="3"/>
  <c r="AA725" i="3"/>
  <c r="AA738" i="3"/>
  <c r="AA741" i="3"/>
  <c r="S908" i="3"/>
  <c r="AA723" i="3"/>
  <c r="AB658" i="3"/>
  <c r="Y942" i="3"/>
  <c r="Y945" i="3"/>
  <c r="J586" i="8"/>
  <c r="J582" i="8"/>
  <c r="P74" i="1"/>
  <c r="T74" i="1"/>
  <c r="J515" i="8"/>
  <c r="J512" i="8"/>
  <c r="P68" i="1"/>
  <c r="T68" i="1"/>
  <c r="J598" i="8"/>
  <c r="J593" i="8"/>
  <c r="P75" i="1"/>
  <c r="T75" i="1"/>
  <c r="J1858" i="8"/>
  <c r="J1855" i="8"/>
  <c r="P245" i="1"/>
  <c r="T245" i="1"/>
  <c r="AB64" i="3"/>
  <c r="I38" i="12"/>
  <c r="J38" i="12"/>
  <c r="M640" i="14"/>
  <c r="L640" i="14"/>
  <c r="M564" i="14"/>
  <c r="L564" i="14"/>
  <c r="H37" i="12"/>
  <c r="H35" i="12"/>
  <c r="K1473" i="14"/>
  <c r="L1161" i="14"/>
  <c r="L1146" i="14"/>
  <c r="L1171" i="14"/>
  <c r="L1173" i="14"/>
  <c r="L1154" i="14"/>
  <c r="L1163" i="14"/>
  <c r="L1155" i="14"/>
  <c r="M744" i="14"/>
  <c r="K113" i="1"/>
  <c r="R112" i="1"/>
  <c r="T112" i="1"/>
  <c r="F885" i="2"/>
  <c r="G190" i="5"/>
  <c r="G1394" i="14"/>
  <c r="G313" i="5"/>
  <c r="P313" i="5"/>
  <c r="G1542" i="14"/>
  <c r="L1542" i="14"/>
  <c r="G223" i="5"/>
  <c r="G1427" i="14"/>
  <c r="G172" i="5"/>
  <c r="Q172" i="5"/>
  <c r="G1374" i="14"/>
  <c r="G224" i="5"/>
  <c r="G1428" i="14"/>
  <c r="I44" i="4"/>
  <c r="K44" i="4"/>
  <c r="G1000" i="14"/>
  <c r="L1000" i="14"/>
  <c r="G79" i="5"/>
  <c r="G1270" i="14"/>
  <c r="G236" i="5"/>
  <c r="I236" i="5"/>
  <c r="G1442" i="14"/>
  <c r="M1442" i="14"/>
  <c r="I11" i="4"/>
  <c r="G967" i="14"/>
  <c r="G259" i="5"/>
  <c r="I259" i="5"/>
  <c r="G1465" i="14"/>
  <c r="I46" i="4"/>
  <c r="G1002" i="14"/>
  <c r="G289" i="5"/>
  <c r="I289" i="5"/>
  <c r="G1506" i="14"/>
  <c r="G290" i="5"/>
  <c r="G1507" i="14"/>
  <c r="G30" i="5"/>
  <c r="I30" i="5"/>
  <c r="I412" i="5"/>
  <c r="G1221" i="14"/>
  <c r="M1221" i="14"/>
  <c r="M1649" i="14"/>
  <c r="G375" i="5"/>
  <c r="G1604" i="14"/>
  <c r="I48" i="4"/>
  <c r="O48" i="4"/>
  <c r="G1004" i="14"/>
  <c r="I188" i="4"/>
  <c r="G1144" i="14"/>
  <c r="G104" i="5"/>
  <c r="L104" i="5"/>
  <c r="G1300" i="14"/>
  <c r="M1300" i="14"/>
  <c r="G317" i="5"/>
  <c r="G1546" i="14"/>
  <c r="G206" i="5"/>
  <c r="I206" i="5"/>
  <c r="G1410" i="14"/>
  <c r="G131" i="5"/>
  <c r="G1333" i="14"/>
  <c r="G215" i="5"/>
  <c r="L215" i="5"/>
  <c r="G1419" i="14"/>
  <c r="R322" i="1"/>
  <c r="R324" i="1"/>
  <c r="F2403" i="2"/>
  <c r="K2413" i="2"/>
  <c r="I241" i="4"/>
  <c r="G186" i="5"/>
  <c r="G1390" i="14"/>
  <c r="I53" i="4"/>
  <c r="G1009" i="14"/>
  <c r="I194" i="4"/>
  <c r="G1110" i="14"/>
  <c r="L1110" i="14"/>
  <c r="I158" i="4"/>
  <c r="G1114" i="14"/>
  <c r="G1136" i="14"/>
  <c r="G56" i="5"/>
  <c r="G1247" i="14"/>
  <c r="I25" i="4"/>
  <c r="G981" i="14"/>
  <c r="L981" i="14"/>
  <c r="G376" i="5"/>
  <c r="G1605" i="14"/>
  <c r="G60" i="5"/>
  <c r="G1251" i="14"/>
  <c r="G61" i="5"/>
  <c r="Q61" i="5"/>
  <c r="Q444" i="5"/>
  <c r="I118" i="4"/>
  <c r="G1074" i="14"/>
  <c r="L1074" i="14"/>
  <c r="G368" i="5"/>
  <c r="G397" i="5"/>
  <c r="G1634" i="14"/>
  <c r="L1634" i="14"/>
  <c r="G347" i="5"/>
  <c r="G1576" i="14"/>
  <c r="G332" i="5"/>
  <c r="G1561" i="14"/>
  <c r="M1561" i="14"/>
  <c r="J43" i="3"/>
  <c r="O43" i="3"/>
  <c r="G321" i="5"/>
  <c r="G1550" i="14"/>
  <c r="G210" i="5"/>
  <c r="G1414" i="14"/>
  <c r="G245" i="5"/>
  <c r="G1451" i="14"/>
  <c r="G369" i="5"/>
  <c r="G1598" i="14"/>
  <c r="M1598" i="14"/>
  <c r="G296" i="5"/>
  <c r="G1521" i="14"/>
  <c r="G344" i="5"/>
  <c r="G1573" i="14"/>
  <c r="G260" i="5"/>
  <c r="G1466" i="14"/>
  <c r="I85" i="4"/>
  <c r="G1041" i="14"/>
  <c r="G300" i="5"/>
  <c r="G1525" i="14"/>
  <c r="AB191" i="3"/>
  <c r="Z186" i="3"/>
  <c r="AB193" i="3"/>
  <c r="AB190" i="3"/>
  <c r="H1722" i="8"/>
  <c r="J1722" i="8"/>
  <c r="H290" i="8"/>
  <c r="J290" i="8"/>
  <c r="H578" i="8"/>
  <c r="J578" i="8"/>
  <c r="H694" i="8"/>
  <c r="J694" i="8"/>
  <c r="H1754" i="8"/>
  <c r="J1754" i="8"/>
  <c r="H546" i="8"/>
  <c r="J546" i="8"/>
  <c r="J184" i="14"/>
  <c r="H662" i="8"/>
  <c r="J662" i="8"/>
  <c r="I129" i="4"/>
  <c r="G1085" i="14"/>
  <c r="I242" i="4"/>
  <c r="O242" i="4"/>
  <c r="G1187" i="14"/>
  <c r="M1187" i="14"/>
  <c r="I244" i="4"/>
  <c r="G1189" i="14"/>
  <c r="G491" i="5"/>
  <c r="G1387" i="14"/>
  <c r="Y125" i="3"/>
  <c r="AB47" i="3"/>
  <c r="Y55" i="3"/>
  <c r="Y56" i="3"/>
  <c r="Y95" i="3"/>
  <c r="Y96" i="3"/>
  <c r="Y58" i="3"/>
  <c r="Y66" i="3"/>
  <c r="Y75" i="3"/>
  <c r="Y79" i="3"/>
  <c r="Y67" i="3"/>
  <c r="Y98" i="3"/>
  <c r="Y100" i="3"/>
  <c r="Y76" i="3"/>
  <c r="Y80" i="3"/>
  <c r="Y82" i="3"/>
  <c r="Y88" i="3"/>
  <c r="Y90" i="3"/>
  <c r="Y92" i="3"/>
  <c r="Y99" i="3"/>
  <c r="Y59" i="3"/>
  <c r="Y70" i="3"/>
  <c r="Y63" i="3"/>
  <c r="Y83" i="3"/>
  <c r="Y81" i="3"/>
  <c r="Y89" i="3"/>
  <c r="Y116" i="3"/>
  <c r="Y858" i="3"/>
  <c r="Y112" i="3"/>
  <c r="Y802" i="3"/>
  <c r="Y114" i="3"/>
  <c r="Y855" i="3"/>
  <c r="Y115" i="3"/>
  <c r="Y856" i="3"/>
  <c r="AB178" i="3"/>
  <c r="Z177" i="3"/>
  <c r="H1526" i="8"/>
  <c r="J1526" i="8"/>
  <c r="J175" i="14"/>
  <c r="Y199" i="3"/>
  <c r="AB70" i="3"/>
  <c r="S109" i="3"/>
  <c r="J109" i="3"/>
  <c r="O109" i="3"/>
  <c r="G68" i="5"/>
  <c r="G1259" i="14"/>
  <c r="M1259" i="14"/>
  <c r="M1691" i="14"/>
  <c r="G222" i="5"/>
  <c r="G1426" i="14"/>
  <c r="S38" i="3"/>
  <c r="J38" i="3"/>
  <c r="Q38" i="3"/>
  <c r="L38" i="3"/>
  <c r="O38" i="3"/>
  <c r="Y223" i="3"/>
  <c r="AB60" i="3"/>
  <c r="AB108" i="3"/>
  <c r="AA211" i="3"/>
  <c r="AA205" i="3"/>
  <c r="AA208" i="3"/>
  <c r="Y243" i="3"/>
  <c r="Y710" i="3"/>
  <c r="Y772" i="3"/>
  <c r="Y711" i="3"/>
  <c r="Y780" i="3"/>
  <c r="AA706" i="3"/>
  <c r="AB431" i="3"/>
  <c r="AB430" i="3"/>
  <c r="Z430" i="3"/>
  <c r="H2043" i="8"/>
  <c r="J2043" i="8"/>
  <c r="J452" i="14"/>
  <c r="L878" i="3"/>
  <c r="Y585" i="3"/>
  <c r="Y586" i="3"/>
  <c r="Y601" i="3"/>
  <c r="Y908" i="3"/>
  <c r="Y566" i="3"/>
  <c r="Y805" i="3"/>
  <c r="Y557" i="3"/>
  <c r="Y597" i="3"/>
  <c r="Y584" i="3"/>
  <c r="Y593" i="3"/>
  <c r="Y600" i="3"/>
  <c r="Y569" i="3"/>
  <c r="Z262" i="3"/>
  <c r="AB264" i="3"/>
  <c r="H352" i="8"/>
  <c r="J352" i="8"/>
  <c r="H358" i="8"/>
  <c r="J358" i="8"/>
  <c r="H1289" i="8"/>
  <c r="J1289" i="8"/>
  <c r="J272" i="14"/>
  <c r="Y661" i="3"/>
  <c r="AA687" i="3"/>
  <c r="AA527" i="3"/>
  <c r="Y658" i="3"/>
  <c r="AA726" i="3"/>
  <c r="AA742" i="3"/>
  <c r="AB942" i="3"/>
  <c r="Z941" i="3"/>
  <c r="AB945" i="3"/>
  <c r="H2324" i="8"/>
  <c r="J2324" i="8"/>
  <c r="H2341" i="8"/>
  <c r="J2341" i="8"/>
  <c r="H2306" i="8"/>
  <c r="J2306" i="8"/>
  <c r="AB944" i="3"/>
  <c r="H2359" i="8"/>
  <c r="J2359" i="8"/>
  <c r="AB971" i="3"/>
  <c r="AA511" i="3"/>
  <c r="AA524" i="3"/>
  <c r="Y679" i="3"/>
  <c r="P58" i="5"/>
  <c r="P59" i="5"/>
  <c r="J1790" i="8"/>
  <c r="J1788" i="8"/>
  <c r="P234" i="1"/>
  <c r="T234" i="1"/>
  <c r="I303" i="5"/>
  <c r="L303" i="5"/>
  <c r="Q303" i="5"/>
  <c r="P303" i="5"/>
  <c r="P338" i="5"/>
  <c r="J933" i="8"/>
  <c r="J931" i="8"/>
  <c r="P118" i="1"/>
  <c r="J1481" i="8"/>
  <c r="J1479" i="8"/>
  <c r="M193" i="1"/>
  <c r="Q193" i="1"/>
  <c r="Y968" i="3"/>
  <c r="P356" i="5"/>
  <c r="J1341" i="8"/>
  <c r="P177" i="1"/>
  <c r="T177" i="1"/>
  <c r="M41" i="14"/>
  <c r="M42" i="14"/>
  <c r="K41" i="14"/>
  <c r="L41" i="14"/>
  <c r="P307" i="5"/>
  <c r="P360" i="5"/>
  <c r="L1143" i="14"/>
  <c r="K272" i="14"/>
  <c r="M274" i="14"/>
  <c r="I491" i="5"/>
  <c r="Q491" i="5"/>
  <c r="G490" i="5"/>
  <c r="P490" i="5"/>
  <c r="P491" i="5"/>
  <c r="L491" i="5"/>
  <c r="P244" i="4"/>
  <c r="K244" i="4"/>
  <c r="O244" i="4"/>
  <c r="P129" i="4"/>
  <c r="K129" i="4"/>
  <c r="O129" i="4"/>
  <c r="L260" i="5"/>
  <c r="P260" i="5"/>
  <c r="L1550" i="14"/>
  <c r="M1550" i="14"/>
  <c r="M1576" i="14"/>
  <c r="L1576" i="14"/>
  <c r="M1252" i="14"/>
  <c r="L1605" i="14"/>
  <c r="M1605" i="14"/>
  <c r="M1247" i="14"/>
  <c r="L1114" i="14"/>
  <c r="M1114" i="14"/>
  <c r="I215" i="5"/>
  <c r="I131" i="5"/>
  <c r="Q131" i="5"/>
  <c r="P131" i="5"/>
  <c r="L131" i="5"/>
  <c r="L317" i="5"/>
  <c r="I317" i="5"/>
  <c r="Q317" i="5"/>
  <c r="P317" i="5"/>
  <c r="Q104" i="5"/>
  <c r="P104" i="5"/>
  <c r="P48" i="4"/>
  <c r="K48" i="4"/>
  <c r="Q30" i="5"/>
  <c r="Q412" i="5"/>
  <c r="L30" i="5"/>
  <c r="L412" i="5"/>
  <c r="P289" i="5"/>
  <c r="L289" i="5"/>
  <c r="P259" i="5"/>
  <c r="P11" i="4"/>
  <c r="O11" i="4"/>
  <c r="K11" i="4"/>
  <c r="I79" i="5"/>
  <c r="Q79" i="5"/>
  <c r="Q469" i="5"/>
  <c r="P79" i="5"/>
  <c r="L79" i="5"/>
  <c r="I224" i="5"/>
  <c r="L224" i="5"/>
  <c r="I223" i="5"/>
  <c r="L223" i="5"/>
  <c r="I313" i="5"/>
  <c r="Q313" i="5"/>
  <c r="AA428" i="3"/>
  <c r="AA429" i="3"/>
  <c r="L1527" i="14"/>
  <c r="G1526" i="14"/>
  <c r="M1526" i="14"/>
  <c r="M1527" i="14"/>
  <c r="M1494" i="14"/>
  <c r="L1494" i="14"/>
  <c r="P38" i="4"/>
  <c r="K38" i="4"/>
  <c r="K200" i="4"/>
  <c r="O84" i="4"/>
  <c r="L324" i="5"/>
  <c r="I324" i="5"/>
  <c r="O163" i="4"/>
  <c r="K163" i="4"/>
  <c r="K43" i="14"/>
  <c r="M46" i="14"/>
  <c r="M876" i="14"/>
  <c r="M47" i="14"/>
  <c r="M45" i="14"/>
  <c r="L1292" i="14"/>
  <c r="L1683" i="14"/>
  <c r="M1508" i="14"/>
  <c r="L1508" i="14"/>
  <c r="L1578" i="14"/>
  <c r="M1440" i="14"/>
  <c r="I205" i="5"/>
  <c r="I407" i="5"/>
  <c r="Q22" i="5"/>
  <c r="Q407" i="5"/>
  <c r="L22" i="5"/>
  <c r="L407" i="5"/>
  <c r="Q159" i="5"/>
  <c r="Q413" i="5"/>
  <c r="L159" i="5"/>
  <c r="P225" i="4"/>
  <c r="I185" i="5"/>
  <c r="L185" i="5"/>
  <c r="L310" i="5"/>
  <c r="I310" i="5"/>
  <c r="I108" i="5"/>
  <c r="Q108" i="5"/>
  <c r="L108" i="5"/>
  <c r="J389" i="8"/>
  <c r="J387" i="8"/>
  <c r="M53" i="1"/>
  <c r="Q53" i="1"/>
  <c r="J1143" i="8"/>
  <c r="J1141" i="8"/>
  <c r="M150" i="1"/>
  <c r="Q150" i="1"/>
  <c r="K566" i="14"/>
  <c r="I253" i="5"/>
  <c r="L253" i="5"/>
  <c r="I91" i="5"/>
  <c r="I426" i="5"/>
  <c r="Q426" i="5"/>
  <c r="L91" i="5"/>
  <c r="L426" i="5"/>
  <c r="L220" i="5"/>
  <c r="I249" i="5"/>
  <c r="L249" i="5"/>
  <c r="O227" i="4"/>
  <c r="K227" i="4"/>
  <c r="P227" i="4"/>
  <c r="I244" i="5"/>
  <c r="Q244" i="5"/>
  <c r="L244" i="5"/>
  <c r="P244" i="5"/>
  <c r="L320" i="5"/>
  <c r="I320" i="5"/>
  <c r="Q320" i="5"/>
  <c r="P320" i="5"/>
  <c r="O9" i="4"/>
  <c r="K9" i="4"/>
  <c r="L1349" i="14"/>
  <c r="L1700" i="14"/>
  <c r="M1241" i="14"/>
  <c r="L1383" i="14"/>
  <c r="M1383" i="14"/>
  <c r="L1622" i="14"/>
  <c r="M1622" i="14"/>
  <c r="L1490" i="14"/>
  <c r="M1490" i="14"/>
  <c r="L1131" i="2"/>
  <c r="G1233" i="14"/>
  <c r="M1233" i="14"/>
  <c r="L1132" i="2"/>
  <c r="J1126" i="2"/>
  <c r="K357" i="14"/>
  <c r="O88" i="4"/>
  <c r="K88" i="4"/>
  <c r="P88" i="4"/>
  <c r="K122" i="14"/>
  <c r="M123" i="14"/>
  <c r="K198" i="14"/>
  <c r="M199" i="14"/>
  <c r="M198" i="14"/>
  <c r="L1280" i="14"/>
  <c r="M1280" i="14"/>
  <c r="M1123" i="14"/>
  <c r="L1123" i="14"/>
  <c r="I284" i="5"/>
  <c r="L284" i="5"/>
  <c r="P284" i="5"/>
  <c r="I53" i="5"/>
  <c r="I441" i="5"/>
  <c r="Q53" i="5"/>
  <c r="P53" i="5"/>
  <c r="L53" i="5"/>
  <c r="L441" i="5"/>
  <c r="I229" i="5"/>
  <c r="Q229" i="5"/>
  <c r="P229" i="5"/>
  <c r="L229" i="5"/>
  <c r="I251" i="5"/>
  <c r="L251" i="5"/>
  <c r="I280" i="5"/>
  <c r="Q280" i="5"/>
  <c r="L280" i="5"/>
  <c r="P280" i="5"/>
  <c r="I214" i="5"/>
  <c r="L214" i="5"/>
  <c r="I241" i="5"/>
  <c r="Q241" i="5"/>
  <c r="P241" i="5"/>
  <c r="L241" i="5"/>
  <c r="I89" i="5"/>
  <c r="I422" i="5"/>
  <c r="Q89" i="5"/>
  <c r="Q422" i="5"/>
  <c r="L89" i="5"/>
  <c r="L422" i="5"/>
  <c r="I129" i="5"/>
  <c r="I262" i="5"/>
  <c r="Q262" i="5"/>
  <c r="L262" i="5"/>
  <c r="P262" i="5"/>
  <c r="I168" i="5"/>
  <c r="Q168" i="5"/>
  <c r="P168" i="5"/>
  <c r="L168" i="5"/>
  <c r="I12" i="5"/>
  <c r="I400" i="5"/>
  <c r="Q12" i="5"/>
  <c r="P12" i="5"/>
  <c r="L12" i="5"/>
  <c r="L343" i="5"/>
  <c r="I343" i="5"/>
  <c r="Q343" i="5"/>
  <c r="P343" i="5"/>
  <c r="I80" i="5"/>
  <c r="Q80" i="5"/>
  <c r="P80" i="5"/>
  <c r="L80" i="5"/>
  <c r="I78" i="5"/>
  <c r="Q78" i="5"/>
  <c r="P78" i="5"/>
  <c r="L78" i="5"/>
  <c r="I254" i="5"/>
  <c r="Q254" i="5"/>
  <c r="L254" i="5"/>
  <c r="P254" i="5"/>
  <c r="K452" i="14"/>
  <c r="M453" i="14"/>
  <c r="K175" i="14"/>
  <c r="M176" i="14"/>
  <c r="L1041" i="14"/>
  <c r="M1041" i="14"/>
  <c r="L1573" i="14"/>
  <c r="M1573" i="14"/>
  <c r="L369" i="5"/>
  <c r="I369" i="5"/>
  <c r="Q369" i="5"/>
  <c r="P369" i="5"/>
  <c r="L321" i="5"/>
  <c r="L437" i="5"/>
  <c r="L347" i="5"/>
  <c r="P347" i="5"/>
  <c r="L368" i="5"/>
  <c r="P368" i="5"/>
  <c r="P61" i="5"/>
  <c r="P444" i="5"/>
  <c r="L61" i="5"/>
  <c r="L444" i="5"/>
  <c r="P56" i="5"/>
  <c r="L56" i="5"/>
  <c r="K194" i="4"/>
  <c r="I186" i="5"/>
  <c r="L186" i="5"/>
  <c r="L1144" i="14"/>
  <c r="M1144" i="14"/>
  <c r="M1604" i="14"/>
  <c r="L1604" i="14"/>
  <c r="M1507" i="14"/>
  <c r="L1507" i="14"/>
  <c r="M1002" i="14"/>
  <c r="L1002" i="14"/>
  <c r="M1000" i="14"/>
  <c r="G1373" i="14"/>
  <c r="M175" i="14"/>
  <c r="I35" i="12"/>
  <c r="J35" i="12"/>
  <c r="K449" i="14"/>
  <c r="L451" i="14"/>
  <c r="M450" i="14"/>
  <c r="M451" i="14"/>
  <c r="M449" i="14"/>
  <c r="J1804" i="8"/>
  <c r="J1802" i="8"/>
  <c r="M236" i="1"/>
  <c r="Q236" i="1"/>
  <c r="I516" i="5"/>
  <c r="Q516" i="5"/>
  <c r="L516" i="5"/>
  <c r="I502" i="5"/>
  <c r="L502" i="5"/>
  <c r="M106" i="14"/>
  <c r="K105" i="14"/>
  <c r="L105" i="14"/>
  <c r="M105" i="14"/>
  <c r="M1253" i="14"/>
  <c r="M1176" i="14"/>
  <c r="M1075" i="14"/>
  <c r="L1031" i="14"/>
  <c r="O33" i="4"/>
  <c r="I96" i="5"/>
  <c r="I446" i="5"/>
  <c r="P96" i="5"/>
  <c r="P446" i="5"/>
  <c r="L291" i="5"/>
  <c r="I291" i="5"/>
  <c r="P291" i="5"/>
  <c r="I270" i="5"/>
  <c r="P270" i="5"/>
  <c r="L349" i="5"/>
  <c r="P349" i="5"/>
  <c r="I117" i="5"/>
  <c r="I435" i="5"/>
  <c r="P117" i="5"/>
  <c r="P435" i="5"/>
  <c r="L117" i="5"/>
  <c r="L234" i="5"/>
  <c r="P234" i="5"/>
  <c r="M1238" i="14"/>
  <c r="M1236" i="14"/>
  <c r="L1629" i="14"/>
  <c r="M1629" i="14"/>
  <c r="M1182" i="14"/>
  <c r="L1182" i="14"/>
  <c r="L1089" i="14"/>
  <c r="M1089" i="14"/>
  <c r="M1217" i="14"/>
  <c r="M1444" i="14"/>
  <c r="L335" i="5"/>
  <c r="P335" i="5"/>
  <c r="J1930" i="8"/>
  <c r="J1928" i="8"/>
  <c r="M253" i="1"/>
  <c r="Q253" i="1"/>
  <c r="AA710" i="3"/>
  <c r="AA772" i="3"/>
  <c r="AA711" i="3"/>
  <c r="AA780" i="3"/>
  <c r="AA713" i="3"/>
  <c r="AA799" i="3"/>
  <c r="K744" i="14"/>
  <c r="M745" i="14"/>
  <c r="I489" i="5"/>
  <c r="Q489" i="5"/>
  <c r="G488" i="5"/>
  <c r="P489" i="5"/>
  <c r="L489" i="5"/>
  <c r="I482" i="5"/>
  <c r="Q482" i="5"/>
  <c r="P482" i="5"/>
  <c r="L482" i="5"/>
  <c r="L1317" i="14"/>
  <c r="M1317" i="14"/>
  <c r="M1266" i="14"/>
  <c r="M1708" i="14"/>
  <c r="L1293" i="14"/>
  <c r="L1685" i="14"/>
  <c r="M1293" i="14"/>
  <c r="M1685" i="14"/>
  <c r="M1029" i="14"/>
  <c r="M991" i="14"/>
  <c r="M1032" i="14"/>
  <c r="L1160" i="14"/>
  <c r="L1152" i="14"/>
  <c r="M1152" i="14"/>
  <c r="L1537" i="14"/>
  <c r="M1537" i="14"/>
  <c r="I147" i="5"/>
  <c r="I458" i="5"/>
  <c r="Q147" i="5"/>
  <c r="Q458" i="5"/>
  <c r="P147" i="5"/>
  <c r="P458" i="5"/>
  <c r="G146" i="5"/>
  <c r="L147" i="5"/>
  <c r="L458" i="5"/>
  <c r="I50" i="5"/>
  <c r="Q50" i="5"/>
  <c r="P50" i="5"/>
  <c r="L50" i="5"/>
  <c r="I203" i="5"/>
  <c r="L203" i="5"/>
  <c r="I181" i="5"/>
  <c r="Q181" i="5"/>
  <c r="P181" i="5"/>
  <c r="L181" i="5"/>
  <c r="L387" i="5"/>
  <c r="I387" i="5"/>
  <c r="Q387" i="5"/>
  <c r="P387" i="5"/>
  <c r="I9" i="5"/>
  <c r="Q9" i="5"/>
  <c r="P9" i="5"/>
  <c r="L9" i="5"/>
  <c r="L352" i="5"/>
  <c r="I352" i="5"/>
  <c r="Q352" i="5"/>
  <c r="P352" i="5"/>
  <c r="I277" i="5"/>
  <c r="Q277" i="5"/>
  <c r="P277" i="5"/>
  <c r="L277" i="5"/>
  <c r="I7" i="5"/>
  <c r="Q7" i="5"/>
  <c r="P7" i="5"/>
  <c r="L7" i="5"/>
  <c r="K182" i="4"/>
  <c r="P182" i="4"/>
  <c r="O182" i="4"/>
  <c r="L339" i="5"/>
  <c r="I339" i="5"/>
  <c r="Q339" i="5"/>
  <c r="P339" i="5"/>
  <c r="AA950" i="3"/>
  <c r="AA951" i="3"/>
  <c r="AA447" i="3"/>
  <c r="K466" i="14"/>
  <c r="M1079" i="14"/>
  <c r="L1079" i="14"/>
  <c r="AA427" i="3"/>
  <c r="I518" i="5"/>
  <c r="Q518" i="5"/>
  <c r="G517" i="5"/>
  <c r="Q517" i="5"/>
  <c r="P518" i="5"/>
  <c r="L518" i="5"/>
  <c r="O167" i="4"/>
  <c r="K167" i="4"/>
  <c r="P167" i="4"/>
  <c r="M1243" i="14"/>
  <c r="M1548" i="14"/>
  <c r="L1548" i="14"/>
  <c r="L1128" i="14"/>
  <c r="M1128" i="14"/>
  <c r="M1492" i="14"/>
  <c r="L1492" i="14"/>
  <c r="M1362" i="14"/>
  <c r="L1362" i="14"/>
  <c r="M1552" i="14"/>
  <c r="L1552" i="14"/>
  <c r="M1448" i="14"/>
  <c r="M1540" i="14"/>
  <c r="L1540" i="14"/>
  <c r="L1116" i="14"/>
  <c r="M1116" i="14"/>
  <c r="L1340" i="14"/>
  <c r="M1340" i="14"/>
  <c r="L964" i="14"/>
  <c r="M964" i="14"/>
  <c r="M1201" i="14"/>
  <c r="J1209" i="2"/>
  <c r="G513" i="14"/>
  <c r="M513" i="14"/>
  <c r="J1210" i="2"/>
  <c r="H579" i="3"/>
  <c r="J579" i="3"/>
  <c r="J834" i="3"/>
  <c r="J1211" i="2"/>
  <c r="K1214" i="2"/>
  <c r="L1216" i="2"/>
  <c r="G43" i="5"/>
  <c r="L1217" i="2"/>
  <c r="K964" i="2"/>
  <c r="L966" i="2"/>
  <c r="L967" i="2"/>
  <c r="J959" i="2"/>
  <c r="J960" i="2"/>
  <c r="J961" i="2"/>
  <c r="R124" i="1"/>
  <c r="S124" i="1"/>
  <c r="F968" i="2"/>
  <c r="J453" i="8"/>
  <c r="M60" i="1"/>
  <c r="Q60" i="1"/>
  <c r="AA264" i="3"/>
  <c r="I68" i="5"/>
  <c r="I454" i="5"/>
  <c r="Q68" i="5"/>
  <c r="Q454" i="5"/>
  <c r="P68" i="5"/>
  <c r="P454" i="5"/>
  <c r="L68" i="5"/>
  <c r="L454" i="5"/>
  <c r="K242" i="4"/>
  <c r="P242" i="4"/>
  <c r="K184" i="14"/>
  <c r="M189" i="14"/>
  <c r="M195" i="14"/>
  <c r="M197" i="14"/>
  <c r="M954" i="14"/>
  <c r="M190" i="14"/>
  <c r="M191" i="14"/>
  <c r="M193" i="14"/>
  <c r="M196" i="14"/>
  <c r="M188" i="14"/>
  <c r="P85" i="4"/>
  <c r="O85" i="4"/>
  <c r="K85" i="4"/>
  <c r="L344" i="5"/>
  <c r="I344" i="5"/>
  <c r="Q344" i="5"/>
  <c r="P344" i="5"/>
  <c r="G1520" i="14"/>
  <c r="L1521" i="14"/>
  <c r="M1521" i="14"/>
  <c r="M1451" i="14"/>
  <c r="M1679" i="14"/>
  <c r="L1561" i="14"/>
  <c r="M1634" i="14"/>
  <c r="G1633" i="14"/>
  <c r="M1251" i="14"/>
  <c r="M1680" i="14"/>
  <c r="L1136" i="14"/>
  <c r="M1136" i="14"/>
  <c r="L1009" i="14"/>
  <c r="M1009" i="14"/>
  <c r="L2416" i="2"/>
  <c r="L2417" i="2"/>
  <c r="G1272" i="14"/>
  <c r="M1272" i="14"/>
  <c r="L2418" i="2"/>
  <c r="G520" i="5"/>
  <c r="Q520" i="5"/>
  <c r="L2419" i="2"/>
  <c r="J2407" i="2"/>
  <c r="G325" i="14"/>
  <c r="J2410" i="2"/>
  <c r="H920" i="3"/>
  <c r="G192" i="14"/>
  <c r="L192" i="14"/>
  <c r="O188" i="4"/>
  <c r="P188" i="4"/>
  <c r="K188" i="4"/>
  <c r="L375" i="5"/>
  <c r="I375" i="5"/>
  <c r="Q375" i="5"/>
  <c r="P375" i="5"/>
  <c r="I290" i="5"/>
  <c r="L290" i="5"/>
  <c r="Q290" i="5"/>
  <c r="P290" i="5"/>
  <c r="K46" i="4"/>
  <c r="P46" i="4"/>
  <c r="O46" i="4"/>
  <c r="L236" i="5"/>
  <c r="P236" i="5"/>
  <c r="O44" i="4"/>
  <c r="I172" i="5"/>
  <c r="G171" i="5"/>
  <c r="P171" i="5"/>
  <c r="L172" i="5"/>
  <c r="I190" i="5"/>
  <c r="L190" i="5"/>
  <c r="I37" i="12"/>
  <c r="J37" i="12"/>
  <c r="AA663" i="3"/>
  <c r="AA660" i="3"/>
  <c r="AA661" i="3"/>
  <c r="AA662" i="3"/>
  <c r="AA654" i="3"/>
  <c r="AA658" i="3"/>
  <c r="AA340" i="3"/>
  <c r="AA339" i="3"/>
  <c r="J1766" i="8"/>
  <c r="J1764" i="8"/>
  <c r="M232" i="1"/>
  <c r="Q232" i="1"/>
  <c r="G1484" i="14"/>
  <c r="L1484" i="14"/>
  <c r="L1485" i="14"/>
  <c r="M1485" i="14"/>
  <c r="M1496" i="14"/>
  <c r="L1496" i="14"/>
  <c r="L1610" i="14"/>
  <c r="M1610" i="14"/>
  <c r="I62" i="5"/>
  <c r="Q62" i="5"/>
  <c r="P62" i="5"/>
  <c r="L62" i="5"/>
  <c r="I221" i="5"/>
  <c r="L221" i="5"/>
  <c r="I219" i="4"/>
  <c r="K220" i="4"/>
  <c r="P220" i="4"/>
  <c r="O220" i="4"/>
  <c r="P119" i="4"/>
  <c r="K119" i="4"/>
  <c r="O119" i="4"/>
  <c r="K75" i="4"/>
  <c r="P75" i="4"/>
  <c r="O75" i="4"/>
  <c r="L978" i="14"/>
  <c r="M978" i="14"/>
  <c r="AA47" i="3"/>
  <c r="AA48" i="3"/>
  <c r="AA832" i="3"/>
  <c r="AA49" i="3"/>
  <c r="M1255" i="14"/>
  <c r="M1688" i="14"/>
  <c r="L1509" i="14"/>
  <c r="M1509" i="14"/>
  <c r="M1681" i="14"/>
  <c r="G1528" i="14"/>
  <c r="M1528" i="14"/>
  <c r="L1529" i="14"/>
  <c r="M1529" i="14"/>
  <c r="M1283" i="14"/>
  <c r="M1657" i="14"/>
  <c r="L1283" i="14"/>
  <c r="L1657" i="14"/>
  <c r="M1199" i="14"/>
  <c r="P229" i="4"/>
  <c r="K229" i="4"/>
  <c r="O229" i="4"/>
  <c r="I207" i="5"/>
  <c r="L207" i="5"/>
  <c r="I47" i="5"/>
  <c r="Q47" i="5"/>
  <c r="P47" i="5"/>
  <c r="L47" i="5"/>
  <c r="I45" i="5"/>
  <c r="Q45" i="5"/>
  <c r="P45" i="5"/>
  <c r="L45" i="5"/>
  <c r="L394" i="5"/>
  <c r="I394" i="5"/>
  <c r="Q394" i="5"/>
  <c r="Q417" i="5"/>
  <c r="P394" i="5"/>
  <c r="I187" i="5"/>
  <c r="L187" i="5"/>
  <c r="K226" i="4"/>
  <c r="P226" i="4"/>
  <c r="O226" i="4"/>
  <c r="O133" i="4"/>
  <c r="K133" i="4"/>
  <c r="P133" i="4"/>
  <c r="I26" i="5"/>
  <c r="Q26" i="5"/>
  <c r="P26" i="5"/>
  <c r="L26" i="5"/>
  <c r="I238" i="5"/>
  <c r="Q238" i="5"/>
  <c r="L238" i="5"/>
  <c r="P238" i="5"/>
  <c r="I225" i="5"/>
  <c r="L225" i="5"/>
  <c r="I13" i="5"/>
  <c r="Q13" i="5"/>
  <c r="M1093" i="14"/>
  <c r="J783" i="8"/>
  <c r="J781" i="8"/>
  <c r="M97" i="1"/>
  <c r="Q97" i="1"/>
  <c r="J364" i="8"/>
  <c r="J362" i="8"/>
  <c r="M49" i="1"/>
  <c r="Q49" i="1"/>
  <c r="M1191" i="14"/>
  <c r="L1191" i="14"/>
  <c r="M1516" i="14"/>
  <c r="L1516" i="14"/>
  <c r="I119" i="5"/>
  <c r="Q119" i="5"/>
  <c r="P119" i="5"/>
  <c r="L119" i="5"/>
  <c r="I75" i="5"/>
  <c r="Q75" i="5"/>
  <c r="P75" i="5"/>
  <c r="L75" i="5"/>
  <c r="I97" i="5"/>
  <c r="I448" i="5"/>
  <c r="Q97" i="5"/>
  <c r="Q448" i="5"/>
  <c r="P97" i="5"/>
  <c r="P448" i="5"/>
  <c r="L97" i="5"/>
  <c r="L448" i="5"/>
  <c r="L366" i="5"/>
  <c r="I366" i="5"/>
  <c r="P73" i="4"/>
  <c r="K73" i="4"/>
  <c r="P35" i="4"/>
  <c r="O35" i="4"/>
  <c r="K35" i="4"/>
  <c r="O228" i="4"/>
  <c r="P228" i="4"/>
  <c r="K228" i="4"/>
  <c r="O211" i="4"/>
  <c r="K211" i="4"/>
  <c r="P211" i="4"/>
  <c r="O76" i="4"/>
  <c r="P76" i="4"/>
  <c r="O204" i="4"/>
  <c r="P204" i="4"/>
  <c r="K204" i="4"/>
  <c r="L318" i="5"/>
  <c r="I318" i="5"/>
  <c r="Q318" i="5"/>
  <c r="P318" i="5"/>
  <c r="O196" i="4"/>
  <c r="P196" i="4"/>
  <c r="K196" i="4"/>
  <c r="L308" i="5"/>
  <c r="I308" i="5"/>
  <c r="Q308" i="5"/>
  <c r="P308" i="5"/>
  <c r="L1296" i="14"/>
  <c r="L1661" i="14"/>
  <c r="M1661" i="14"/>
  <c r="L1148" i="14"/>
  <c r="M1148" i="14"/>
  <c r="M1491" i="14"/>
  <c r="L1491" i="14"/>
  <c r="L361" i="5"/>
  <c r="I361" i="5"/>
  <c r="Q361" i="5"/>
  <c r="P361" i="5"/>
  <c r="P123" i="4"/>
  <c r="K123" i="4"/>
  <c r="O123" i="4"/>
  <c r="Q52" i="5"/>
  <c r="L52" i="5"/>
  <c r="L319" i="5"/>
  <c r="I319" i="5"/>
  <c r="Q319" i="5"/>
  <c r="P319" i="5"/>
  <c r="K172" i="4"/>
  <c r="P169" i="4"/>
  <c r="K169" i="4"/>
  <c r="O169" i="4"/>
  <c r="I279" i="5"/>
  <c r="Q279" i="5"/>
  <c r="I160" i="5"/>
  <c r="Q160" i="5"/>
  <c r="P160" i="5"/>
  <c r="L160" i="5"/>
  <c r="L323" i="5"/>
  <c r="I323" i="5"/>
  <c r="Q323" i="5"/>
  <c r="P323" i="5"/>
  <c r="I242" i="5"/>
  <c r="Q242" i="5"/>
  <c r="L242" i="5"/>
  <c r="P242" i="5"/>
  <c r="L311" i="5"/>
  <c r="I311" i="5"/>
  <c r="Q311" i="5"/>
  <c r="P311" i="5"/>
  <c r="O160" i="4"/>
  <c r="P160" i="4"/>
  <c r="K160" i="4"/>
  <c r="I138" i="5"/>
  <c r="Q138" i="5"/>
  <c r="P138" i="5"/>
  <c r="L138" i="5"/>
  <c r="I10" i="5"/>
  <c r="Q10" i="5"/>
  <c r="P10" i="5"/>
  <c r="L10" i="5"/>
  <c r="I189" i="5"/>
  <c r="L189" i="5"/>
  <c r="AA934" i="3"/>
  <c r="AA942" i="3"/>
  <c r="AA944" i="3"/>
  <c r="AA945" i="3"/>
  <c r="AA431" i="3"/>
  <c r="AA430" i="3"/>
  <c r="AA178" i="3"/>
  <c r="G1386" i="14"/>
  <c r="M1387" i="14"/>
  <c r="L1387" i="14"/>
  <c r="L1189" i="14"/>
  <c r="M1189" i="14"/>
  <c r="M1085" i="14"/>
  <c r="L1085" i="14"/>
  <c r="AA191" i="3"/>
  <c r="AA193" i="3"/>
  <c r="AA192" i="3"/>
  <c r="AA190" i="3"/>
  <c r="G295" i="5"/>
  <c r="Q245" i="5"/>
  <c r="I210" i="5"/>
  <c r="L210" i="5"/>
  <c r="L332" i="5"/>
  <c r="I332" i="5"/>
  <c r="Q332" i="5"/>
  <c r="P332" i="5"/>
  <c r="G396" i="5"/>
  <c r="L397" i="5"/>
  <c r="I397" i="5"/>
  <c r="Q397" i="5"/>
  <c r="P397" i="5"/>
  <c r="O118" i="4"/>
  <c r="K118" i="4"/>
  <c r="P118" i="4"/>
  <c r="I60" i="5"/>
  <c r="I443" i="5"/>
  <c r="Q60" i="5"/>
  <c r="Q443" i="5"/>
  <c r="P60" i="5"/>
  <c r="L60" i="5"/>
  <c r="O25" i="4"/>
  <c r="K25" i="4"/>
  <c r="P25" i="4"/>
  <c r="P53" i="4"/>
  <c r="K53" i="4"/>
  <c r="O53" i="4"/>
  <c r="L1333" i="14"/>
  <c r="M1333" i="14"/>
  <c r="L1546" i="14"/>
  <c r="M1546" i="14"/>
  <c r="L1300" i="14"/>
  <c r="L1654" i="14"/>
  <c r="L1004" i="14"/>
  <c r="M1004" i="14"/>
  <c r="L1506" i="14"/>
  <c r="M1506" i="14"/>
  <c r="L1465" i="14"/>
  <c r="M1465" i="14"/>
  <c r="M967" i="14"/>
  <c r="L967" i="14"/>
  <c r="M1270" i="14"/>
  <c r="M1542" i="14"/>
  <c r="L894" i="2"/>
  <c r="L895" i="2"/>
  <c r="G1323" i="14"/>
  <c r="L1323" i="14"/>
  <c r="J887" i="2"/>
  <c r="J888" i="2"/>
  <c r="G603" i="14"/>
  <c r="R113" i="1"/>
  <c r="T113" i="1"/>
  <c r="S113" i="1"/>
  <c r="F896" i="2"/>
  <c r="K694" i="14"/>
  <c r="M698" i="14"/>
  <c r="M706" i="14"/>
  <c r="M707" i="14"/>
  <c r="M702" i="14"/>
  <c r="M704" i="14"/>
  <c r="M705" i="14"/>
  <c r="M354" i="14"/>
  <c r="K351" i="14"/>
  <c r="M353" i="14"/>
  <c r="M75" i="1"/>
  <c r="Q75" i="1"/>
  <c r="J590" i="8"/>
  <c r="J588" i="8"/>
  <c r="M110" i="14"/>
  <c r="M846" i="14"/>
  <c r="M114" i="14"/>
  <c r="M902" i="14"/>
  <c r="K109" i="14"/>
  <c r="M111" i="14"/>
  <c r="M847" i="14"/>
  <c r="M113" i="14"/>
  <c r="M900" i="14"/>
  <c r="M112" i="14"/>
  <c r="M899" i="14"/>
  <c r="AA112" i="3"/>
  <c r="AA802" i="3"/>
  <c r="AA115" i="3"/>
  <c r="AA856" i="3"/>
  <c r="AA116" i="3"/>
  <c r="AA858" i="3"/>
  <c r="AA113" i="3"/>
  <c r="AA803" i="3"/>
  <c r="AA114" i="3"/>
  <c r="AA855" i="3"/>
  <c r="I500" i="5"/>
  <c r="Q500" i="5"/>
  <c r="G499" i="5"/>
  <c r="P500" i="5"/>
  <c r="L500" i="5"/>
  <c r="I504" i="5"/>
  <c r="Q504" i="5"/>
  <c r="P504" i="5"/>
  <c r="L504" i="5"/>
  <c r="L381" i="5"/>
  <c r="P381" i="5"/>
  <c r="K13" i="14"/>
  <c r="L994" i="14"/>
  <c r="M994" i="14"/>
  <c r="L1156" i="14"/>
  <c r="M1156" i="14"/>
  <c r="L1040" i="14"/>
  <c r="M1040" i="14"/>
  <c r="L1553" i="14"/>
  <c r="M1553" i="14"/>
  <c r="M1119" i="14"/>
  <c r="L1119" i="14"/>
  <c r="O22" i="4"/>
  <c r="P22" i="4"/>
  <c r="K22" i="4"/>
  <c r="J1154" i="8"/>
  <c r="J1152" i="8"/>
  <c r="M152" i="1"/>
  <c r="Q152" i="1"/>
  <c r="I64" i="5"/>
  <c r="Q64" i="5"/>
  <c r="P64" i="5"/>
  <c r="P451" i="5"/>
  <c r="L64" i="5"/>
  <c r="L292" i="5"/>
  <c r="I292" i="5"/>
  <c r="Q292" i="5"/>
  <c r="P292" i="5"/>
  <c r="G301" i="5"/>
  <c r="L302" i="5"/>
  <c r="I302" i="5"/>
  <c r="Q302" i="5"/>
  <c r="P302" i="5"/>
  <c r="I87" i="5"/>
  <c r="I420" i="5"/>
  <c r="Q87" i="5"/>
  <c r="Q420" i="5"/>
  <c r="L87" i="5"/>
  <c r="L420" i="5"/>
  <c r="I8" i="5"/>
  <c r="Q8" i="5"/>
  <c r="P8" i="5"/>
  <c r="L8" i="5"/>
  <c r="M1644" i="14"/>
  <c r="G1360" i="14"/>
  <c r="M1361" i="14"/>
  <c r="M1539" i="14"/>
  <c r="L1539" i="14"/>
  <c r="G1303" i="14"/>
  <c r="L1304" i="14"/>
  <c r="P137" i="4"/>
  <c r="K137" i="4"/>
  <c r="O137" i="4"/>
  <c r="AA972" i="3"/>
  <c r="AA971" i="3"/>
  <c r="M754" i="14"/>
  <c r="M816" i="14"/>
  <c r="M757" i="14"/>
  <c r="M843" i="14"/>
  <c r="K753" i="14"/>
  <c r="M755" i="14"/>
  <c r="M824" i="14"/>
  <c r="J195" i="8"/>
  <c r="J193" i="8"/>
  <c r="M28" i="1"/>
  <c r="Q28" i="1"/>
  <c r="AA701" i="3"/>
  <c r="M302" i="14"/>
  <c r="K299" i="14"/>
  <c r="AA107" i="3"/>
  <c r="O246" i="4"/>
  <c r="K246" i="4"/>
  <c r="P246" i="4"/>
  <c r="I513" i="5"/>
  <c r="Q513" i="5"/>
  <c r="P513" i="5"/>
  <c r="L513" i="5"/>
  <c r="M1183" i="14"/>
  <c r="L1183" i="14"/>
  <c r="M1450" i="14"/>
  <c r="L1549" i="14"/>
  <c r="M1549" i="14"/>
  <c r="L965" i="14"/>
  <c r="I100" i="5"/>
  <c r="I424" i="5"/>
  <c r="Q100" i="5"/>
  <c r="Q424" i="5"/>
  <c r="P100" i="5"/>
  <c r="P424" i="5"/>
  <c r="L100" i="5"/>
  <c r="L424" i="5"/>
  <c r="O192" i="4"/>
  <c r="P192" i="4"/>
  <c r="K192" i="4"/>
  <c r="I278" i="5"/>
  <c r="Q278" i="5"/>
  <c r="L278" i="5"/>
  <c r="P278" i="5"/>
  <c r="M1590" i="14"/>
  <c r="I200" i="5"/>
  <c r="L200" i="5"/>
  <c r="I188" i="5"/>
  <c r="L188" i="5"/>
  <c r="Q14" i="5"/>
  <c r="L14" i="5"/>
  <c r="M109" i="14"/>
  <c r="M452" i="14"/>
  <c r="J21" i="12"/>
  <c r="K468" i="14"/>
  <c r="L1044" i="14"/>
  <c r="M1044" i="14"/>
  <c r="I495" i="5"/>
  <c r="Q495" i="5"/>
  <c r="G494" i="5"/>
  <c r="P494" i="5"/>
  <c r="P495" i="5"/>
  <c r="L495" i="5"/>
  <c r="L1501" i="14"/>
  <c r="M1244" i="14"/>
  <c r="L1435" i="14"/>
  <c r="L1674" i="14"/>
  <c r="M1435" i="14"/>
  <c r="M1674" i="14"/>
  <c r="L1493" i="14"/>
  <c r="M1493" i="14"/>
  <c r="M1371" i="14"/>
  <c r="L1288" i="14"/>
  <c r="L1668" i="14"/>
  <c r="M1288" i="14"/>
  <c r="M1668" i="14"/>
  <c r="M1447" i="14"/>
  <c r="M1285" i="14"/>
  <c r="M1659" i="14"/>
  <c r="L1285" i="14"/>
  <c r="L1659" i="14"/>
  <c r="M1003" i="14"/>
  <c r="L1003" i="14"/>
  <c r="M1331" i="14"/>
  <c r="L1331" i="14"/>
  <c r="M1468" i="14"/>
  <c r="L1468" i="14"/>
  <c r="L1370" i="14"/>
  <c r="M1370" i="14"/>
  <c r="M1219" i="14"/>
  <c r="M1648" i="14"/>
  <c r="M1203" i="14"/>
  <c r="M1637" i="14"/>
  <c r="M1572" i="14"/>
  <c r="L1572" i="14"/>
  <c r="L373" i="5"/>
  <c r="I373" i="5"/>
  <c r="I469" i="5"/>
  <c r="Q373" i="5"/>
  <c r="P373" i="5"/>
  <c r="M1269" i="14"/>
  <c r="K644" i="14"/>
  <c r="M646" i="14"/>
  <c r="M1303" i="14"/>
  <c r="L1303" i="14"/>
  <c r="J898" i="2"/>
  <c r="J899" i="2"/>
  <c r="G604" i="14"/>
  <c r="H571" i="3"/>
  <c r="J900" i="2"/>
  <c r="K903" i="2"/>
  <c r="I142" i="4"/>
  <c r="L905" i="2"/>
  <c r="L906" i="2"/>
  <c r="Q396" i="5"/>
  <c r="P396" i="5"/>
  <c r="H936" i="3"/>
  <c r="G1186" i="14"/>
  <c r="J970" i="2"/>
  <c r="H484" i="3"/>
  <c r="J971" i="2"/>
  <c r="H573" i="3"/>
  <c r="J972" i="2"/>
  <c r="H24" i="3"/>
  <c r="K975" i="2"/>
  <c r="G1100" i="14"/>
  <c r="M1100" i="14"/>
  <c r="L977" i="2"/>
  <c r="L978" i="2"/>
  <c r="G124" i="5"/>
  <c r="H491" i="3"/>
  <c r="L491" i="3"/>
  <c r="L488" i="5"/>
  <c r="I488" i="5"/>
  <c r="L176" i="14"/>
  <c r="L175" i="14"/>
  <c r="L417" i="5"/>
  <c r="L274" i="14"/>
  <c r="L295" i="5"/>
  <c r="L1633" i="14"/>
  <c r="M1633" i="14"/>
  <c r="G36" i="5"/>
  <c r="G1227" i="14"/>
  <c r="M1227" i="14"/>
  <c r="I150" i="4"/>
  <c r="K150" i="4"/>
  <c r="G1106" i="14"/>
  <c r="M1106" i="14"/>
  <c r="L517" i="5"/>
  <c r="I517" i="5"/>
  <c r="L745" i="14"/>
  <c r="L744" i="14"/>
  <c r="L453" i="14"/>
  <c r="L452" i="14"/>
  <c r="L400" i="5"/>
  <c r="L123" i="14"/>
  <c r="G42" i="5"/>
  <c r="L42" i="5"/>
  <c r="L494" i="5"/>
  <c r="H570" i="3"/>
  <c r="L570" i="3"/>
  <c r="L1528" i="14"/>
  <c r="P219" i="4"/>
  <c r="K219" i="4"/>
  <c r="O219" i="4"/>
  <c r="L171" i="5"/>
  <c r="Q171" i="5"/>
  <c r="G487" i="5"/>
  <c r="I487" i="5"/>
  <c r="G1319" i="14"/>
  <c r="H572" i="3"/>
  <c r="G605" i="14"/>
  <c r="I143" i="4"/>
  <c r="O143" i="4"/>
  <c r="G1099" i="14"/>
  <c r="H27" i="3"/>
  <c r="G25" i="14"/>
  <c r="M1175" i="14"/>
  <c r="L1175" i="14"/>
  <c r="P400" i="5"/>
  <c r="H31" i="3"/>
  <c r="L31" i="3"/>
  <c r="G29" i="14"/>
  <c r="L29" i="14"/>
  <c r="P413" i="5"/>
  <c r="L47" i="14"/>
  <c r="P417" i="5"/>
  <c r="L754" i="14"/>
  <c r="L816" i="14"/>
  <c r="L757" i="14"/>
  <c r="L843" i="14"/>
  <c r="L755" i="14"/>
  <c r="L824" i="14"/>
  <c r="I499" i="5"/>
  <c r="L110" i="14"/>
  <c r="L846" i="14"/>
  <c r="L112" i="14"/>
  <c r="L899" i="14"/>
  <c r="L114" i="14"/>
  <c r="L902" i="14"/>
  <c r="L113" i="14"/>
  <c r="L900" i="14"/>
  <c r="L111" i="14"/>
  <c r="L847" i="14"/>
  <c r="L109" i="14"/>
  <c r="L698" i="14"/>
  <c r="L706" i="14"/>
  <c r="L707" i="14"/>
  <c r="L702" i="14"/>
  <c r="L705" i="14"/>
  <c r="L704" i="14"/>
  <c r="H481" i="3"/>
  <c r="G503" i="14"/>
  <c r="L195" i="14"/>
  <c r="L191" i="14"/>
  <c r="L189" i="14"/>
  <c r="H483" i="3"/>
  <c r="G505" i="14"/>
  <c r="L505" i="14"/>
  <c r="G127" i="5"/>
  <c r="P127" i="5"/>
  <c r="Q127" i="5"/>
  <c r="G1329" i="14"/>
  <c r="M1329" i="14"/>
  <c r="G612" i="14"/>
  <c r="L146" i="5"/>
  <c r="Q146" i="5"/>
  <c r="P146" i="5"/>
  <c r="I146" i="5"/>
  <c r="L1373" i="14"/>
  <c r="M1373" i="14"/>
  <c r="Q400" i="5"/>
  <c r="L199" i="14"/>
  <c r="L198" i="14"/>
  <c r="L490" i="5"/>
  <c r="L483" i="3"/>
  <c r="O483" i="3"/>
  <c r="K143" i="4"/>
  <c r="P143" i="4"/>
  <c r="G486" i="5"/>
  <c r="Q486" i="5"/>
  <c r="P487" i="5"/>
  <c r="Q42" i="5"/>
  <c r="L1106" i="14"/>
  <c r="J491" i="3"/>
  <c r="AB491" i="3"/>
  <c r="I520" i="5"/>
  <c r="P520" i="5"/>
  <c r="L520" i="5"/>
  <c r="G35" i="5"/>
  <c r="G1226" i="14"/>
  <c r="H482" i="3"/>
  <c r="Q482" i="3"/>
  <c r="G504" i="14"/>
  <c r="M504" i="14"/>
  <c r="L1329" i="14"/>
  <c r="P150" i="4"/>
  <c r="G1326" i="14"/>
  <c r="L1326" i="14"/>
  <c r="G606" i="14"/>
  <c r="G1098" i="14"/>
  <c r="M1098" i="14"/>
  <c r="I127" i="5"/>
  <c r="L503" i="14"/>
  <c r="M503" i="14"/>
  <c r="J27" i="3"/>
  <c r="S27" i="3"/>
  <c r="O27" i="3"/>
  <c r="L27" i="3"/>
  <c r="Q27" i="3"/>
  <c r="O572" i="3"/>
  <c r="S572" i="3"/>
  <c r="J572" i="3"/>
  <c r="Y572" i="3"/>
  <c r="Q572" i="3"/>
  <c r="L572" i="3"/>
  <c r="G37" i="5"/>
  <c r="Q37" i="5"/>
  <c r="G1228" i="14"/>
  <c r="M1228" i="14"/>
  <c r="K241" i="4"/>
  <c r="P241" i="4"/>
  <c r="O241" i="4"/>
  <c r="O936" i="3"/>
  <c r="L936" i="3"/>
  <c r="H935" i="3"/>
  <c r="Q936" i="3"/>
  <c r="J936" i="3"/>
  <c r="Y936" i="3"/>
  <c r="S936" i="3"/>
  <c r="H22" i="3"/>
  <c r="G20" i="14"/>
  <c r="AB481" i="3"/>
  <c r="AA481" i="3"/>
  <c r="S481" i="3"/>
  <c r="Y481" i="3"/>
  <c r="S31" i="3"/>
  <c r="O31" i="3"/>
  <c r="S570" i="3"/>
  <c r="Q36" i="5"/>
  <c r="L36" i="5"/>
  <c r="I144" i="4"/>
  <c r="P144" i="4"/>
  <c r="L935" i="3"/>
  <c r="Q935" i="3"/>
  <c r="I37" i="5"/>
  <c r="P37" i="5"/>
  <c r="P142" i="4"/>
  <c r="J482" i="3"/>
  <c r="S482" i="3"/>
  <c r="AA482" i="3"/>
  <c r="L482" i="3"/>
  <c r="L810" i="3"/>
  <c r="L1100" i="14"/>
  <c r="O144" i="4"/>
  <c r="K144" i="4"/>
  <c r="I124" i="5"/>
  <c r="P124" i="5"/>
  <c r="M1226" i="14"/>
  <c r="L486" i="5"/>
  <c r="I486" i="5"/>
  <c r="S571" i="3"/>
  <c r="S810" i="3"/>
  <c r="Q22" i="3"/>
  <c r="S22" i="3"/>
  <c r="O22" i="3"/>
  <c r="J22" i="3"/>
  <c r="L22" i="3"/>
  <c r="O484" i="3"/>
  <c r="L484" i="3"/>
  <c r="I35" i="5"/>
  <c r="Q35" i="5"/>
  <c r="P35" i="5"/>
  <c r="L35" i="5"/>
  <c r="L504" i="14"/>
  <c r="A12" i="13"/>
  <c r="Q24" i="3"/>
  <c r="O24" i="3"/>
  <c r="L43" i="5"/>
  <c r="I43" i="5"/>
  <c r="L1098" i="14"/>
  <c r="L571" i="3"/>
  <c r="M29" i="14"/>
  <c r="AA491" i="3"/>
  <c r="S491" i="3"/>
  <c r="P42" i="5"/>
  <c r="Q490" i="5"/>
  <c r="L193" i="14"/>
  <c r="L188" i="14"/>
  <c r="M1484" i="14"/>
  <c r="L46" i="14"/>
  <c r="L876" i="14"/>
  <c r="Q494" i="5"/>
  <c r="L450" i="14"/>
  <c r="G479" i="5"/>
  <c r="L106" i="14"/>
  <c r="G121" i="5"/>
  <c r="L42" i="14"/>
  <c r="AB118" i="3"/>
  <c r="AB811" i="3"/>
  <c r="AB119" i="3"/>
  <c r="AB812" i="3"/>
  <c r="Z117" i="3"/>
  <c r="H926" i="8"/>
  <c r="J926" i="8"/>
  <c r="AB123" i="3"/>
  <c r="AB828" i="3"/>
  <c r="H989" i="8"/>
  <c r="J989" i="8"/>
  <c r="J990" i="8"/>
  <c r="J988" i="8"/>
  <c r="M126" i="1"/>
  <c r="Q126" i="1"/>
  <c r="H908" i="8"/>
  <c r="J908" i="8"/>
  <c r="J909" i="8"/>
  <c r="J907" i="8"/>
  <c r="M114" i="1"/>
  <c r="Q114" i="1"/>
  <c r="M1326" i="14"/>
  <c r="M505" i="14"/>
  <c r="G22" i="14"/>
  <c r="Q491" i="3"/>
  <c r="Y491" i="3"/>
  <c r="I42" i="5"/>
  <c r="I490" i="5"/>
  <c r="L197" i="14"/>
  <c r="L196" i="14"/>
  <c r="L938" i="14"/>
  <c r="L45" i="14"/>
  <c r="I494" i="5"/>
  <c r="L449" i="14"/>
  <c r="L1526" i="14"/>
  <c r="G1234" i="14"/>
  <c r="M1234" i="14"/>
  <c r="L469" i="5"/>
  <c r="H2069" i="8"/>
  <c r="J2069" i="8"/>
  <c r="H314" i="8"/>
  <c r="J314" i="8"/>
  <c r="AB102" i="3"/>
  <c r="H371" i="8"/>
  <c r="J371" i="8"/>
  <c r="H1136" i="8"/>
  <c r="J1136" i="8"/>
  <c r="H776" i="8"/>
  <c r="J776" i="8"/>
  <c r="Z101" i="3"/>
  <c r="J99" i="14"/>
  <c r="Z438" i="3"/>
  <c r="AA439" i="3"/>
  <c r="J460" i="14"/>
  <c r="G28" i="14"/>
  <c r="O491" i="3"/>
  <c r="L190" i="14"/>
  <c r="L646" i="14"/>
  <c r="AA383" i="3"/>
  <c r="AA354" i="3"/>
  <c r="P257" i="5"/>
  <c r="L869" i="3"/>
  <c r="O805" i="3"/>
  <c r="L800" i="3"/>
  <c r="M751" i="14"/>
  <c r="L751" i="14"/>
  <c r="Q806" i="3"/>
  <c r="J1160" i="8"/>
  <c r="P153" i="1"/>
  <c r="T153" i="1"/>
  <c r="M1577" i="14"/>
  <c r="L1076" i="14"/>
  <c r="M1066" i="14"/>
  <c r="M995" i="14"/>
  <c r="M803" i="14"/>
  <c r="M750" i="14"/>
  <c r="L549" i="14"/>
  <c r="M527" i="14"/>
  <c r="M496" i="14"/>
  <c r="M488" i="14"/>
  <c r="M475" i="14"/>
  <c r="M474" i="14"/>
  <c r="L416" i="14"/>
  <c r="L379" i="14"/>
  <c r="G34" i="14"/>
  <c r="I57" i="12"/>
  <c r="J57" i="12"/>
  <c r="J2430" i="8"/>
  <c r="J2423" i="8"/>
  <c r="J2424" i="8"/>
  <c r="J2422" i="8"/>
  <c r="O322" i="1"/>
  <c r="S322" i="1"/>
  <c r="J2384" i="8"/>
  <c r="J2367" i="8"/>
  <c r="J2370" i="8"/>
  <c r="J2371" i="8"/>
  <c r="J2366" i="8"/>
  <c r="P319" i="1"/>
  <c r="T319" i="1"/>
  <c r="J2352" i="8"/>
  <c r="J2329" i="8"/>
  <c r="J2330" i="8"/>
  <c r="J2328" i="8"/>
  <c r="O317" i="1"/>
  <c r="S317" i="1"/>
  <c r="J1770" i="8"/>
  <c r="J1771" i="8"/>
  <c r="J1769" i="8"/>
  <c r="P232" i="1"/>
  <c r="T232" i="1"/>
  <c r="L1567" i="14"/>
  <c r="L1532" i="14"/>
  <c r="L1194" i="14"/>
  <c r="L1071" i="14"/>
  <c r="L1064" i="14"/>
  <c r="M992" i="14"/>
  <c r="L563" i="14"/>
  <c r="L478" i="14"/>
  <c r="H945" i="8"/>
  <c r="J945" i="8"/>
  <c r="H1046" i="8"/>
  <c r="H873" i="8"/>
  <c r="J873" i="8"/>
  <c r="J872" i="8"/>
  <c r="P109" i="1"/>
  <c r="T109" i="1"/>
  <c r="H1131" i="8"/>
  <c r="J1131" i="8"/>
  <c r="J1129" i="8"/>
  <c r="P148" i="1"/>
  <c r="T148" i="1"/>
  <c r="H1195" i="8"/>
  <c r="J1195" i="8"/>
  <c r="J1194" i="8"/>
  <c r="P157" i="1"/>
  <c r="T157" i="1"/>
  <c r="O148" i="5"/>
  <c r="O144" i="5"/>
  <c r="H188" i="8"/>
  <c r="J188" i="8"/>
  <c r="J191" i="8"/>
  <c r="J187" i="8"/>
  <c r="P26" i="1"/>
  <c r="T26" i="1"/>
  <c r="D20" i="10"/>
  <c r="D26" i="10"/>
  <c r="E26" i="10"/>
  <c r="F26" i="10"/>
  <c r="J2426" i="8"/>
  <c r="J2403" i="8"/>
  <c r="J2404" i="8"/>
  <c r="J2402" i="8"/>
  <c r="O321" i="1"/>
  <c r="S321" i="1"/>
  <c r="S324" i="1"/>
  <c r="D42" i="6"/>
  <c r="D43" i="6"/>
  <c r="D41" i="6"/>
  <c r="J2388" i="8"/>
  <c r="J2158" i="8"/>
  <c r="J2157" i="8"/>
  <c r="O287" i="1"/>
  <c r="S287" i="1"/>
  <c r="J1793" i="8"/>
  <c r="J1792" i="8"/>
  <c r="M235" i="1"/>
  <c r="Q235" i="1"/>
  <c r="J1235" i="8"/>
  <c r="H994" i="8"/>
  <c r="J994" i="8"/>
  <c r="H1089" i="8"/>
  <c r="H1098" i="8"/>
  <c r="J1098" i="8"/>
  <c r="O85" i="5"/>
  <c r="H913" i="8"/>
  <c r="J913" i="8"/>
  <c r="H922" i="8"/>
  <c r="J922" i="8"/>
  <c r="J923" i="8"/>
  <c r="J921" i="8"/>
  <c r="P115" i="1"/>
  <c r="T115" i="1"/>
  <c r="H985" i="8"/>
  <c r="J985" i="8"/>
  <c r="H1235" i="8"/>
  <c r="H1244" i="8"/>
  <c r="L1436" i="14"/>
  <c r="M1190" i="14"/>
  <c r="M1062" i="14"/>
  <c r="L988" i="14"/>
  <c r="G807" i="14"/>
  <c r="M752" i="14"/>
  <c r="L497" i="14"/>
  <c r="G177" i="14"/>
  <c r="G10" i="14"/>
  <c r="J2428" i="8"/>
  <c r="J2407" i="8"/>
  <c r="J2411" i="8"/>
  <c r="J2412" i="8"/>
  <c r="J2405" i="8"/>
  <c r="P321" i="1"/>
  <c r="T321" i="1"/>
  <c r="J2390" i="8"/>
  <c r="J2317" i="8"/>
  <c r="J2274" i="8"/>
  <c r="J2255" i="8"/>
  <c r="J1932" i="8"/>
  <c r="J1931" i="8"/>
  <c r="O253" i="1"/>
  <c r="S253" i="1"/>
  <c r="J1089" i="8"/>
  <c r="J2175" i="8"/>
  <c r="J2174" i="8"/>
  <c r="O290" i="1"/>
  <c r="S290" i="1"/>
  <c r="J2118" i="8"/>
  <c r="J2117" i="8"/>
  <c r="O283" i="1"/>
  <c r="S283" i="1"/>
  <c r="J2082" i="8"/>
  <c r="J2081" i="8"/>
  <c r="P273" i="1"/>
  <c r="T273" i="1"/>
  <c r="J1923" i="8"/>
  <c r="J1886" i="8"/>
  <c r="J1879" i="8"/>
  <c r="J1819" i="8"/>
  <c r="J1818" i="8"/>
  <c r="P239" i="1"/>
  <c r="T239" i="1"/>
  <c r="J1638" i="8"/>
  <c r="J1637" i="8"/>
  <c r="O217" i="1"/>
  <c r="S217" i="1"/>
  <c r="J1622" i="8"/>
  <c r="J1621" i="8"/>
  <c r="M214" i="1"/>
  <c r="Q214" i="1"/>
  <c r="J1551" i="8"/>
  <c r="J1532" i="8"/>
  <c r="J1531" i="8"/>
  <c r="P198" i="1"/>
  <c r="T198" i="1"/>
  <c r="J1504" i="8"/>
  <c r="J1483" i="8"/>
  <c r="J1482" i="8"/>
  <c r="O193" i="1"/>
  <c r="S193" i="1"/>
  <c r="J1453" i="8"/>
  <c r="J1450" i="8"/>
  <c r="J1449" i="8"/>
  <c r="O189" i="1"/>
  <c r="S189" i="1"/>
  <c r="J1326" i="8"/>
  <c r="J1325" i="8"/>
  <c r="M176" i="1"/>
  <c r="Q176" i="1"/>
  <c r="J1252" i="8"/>
  <c r="J1251" i="8"/>
  <c r="O166" i="1"/>
  <c r="J1219" i="8"/>
  <c r="J1118" i="8"/>
  <c r="J1117" i="8"/>
  <c r="O147" i="1"/>
  <c r="S147" i="1"/>
  <c r="J1070" i="8"/>
  <c r="J977" i="8"/>
  <c r="J975" i="8"/>
  <c r="P124" i="1"/>
  <c r="T124" i="1"/>
  <c r="J954" i="8"/>
  <c r="J943" i="8"/>
  <c r="J942" i="8"/>
  <c r="O120" i="1"/>
  <c r="S120" i="1"/>
  <c r="J886" i="8"/>
  <c r="J835" i="8"/>
  <c r="J834" i="8"/>
  <c r="O104" i="1"/>
  <c r="S104" i="1"/>
  <c r="J829" i="8"/>
  <c r="J828" i="8"/>
  <c r="J802" i="8"/>
  <c r="J739" i="8"/>
  <c r="J738" i="8"/>
  <c r="P91" i="1"/>
  <c r="T91" i="1"/>
  <c r="J678" i="8"/>
  <c r="J652" i="8"/>
  <c r="J646" i="8"/>
  <c r="J645" i="8"/>
  <c r="O81" i="1"/>
  <c r="S81" i="1"/>
  <c r="J601" i="8"/>
  <c r="J581" i="8"/>
  <c r="J580" i="8"/>
  <c r="O74" i="1"/>
  <c r="S74" i="1"/>
  <c r="J562" i="8"/>
  <c r="J457" i="8"/>
  <c r="J456" i="8"/>
  <c r="O60" i="1"/>
  <c r="S60" i="1"/>
  <c r="J436" i="8"/>
  <c r="J435" i="8"/>
  <c r="O58" i="1"/>
  <c r="S58" i="1"/>
  <c r="J397" i="8"/>
  <c r="J396" i="8"/>
  <c r="O54" i="1"/>
  <c r="S54" i="1"/>
  <c r="J380" i="8"/>
  <c r="J284" i="8"/>
  <c r="J283" i="8"/>
  <c r="O37" i="1"/>
  <c r="S37" i="1"/>
  <c r="J280" i="8"/>
  <c r="J265" i="8"/>
  <c r="J264" i="8"/>
  <c r="O35" i="1"/>
  <c r="S35" i="1"/>
  <c r="J249" i="8"/>
  <c r="J170" i="8"/>
  <c r="J169" i="8"/>
  <c r="O24" i="1"/>
  <c r="S24" i="1"/>
  <c r="J106" i="8"/>
  <c r="J105" i="8"/>
  <c r="O15" i="1"/>
  <c r="S15" i="1"/>
  <c r="J76" i="8"/>
  <c r="J75" i="8"/>
  <c r="O12" i="1"/>
  <c r="S12" i="1"/>
  <c r="J13" i="8"/>
  <c r="I93" i="5"/>
  <c r="I432" i="5"/>
  <c r="I90" i="5"/>
  <c r="I425" i="5"/>
  <c r="J2087" i="8"/>
  <c r="J1830" i="8"/>
  <c r="J1743" i="8"/>
  <c r="J1742" i="8"/>
  <c r="O230" i="1"/>
  <c r="S230" i="1"/>
  <c r="J1723" i="8"/>
  <c r="J1706" i="8"/>
  <c r="J1705" i="8"/>
  <c r="O227" i="1"/>
  <c r="S227" i="1"/>
  <c r="J1702" i="8"/>
  <c r="J1648" i="8"/>
  <c r="J1647" i="8"/>
  <c r="O218" i="1"/>
  <c r="S218" i="1"/>
  <c r="J1512" i="8"/>
  <c r="J1464" i="8"/>
  <c r="J1458" i="8"/>
  <c r="J1452" i="8"/>
  <c r="J1349" i="8"/>
  <c r="J1348" i="8"/>
  <c r="O178" i="1"/>
  <c r="S178" i="1"/>
  <c r="J1346" i="8"/>
  <c r="J1340" i="8"/>
  <c r="J1339" i="8"/>
  <c r="O177" i="1"/>
  <c r="S177" i="1"/>
  <c r="J1307" i="8"/>
  <c r="J1282" i="8"/>
  <c r="J1264" i="8"/>
  <c r="J1263" i="8"/>
  <c r="O167" i="1"/>
  <c r="S167" i="1"/>
  <c r="J1261" i="8"/>
  <c r="J1233" i="8"/>
  <c r="J1232" i="8"/>
  <c r="O162" i="1"/>
  <c r="S162" i="1"/>
  <c r="J1187" i="8"/>
  <c r="J1172" i="8"/>
  <c r="J1150" i="8"/>
  <c r="J1149" i="8"/>
  <c r="O151" i="1"/>
  <c r="S151" i="1"/>
  <c r="J1139" i="8"/>
  <c r="J1138" i="8"/>
  <c r="O149" i="1"/>
  <c r="S149" i="1"/>
  <c r="J1078" i="8"/>
  <c r="J1064" i="8"/>
  <c r="J1063" i="8"/>
  <c r="O139" i="1"/>
  <c r="J1059" i="8"/>
  <c r="J1052" i="8"/>
  <c r="J1032" i="8"/>
  <c r="J1004" i="8"/>
  <c r="J992" i="8"/>
  <c r="J991" i="8"/>
  <c r="O126" i="1"/>
  <c r="S126" i="1"/>
  <c r="J951" i="8"/>
  <c r="J882" i="8"/>
  <c r="J616" i="8"/>
  <c r="J614" i="8"/>
  <c r="P77" i="1"/>
  <c r="T77" i="1"/>
  <c r="J554" i="8"/>
  <c r="J553" i="8"/>
  <c r="O72" i="1"/>
  <c r="S72" i="1"/>
  <c r="J547" i="8"/>
  <c r="J477" i="8"/>
  <c r="J141" i="8"/>
  <c r="J140" i="8"/>
  <c r="O19" i="1"/>
  <c r="S19" i="1"/>
  <c r="J125" i="8"/>
  <c r="J96" i="8"/>
  <c r="J95" i="8"/>
  <c r="O14" i="1"/>
  <c r="S14" i="1"/>
  <c r="J82" i="8"/>
  <c r="J66" i="8"/>
  <c r="J65" i="8"/>
  <c r="O11" i="1"/>
  <c r="S11" i="1"/>
  <c r="J28" i="8"/>
  <c r="P161" i="5"/>
  <c r="K218" i="4"/>
  <c r="P218" i="4"/>
  <c r="Y740" i="3"/>
  <c r="Y756" i="3"/>
  <c r="Y725" i="3"/>
  <c r="Y728" i="3"/>
  <c r="Y748" i="3"/>
  <c r="Y760" i="3"/>
  <c r="J1076" i="8"/>
  <c r="P140" i="1"/>
  <c r="Y729" i="3"/>
  <c r="J2038" i="8"/>
  <c r="J2015" i="8"/>
  <c r="J2014" i="8"/>
  <c r="P263" i="1"/>
  <c r="T263" i="1"/>
  <c r="J2002" i="8"/>
  <c r="J2004" i="8"/>
  <c r="J2000" i="8"/>
  <c r="P262" i="1"/>
  <c r="T262" i="1"/>
  <c r="J1978" i="8"/>
  <c r="J1917" i="8"/>
  <c r="J1918" i="8"/>
  <c r="J1916" i="8"/>
  <c r="P251" i="1"/>
  <c r="T251" i="1"/>
  <c r="J1873" i="8"/>
  <c r="J1871" i="8"/>
  <c r="P247" i="1"/>
  <c r="T247" i="1"/>
  <c r="J1867" i="8"/>
  <c r="J1845" i="8"/>
  <c r="J1826" i="8"/>
  <c r="J1798" i="8"/>
  <c r="J1796" i="8"/>
  <c r="P235" i="1"/>
  <c r="T235" i="1"/>
  <c r="J1779" i="8"/>
  <c r="J1780" i="8"/>
  <c r="J1778" i="8"/>
  <c r="P233" i="1"/>
  <c r="T233" i="1"/>
  <c r="J1749" i="8"/>
  <c r="J1681" i="8"/>
  <c r="J1590" i="8"/>
  <c r="J1580" i="8"/>
  <c r="J1517" i="8"/>
  <c r="J1473" i="8"/>
  <c r="J1472" i="8"/>
  <c r="O191" i="1"/>
  <c r="S191" i="1"/>
  <c r="J1469" i="8"/>
  <c r="J1430" i="8"/>
  <c r="J1420" i="8"/>
  <c r="J1419" i="8"/>
  <c r="O186" i="1"/>
  <c r="S186" i="1"/>
  <c r="J1389" i="8"/>
  <c r="J1388" i="8"/>
  <c r="O182" i="1"/>
  <c r="S182" i="1"/>
  <c r="J1361" i="8"/>
  <c r="J1303" i="8"/>
  <c r="J1302" i="8"/>
  <c r="O174" i="1"/>
  <c r="S174" i="1"/>
  <c r="J1280" i="8"/>
  <c r="J1258" i="8"/>
  <c r="J1224" i="8"/>
  <c r="J1223" i="8"/>
  <c r="O161" i="1"/>
  <c r="J1213" i="8"/>
  <c r="J1212" i="8"/>
  <c r="O160" i="1"/>
  <c r="S160" i="1"/>
  <c r="J1145" i="8"/>
  <c r="J1144" i="8"/>
  <c r="O150" i="1"/>
  <c r="S150" i="1"/>
  <c r="J1046" i="8"/>
  <c r="J1045" i="8"/>
  <c r="P136" i="1"/>
  <c r="T136" i="1"/>
  <c r="J859" i="8"/>
  <c r="J861" i="8"/>
  <c r="J856" i="8"/>
  <c r="P107" i="1"/>
  <c r="T107" i="1"/>
  <c r="J845" i="8"/>
  <c r="J767" i="8"/>
  <c r="J766" i="8"/>
  <c r="M95" i="1"/>
  <c r="Q95" i="1"/>
  <c r="J760" i="8"/>
  <c r="J764" i="8"/>
  <c r="J757" i="8"/>
  <c r="P93" i="1"/>
  <c r="T93" i="1"/>
  <c r="J729" i="8"/>
  <c r="J728" i="8"/>
  <c r="O88" i="1"/>
  <c r="S88" i="1"/>
  <c r="J683" i="8"/>
  <c r="J682" i="8"/>
  <c r="O84" i="1"/>
  <c r="S84" i="1"/>
  <c r="J663" i="8"/>
  <c r="J502" i="8"/>
  <c r="J501" i="8"/>
  <c r="O65" i="1"/>
  <c r="S65" i="1"/>
  <c r="J441" i="8"/>
  <c r="J422" i="8"/>
  <c r="J221" i="8"/>
  <c r="J220" i="8"/>
  <c r="O31" i="1"/>
  <c r="S31" i="1"/>
  <c r="J205" i="8"/>
  <c r="J56" i="8"/>
  <c r="J55" i="8"/>
  <c r="O10" i="1"/>
  <c r="S10" i="1"/>
  <c r="J54" i="8"/>
  <c r="J45" i="8"/>
  <c r="J44" i="8"/>
  <c r="O9" i="1"/>
  <c r="S9" i="1"/>
  <c r="J32" i="8"/>
  <c r="J31" i="8"/>
  <c r="O8" i="1"/>
  <c r="S8" i="1"/>
  <c r="L233" i="5"/>
  <c r="L59" i="5"/>
  <c r="K190" i="4"/>
  <c r="P190" i="4"/>
  <c r="Y609" i="3"/>
  <c r="Y770" i="3"/>
  <c r="Y639" i="3"/>
  <c r="Y899" i="3"/>
  <c r="Y630" i="3"/>
  <c r="P181" i="4"/>
  <c r="K176" i="4"/>
  <c r="P135" i="4"/>
  <c r="O99" i="4"/>
  <c r="O63" i="4"/>
  <c r="P58" i="4"/>
  <c r="O50" i="4"/>
  <c r="X946" i="3"/>
  <c r="S938" i="3"/>
  <c r="J934" i="3"/>
  <c r="J980" i="3"/>
  <c r="V931" i="3"/>
  <c r="W931" i="3"/>
  <c r="O762" i="3"/>
  <c r="O756" i="3"/>
  <c r="Q747" i="3"/>
  <c r="Q868" i="3"/>
  <c r="Y745" i="3"/>
  <c r="S744" i="3"/>
  <c r="J744" i="3"/>
  <c r="S743" i="3"/>
  <c r="Y733" i="3"/>
  <c r="Q730" i="3"/>
  <c r="L728" i="3"/>
  <c r="S722" i="3"/>
  <c r="J710" i="3"/>
  <c r="X707" i="3"/>
  <c r="Y707" i="3"/>
  <c r="Y701" i="3"/>
  <c r="J701" i="3"/>
  <c r="J663" i="3"/>
  <c r="S662" i="3"/>
  <c r="L660" i="3"/>
  <c r="J642" i="3"/>
  <c r="L630" i="3"/>
  <c r="L854" i="3"/>
  <c r="L627" i="3"/>
  <c r="L842" i="3"/>
  <c r="J622" i="3"/>
  <c r="Y621" i="3"/>
  <c r="J621" i="3"/>
  <c r="O620" i="3"/>
  <c r="O806" i="3"/>
  <c r="V602" i="3"/>
  <c r="W602" i="3"/>
  <c r="J599" i="3"/>
  <c r="J905" i="3"/>
  <c r="J583" i="3"/>
  <c r="J842" i="3"/>
  <c r="J569" i="3"/>
  <c r="V537" i="3"/>
  <c r="W537" i="3"/>
  <c r="X537" i="3"/>
  <c r="P149" i="4"/>
  <c r="O135" i="4"/>
  <c r="K125" i="4"/>
  <c r="P115" i="4"/>
  <c r="P111" i="4"/>
  <c r="K91" i="4"/>
  <c r="K81" i="4"/>
  <c r="K70" i="4"/>
  <c r="O36" i="4"/>
  <c r="P31" i="4"/>
  <c r="O30" i="4"/>
  <c r="P19" i="4"/>
  <c r="X952" i="3"/>
  <c r="V937" i="3"/>
  <c r="W937" i="3"/>
  <c r="H933" i="3"/>
  <c r="L756" i="3"/>
  <c r="L747" i="3"/>
  <c r="Y736" i="3"/>
  <c r="O730" i="3"/>
  <c r="O780" i="3"/>
  <c r="X551" i="3"/>
  <c r="V551" i="3"/>
  <c r="W551" i="3"/>
  <c r="O31" i="4"/>
  <c r="S972" i="3"/>
  <c r="J772" i="3"/>
  <c r="O744" i="3"/>
  <c r="Y720" i="3"/>
  <c r="L711" i="3"/>
  <c r="L780" i="3"/>
  <c r="Q710" i="3"/>
  <c r="Q772" i="3"/>
  <c r="Y708" i="3"/>
  <c r="S706" i="3"/>
  <c r="Q705" i="3"/>
  <c r="S703" i="3"/>
  <c r="O701" i="3"/>
  <c r="Q692" i="3"/>
  <c r="S642" i="3"/>
  <c r="Q630" i="3"/>
  <c r="S624" i="3"/>
  <c r="S622" i="3"/>
  <c r="Q621" i="3"/>
  <c r="L609" i="3"/>
  <c r="L770" i="3"/>
  <c r="V606" i="3"/>
  <c r="X602" i="3"/>
  <c r="S600" i="3"/>
  <c r="S597" i="3"/>
  <c r="S903" i="3"/>
  <c r="S569" i="3"/>
  <c r="X554" i="3"/>
  <c r="V554" i="3"/>
  <c r="W554" i="3"/>
  <c r="O127" i="4"/>
  <c r="P125" i="4"/>
  <c r="P99" i="4"/>
  <c r="P81" i="4"/>
  <c r="P63" i="4"/>
  <c r="O39" i="4"/>
  <c r="Q934" i="3"/>
  <c r="Q980" i="3"/>
  <c r="L760" i="3"/>
  <c r="Q756" i="3"/>
  <c r="L748" i="3"/>
  <c r="S747" i="3"/>
  <c r="S868" i="3"/>
  <c r="Y744" i="3"/>
  <c r="O736" i="3"/>
  <c r="S731" i="3"/>
  <c r="O728" i="3"/>
  <c r="O787" i="3"/>
  <c r="Q708" i="3"/>
  <c r="L701" i="3"/>
  <c r="J666" i="3"/>
  <c r="Q663" i="3"/>
  <c r="Q642" i="3"/>
  <c r="O630" i="3"/>
  <c r="Y627" i="3"/>
  <c r="S599" i="3"/>
  <c r="S905" i="3"/>
  <c r="J597" i="3"/>
  <c r="J903" i="3"/>
  <c r="S583" i="3"/>
  <c r="S842" i="3"/>
  <c r="Q569" i="3"/>
  <c r="O553" i="3"/>
  <c r="O857" i="3"/>
  <c r="Q553" i="3"/>
  <c r="Q857" i="3"/>
  <c r="S553" i="3"/>
  <c r="S857" i="3"/>
  <c r="J512" i="3"/>
  <c r="J857" i="3"/>
  <c r="J509" i="3"/>
  <c r="O501" i="3"/>
  <c r="O479" i="3"/>
  <c r="L478" i="3"/>
  <c r="L806" i="3"/>
  <c r="O473" i="3"/>
  <c r="O466" i="3"/>
  <c r="O792" i="3"/>
  <c r="L462" i="3"/>
  <c r="Q454" i="3"/>
  <c r="O428" i="3"/>
  <c r="O405" i="3"/>
  <c r="O397" i="3"/>
  <c r="Q392" i="3"/>
  <c r="Q378" i="3"/>
  <c r="L376" i="3"/>
  <c r="L375" i="3"/>
  <c r="O362" i="3"/>
  <c r="L359" i="3"/>
  <c r="L785" i="3"/>
  <c r="L352" i="3"/>
  <c r="L879" i="3"/>
  <c r="Q351" i="3"/>
  <c r="V349" i="3"/>
  <c r="W349" i="3"/>
  <c r="X345" i="3"/>
  <c r="X333" i="3"/>
  <c r="Y334" i="3"/>
  <c r="Y849" i="3"/>
  <c r="O330" i="3"/>
  <c r="O840" i="3"/>
  <c r="L316" i="3"/>
  <c r="S315" i="3"/>
  <c r="X305" i="3"/>
  <c r="Q301" i="3"/>
  <c r="V292" i="3"/>
  <c r="W292" i="3"/>
  <c r="O284" i="3"/>
  <c r="X281" i="3"/>
  <c r="L280" i="3"/>
  <c r="L267" i="3"/>
  <c r="J267" i="3"/>
  <c r="S267" i="3"/>
  <c r="L190" i="3"/>
  <c r="Q190" i="3"/>
  <c r="S190" i="3"/>
  <c r="W535" i="3"/>
  <c r="O505" i="3"/>
  <c r="Y501" i="3"/>
  <c r="Y848" i="3"/>
  <c r="Y478" i="3"/>
  <c r="Y806" i="3"/>
  <c r="J478" i="3"/>
  <c r="J806" i="3"/>
  <c r="Y473" i="3"/>
  <c r="Y462" i="3"/>
  <c r="J462" i="3"/>
  <c r="O454" i="3"/>
  <c r="J428" i="3"/>
  <c r="Q418" i="3"/>
  <c r="Q853" i="3"/>
  <c r="S414" i="3"/>
  <c r="S821" i="3"/>
  <c r="Q407" i="3"/>
  <c r="Q800" i="3"/>
  <c r="J405" i="3"/>
  <c r="J795" i="3"/>
  <c r="V401" i="3"/>
  <c r="W401" i="3"/>
  <c r="L397" i="3"/>
  <c r="O392" i="3"/>
  <c r="S390" i="3"/>
  <c r="O388" i="3"/>
  <c r="O384" i="3"/>
  <c r="O378" i="3"/>
  <c r="S376" i="3"/>
  <c r="J376" i="3"/>
  <c r="J375" i="3"/>
  <c r="J362" i="3"/>
  <c r="J359" i="3"/>
  <c r="J785" i="3"/>
  <c r="X353" i="3"/>
  <c r="Y361" i="3"/>
  <c r="W333" i="3"/>
  <c r="W331" i="3"/>
  <c r="J330" i="3"/>
  <c r="J840" i="3"/>
  <c r="H327" i="3"/>
  <c r="W305" i="3"/>
  <c r="L301" i="3"/>
  <c r="J284" i="3"/>
  <c r="Q279" i="3"/>
  <c r="O279" i="3"/>
  <c r="S224" i="3"/>
  <c r="Q224" i="3"/>
  <c r="Z50" i="3"/>
  <c r="AB51" i="3"/>
  <c r="AB867" i="3"/>
  <c r="W547" i="3"/>
  <c r="AB359" i="3"/>
  <c r="AB785" i="3"/>
  <c r="W294" i="3"/>
  <c r="O210" i="3"/>
  <c r="Q210" i="3"/>
  <c r="Q807" i="3"/>
  <c r="S210" i="3"/>
  <c r="X535" i="3"/>
  <c r="S513" i="3"/>
  <c r="S860" i="3"/>
  <c r="J510" i="3"/>
  <c r="Y509" i="3"/>
  <c r="S505" i="3"/>
  <c r="Q451" i="3"/>
  <c r="V423" i="3"/>
  <c r="W423" i="3"/>
  <c r="J419" i="3"/>
  <c r="S405" i="3"/>
  <c r="J398" i="3"/>
  <c r="J395" i="3"/>
  <c r="S388" i="3"/>
  <c r="S384" i="3"/>
  <c r="Q381" i="3"/>
  <c r="S379" i="3"/>
  <c r="S378" i="3"/>
  <c r="S859" i="3"/>
  <c r="S351" i="3"/>
  <c r="S878" i="3"/>
  <c r="O339" i="3"/>
  <c r="S328" i="3"/>
  <c r="S838" i="3"/>
  <c r="S316" i="3"/>
  <c r="AB315" i="3"/>
  <c r="Q284" i="3"/>
  <c r="V266" i="3"/>
  <c r="W266" i="3"/>
  <c r="X266" i="3"/>
  <c r="L179" i="3"/>
  <c r="O179" i="3"/>
  <c r="AA133" i="3"/>
  <c r="K1989" i="2"/>
  <c r="J1986" i="2"/>
  <c r="K1837" i="2"/>
  <c r="L1839" i="2"/>
  <c r="L1840" i="2"/>
  <c r="K1558" i="2"/>
  <c r="L1560" i="2"/>
  <c r="L1561" i="2"/>
  <c r="K1321" i="2"/>
  <c r="L1323" i="2"/>
  <c r="L1324" i="2"/>
  <c r="J1739" i="2"/>
  <c r="J1740" i="2"/>
  <c r="H640" i="3"/>
  <c r="J1741" i="2"/>
  <c r="R221" i="1"/>
  <c r="F1661" i="2"/>
  <c r="R208" i="1"/>
  <c r="F1593" i="2"/>
  <c r="R187" i="1"/>
  <c r="F1427" i="2"/>
  <c r="R182" i="1"/>
  <c r="F1384" i="2"/>
  <c r="R101" i="1"/>
  <c r="F816" i="2"/>
  <c r="R65" i="1"/>
  <c r="F495" i="2"/>
  <c r="K503" i="2"/>
  <c r="K458" i="2"/>
  <c r="J455" i="2"/>
  <c r="J456" i="2"/>
  <c r="R56" i="1"/>
  <c r="F407" i="2"/>
  <c r="R16" i="1"/>
  <c r="F108" i="2"/>
  <c r="J255" i="3"/>
  <c r="O234" i="3"/>
  <c r="O231" i="3"/>
  <c r="L211" i="3"/>
  <c r="L808" i="3"/>
  <c r="J199" i="3"/>
  <c r="Y195" i="3"/>
  <c r="J191" i="3"/>
  <c r="L181" i="3"/>
  <c r="L850" i="3"/>
  <c r="S180" i="3"/>
  <c r="V179" i="3"/>
  <c r="W179" i="3"/>
  <c r="Q176" i="3"/>
  <c r="O148" i="3"/>
  <c r="L144" i="3"/>
  <c r="S125" i="3"/>
  <c r="Q119" i="3"/>
  <c r="Q812" i="3"/>
  <c r="S113" i="3"/>
  <c r="S803" i="3"/>
  <c r="X109" i="3"/>
  <c r="O102" i="3"/>
  <c r="O776" i="3"/>
  <c r="Q67" i="3"/>
  <c r="L63" i="3"/>
  <c r="O55" i="3"/>
  <c r="O769" i="3"/>
  <c r="X50" i="3"/>
  <c r="Y51" i="3"/>
  <c r="S37" i="3"/>
  <c r="O35" i="3"/>
  <c r="O33" i="3"/>
  <c r="X12" i="3"/>
  <c r="L2364" i="2"/>
  <c r="G1514" i="14"/>
  <c r="L2363" i="2"/>
  <c r="L2362" i="2"/>
  <c r="L2333" i="2"/>
  <c r="L2332" i="2"/>
  <c r="L2331" i="2"/>
  <c r="K2278" i="2"/>
  <c r="J2079" i="2"/>
  <c r="L2040" i="2"/>
  <c r="L2039" i="2"/>
  <c r="K1160" i="2"/>
  <c r="L1162" i="2"/>
  <c r="L1163" i="2"/>
  <c r="K984" i="2"/>
  <c r="L986" i="2"/>
  <c r="K614" i="2"/>
  <c r="L616" i="2"/>
  <c r="G24" i="5"/>
  <c r="L617" i="2"/>
  <c r="L618" i="2"/>
  <c r="L619" i="2"/>
  <c r="K349" i="2"/>
  <c r="G1012" i="14"/>
  <c r="J345" i="2"/>
  <c r="J346" i="2"/>
  <c r="K285" i="2"/>
  <c r="J281" i="2"/>
  <c r="H528" i="3"/>
  <c r="J282" i="2"/>
  <c r="J283" i="2"/>
  <c r="L257" i="5"/>
  <c r="K222" i="2"/>
  <c r="G1090" i="14"/>
  <c r="J217" i="2"/>
  <c r="H297" i="3"/>
  <c r="J218" i="2"/>
  <c r="J219" i="2"/>
  <c r="R189" i="1"/>
  <c r="F1442" i="2"/>
  <c r="R136" i="1"/>
  <c r="F1036" i="2"/>
  <c r="R116" i="1"/>
  <c r="F925" i="2"/>
  <c r="J927" i="2"/>
  <c r="J865" i="2"/>
  <c r="J866" i="2"/>
  <c r="J867" i="2"/>
  <c r="H565" i="3"/>
  <c r="J868" i="2"/>
  <c r="J869" i="2"/>
  <c r="R74" i="1"/>
  <c r="F572" i="2"/>
  <c r="R70" i="1"/>
  <c r="F525" i="2"/>
  <c r="R33" i="1"/>
  <c r="F235" i="2"/>
  <c r="L232" i="3"/>
  <c r="W219" i="3"/>
  <c r="S184" i="3"/>
  <c r="Q180" i="3"/>
  <c r="L175" i="3"/>
  <c r="L900" i="3"/>
  <c r="Q160" i="3"/>
  <c r="Q159" i="3"/>
  <c r="Q156" i="3"/>
  <c r="J148" i="3"/>
  <c r="S144" i="3"/>
  <c r="S133" i="3"/>
  <c r="X130" i="3"/>
  <c r="O125" i="3"/>
  <c r="S118" i="3"/>
  <c r="S811" i="3"/>
  <c r="W109" i="3"/>
  <c r="AB110" i="3"/>
  <c r="AB801" i="3"/>
  <c r="O99" i="3"/>
  <c r="J98" i="3"/>
  <c r="S97" i="3"/>
  <c r="Q88" i="3"/>
  <c r="L67" i="3"/>
  <c r="J63" i="3"/>
  <c r="X45" i="3"/>
  <c r="S42" i="3"/>
  <c r="X38" i="3"/>
  <c r="L37" i="3"/>
  <c r="J35" i="3"/>
  <c r="L33" i="3"/>
  <c r="Y14" i="3"/>
  <c r="W12" i="3"/>
  <c r="X10" i="3"/>
  <c r="L2249" i="2"/>
  <c r="L2248" i="2"/>
  <c r="J2234" i="2"/>
  <c r="J2233" i="2"/>
  <c r="L2062" i="2"/>
  <c r="K1676" i="2"/>
  <c r="J1673" i="2"/>
  <c r="K912" i="2"/>
  <c r="L914" i="2"/>
  <c r="K811" i="2"/>
  <c r="L813" i="2"/>
  <c r="L814" i="2"/>
  <c r="K770" i="2"/>
  <c r="L772" i="2"/>
  <c r="O98" i="4"/>
  <c r="K628" i="2"/>
  <c r="L630" i="2"/>
  <c r="L631" i="2"/>
  <c r="T253" i="1"/>
  <c r="R253" i="1"/>
  <c r="T158" i="1"/>
  <c r="S158" i="1"/>
  <c r="F1199" i="2"/>
  <c r="K1119" i="2"/>
  <c r="J1113" i="2"/>
  <c r="J1114" i="2"/>
  <c r="J1115" i="2"/>
  <c r="J1116" i="2"/>
  <c r="J1117" i="2"/>
  <c r="L277" i="3"/>
  <c r="Q208" i="3"/>
  <c r="Q805" i="3"/>
  <c r="W198" i="3"/>
  <c r="Q191" i="3"/>
  <c r="Q796" i="3"/>
  <c r="J184" i="3"/>
  <c r="W182" i="3"/>
  <c r="L180" i="3"/>
  <c r="W172" i="3"/>
  <c r="L159" i="3"/>
  <c r="H132" i="3"/>
  <c r="J125" i="3"/>
  <c r="J67" i="3"/>
  <c r="J37" i="3"/>
  <c r="Y37" i="3"/>
  <c r="S35" i="3"/>
  <c r="Y33" i="3"/>
  <c r="J1924" i="2"/>
  <c r="K1927" i="2"/>
  <c r="J1922" i="2"/>
  <c r="J1923" i="2"/>
  <c r="K1516" i="2"/>
  <c r="L1518" i="2"/>
  <c r="L1519" i="2"/>
  <c r="L1520" i="2"/>
  <c r="L1521" i="2"/>
  <c r="Y718" i="3"/>
  <c r="K749" i="2"/>
  <c r="L751" i="2"/>
  <c r="L752" i="2"/>
  <c r="K33" i="2"/>
  <c r="L35" i="2"/>
  <c r="L36" i="2"/>
  <c r="L37" i="2"/>
  <c r="R191" i="1"/>
  <c r="F1468" i="2"/>
  <c r="T164" i="1"/>
  <c r="S164" i="1"/>
  <c r="T121" i="1"/>
  <c r="R121" i="1"/>
  <c r="R81" i="1"/>
  <c r="F641" i="2"/>
  <c r="R72" i="1"/>
  <c r="F545" i="2"/>
  <c r="J1407" i="2"/>
  <c r="J1406" i="2"/>
  <c r="J1405" i="2"/>
  <c r="J1191" i="2"/>
  <c r="J1190" i="2"/>
  <c r="J1189" i="2"/>
  <c r="J1188" i="2"/>
  <c r="J1187" i="2"/>
  <c r="J1143" i="2"/>
  <c r="R245" i="1"/>
  <c r="Q135" i="1"/>
  <c r="R55" i="1"/>
  <c r="T15" i="1"/>
  <c r="L1614" i="2"/>
  <c r="L1613" i="2"/>
  <c r="L1612" i="2"/>
  <c r="L1592" i="2"/>
  <c r="L1591" i="2"/>
  <c r="L1005" i="2"/>
  <c r="L439" i="2"/>
  <c r="L234" i="2"/>
  <c r="K118" i="1"/>
  <c r="T118" i="1"/>
  <c r="L37" i="5"/>
  <c r="J570" i="3"/>
  <c r="Q570" i="3"/>
  <c r="O570" i="3"/>
  <c r="M192" i="14"/>
  <c r="M1323" i="14"/>
  <c r="O142" i="4"/>
  <c r="K142" i="4"/>
  <c r="O481" i="3"/>
  <c r="J481" i="3"/>
  <c r="Q481" i="3"/>
  <c r="L481" i="3"/>
  <c r="M1319" i="14"/>
  <c r="L124" i="5"/>
  <c r="Q124" i="5"/>
  <c r="L573" i="3"/>
  <c r="L1386" i="14"/>
  <c r="M1386" i="14"/>
  <c r="Y935" i="3"/>
  <c r="S935" i="3"/>
  <c r="O935" i="3"/>
  <c r="J935" i="3"/>
  <c r="AA484" i="3"/>
  <c r="S484" i="3"/>
  <c r="P36" i="5"/>
  <c r="I36" i="5"/>
  <c r="Q571" i="3"/>
  <c r="Q810" i="3"/>
  <c r="L302" i="14"/>
  <c r="L354" i="14"/>
  <c r="L353" i="14"/>
  <c r="O150" i="4"/>
  <c r="J2088" i="8"/>
  <c r="J2084" i="8"/>
  <c r="M275" i="1"/>
  <c r="Q275" i="1"/>
  <c r="AB222" i="3"/>
  <c r="AB223" i="3"/>
  <c r="Z221" i="3"/>
  <c r="H1585" i="8"/>
  <c r="J1585" i="8"/>
  <c r="J1584" i="8"/>
  <c r="M206" i="1"/>
  <c r="Q206" i="1"/>
  <c r="H1703" i="8"/>
  <c r="J1703" i="8"/>
  <c r="J1701" i="8"/>
  <c r="M227" i="1"/>
  <c r="Q227" i="1"/>
  <c r="H2264" i="8"/>
  <c r="J2264" i="8"/>
  <c r="J2263" i="8"/>
  <c r="M302" i="1"/>
  <c r="Q302" i="1"/>
  <c r="H228" i="8"/>
  <c r="J228" i="8"/>
  <c r="J227" i="8"/>
  <c r="M32" i="1"/>
  <c r="Q32" i="1"/>
  <c r="H537" i="8"/>
  <c r="J537" i="8"/>
  <c r="H1386" i="8"/>
  <c r="J1386" i="8"/>
  <c r="H1694" i="8"/>
  <c r="J1694" i="8"/>
  <c r="J1693" i="8"/>
  <c r="M226" i="1"/>
  <c r="Q226" i="1"/>
  <c r="H281" i="8"/>
  <c r="J281" i="8"/>
  <c r="H1470" i="8"/>
  <c r="J1470" i="8"/>
  <c r="AB256" i="3"/>
  <c r="AB246" i="3"/>
  <c r="AB253" i="3"/>
  <c r="AB232" i="3"/>
  <c r="AB251" i="3"/>
  <c r="H518" i="8"/>
  <c r="J518" i="8"/>
  <c r="J517" i="8"/>
  <c r="M69" i="1"/>
  <c r="Q69" i="1"/>
  <c r="H634" i="8"/>
  <c r="J634" i="8"/>
  <c r="J633" i="8"/>
  <c r="M80" i="1"/>
  <c r="Q80" i="1"/>
  <c r="H73" i="8"/>
  <c r="J73" i="8"/>
  <c r="H83" i="8"/>
  <c r="J83" i="8"/>
  <c r="J81" i="8"/>
  <c r="M13" i="1"/>
  <c r="Q13" i="1"/>
  <c r="H463" i="8"/>
  <c r="J463" i="8"/>
  <c r="H1405" i="8"/>
  <c r="J1405" i="8"/>
  <c r="H1595" i="8"/>
  <c r="J1595" i="8"/>
  <c r="H653" i="8"/>
  <c r="J653" i="8"/>
  <c r="H1459" i="8"/>
  <c r="J1459" i="8"/>
  <c r="J1457" i="8"/>
  <c r="M190" i="1"/>
  <c r="Q190" i="1"/>
  <c r="H1574" i="8"/>
  <c r="J1574" i="8"/>
  <c r="J231" i="14"/>
  <c r="H1645" i="8"/>
  <c r="J1645" i="8"/>
  <c r="AB225" i="3"/>
  <c r="AB257" i="3"/>
  <c r="AB231" i="3"/>
  <c r="H1663" i="8"/>
  <c r="J1663" i="8"/>
  <c r="H148" i="8"/>
  <c r="J148" i="8"/>
  <c r="J147" i="8"/>
  <c r="M20" i="1"/>
  <c r="Q20" i="1"/>
  <c r="H817" i="8"/>
  <c r="J817" i="8"/>
  <c r="J816" i="8"/>
  <c r="M101" i="1"/>
  <c r="Q101" i="1"/>
  <c r="H1654" i="8"/>
  <c r="J1654" i="8"/>
  <c r="J1653" i="8"/>
  <c r="M220" i="1"/>
  <c r="Q220" i="1"/>
  <c r="H157" i="8"/>
  <c r="J157" i="8"/>
  <c r="AB243" i="3"/>
  <c r="AB234" i="3"/>
  <c r="H527" i="8"/>
  <c r="J527" i="8"/>
  <c r="H63" i="8"/>
  <c r="J63" i="8"/>
  <c r="H1396" i="8"/>
  <c r="J1396" i="8"/>
  <c r="J1395" i="8"/>
  <c r="M183" i="1"/>
  <c r="Q183" i="1"/>
  <c r="H1606" i="8"/>
  <c r="J1606" i="8"/>
  <c r="H1375" i="8"/>
  <c r="J1375" i="8"/>
  <c r="J1373" i="8"/>
  <c r="M181" i="1"/>
  <c r="Q181" i="1"/>
  <c r="H1960" i="8"/>
  <c r="J1960" i="8"/>
  <c r="J1959" i="8"/>
  <c r="M257" i="1"/>
  <c r="Q257" i="1"/>
  <c r="AB255" i="3"/>
  <c r="AB245" i="3"/>
  <c r="AB227" i="3"/>
  <c r="H167" i="8"/>
  <c r="J167" i="8"/>
  <c r="H643" i="8"/>
  <c r="J643" i="8"/>
  <c r="J641" i="8"/>
  <c r="M81" i="1"/>
  <c r="Q81" i="1"/>
  <c r="R123" i="1"/>
  <c r="T123" i="1"/>
  <c r="AB88" i="3"/>
  <c r="AB80" i="3"/>
  <c r="AB58" i="3"/>
  <c r="AB55" i="3"/>
  <c r="AB63" i="3"/>
  <c r="Z54" i="3"/>
  <c r="AB73" i="3"/>
  <c r="AB92" i="3"/>
  <c r="AB81" i="3"/>
  <c r="H123" i="8"/>
  <c r="J123" i="8"/>
  <c r="H247" i="8"/>
  <c r="J247" i="8"/>
  <c r="H1496" i="8"/>
  <c r="J1496" i="8"/>
  <c r="H40" i="8"/>
  <c r="J40" i="8"/>
  <c r="H420" i="8"/>
  <c r="J420" i="8"/>
  <c r="H1314" i="8"/>
  <c r="J1314" i="8"/>
  <c r="H26" i="8"/>
  <c r="J26" i="8"/>
  <c r="H321" i="8"/>
  <c r="J321" i="8"/>
  <c r="H1281" i="8"/>
  <c r="J1281" i="8"/>
  <c r="H1429" i="8"/>
  <c r="J1429" i="8"/>
  <c r="J1427" i="8"/>
  <c r="M187" i="1"/>
  <c r="Q187" i="1"/>
  <c r="J52" i="14"/>
  <c r="H2122" i="8"/>
  <c r="J2122" i="8"/>
  <c r="H2273" i="8"/>
  <c r="J2273" i="8"/>
  <c r="AB98" i="3"/>
  <c r="AB83" i="3"/>
  <c r="AB95" i="3"/>
  <c r="AB62" i="3"/>
  <c r="AB57" i="3"/>
  <c r="AB56" i="3"/>
  <c r="H488" i="8"/>
  <c r="J488" i="8"/>
  <c r="H1632" i="8"/>
  <c r="J1632" i="8"/>
  <c r="H1415" i="8"/>
  <c r="J1415" i="8"/>
  <c r="H1936" i="8"/>
  <c r="J1936" i="8"/>
  <c r="H2146" i="8"/>
  <c r="J2146" i="8"/>
  <c r="J2144" i="8"/>
  <c r="M286" i="1"/>
  <c r="Q286" i="1"/>
  <c r="H506" i="8"/>
  <c r="J506" i="8"/>
  <c r="H1878" i="8"/>
  <c r="J1878" i="8"/>
  <c r="J1876" i="8"/>
  <c r="M248" i="1"/>
  <c r="Q248" i="1"/>
  <c r="H1922" i="8"/>
  <c r="J1922" i="8"/>
  <c r="H2134" i="8"/>
  <c r="J2134" i="8"/>
  <c r="H1336" i="8"/>
  <c r="J1336" i="8"/>
  <c r="H1682" i="8"/>
  <c r="J1682" i="8"/>
  <c r="AB121" i="3"/>
  <c r="AB816" i="3"/>
  <c r="AB120" i="3"/>
  <c r="AB815" i="3"/>
  <c r="H917" i="8"/>
  <c r="J917" i="8"/>
  <c r="H998" i="8"/>
  <c r="J998" i="8"/>
  <c r="J115" i="14"/>
  <c r="H980" i="8"/>
  <c r="J980" i="8"/>
  <c r="Q427" i="3"/>
  <c r="O427" i="3"/>
  <c r="H1165" i="8"/>
  <c r="J1165" i="8"/>
  <c r="AB439" i="3"/>
  <c r="Y583" i="3"/>
  <c r="Y563" i="3"/>
  <c r="Y796" i="3"/>
  <c r="Y599" i="3"/>
  <c r="Y905" i="3"/>
  <c r="Y568" i="3"/>
  <c r="Z124" i="3"/>
  <c r="AB125" i="3"/>
  <c r="H313" i="8"/>
  <c r="J313" i="8"/>
  <c r="H370" i="8"/>
  <c r="J370" i="8"/>
  <c r="H2068" i="8"/>
  <c r="J2068" i="8"/>
  <c r="Z425" i="3"/>
  <c r="J447" i="14"/>
  <c r="K447" i="14"/>
  <c r="Z545" i="3"/>
  <c r="J578" i="14"/>
  <c r="K578" i="14"/>
  <c r="Y677" i="3"/>
  <c r="Y668" i="3"/>
  <c r="AB116" i="3"/>
  <c r="AB858" i="3"/>
  <c r="AB112" i="3"/>
  <c r="AB802" i="3"/>
  <c r="Z8" i="3"/>
  <c r="J6" i="14"/>
  <c r="Q436" i="3"/>
  <c r="Y436" i="3"/>
  <c r="AB436" i="3"/>
  <c r="S436" i="3"/>
  <c r="AB717" i="3"/>
  <c r="H51" i="8"/>
  <c r="J51" i="8"/>
  <c r="Z716" i="3"/>
  <c r="H743" i="8"/>
  <c r="J743" i="8"/>
  <c r="J760" i="14"/>
  <c r="AB968" i="3"/>
  <c r="Z966" i="3"/>
  <c r="H2325" i="8"/>
  <c r="J2325" i="8"/>
  <c r="K161" i="1"/>
  <c r="T160" i="1"/>
  <c r="G145" i="5"/>
  <c r="G1347" i="14"/>
  <c r="L776" i="3"/>
  <c r="Z436" i="3"/>
  <c r="J458" i="14"/>
  <c r="AB680" i="3"/>
  <c r="H158" i="8"/>
  <c r="J158" i="8"/>
  <c r="H282" i="8"/>
  <c r="J282" i="8"/>
  <c r="H64" i="8"/>
  <c r="J64" i="8"/>
  <c r="H464" i="8"/>
  <c r="J464" i="8"/>
  <c r="H1406" i="8"/>
  <c r="J1406" i="8"/>
  <c r="H1664" i="8"/>
  <c r="J1664" i="8"/>
  <c r="H528" i="8"/>
  <c r="J528" i="8"/>
  <c r="H1646" i="8"/>
  <c r="J1646" i="8"/>
  <c r="J709" i="14"/>
  <c r="AB666" i="3"/>
  <c r="Z665" i="3"/>
  <c r="AB679" i="3"/>
  <c r="J222" i="8"/>
  <c r="P31" i="1"/>
  <c r="T31" i="1"/>
  <c r="M1524" i="14"/>
  <c r="L1524" i="14"/>
  <c r="P233" i="5"/>
  <c r="J1178" i="8"/>
  <c r="J1171" i="8"/>
  <c r="P154" i="1"/>
  <c r="T154" i="1"/>
  <c r="L1174" i="14"/>
  <c r="L1172" i="14"/>
  <c r="L1159" i="14"/>
  <c r="L1164" i="14"/>
  <c r="L1168" i="14"/>
  <c r="L1577" i="14"/>
  <c r="L1481" i="14"/>
  <c r="M1481" i="14"/>
  <c r="K1197" i="14"/>
  <c r="L1226" i="14"/>
  <c r="M1249" i="14"/>
  <c r="L1140" i="14"/>
  <c r="L1108" i="14"/>
  <c r="L1122" i="14"/>
  <c r="L1130" i="14"/>
  <c r="L1091" i="14"/>
  <c r="L1022" i="14"/>
  <c r="L1035" i="14"/>
  <c r="L1048" i="14"/>
  <c r="L1006" i="14"/>
  <c r="L1056" i="14"/>
  <c r="L1008" i="14"/>
  <c r="L1030" i="14"/>
  <c r="L1055" i="14"/>
  <c r="L1017" i="14"/>
  <c r="L1028" i="14"/>
  <c r="AA452" i="3"/>
  <c r="AA468" i="3"/>
  <c r="AB661" i="3"/>
  <c r="AB654" i="3"/>
  <c r="J129" i="8"/>
  <c r="P18" i="1"/>
  <c r="T18" i="1"/>
  <c r="M911" i="14"/>
  <c r="L987" i="14"/>
  <c r="L977" i="14"/>
  <c r="L976" i="14"/>
  <c r="L966" i="14"/>
  <c r="L975" i="14"/>
  <c r="L972" i="14"/>
  <c r="L993" i="14"/>
  <c r="L995" i="14"/>
  <c r="G13" i="9"/>
  <c r="H14" i="9"/>
  <c r="H13" i="9"/>
  <c r="L1585" i="14"/>
  <c r="L1536" i="14"/>
  <c r="K1438" i="14"/>
  <c r="L1439" i="14"/>
  <c r="M1463" i="14"/>
  <c r="M1363" i="14"/>
  <c r="L1363" i="14"/>
  <c r="M1193" i="14"/>
  <c r="L1193" i="14"/>
  <c r="L1178" i="14"/>
  <c r="M1178" i="14"/>
  <c r="M561" i="14"/>
  <c r="L561" i="14"/>
  <c r="G559" i="14"/>
  <c r="L532" i="14"/>
  <c r="M532" i="14"/>
  <c r="M524" i="14"/>
  <c r="L524" i="14"/>
  <c r="M508" i="14"/>
  <c r="L508" i="14"/>
  <c r="K355" i="14"/>
  <c r="G464" i="14"/>
  <c r="L1132" i="14"/>
  <c r="M747" i="14"/>
  <c r="M1064" i="14"/>
  <c r="G742" i="14"/>
  <c r="K1587" i="14"/>
  <c r="L1531" i="14"/>
  <c r="G1530" i="14"/>
  <c r="M1470" i="14"/>
  <c r="M1026" i="14"/>
  <c r="L986" i="14"/>
  <c r="M977" i="14"/>
  <c r="M976" i="14"/>
  <c r="M975" i="14"/>
  <c r="L985" i="14"/>
  <c r="M787" i="14"/>
  <c r="M771" i="14"/>
  <c r="M770" i="14"/>
  <c r="M769" i="14"/>
  <c r="G562" i="14"/>
  <c r="L533" i="14"/>
  <c r="M533" i="14"/>
  <c r="G128" i="14"/>
  <c r="M749" i="14"/>
  <c r="M1140" i="14"/>
  <c r="M1091" i="14"/>
  <c r="L1137" i="14"/>
  <c r="L1083" i="14"/>
  <c r="L1067" i="14"/>
  <c r="L1062" i="14"/>
  <c r="L1019" i="14"/>
  <c r="L1014" i="14"/>
  <c r="M1010" i="14"/>
  <c r="M998" i="14"/>
  <c r="M988" i="14"/>
  <c r="L547" i="14"/>
  <c r="M547" i="14"/>
  <c r="L541" i="14"/>
  <c r="M1092" i="14"/>
  <c r="K765" i="14"/>
  <c r="M794" i="14"/>
  <c r="K746" i="14"/>
  <c r="L747" i="14"/>
  <c r="M523" i="14"/>
  <c r="L523" i="14"/>
  <c r="K328" i="14"/>
  <c r="M332" i="14"/>
  <c r="M333" i="14"/>
  <c r="L40" i="14"/>
  <c r="I58" i="12"/>
  <c r="J58" i="12"/>
  <c r="J2284" i="8"/>
  <c r="J2283" i="8"/>
  <c r="O304" i="1"/>
  <c r="S304" i="1"/>
  <c r="S308" i="1"/>
  <c r="D10" i="6"/>
  <c r="D9" i="6"/>
  <c r="J2245" i="8"/>
  <c r="J2244" i="8"/>
  <c r="O300" i="1"/>
  <c r="S300" i="1"/>
  <c r="J2226" i="8"/>
  <c r="J2224" i="8"/>
  <c r="P296" i="1"/>
  <c r="T296" i="1"/>
  <c r="J2075" i="8"/>
  <c r="J2074" i="8"/>
  <c r="O272" i="1"/>
  <c r="S272" i="1"/>
  <c r="J2010" i="8"/>
  <c r="J2007" i="8"/>
  <c r="J1972" i="8"/>
  <c r="J1971" i="8"/>
  <c r="O258" i="1"/>
  <c r="S258" i="1"/>
  <c r="J1968" i="8"/>
  <c r="J1967" i="8"/>
  <c r="M258" i="1"/>
  <c r="Q258" i="1"/>
  <c r="J1530" i="8"/>
  <c r="J1529" i="8"/>
  <c r="O198" i="1"/>
  <c r="S198" i="1"/>
  <c r="J754" i="8"/>
  <c r="J753" i="8"/>
  <c r="M93" i="1"/>
  <c r="Q93" i="1"/>
  <c r="J1809" i="8"/>
  <c r="J1807" i="8"/>
  <c r="P236" i="1"/>
  <c r="T236" i="1"/>
  <c r="M499" i="14"/>
  <c r="M849" i="14"/>
  <c r="L499" i="14"/>
  <c r="M400" i="14"/>
  <c r="L400" i="14"/>
  <c r="L378" i="14"/>
  <c r="L415" i="14"/>
  <c r="G347" i="14"/>
  <c r="M329" i="14"/>
  <c r="G30" i="14"/>
  <c r="M31" i="14"/>
  <c r="H9" i="13"/>
  <c r="H11" i="13"/>
  <c r="I16" i="12"/>
  <c r="J16" i="12"/>
  <c r="J33" i="12"/>
  <c r="J2351" i="8"/>
  <c r="H20" i="8"/>
  <c r="J20" i="8"/>
  <c r="J18" i="8"/>
  <c r="P7" i="1"/>
  <c r="T7" i="1"/>
  <c r="H48" i="8"/>
  <c r="J48" i="8"/>
  <c r="J46" i="8"/>
  <c r="P9" i="1"/>
  <c r="T9" i="1"/>
  <c r="H59" i="8"/>
  <c r="J59" i="8"/>
  <c r="J57" i="8"/>
  <c r="P10" i="1"/>
  <c r="T10" i="1"/>
  <c r="H341" i="8"/>
  <c r="J341" i="8"/>
  <c r="J339" i="8"/>
  <c r="P44" i="1"/>
  <c r="T44" i="1"/>
  <c r="H1423" i="8"/>
  <c r="J1423" i="8"/>
  <c r="H1641" i="8"/>
  <c r="J1641" i="8"/>
  <c r="J1639" i="8"/>
  <c r="P217" i="1"/>
  <c r="T217" i="1"/>
  <c r="H1266" i="8"/>
  <c r="J1266" i="8"/>
  <c r="J1265" i="8"/>
  <c r="P167" i="1"/>
  <c r="T167" i="1"/>
  <c r="H1519" i="8"/>
  <c r="J1519" i="8"/>
  <c r="H2214" i="8"/>
  <c r="J2214" i="8"/>
  <c r="J2212" i="8"/>
  <c r="P295" i="1"/>
  <c r="T295" i="1"/>
  <c r="H1943" i="8"/>
  <c r="H2130" i="8"/>
  <c r="J2130" i="8"/>
  <c r="J2128" i="8"/>
  <c r="P284" i="1"/>
  <c r="T284" i="1"/>
  <c r="H2248" i="8"/>
  <c r="J2248" i="8"/>
  <c r="M785" i="14"/>
  <c r="L691" i="14"/>
  <c r="L945" i="14"/>
  <c r="L495" i="14"/>
  <c r="M495" i="14"/>
  <c r="L490" i="14"/>
  <c r="M490" i="14"/>
  <c r="L411" i="14"/>
  <c r="L408" i="14"/>
  <c r="M395" i="14"/>
  <c r="L395" i="14"/>
  <c r="L393" i="14"/>
  <c r="L392" i="14"/>
  <c r="L391" i="14"/>
  <c r="M391" i="14"/>
  <c r="L386" i="14"/>
  <c r="M386" i="14"/>
  <c r="L377" i="14"/>
  <c r="M377" i="14"/>
  <c r="L376" i="14"/>
  <c r="L375" i="14"/>
  <c r="G341" i="14"/>
  <c r="L333" i="14"/>
  <c r="L330" i="14"/>
  <c r="M330" i="14"/>
  <c r="L294" i="14"/>
  <c r="M294" i="14"/>
  <c r="M861" i="14"/>
  <c r="J2315" i="8"/>
  <c r="J2267" i="8"/>
  <c r="J2266" i="8"/>
  <c r="O302" i="1"/>
  <c r="S302" i="1"/>
  <c r="J2220" i="8"/>
  <c r="J2127" i="8"/>
  <c r="J2126" i="8"/>
  <c r="O284" i="1"/>
  <c r="S284" i="1"/>
  <c r="J2056" i="8"/>
  <c r="J1988" i="8"/>
  <c r="J1987" i="8"/>
  <c r="O260" i="1"/>
  <c r="S260" i="1"/>
  <c r="J1170" i="8"/>
  <c r="J1169" i="8"/>
  <c r="O154" i="1"/>
  <c r="S154" i="1"/>
  <c r="K20" i="4"/>
  <c r="O20" i="4"/>
  <c r="P20" i="4"/>
  <c r="J1956" i="8"/>
  <c r="J1953" i="8"/>
  <c r="J1952" i="8"/>
  <c r="O256" i="1"/>
  <c r="S256" i="1"/>
  <c r="J1938" i="8"/>
  <c r="J1881" i="8"/>
  <c r="J1880" i="8"/>
  <c r="O248" i="1"/>
  <c r="S248" i="1"/>
  <c r="J1787" i="8"/>
  <c r="J1786" i="8"/>
  <c r="O234" i="1"/>
  <c r="S234" i="1"/>
  <c r="J1634" i="8"/>
  <c r="J1605" i="8"/>
  <c r="J1573" i="8"/>
  <c r="J1572" i="8"/>
  <c r="M204" i="1"/>
  <c r="Q204" i="1"/>
  <c r="J1538" i="8"/>
  <c r="J1330" i="8"/>
  <c r="J1329" i="8"/>
  <c r="O176" i="1"/>
  <c r="S176" i="1"/>
  <c r="J1208" i="8"/>
  <c r="J1044" i="8"/>
  <c r="J1043" i="8"/>
  <c r="O136" i="1"/>
  <c r="S136" i="1"/>
  <c r="J796" i="8"/>
  <c r="J798" i="8"/>
  <c r="J756" i="8"/>
  <c r="J755" i="8"/>
  <c r="O93" i="1"/>
  <c r="S93" i="1"/>
  <c r="H35" i="8"/>
  <c r="J35" i="8"/>
  <c r="J33" i="8"/>
  <c r="P8" i="1"/>
  <c r="T8" i="1"/>
  <c r="H428" i="8"/>
  <c r="J428" i="8"/>
  <c r="J426" i="8"/>
  <c r="P57" i="1"/>
  <c r="T57" i="1"/>
  <c r="H483" i="8"/>
  <c r="J483" i="8"/>
  <c r="J482" i="8"/>
  <c r="P63" i="1"/>
  <c r="T63" i="1"/>
  <c r="H328" i="8"/>
  <c r="H1689" i="8"/>
  <c r="J1689" i="8"/>
  <c r="J2039" i="8"/>
  <c r="J2037" i="8"/>
  <c r="P267" i="1"/>
  <c r="T267" i="1"/>
  <c r="J1846" i="8"/>
  <c r="J1844" i="8"/>
  <c r="P243" i="1"/>
  <c r="T243" i="1"/>
  <c r="J1783" i="8"/>
  <c r="J1738" i="8"/>
  <c r="J1619" i="8"/>
  <c r="J1618" i="8"/>
  <c r="O213" i="1"/>
  <c r="S213" i="1"/>
  <c r="J1594" i="8"/>
  <c r="J1593" i="8"/>
  <c r="M208" i="1"/>
  <c r="Q208" i="1"/>
  <c r="J1544" i="8"/>
  <c r="J1543" i="8"/>
  <c r="O200" i="1"/>
  <c r="S200" i="1"/>
  <c r="J1486" i="8"/>
  <c r="J1484" i="8"/>
  <c r="P193" i="1"/>
  <c r="T193" i="1"/>
  <c r="J1297" i="8"/>
  <c r="J1244" i="8"/>
  <c r="J1075" i="8"/>
  <c r="J1074" i="8"/>
  <c r="O140" i="1"/>
  <c r="J891" i="8"/>
  <c r="J890" i="8"/>
  <c r="O112" i="1"/>
  <c r="S112" i="1"/>
  <c r="J466" i="8"/>
  <c r="J465" i="8"/>
  <c r="O61" i="1"/>
  <c r="S61" i="1"/>
  <c r="J419" i="8"/>
  <c r="J332" i="8"/>
  <c r="J328" i="8"/>
  <c r="J327" i="8"/>
  <c r="P43" i="1"/>
  <c r="T43" i="1"/>
  <c r="J1943" i="8"/>
  <c r="J1824" i="8"/>
  <c r="J1823" i="8"/>
  <c r="O241" i="1"/>
  <c r="S241" i="1"/>
  <c r="J1817" i="8"/>
  <c r="J1816" i="8"/>
  <c r="O239" i="1"/>
  <c r="S239" i="1"/>
  <c r="N184" i="5"/>
  <c r="L217" i="5"/>
  <c r="I58" i="5"/>
  <c r="L58" i="5"/>
  <c r="H79" i="8"/>
  <c r="J79" i="8"/>
  <c r="H99" i="8"/>
  <c r="J99" i="8"/>
  <c r="I230" i="4"/>
  <c r="K231" i="4"/>
  <c r="O231" i="4"/>
  <c r="K208" i="4"/>
  <c r="P208" i="4"/>
  <c r="K166" i="4"/>
  <c r="O166" i="4"/>
  <c r="Z958" i="3"/>
  <c r="AB959" i="3"/>
  <c r="J925" i="3"/>
  <c r="J979" i="3"/>
  <c r="O925" i="3"/>
  <c r="O979" i="3"/>
  <c r="Q925" i="3"/>
  <c r="Q979" i="3"/>
  <c r="J924" i="3"/>
  <c r="L924" i="3"/>
  <c r="S924" i="3"/>
  <c r="J923" i="3"/>
  <c r="O923" i="3"/>
  <c r="Q923" i="3"/>
  <c r="V919" i="3"/>
  <c r="W919" i="3"/>
  <c r="X919" i="3"/>
  <c r="H15" i="8"/>
  <c r="H30" i="8"/>
  <c r="H43" i="8"/>
  <c r="H195" i="8"/>
  <c r="H219" i="8"/>
  <c r="H104" i="8"/>
  <c r="H113" i="8"/>
  <c r="H126" i="8"/>
  <c r="H250" i="8"/>
  <c r="O741" i="3"/>
  <c r="L741" i="3"/>
  <c r="L852" i="3"/>
  <c r="Y741" i="3"/>
  <c r="H10" i="8"/>
  <c r="J10" i="8"/>
  <c r="H25" i="8"/>
  <c r="J25" i="8"/>
  <c r="J380" i="3"/>
  <c r="J861" i="3"/>
  <c r="S380" i="3"/>
  <c r="L380" i="3"/>
  <c r="Y380" i="3"/>
  <c r="Y861" i="3"/>
  <c r="O380" i="3"/>
  <c r="O861" i="3"/>
  <c r="Q380" i="3"/>
  <c r="Q150" i="3"/>
  <c r="S150" i="3"/>
  <c r="J150" i="3"/>
  <c r="O150" i="3"/>
  <c r="O65" i="3"/>
  <c r="S65" i="3"/>
  <c r="Q65" i="3"/>
  <c r="J732" i="3"/>
  <c r="S732" i="3"/>
  <c r="L732" i="3"/>
  <c r="Y732" i="3"/>
  <c r="Q732" i="3"/>
  <c r="K512" i="2"/>
  <c r="L514" i="2"/>
  <c r="L515" i="2"/>
  <c r="O358" i="3"/>
  <c r="Q358" i="3"/>
  <c r="S358" i="3"/>
  <c r="Q147" i="3"/>
  <c r="S147" i="3"/>
  <c r="J147" i="3"/>
  <c r="L147" i="3"/>
  <c r="Y147" i="3"/>
  <c r="O59" i="3"/>
  <c r="O782" i="3"/>
  <c r="Q59" i="3"/>
  <c r="S59" i="3"/>
  <c r="J59" i="3"/>
  <c r="J782" i="3"/>
  <c r="L59" i="3"/>
  <c r="Y145" i="3"/>
  <c r="L145" i="3"/>
  <c r="Q145" i="3"/>
  <c r="S57" i="3"/>
  <c r="J57" i="3"/>
  <c r="O57" i="3"/>
  <c r="Q724" i="3"/>
  <c r="J724" i="3"/>
  <c r="S724" i="3"/>
  <c r="Y724" i="3"/>
  <c r="L724" i="3"/>
  <c r="K327" i="2"/>
  <c r="L329" i="2"/>
  <c r="L330" i="2"/>
  <c r="K276" i="2"/>
  <c r="I102" i="4"/>
  <c r="P102" i="4"/>
  <c r="J273" i="2"/>
  <c r="J274" i="2"/>
  <c r="K187" i="2"/>
  <c r="J180" i="2"/>
  <c r="G446" i="14"/>
  <c r="M446" i="14"/>
  <c r="J181" i="2"/>
  <c r="J182" i="2"/>
  <c r="J183" i="2"/>
  <c r="J184" i="2"/>
  <c r="H426" i="3"/>
  <c r="O668" i="3"/>
  <c r="Q668" i="3"/>
  <c r="S668" i="3"/>
  <c r="J668" i="3"/>
  <c r="Q227" i="3"/>
  <c r="O227" i="3"/>
  <c r="J457" i="3"/>
  <c r="S457" i="3"/>
  <c r="L457" i="3"/>
  <c r="Y457" i="3"/>
  <c r="O457" i="3"/>
  <c r="Q457" i="3"/>
  <c r="O607" i="3"/>
  <c r="O767" i="3"/>
  <c r="Y607" i="3"/>
  <c r="Y767" i="3"/>
  <c r="J557" i="3"/>
  <c r="J767" i="3"/>
  <c r="O557" i="3"/>
  <c r="Q557" i="3"/>
  <c r="Q690" i="3"/>
  <c r="S690" i="3"/>
  <c r="L690" i="3"/>
  <c r="Q223" i="3"/>
  <c r="O223" i="3"/>
  <c r="H1733" i="8"/>
  <c r="J1733" i="8"/>
  <c r="H1709" i="8"/>
  <c r="J1709" i="8"/>
  <c r="H1560" i="8"/>
  <c r="J1560" i="8"/>
  <c r="H1422" i="8"/>
  <c r="J1422" i="8"/>
  <c r="H1066" i="8"/>
  <c r="J1066" i="8"/>
  <c r="J1065" i="8"/>
  <c r="P139" i="1"/>
  <c r="H947" i="8"/>
  <c r="J947" i="8"/>
  <c r="J944" i="8"/>
  <c r="P120" i="1"/>
  <c r="T120" i="1"/>
  <c r="H732" i="8"/>
  <c r="J732" i="8"/>
  <c r="J730" i="8"/>
  <c r="P88" i="1"/>
  <c r="T88" i="1"/>
  <c r="H625" i="8"/>
  <c r="H603" i="8"/>
  <c r="H579" i="8"/>
  <c r="H505" i="8"/>
  <c r="J505" i="8"/>
  <c r="H487" i="8"/>
  <c r="J487" i="8"/>
  <c r="J486" i="8"/>
  <c r="M64" i="1"/>
  <c r="Q64" i="1"/>
  <c r="H474" i="8"/>
  <c r="J474" i="8"/>
  <c r="H450" i="8"/>
  <c r="J450" i="8"/>
  <c r="H445" i="8"/>
  <c r="H432" i="8"/>
  <c r="J432" i="8"/>
  <c r="J431" i="8"/>
  <c r="M58" i="1"/>
  <c r="Q58" i="1"/>
  <c r="H423" i="8"/>
  <c r="H403" i="8"/>
  <c r="H400" i="8"/>
  <c r="J400" i="8"/>
  <c r="H389" i="8"/>
  <c r="H377" i="8"/>
  <c r="J377" i="8"/>
  <c r="H364" i="8"/>
  <c r="H336" i="8"/>
  <c r="H315" i="8"/>
  <c r="J197" i="8"/>
  <c r="J196" i="8"/>
  <c r="O28" i="1"/>
  <c r="S28" i="1"/>
  <c r="H184" i="8"/>
  <c r="J160" i="8"/>
  <c r="J159" i="8"/>
  <c r="O22" i="1"/>
  <c r="S22" i="1"/>
  <c r="H139" i="8"/>
  <c r="K198" i="4"/>
  <c r="P198" i="4"/>
  <c r="O156" i="4"/>
  <c r="K156" i="4"/>
  <c r="K61" i="4"/>
  <c r="O61" i="4"/>
  <c r="K32" i="4"/>
  <c r="O32" i="4"/>
  <c r="Q951" i="3"/>
  <c r="S951" i="3"/>
  <c r="J945" i="3"/>
  <c r="S945" i="3"/>
  <c r="O896" i="3"/>
  <c r="J856" i="3"/>
  <c r="O856" i="3"/>
  <c r="S856" i="3"/>
  <c r="L812" i="3"/>
  <c r="Q803" i="3"/>
  <c r="X763" i="3"/>
  <c r="V763" i="3"/>
  <c r="W763" i="3"/>
  <c r="O724" i="3"/>
  <c r="V689" i="3"/>
  <c r="W689" i="3"/>
  <c r="X689" i="3"/>
  <c r="W529" i="3"/>
  <c r="V529" i="3"/>
  <c r="X529" i="3"/>
  <c r="Y530" i="3"/>
  <c r="Y869" i="3"/>
  <c r="Q452" i="3"/>
  <c r="AB472" i="3"/>
  <c r="H166" i="8"/>
  <c r="J166" i="8"/>
  <c r="J165" i="8"/>
  <c r="M24" i="1"/>
  <c r="Q24" i="1"/>
  <c r="H215" i="8"/>
  <c r="J215" i="8"/>
  <c r="H236" i="8"/>
  <c r="H109" i="8"/>
  <c r="J109" i="8"/>
  <c r="H291" i="8"/>
  <c r="J291" i="8"/>
  <c r="V442" i="3"/>
  <c r="W442" i="3"/>
  <c r="X442" i="3"/>
  <c r="H1613" i="8"/>
  <c r="J1613" i="8"/>
  <c r="H1547" i="8"/>
  <c r="J1547" i="8"/>
  <c r="H1305" i="8"/>
  <c r="J1305" i="8"/>
  <c r="H839" i="8"/>
  <c r="J839" i="8"/>
  <c r="H509" i="8"/>
  <c r="H500" i="8"/>
  <c r="H415" i="8"/>
  <c r="J415" i="8"/>
  <c r="H395" i="8"/>
  <c r="H381" i="8"/>
  <c r="H372" i="8"/>
  <c r="H263" i="8"/>
  <c r="H122" i="8"/>
  <c r="J122" i="8"/>
  <c r="L219" i="5"/>
  <c r="P231" i="4"/>
  <c r="O222" i="4"/>
  <c r="P222" i="4"/>
  <c r="P166" i="4"/>
  <c r="O152" i="4"/>
  <c r="K152" i="4"/>
  <c r="K79" i="4"/>
  <c r="O79" i="4"/>
  <c r="K29" i="4"/>
  <c r="O29" i="4"/>
  <c r="Q930" i="3"/>
  <c r="Q978" i="3"/>
  <c r="S930" i="3"/>
  <c r="O746" i="3"/>
  <c r="Q746" i="3"/>
  <c r="S746" i="3"/>
  <c r="O732" i="3"/>
  <c r="L717" i="3"/>
  <c r="O717" i="3"/>
  <c r="J717" i="3"/>
  <c r="Q717" i="3"/>
  <c r="S717" i="3"/>
  <c r="AB705" i="3"/>
  <c r="AB703" i="3"/>
  <c r="J690" i="3"/>
  <c r="X648" i="3"/>
  <c r="V648" i="3"/>
  <c r="W648" i="3"/>
  <c r="J638" i="3"/>
  <c r="S638" i="3"/>
  <c r="L638" i="3"/>
  <c r="Y638" i="3"/>
  <c r="Y897" i="3"/>
  <c r="O638" i="3"/>
  <c r="Q638" i="3"/>
  <c r="V556" i="3"/>
  <c r="W556" i="3"/>
  <c r="L566" i="3"/>
  <c r="L805" i="3"/>
  <c r="L584" i="3"/>
  <c r="L600" i="3"/>
  <c r="L569" i="3"/>
  <c r="Z345" i="3"/>
  <c r="H333" i="3"/>
  <c r="AB334" i="3"/>
  <c r="AB849" i="3"/>
  <c r="S334" i="3"/>
  <c r="S849" i="3"/>
  <c r="O334" i="3"/>
  <c r="O849" i="3"/>
  <c r="Q334" i="3"/>
  <c r="Q849" i="3"/>
  <c r="H296" i="8"/>
  <c r="J236" i="8"/>
  <c r="J235" i="8"/>
  <c r="M33" i="1"/>
  <c r="Q33" i="1"/>
  <c r="H202" i="8"/>
  <c r="J202" i="8"/>
  <c r="H39" i="8"/>
  <c r="J39" i="8"/>
  <c r="O523" i="5"/>
  <c r="I496" i="5"/>
  <c r="P496" i="5"/>
  <c r="L496" i="5"/>
  <c r="N484" i="5"/>
  <c r="L195" i="5"/>
  <c r="K245" i="4"/>
  <c r="O245" i="4"/>
  <c r="O42" i="4"/>
  <c r="P42" i="4"/>
  <c r="Q961" i="3"/>
  <c r="Y961" i="3"/>
  <c r="X960" i="3"/>
  <c r="V960" i="3"/>
  <c r="W960" i="3"/>
  <c r="S925" i="3"/>
  <c r="S979" i="3"/>
  <c r="Y924" i="3"/>
  <c r="S923" i="3"/>
  <c r="J921" i="3"/>
  <c r="J975" i="3"/>
  <c r="S921" i="3"/>
  <c r="L921" i="3"/>
  <c r="L975" i="3"/>
  <c r="O921" i="3"/>
  <c r="O975" i="3"/>
  <c r="L759" i="3"/>
  <c r="Q759" i="3"/>
  <c r="S759" i="3"/>
  <c r="V698" i="3"/>
  <c r="W698" i="3"/>
  <c r="X698" i="3"/>
  <c r="Y698" i="3"/>
  <c r="Q607" i="3"/>
  <c r="S557" i="3"/>
  <c r="S767" i="3"/>
  <c r="J300" i="3"/>
  <c r="Q300" i="3"/>
  <c r="O300" i="3"/>
  <c r="O848" i="3"/>
  <c r="S300" i="3"/>
  <c r="K106" i="4"/>
  <c r="K10" i="4"/>
  <c r="L963" i="3"/>
  <c r="L980" i="3"/>
  <c r="O962" i="3"/>
  <c r="O977" i="3"/>
  <c r="S957" i="3"/>
  <c r="L954" i="3"/>
  <c r="W952" i="3"/>
  <c r="O944" i="3"/>
  <c r="V939" i="3"/>
  <c r="W939" i="3"/>
  <c r="W935" i="3"/>
  <c r="W926" i="3"/>
  <c r="O772" i="3"/>
  <c r="Y764" i="3"/>
  <c r="S760" i="3"/>
  <c r="S756" i="3"/>
  <c r="O750" i="3"/>
  <c r="S748" i="3"/>
  <c r="Y747" i="3"/>
  <c r="Q743" i="3"/>
  <c r="O740" i="3"/>
  <c r="Q780" i="3"/>
  <c r="AB708" i="3"/>
  <c r="Z707" i="3"/>
  <c r="H682" i="3"/>
  <c r="AA683" i="3"/>
  <c r="J683" i="3"/>
  <c r="Q677" i="3"/>
  <c r="S677" i="3"/>
  <c r="O644" i="3"/>
  <c r="O906" i="3"/>
  <c r="J644" i="3"/>
  <c r="L643" i="3"/>
  <c r="L905" i="3"/>
  <c r="O643" i="3"/>
  <c r="O905" i="3"/>
  <c r="Q643" i="3"/>
  <c r="W606" i="3"/>
  <c r="J601" i="3"/>
  <c r="J908" i="3"/>
  <c r="O601" i="3"/>
  <c r="O908" i="3"/>
  <c r="Q601" i="3"/>
  <c r="Q908" i="3"/>
  <c r="O532" i="3"/>
  <c r="Q532" i="3"/>
  <c r="Y532" i="3"/>
  <c r="AB532" i="3"/>
  <c r="J962" i="3"/>
  <c r="AB954" i="3"/>
  <c r="J731" i="3"/>
  <c r="Y731" i="3"/>
  <c r="L731" i="3"/>
  <c r="Q719" i="3"/>
  <c r="S719" i="3"/>
  <c r="S799" i="3"/>
  <c r="J706" i="3"/>
  <c r="AB706" i="3"/>
  <c r="O706" i="3"/>
  <c r="L703" i="3"/>
  <c r="Q703" i="3"/>
  <c r="Y699" i="3"/>
  <c r="L699" i="3"/>
  <c r="O699" i="3"/>
  <c r="J697" i="3"/>
  <c r="S697" i="3"/>
  <c r="L593" i="3"/>
  <c r="L897" i="3"/>
  <c r="O586" i="3"/>
  <c r="Q586" i="3"/>
  <c r="Q860" i="3"/>
  <c r="AB522" i="3"/>
  <c r="O522" i="3"/>
  <c r="L522" i="3"/>
  <c r="L903" i="3"/>
  <c r="Q522" i="3"/>
  <c r="Y522" i="3"/>
  <c r="O519" i="3"/>
  <c r="Q519" i="3"/>
  <c r="Q897" i="3"/>
  <c r="Q515" i="3"/>
  <c r="O515" i="3"/>
  <c r="J486" i="3"/>
  <c r="J821" i="3"/>
  <c r="Y486" i="3"/>
  <c r="Y821" i="3"/>
  <c r="L486" i="3"/>
  <c r="L821" i="3"/>
  <c r="O486" i="3"/>
  <c r="O821" i="3"/>
  <c r="Q486" i="3"/>
  <c r="J740" i="3"/>
  <c r="S740" i="3"/>
  <c r="J738" i="3"/>
  <c r="S738" i="3"/>
  <c r="Q727" i="3"/>
  <c r="Q785" i="3"/>
  <c r="S727" i="3"/>
  <c r="S785" i="3"/>
  <c r="O675" i="3"/>
  <c r="L675" i="3"/>
  <c r="O615" i="3"/>
  <c r="L615" i="3"/>
  <c r="L795" i="3"/>
  <c r="Y615" i="3"/>
  <c r="Y795" i="3"/>
  <c r="V541" i="3"/>
  <c r="W541" i="3"/>
  <c r="X541" i="3"/>
  <c r="L502" i="3"/>
  <c r="O502" i="3"/>
  <c r="J502" i="3"/>
  <c r="Q502" i="3"/>
  <c r="Y502" i="3"/>
  <c r="Y418" i="3"/>
  <c r="J464" i="3"/>
  <c r="Q464" i="3"/>
  <c r="S464" i="3"/>
  <c r="J453" i="3"/>
  <c r="S453" i="3"/>
  <c r="L453" i="3"/>
  <c r="Y453" i="3"/>
  <c r="O453" i="3"/>
  <c r="Q448" i="3"/>
  <c r="J448" i="3"/>
  <c r="V448" i="3"/>
  <c r="W448" i="3"/>
  <c r="V440" i="3"/>
  <c r="W440" i="3"/>
  <c r="W432" i="3"/>
  <c r="Y412" i="3"/>
  <c r="J411" i="3"/>
  <c r="J807" i="3"/>
  <c r="S411" i="3"/>
  <c r="L411" i="3"/>
  <c r="Y411" i="3"/>
  <c r="Y807" i="3"/>
  <c r="O411" i="3"/>
  <c r="J372" i="3"/>
  <c r="J845" i="3"/>
  <c r="S372" i="3"/>
  <c r="S845" i="3"/>
  <c r="L372" i="3"/>
  <c r="L845" i="3"/>
  <c r="Y372" i="3"/>
  <c r="Y845" i="3"/>
  <c r="O372" i="3"/>
  <c r="J360" i="3"/>
  <c r="J787" i="3"/>
  <c r="S360" i="3"/>
  <c r="L360" i="3"/>
  <c r="Y360" i="3"/>
  <c r="Y787" i="3"/>
  <c r="O360" i="3"/>
  <c r="H347" i="3"/>
  <c r="Q347" i="3"/>
  <c r="J348" i="3"/>
  <c r="O348" i="3"/>
  <c r="Q348" i="3"/>
  <c r="S322" i="3"/>
  <c r="S894" i="3"/>
  <c r="O322" i="3"/>
  <c r="O894" i="3"/>
  <c r="J322" i="3"/>
  <c r="J894" i="3"/>
  <c r="Q318" i="3"/>
  <c r="Q891" i="3"/>
  <c r="L318" i="3"/>
  <c r="O318" i="3"/>
  <c r="O891" i="3"/>
  <c r="AB318" i="3"/>
  <c r="X196" i="3"/>
  <c r="V196" i="3"/>
  <c r="W196" i="3"/>
  <c r="S736" i="3"/>
  <c r="S844" i="3"/>
  <c r="J736" i="3"/>
  <c r="J844" i="3"/>
  <c r="S728" i="3"/>
  <c r="Q701" i="3"/>
  <c r="S680" i="3"/>
  <c r="Q670" i="3"/>
  <c r="Q666" i="3"/>
  <c r="O663" i="3"/>
  <c r="O642" i="3"/>
  <c r="Y631" i="3"/>
  <c r="S630" i="3"/>
  <c r="S628" i="3"/>
  <c r="Q627" i="3"/>
  <c r="Q624" i="3"/>
  <c r="O622" i="3"/>
  <c r="O808" i="3"/>
  <c r="S620" i="3"/>
  <c r="S806" i="3"/>
  <c r="S617" i="3"/>
  <c r="W604" i="3"/>
  <c r="Q599" i="3"/>
  <c r="Q905" i="3"/>
  <c r="Q597" i="3"/>
  <c r="O593" i="3"/>
  <c r="Q583" i="3"/>
  <c r="Q842" i="3"/>
  <c r="O530" i="3"/>
  <c r="O869" i="3"/>
  <c r="H529" i="3"/>
  <c r="Q530" i="3"/>
  <c r="Q869" i="3"/>
  <c r="AB495" i="3"/>
  <c r="J437" i="3"/>
  <c r="L437" i="3"/>
  <c r="O437" i="3"/>
  <c r="O833" i="3"/>
  <c r="J400" i="3"/>
  <c r="S400" i="3"/>
  <c r="S907" i="3"/>
  <c r="L400" i="3"/>
  <c r="L907" i="3"/>
  <c r="Y400" i="3"/>
  <c r="Y907" i="3"/>
  <c r="O400" i="3"/>
  <c r="O907" i="3"/>
  <c r="O377" i="3"/>
  <c r="O852" i="3"/>
  <c r="Q377" i="3"/>
  <c r="Q852" i="3"/>
  <c r="Y377" i="3"/>
  <c r="Y852" i="3"/>
  <c r="O369" i="3"/>
  <c r="O844" i="3"/>
  <c r="L369" i="3"/>
  <c r="Y369" i="3"/>
  <c r="Y844" i="3"/>
  <c r="Z349" i="3"/>
  <c r="J274" i="3"/>
  <c r="Q274" i="3"/>
  <c r="O274" i="3"/>
  <c r="S274" i="3"/>
  <c r="S898" i="3"/>
  <c r="Q647" i="3"/>
  <c r="Q896" i="3"/>
  <c r="Y642" i="3"/>
  <c r="Y622" i="3"/>
  <c r="X604" i="3"/>
  <c r="J525" i="3"/>
  <c r="J906" i="3"/>
  <c r="S525" i="3"/>
  <c r="S906" i="3"/>
  <c r="L525" i="3"/>
  <c r="L906" i="3"/>
  <c r="Y525" i="3"/>
  <c r="Y906" i="3"/>
  <c r="L513" i="3"/>
  <c r="Y513" i="3"/>
  <c r="Y860" i="3"/>
  <c r="O513" i="3"/>
  <c r="AB475" i="3"/>
  <c r="J474" i="3"/>
  <c r="J797" i="3"/>
  <c r="Y474" i="3"/>
  <c r="L474" i="3"/>
  <c r="L797" i="3"/>
  <c r="O474" i="3"/>
  <c r="O797" i="3"/>
  <c r="H446" i="3"/>
  <c r="S447" i="3"/>
  <c r="J447" i="3"/>
  <c r="O447" i="3"/>
  <c r="O850" i="3"/>
  <c r="H438" i="3"/>
  <c r="Q439" i="3"/>
  <c r="Q833" i="3"/>
  <c r="J439" i="3"/>
  <c r="S439" i="3"/>
  <c r="S833" i="3"/>
  <c r="L439" i="3"/>
  <c r="Y439" i="3"/>
  <c r="Y833" i="3"/>
  <c r="V434" i="3"/>
  <c r="W434" i="3"/>
  <c r="X434" i="3"/>
  <c r="J409" i="3"/>
  <c r="J805" i="3"/>
  <c r="S409" i="3"/>
  <c r="AB414" i="3"/>
  <c r="Y352" i="3"/>
  <c r="Q340" i="3"/>
  <c r="Q879" i="3"/>
  <c r="J340" i="3"/>
  <c r="O340" i="3"/>
  <c r="O879" i="3"/>
  <c r="S340" i="3"/>
  <c r="S879" i="3"/>
  <c r="V307" i="3"/>
  <c r="W307" i="3"/>
  <c r="X307" i="3"/>
  <c r="X285" i="3"/>
  <c r="V285" i="3"/>
  <c r="W285" i="3"/>
  <c r="J270" i="3"/>
  <c r="J788" i="3"/>
  <c r="Q270" i="3"/>
  <c r="Q788" i="3"/>
  <c r="O270" i="3"/>
  <c r="O788" i="3"/>
  <c r="S270" i="3"/>
  <c r="S788" i="3"/>
  <c r="J225" i="3"/>
  <c r="S225" i="3"/>
  <c r="L225" i="3"/>
  <c r="O225" i="3"/>
  <c r="Q225" i="3"/>
  <c r="S173" i="3"/>
  <c r="O173" i="3"/>
  <c r="Q173" i="3"/>
  <c r="AB173" i="3"/>
  <c r="X138" i="3"/>
  <c r="V138" i="3"/>
  <c r="W138" i="3"/>
  <c r="H130" i="3"/>
  <c r="L131" i="3"/>
  <c r="Q131" i="3"/>
  <c r="J131" i="3"/>
  <c r="S131" i="3"/>
  <c r="Y131" i="3"/>
  <c r="J121" i="3"/>
  <c r="J816" i="3"/>
  <c r="Q121" i="3"/>
  <c r="Q816" i="3"/>
  <c r="S121" i="3"/>
  <c r="S816" i="3"/>
  <c r="O85" i="3"/>
  <c r="Q85" i="3"/>
  <c r="J85" i="3"/>
  <c r="S85" i="3"/>
  <c r="Q480" i="3"/>
  <c r="S477" i="3"/>
  <c r="S468" i="3"/>
  <c r="L454" i="3"/>
  <c r="X427" i="3"/>
  <c r="Y427" i="3"/>
  <c r="L412" i="3"/>
  <c r="Y392" i="3"/>
  <c r="Y886" i="3"/>
  <c r="L392" i="3"/>
  <c r="L886" i="3"/>
  <c r="J382" i="3"/>
  <c r="O381" i="3"/>
  <c r="O863" i="3"/>
  <c r="J379" i="3"/>
  <c r="J366" i="3"/>
  <c r="Q361" i="3"/>
  <c r="J352" i="3"/>
  <c r="O351" i="3"/>
  <c r="O878" i="3"/>
  <c r="AA351" i="3"/>
  <c r="V335" i="3"/>
  <c r="W335" i="3"/>
  <c r="S308" i="3"/>
  <c r="S287" i="3"/>
  <c r="Q280" i="3"/>
  <c r="J280" i="3"/>
  <c r="L276" i="3"/>
  <c r="S276" i="3"/>
  <c r="X275" i="3"/>
  <c r="V275" i="3"/>
  <c r="W275" i="3"/>
  <c r="J269" i="3"/>
  <c r="J773" i="3"/>
  <c r="Q269" i="3"/>
  <c r="X268" i="3"/>
  <c r="V268" i="3"/>
  <c r="W268" i="3"/>
  <c r="L96" i="3"/>
  <c r="O96" i="3"/>
  <c r="Q96" i="3"/>
  <c r="L66" i="3"/>
  <c r="Q66" i="3"/>
  <c r="J66" i="3"/>
  <c r="J794" i="3"/>
  <c r="S66" i="3"/>
  <c r="S794" i="3"/>
  <c r="L35" i="3"/>
  <c r="V34" i="3"/>
  <c r="W34" i="3"/>
  <c r="X34" i="3"/>
  <c r="Y454" i="3"/>
  <c r="S392" i="3"/>
  <c r="S886" i="3"/>
  <c r="AB381" i="3"/>
  <c r="Y365" i="3"/>
  <c r="Y794" i="3"/>
  <c r="AB351" i="3"/>
  <c r="W347" i="3"/>
  <c r="V327" i="3"/>
  <c r="W327" i="3"/>
  <c r="L329" i="3"/>
  <c r="L839" i="3"/>
  <c r="L330" i="3"/>
  <c r="L840" i="3"/>
  <c r="X327" i="3"/>
  <c r="S325" i="3"/>
  <c r="S825" i="3"/>
  <c r="O325" i="3"/>
  <c r="O825" i="3"/>
  <c r="V323" i="3"/>
  <c r="W323" i="3"/>
  <c r="X323" i="3"/>
  <c r="AB213" i="3"/>
  <c r="O204" i="3"/>
  <c r="O795" i="3"/>
  <c r="Q204" i="3"/>
  <c r="Q795" i="3"/>
  <c r="AB204" i="3"/>
  <c r="Y152" i="3"/>
  <c r="Y161" i="3"/>
  <c r="Y164" i="3"/>
  <c r="Y144" i="3"/>
  <c r="Q123" i="3"/>
  <c r="Q828" i="3"/>
  <c r="O123" i="3"/>
  <c r="O828" i="3"/>
  <c r="S81" i="3"/>
  <c r="S861" i="3"/>
  <c r="Q81" i="3"/>
  <c r="S89" i="3"/>
  <c r="Q89" i="3"/>
  <c r="J327" i="3"/>
  <c r="O327" i="3"/>
  <c r="J287" i="3"/>
  <c r="J878" i="3"/>
  <c r="Q287" i="3"/>
  <c r="Q878" i="3"/>
  <c r="J264" i="3"/>
  <c r="O264" i="3"/>
  <c r="Q264" i="3"/>
  <c r="L254" i="3"/>
  <c r="O254" i="3"/>
  <c r="Q254" i="3"/>
  <c r="J251" i="3"/>
  <c r="O251" i="3"/>
  <c r="Q251" i="3"/>
  <c r="J245" i="3"/>
  <c r="S245" i="3"/>
  <c r="L245" i="3"/>
  <c r="O245" i="3"/>
  <c r="AB210" i="3"/>
  <c r="Q162" i="3"/>
  <c r="S162" i="3"/>
  <c r="O162" i="3"/>
  <c r="Q143" i="3"/>
  <c r="Q769" i="3"/>
  <c r="S143" i="3"/>
  <c r="S769" i="3"/>
  <c r="L143" i="3"/>
  <c r="L769" i="3"/>
  <c r="S120" i="3"/>
  <c r="S815" i="3"/>
  <c r="Q120" i="3"/>
  <c r="Q815" i="3"/>
  <c r="J82" i="3"/>
  <c r="Q82" i="3"/>
  <c r="Q863" i="3"/>
  <c r="S82" i="3"/>
  <c r="Q328" i="3"/>
  <c r="Q838" i="3"/>
  <c r="Q267" i="3"/>
  <c r="H266" i="3"/>
  <c r="O255" i="3"/>
  <c r="J224" i="3"/>
  <c r="J222" i="3"/>
  <c r="S211" i="3"/>
  <c r="J211" i="3"/>
  <c r="J205" i="3"/>
  <c r="J796" i="3"/>
  <c r="S197" i="3"/>
  <c r="H196" i="3"/>
  <c r="O193" i="3"/>
  <c r="O184" i="3"/>
  <c r="Q179" i="3"/>
  <c r="J175" i="3"/>
  <c r="J900" i="3"/>
  <c r="S175" i="3"/>
  <c r="S900" i="3"/>
  <c r="J171" i="3"/>
  <c r="J907" i="3"/>
  <c r="V142" i="3"/>
  <c r="W142" i="3"/>
  <c r="L161" i="3"/>
  <c r="L868" i="3"/>
  <c r="L135" i="3"/>
  <c r="L817" i="3"/>
  <c r="O135" i="3"/>
  <c r="O817" i="3"/>
  <c r="Y135" i="3"/>
  <c r="Y817" i="3"/>
  <c r="J58" i="3"/>
  <c r="J778" i="3"/>
  <c r="Q58" i="3"/>
  <c r="L56" i="3"/>
  <c r="O56" i="3"/>
  <c r="O773" i="3"/>
  <c r="V17" i="3"/>
  <c r="X17" i="3"/>
  <c r="W17" i="3"/>
  <c r="L18" i="3"/>
  <c r="Y197" i="3"/>
  <c r="J160" i="3"/>
  <c r="S160" i="3"/>
  <c r="L160" i="3"/>
  <c r="L863" i="3"/>
  <c r="Y160" i="3"/>
  <c r="V140" i="3"/>
  <c r="W140" i="3"/>
  <c r="O118" i="3"/>
  <c r="O811" i="3"/>
  <c r="Q118" i="3"/>
  <c r="Q811" i="3"/>
  <c r="L112" i="3"/>
  <c r="L802" i="3"/>
  <c r="H111" i="3"/>
  <c r="Q112" i="3"/>
  <c r="Q802" i="3"/>
  <c r="O79" i="3"/>
  <c r="O859" i="3"/>
  <c r="Q79" i="3"/>
  <c r="L62" i="3"/>
  <c r="Q62" i="3"/>
  <c r="O44" i="3"/>
  <c r="Q44" i="3"/>
  <c r="Y44" i="3"/>
  <c r="V20" i="3"/>
  <c r="W20" i="3"/>
  <c r="X20" i="3"/>
  <c r="Z10" i="3"/>
  <c r="Q164" i="3"/>
  <c r="J164" i="3"/>
  <c r="S164" i="3"/>
  <c r="K2212" i="2"/>
  <c r="L2214" i="2"/>
  <c r="L2215" i="2"/>
  <c r="G331" i="5"/>
  <c r="K2159" i="2"/>
  <c r="J2155" i="2"/>
  <c r="J2156" i="2"/>
  <c r="K1954" i="2"/>
  <c r="J1948" i="2"/>
  <c r="J1949" i="2"/>
  <c r="J1950" i="2"/>
  <c r="J1951" i="2"/>
  <c r="H587" i="3"/>
  <c r="K1855" i="2"/>
  <c r="L1857" i="2"/>
  <c r="L1858" i="2"/>
  <c r="Y284" i="3"/>
  <c r="Y879" i="3"/>
  <c r="Y277" i="3"/>
  <c r="Y267" i="3"/>
  <c r="L258" i="3"/>
  <c r="L257" i="3"/>
  <c r="J181" i="3"/>
  <c r="S181" i="3"/>
  <c r="S850" i="3"/>
  <c r="O175" i="3"/>
  <c r="O900" i="3"/>
  <c r="X172" i="3"/>
  <c r="J158" i="3"/>
  <c r="J859" i="3"/>
  <c r="Q158" i="3"/>
  <c r="J156" i="3"/>
  <c r="J847" i="3"/>
  <c r="S156" i="3"/>
  <c r="L156" i="3"/>
  <c r="Y156" i="3"/>
  <c r="O146" i="3"/>
  <c r="O778" i="3"/>
  <c r="Q146" i="3"/>
  <c r="W130" i="3"/>
  <c r="J99" i="3"/>
  <c r="S99" i="3"/>
  <c r="L99" i="3"/>
  <c r="J90" i="3"/>
  <c r="Q90" i="3"/>
  <c r="J77" i="3"/>
  <c r="J850" i="3"/>
  <c r="Q77" i="3"/>
  <c r="Q850" i="3"/>
  <c r="O73" i="3"/>
  <c r="O845" i="3"/>
  <c r="Q73" i="3"/>
  <c r="Q845" i="3"/>
  <c r="O51" i="3"/>
  <c r="Q51" i="3"/>
  <c r="Q867" i="3"/>
  <c r="AA51" i="3"/>
  <c r="AA867" i="3"/>
  <c r="H50" i="3"/>
  <c r="Z32" i="3"/>
  <c r="AB33" i="3"/>
  <c r="Y47" i="3"/>
  <c r="O42" i="3"/>
  <c r="W38" i="3"/>
  <c r="K1744" i="2"/>
  <c r="L1746" i="2"/>
  <c r="G72" i="5"/>
  <c r="K1107" i="2"/>
  <c r="L1109" i="2"/>
  <c r="Q148" i="3"/>
  <c r="Q787" i="3"/>
  <c r="Q37" i="3"/>
  <c r="K2395" i="2"/>
  <c r="L2397" i="2"/>
  <c r="L2398" i="2"/>
  <c r="G514" i="5"/>
  <c r="Q514" i="5"/>
  <c r="K1850" i="2"/>
  <c r="L1852" i="2"/>
  <c r="K1292" i="2"/>
  <c r="J1289" i="2"/>
  <c r="G183" i="14"/>
  <c r="J1290" i="2"/>
  <c r="K1140" i="2"/>
  <c r="J1135" i="2"/>
  <c r="J1136" i="2"/>
  <c r="H128" i="3"/>
  <c r="L128" i="3"/>
  <c r="J1137" i="2"/>
  <c r="K836" i="2"/>
  <c r="L838" i="2"/>
  <c r="L839" i="2"/>
  <c r="G1499" i="14"/>
  <c r="M1499" i="14"/>
  <c r="L840" i="2"/>
  <c r="L841" i="2"/>
  <c r="K2014" i="2"/>
  <c r="L2016" i="2"/>
  <c r="G67" i="5"/>
  <c r="L67" i="5"/>
  <c r="K1871" i="2"/>
  <c r="L1873" i="2"/>
  <c r="L1874" i="2"/>
  <c r="L1875" i="2"/>
  <c r="G1554" i="14"/>
  <c r="L1554" i="14"/>
  <c r="K1844" i="2"/>
  <c r="L1846" i="2"/>
  <c r="L1847" i="2"/>
  <c r="K1769" i="2"/>
  <c r="I117" i="4"/>
  <c r="P117" i="4"/>
  <c r="L1771" i="2"/>
  <c r="K1012" i="2"/>
  <c r="L1014" i="2"/>
  <c r="K944" i="2"/>
  <c r="G1096" i="14"/>
  <c r="L946" i="2"/>
  <c r="L947" i="2"/>
  <c r="L948" i="2"/>
  <c r="K872" i="2"/>
  <c r="I138" i="4"/>
  <c r="K138" i="4"/>
  <c r="L874" i="2"/>
  <c r="L875" i="2"/>
  <c r="L876" i="2"/>
  <c r="L1178" i="2"/>
  <c r="G1625" i="14"/>
  <c r="M1625" i="14"/>
  <c r="L1177" i="2"/>
  <c r="L1176" i="2"/>
  <c r="L1175" i="2"/>
  <c r="L1174" i="2"/>
  <c r="G174" i="5"/>
  <c r="P174" i="5"/>
  <c r="L1173" i="2"/>
  <c r="K593" i="2"/>
  <c r="L595" i="2"/>
  <c r="L596" i="2"/>
  <c r="G1628" i="14"/>
  <c r="L1628" i="14"/>
  <c r="L597" i="2"/>
  <c r="L598" i="2"/>
  <c r="K152" i="2"/>
  <c r="J149" i="2"/>
  <c r="H226" i="3"/>
  <c r="O226" i="3"/>
  <c r="J150" i="2"/>
  <c r="J2288" i="2"/>
  <c r="J2086" i="2"/>
  <c r="J1997" i="2"/>
  <c r="G27" i="14"/>
  <c r="M27" i="14"/>
  <c r="J1996" i="2"/>
  <c r="J1995" i="2"/>
  <c r="L1884" i="2"/>
  <c r="L1570" i="2"/>
  <c r="G209" i="5"/>
  <c r="Q209" i="5"/>
  <c r="J1500" i="2"/>
  <c r="J1499" i="2"/>
  <c r="J1377" i="2"/>
  <c r="J1376" i="2"/>
  <c r="G249" i="14"/>
  <c r="L249" i="14"/>
  <c r="J1375" i="2"/>
  <c r="J1347" i="2"/>
  <c r="J1283" i="2"/>
  <c r="J1282" i="2"/>
  <c r="H69" i="3"/>
  <c r="J69" i="3"/>
  <c r="J1281" i="2"/>
  <c r="J1262" i="2"/>
  <c r="J1261" i="2"/>
  <c r="J1260" i="2"/>
  <c r="G66" i="14"/>
  <c r="L66" i="14"/>
  <c r="J1259" i="2"/>
  <c r="L1122" i="2"/>
  <c r="L1121" i="2"/>
  <c r="L1034" i="2"/>
  <c r="G106" i="5"/>
  <c r="I106" i="5"/>
  <c r="I461" i="5"/>
  <c r="L1033" i="2"/>
  <c r="J789" i="2"/>
  <c r="K638" i="2"/>
  <c r="J635" i="2"/>
  <c r="G245" i="14"/>
  <c r="L245" i="14"/>
  <c r="J636" i="2"/>
  <c r="T246" i="1"/>
  <c r="R246" i="1"/>
  <c r="S246" i="1"/>
  <c r="L2131" i="2"/>
  <c r="L2130" i="2"/>
  <c r="L1790" i="2"/>
  <c r="K568" i="2"/>
  <c r="I97" i="4"/>
  <c r="K97" i="4"/>
  <c r="L570" i="2"/>
  <c r="J15" i="2"/>
  <c r="J14" i="2"/>
  <c r="J13" i="2"/>
  <c r="G166" i="14"/>
  <c r="L166" i="14"/>
  <c r="J12" i="2"/>
  <c r="J11" i="2"/>
  <c r="J10" i="2"/>
  <c r="J9" i="2"/>
  <c r="H278" i="3"/>
  <c r="Q278" i="3"/>
  <c r="T264" i="1"/>
  <c r="Q245" i="1"/>
  <c r="R164" i="1"/>
  <c r="R158" i="1"/>
  <c r="T116" i="1"/>
  <c r="T105" i="1"/>
  <c r="L714" i="2"/>
  <c r="L713" i="2"/>
  <c r="G1298" i="14"/>
  <c r="L1298" i="14"/>
  <c r="L712" i="2"/>
  <c r="L711" i="2"/>
  <c r="L686" i="2"/>
  <c r="L451" i="2"/>
  <c r="G17" i="5"/>
  <c r="L17" i="5"/>
  <c r="L404" i="5"/>
  <c r="L450" i="2"/>
  <c r="L303" i="2"/>
  <c r="L302" i="2"/>
  <c r="L301" i="2"/>
  <c r="G1487" i="14"/>
  <c r="L1487" i="14"/>
  <c r="J216" i="2"/>
  <c r="T287" i="1"/>
  <c r="T271" i="1"/>
  <c r="S264" i="1"/>
  <c r="Q239" i="1"/>
  <c r="K179" i="1"/>
  <c r="K166" i="1"/>
  <c r="R150" i="1"/>
  <c r="R118" i="1"/>
  <c r="S116" i="1"/>
  <c r="S105" i="1"/>
  <c r="L760" i="2"/>
  <c r="L759" i="2"/>
  <c r="L741" i="2"/>
  <c r="L740" i="2"/>
  <c r="G351" i="5"/>
  <c r="L734" i="2"/>
  <c r="L733" i="2"/>
  <c r="L732" i="2"/>
  <c r="J655" i="2"/>
  <c r="J654" i="2"/>
  <c r="J653" i="2"/>
  <c r="J500" i="2"/>
  <c r="J499" i="2"/>
  <c r="H310" i="3"/>
  <c r="J498" i="2"/>
  <c r="J497" i="2"/>
  <c r="L470" i="2"/>
  <c r="L469" i="2"/>
  <c r="L460" i="2"/>
  <c r="J389" i="2"/>
  <c r="J169" i="2"/>
  <c r="J168" i="2"/>
  <c r="H259" i="3"/>
  <c r="J167" i="2"/>
  <c r="K139" i="1"/>
  <c r="Z602" i="3"/>
  <c r="H182" i="8"/>
  <c r="J182" i="8"/>
  <c r="J638" i="14"/>
  <c r="K638" i="14"/>
  <c r="J1099" i="8"/>
  <c r="J1097" i="8"/>
  <c r="P143" i="1"/>
  <c r="T143" i="1"/>
  <c r="S782" i="3"/>
  <c r="G141" i="5"/>
  <c r="G1343" i="14"/>
  <c r="G213" i="5"/>
  <c r="L213" i="5"/>
  <c r="G1417" i="14"/>
  <c r="H216" i="3"/>
  <c r="G220" i="14"/>
  <c r="H498" i="3"/>
  <c r="G520" i="14"/>
  <c r="I90" i="4"/>
  <c r="G1046" i="14"/>
  <c r="G395" i="5"/>
  <c r="G1630" i="14"/>
  <c r="M1630" i="14"/>
  <c r="I213" i="4"/>
  <c r="G1169" i="14"/>
  <c r="S132" i="3"/>
  <c r="O132" i="3"/>
  <c r="Y132" i="3"/>
  <c r="AA132" i="3"/>
  <c r="L132" i="3"/>
  <c r="J132" i="3"/>
  <c r="Q132" i="3"/>
  <c r="AB132" i="3"/>
  <c r="Z198" i="3"/>
  <c r="H1861" i="8"/>
  <c r="J1861" i="8"/>
  <c r="J1860" i="8"/>
  <c r="M246" i="1"/>
  <c r="Q246" i="1"/>
  <c r="J202" i="14"/>
  <c r="AB198" i="3"/>
  <c r="AB199" i="3"/>
  <c r="H649" i="3"/>
  <c r="S649" i="3"/>
  <c r="G693" i="14"/>
  <c r="G692" i="14"/>
  <c r="H415" i="3"/>
  <c r="G431" i="14"/>
  <c r="L431" i="14"/>
  <c r="G240" i="5"/>
  <c r="G1446" i="14"/>
  <c r="M1446" i="14"/>
  <c r="I67" i="4"/>
  <c r="O67" i="4"/>
  <c r="G1023" i="14"/>
  <c r="G86" i="5"/>
  <c r="G1282" i="14"/>
  <c r="G379" i="5"/>
  <c r="Q379" i="5"/>
  <c r="G1608" i="14"/>
  <c r="G333" i="5"/>
  <c r="G1562" i="14"/>
  <c r="H618" i="3"/>
  <c r="AB618" i="3"/>
  <c r="G659" i="14"/>
  <c r="G308" i="14"/>
  <c r="M308" i="14"/>
  <c r="M818" i="14"/>
  <c r="AB180" i="3"/>
  <c r="H1497" i="8"/>
  <c r="J1497" i="8"/>
  <c r="H1633" i="8"/>
  <c r="J1633" i="8"/>
  <c r="J177" i="14"/>
  <c r="Z179" i="3"/>
  <c r="AB181" i="3"/>
  <c r="AB179" i="3"/>
  <c r="J409" i="2"/>
  <c r="J410" i="2"/>
  <c r="J411" i="2"/>
  <c r="H596" i="3"/>
  <c r="K414" i="2"/>
  <c r="G1051" i="14"/>
  <c r="L416" i="2"/>
  <c r="I57" i="4"/>
  <c r="G1013" i="14"/>
  <c r="L1013" i="14"/>
  <c r="G337" i="5"/>
  <c r="I337" i="5"/>
  <c r="G1566" i="14"/>
  <c r="G371" i="5"/>
  <c r="G1600" i="14"/>
  <c r="I26" i="4"/>
  <c r="G982" i="14"/>
  <c r="Y397" i="3"/>
  <c r="J445" i="14"/>
  <c r="K445" i="14"/>
  <c r="Z423" i="3"/>
  <c r="H179" i="8"/>
  <c r="J179" i="8"/>
  <c r="Z331" i="3"/>
  <c r="H1625" i="8"/>
  <c r="J1625" i="8"/>
  <c r="J1624" i="8"/>
  <c r="M215" i="1"/>
  <c r="Q215" i="1"/>
  <c r="J345" i="14"/>
  <c r="AB332" i="3"/>
  <c r="AB331" i="3"/>
  <c r="Z535" i="3"/>
  <c r="H345" i="8"/>
  <c r="J345" i="8"/>
  <c r="J568" i="14"/>
  <c r="K568" i="14"/>
  <c r="Y283" i="3"/>
  <c r="H2055" i="8"/>
  <c r="J2055" i="8"/>
  <c r="H2183" i="8"/>
  <c r="J2183" i="8"/>
  <c r="H2171" i="8"/>
  <c r="J2171" i="8"/>
  <c r="J365" i="14"/>
  <c r="AB352" i="3"/>
  <c r="Y376" i="3"/>
  <c r="AB555" i="3"/>
  <c r="AB797" i="3"/>
  <c r="J587" i="14"/>
  <c r="AB554" i="3"/>
  <c r="Z554" i="3"/>
  <c r="H718" i="8"/>
  <c r="J718" i="8"/>
  <c r="H1784" i="8"/>
  <c r="J1784" i="8"/>
  <c r="AB552" i="3"/>
  <c r="AB792" i="3"/>
  <c r="AB551" i="3"/>
  <c r="AB553" i="3"/>
  <c r="AB857" i="3"/>
  <c r="J584" i="14"/>
  <c r="Z551" i="3"/>
  <c r="H602" i="8"/>
  <c r="J602" i="8"/>
  <c r="Y954" i="3"/>
  <c r="J1831" i="8"/>
  <c r="J1825" i="8"/>
  <c r="P241" i="1"/>
  <c r="T241" i="1"/>
  <c r="J1034" i="8"/>
  <c r="J1031" i="8"/>
  <c r="P135" i="1"/>
  <c r="T135" i="1"/>
  <c r="J1347" i="8"/>
  <c r="J1345" i="8"/>
  <c r="M178" i="1"/>
  <c r="Q178" i="1"/>
  <c r="J1506" i="8"/>
  <c r="J1503" i="8"/>
  <c r="P196" i="1"/>
  <c r="T196" i="1"/>
  <c r="J914" i="8"/>
  <c r="J912" i="8"/>
  <c r="P114" i="1"/>
  <c r="T114" i="1"/>
  <c r="J995" i="8"/>
  <c r="J993" i="8"/>
  <c r="P126" i="1"/>
  <c r="T126" i="1"/>
  <c r="M28" i="14"/>
  <c r="L28" i="14"/>
  <c r="M100" i="14"/>
  <c r="K99" i="14"/>
  <c r="I9" i="13"/>
  <c r="I11" i="13"/>
  <c r="Q118" i="1"/>
  <c r="F929" i="2"/>
  <c r="G155" i="5"/>
  <c r="G1357" i="14"/>
  <c r="G55" i="5"/>
  <c r="G1246" i="14"/>
  <c r="H582" i="3"/>
  <c r="AB582" i="3"/>
  <c r="G615" i="14"/>
  <c r="H242" i="3"/>
  <c r="G252" i="14"/>
  <c r="K647" i="2"/>
  <c r="J643" i="2"/>
  <c r="J644" i="2"/>
  <c r="J645" i="2"/>
  <c r="L650" i="2"/>
  <c r="L649" i="2"/>
  <c r="G336" i="5"/>
  <c r="G1565" i="14"/>
  <c r="G316" i="5"/>
  <c r="G1545" i="14"/>
  <c r="G243" i="5"/>
  <c r="G1449" i="14"/>
  <c r="M1449" i="14"/>
  <c r="I162" i="4"/>
  <c r="G1118" i="14"/>
  <c r="H387" i="3"/>
  <c r="G403" i="14"/>
  <c r="H357" i="8"/>
  <c r="J357" i="8"/>
  <c r="J356" i="8"/>
  <c r="M48" i="1"/>
  <c r="Q48" i="1"/>
  <c r="H1288" i="8"/>
  <c r="J1288" i="8"/>
  <c r="J1287" i="8"/>
  <c r="M170" i="1"/>
  <c r="Q170" i="1"/>
  <c r="H351" i="8"/>
  <c r="J351" i="8"/>
  <c r="J350" i="8"/>
  <c r="M47" i="1"/>
  <c r="Q47" i="1"/>
  <c r="J180" i="14"/>
  <c r="Z182" i="3"/>
  <c r="AB184" i="3"/>
  <c r="H578" i="3"/>
  <c r="S578" i="3"/>
  <c r="G611" i="14"/>
  <c r="I69" i="4"/>
  <c r="G1025" i="14"/>
  <c r="I13" i="4"/>
  <c r="K13" i="4"/>
  <c r="G969" i="14"/>
  <c r="G164" i="5"/>
  <c r="G1366" i="14"/>
  <c r="I193" i="4"/>
  <c r="P193" i="4"/>
  <c r="G1149" i="14"/>
  <c r="H589" i="3"/>
  <c r="G622" i="14"/>
  <c r="Y48" i="3"/>
  <c r="Y832" i="3"/>
  <c r="Y49" i="3"/>
  <c r="L243" i="2"/>
  <c r="G1396" i="14"/>
  <c r="L244" i="2"/>
  <c r="J239" i="2"/>
  <c r="J574" i="2"/>
  <c r="J577" i="2"/>
  <c r="J578" i="2"/>
  <c r="L586" i="2"/>
  <c r="K582" i="2"/>
  <c r="G598" i="14"/>
  <c r="I134" i="4"/>
  <c r="G550" i="14"/>
  <c r="I56" i="4"/>
  <c r="G1215" i="14"/>
  <c r="M1215" i="14"/>
  <c r="G328" i="5"/>
  <c r="G1557" i="14"/>
  <c r="G511" i="5"/>
  <c r="I60" i="4"/>
  <c r="G1016" i="14"/>
  <c r="L1016" i="14"/>
  <c r="K1390" i="2"/>
  <c r="J1386" i="2"/>
  <c r="J1387" i="2"/>
  <c r="J1388" i="2"/>
  <c r="L1394" i="2"/>
  <c r="L1393" i="2"/>
  <c r="L1392" i="2"/>
  <c r="K1599" i="2"/>
  <c r="G1121" i="14"/>
  <c r="L1601" i="2"/>
  <c r="L1602" i="2"/>
  <c r="L1603" i="2"/>
  <c r="J1595" i="2"/>
  <c r="J1596" i="2"/>
  <c r="J1597" i="2"/>
  <c r="H595" i="3"/>
  <c r="G628" i="14"/>
  <c r="L628" i="14"/>
  <c r="G256" i="5"/>
  <c r="G1462" i="14"/>
  <c r="M1462" i="14"/>
  <c r="I179" i="4"/>
  <c r="G1135" i="14"/>
  <c r="L1135" i="14"/>
  <c r="H141" i="3"/>
  <c r="G139" i="14"/>
  <c r="G138" i="14"/>
  <c r="Z305" i="3"/>
  <c r="H499" i="8"/>
  <c r="J499" i="8"/>
  <c r="J316" i="14"/>
  <c r="K316" i="14"/>
  <c r="Z333" i="3"/>
  <c r="AA334" i="3"/>
  <c r="AA849" i="3"/>
  <c r="H1616" i="8"/>
  <c r="J1616" i="8"/>
  <c r="J347" i="14"/>
  <c r="Y359" i="3"/>
  <c r="Y785" i="3"/>
  <c r="Y375" i="3"/>
  <c r="Y555" i="3"/>
  <c r="Y797" i="3"/>
  <c r="Y554" i="3"/>
  <c r="Y552" i="3"/>
  <c r="Y792" i="3"/>
  <c r="Y553" i="3"/>
  <c r="Y857" i="3"/>
  <c r="Y551" i="3"/>
  <c r="Y946" i="3"/>
  <c r="Y947" i="3"/>
  <c r="M177" i="14"/>
  <c r="P90" i="5"/>
  <c r="P425" i="5"/>
  <c r="P93" i="5"/>
  <c r="P432" i="5"/>
  <c r="P89" i="5"/>
  <c r="P422" i="5"/>
  <c r="P91" i="5"/>
  <c r="P426" i="5"/>
  <c r="P87" i="5"/>
  <c r="P420" i="5"/>
  <c r="AA102" i="3"/>
  <c r="L954" i="14"/>
  <c r="J925" i="8"/>
  <c r="M116" i="1"/>
  <c r="Q116" i="1"/>
  <c r="J927" i="8"/>
  <c r="Y978" i="3"/>
  <c r="G191" i="5"/>
  <c r="G1395" i="14"/>
  <c r="G211" i="5"/>
  <c r="G1415" i="14"/>
  <c r="H714" i="3"/>
  <c r="G758" i="14"/>
  <c r="H626" i="3"/>
  <c r="G667" i="14"/>
  <c r="H674" i="3"/>
  <c r="G718" i="14"/>
  <c r="G255" i="5"/>
  <c r="G1461" i="14"/>
  <c r="M1461" i="14"/>
  <c r="G227" i="5"/>
  <c r="G1433" i="14"/>
  <c r="G322" i="5"/>
  <c r="G1551" i="14"/>
  <c r="H87" i="3"/>
  <c r="G85" i="14"/>
  <c r="H489" i="3"/>
  <c r="Q489" i="3"/>
  <c r="G511" i="14"/>
  <c r="J1201" i="2"/>
  <c r="J1202" i="2"/>
  <c r="H215" i="3"/>
  <c r="J1203" i="2"/>
  <c r="J1204" i="2"/>
  <c r="J1205" i="2"/>
  <c r="G353" i="5"/>
  <c r="G1582" i="14"/>
  <c r="L1582" i="14"/>
  <c r="H293" i="3"/>
  <c r="G304" i="14"/>
  <c r="H634" i="3"/>
  <c r="G675" i="14"/>
  <c r="M675" i="14"/>
  <c r="Z12" i="3"/>
  <c r="H2018" i="8"/>
  <c r="J2018" i="8"/>
  <c r="J2017" i="8"/>
  <c r="M264" i="1"/>
  <c r="Q264" i="1"/>
  <c r="H2108" i="8"/>
  <c r="J2108" i="8"/>
  <c r="J2107" i="8"/>
  <c r="M281" i="1"/>
  <c r="Q281" i="1"/>
  <c r="J10" i="14"/>
  <c r="M10" i="14"/>
  <c r="AB13" i="3"/>
  <c r="AB14" i="3"/>
  <c r="AB12" i="3"/>
  <c r="H207" i="3"/>
  <c r="G211" i="14"/>
  <c r="J1038" i="2"/>
  <c r="J1039" i="2"/>
  <c r="H212" i="3"/>
  <c r="J1040" i="2"/>
  <c r="J1041" i="2"/>
  <c r="J1042" i="2"/>
  <c r="L1048" i="2"/>
  <c r="G1382" i="14"/>
  <c r="L1049" i="2"/>
  <c r="K1045" i="2"/>
  <c r="L1047" i="2"/>
  <c r="H560" i="3"/>
  <c r="G593" i="14"/>
  <c r="I101" i="4"/>
  <c r="G1057" i="14"/>
  <c r="G298" i="5"/>
  <c r="G1523" i="14"/>
  <c r="I189" i="4"/>
  <c r="G1145" i="14"/>
  <c r="G388" i="5"/>
  <c r="G1623" i="14"/>
  <c r="H346" i="3"/>
  <c r="G360" i="14"/>
  <c r="G359" i="14"/>
  <c r="G509" i="5"/>
  <c r="G1512" i="14"/>
  <c r="G681" i="14"/>
  <c r="M681" i="14"/>
  <c r="J276" i="14"/>
  <c r="AB267" i="3"/>
  <c r="Z266" i="3"/>
  <c r="AA267" i="3"/>
  <c r="H2105" i="8"/>
  <c r="J2105" i="8"/>
  <c r="J2104" i="8"/>
  <c r="M280" i="1"/>
  <c r="Q280" i="1"/>
  <c r="Z547" i="3"/>
  <c r="H825" i="8"/>
  <c r="J825" i="8"/>
  <c r="J824" i="8"/>
  <c r="M102" i="1"/>
  <c r="Q102" i="1"/>
  <c r="J580" i="14"/>
  <c r="AB548" i="3"/>
  <c r="AB547" i="3"/>
  <c r="Q327" i="3"/>
  <c r="S327" i="3"/>
  <c r="L327" i="3"/>
  <c r="AB418" i="3"/>
  <c r="AB405" i="3"/>
  <c r="H295" i="8"/>
  <c r="J295" i="8"/>
  <c r="H575" i="8"/>
  <c r="J575" i="8"/>
  <c r="H667" i="8"/>
  <c r="J667" i="8"/>
  <c r="H864" i="8"/>
  <c r="J864" i="8"/>
  <c r="H936" i="8"/>
  <c r="J936" i="8"/>
  <c r="H1200" i="8"/>
  <c r="J1200" i="8"/>
  <c r="H1751" i="8"/>
  <c r="J1751" i="8"/>
  <c r="H1991" i="8"/>
  <c r="J1991" i="8"/>
  <c r="H551" i="8"/>
  <c r="J551" i="8"/>
  <c r="H691" i="8"/>
  <c r="J691" i="8"/>
  <c r="H1443" i="8"/>
  <c r="J1443" i="8"/>
  <c r="H832" i="8"/>
  <c r="J832" i="8"/>
  <c r="H848" i="8"/>
  <c r="J848" i="8"/>
  <c r="H950" i="8"/>
  <c r="J950" i="8"/>
  <c r="H1051" i="8"/>
  <c r="J1051" i="8"/>
  <c r="H1112" i="8"/>
  <c r="J1112" i="8"/>
  <c r="H1186" i="8"/>
  <c r="J1186" i="8"/>
  <c r="H1352" i="8"/>
  <c r="J1352" i="8"/>
  <c r="H1727" i="8"/>
  <c r="J1727" i="8"/>
  <c r="H878" i="8"/>
  <c r="J878" i="8"/>
  <c r="H1037" i="8"/>
  <c r="J1037" i="8"/>
  <c r="J417" i="14"/>
  <c r="AB410" i="3"/>
  <c r="AB406" i="3"/>
  <c r="Z401" i="3"/>
  <c r="AB411" i="3"/>
  <c r="AB412" i="3"/>
  <c r="AB419" i="3"/>
  <c r="AB854" i="3"/>
  <c r="AB409" i="3"/>
  <c r="AB407" i="3"/>
  <c r="S795" i="3"/>
  <c r="O933" i="3"/>
  <c r="S933" i="3"/>
  <c r="L933" i="3"/>
  <c r="J933" i="3"/>
  <c r="Y933" i="3"/>
  <c r="Q933" i="3"/>
  <c r="AB933" i="3"/>
  <c r="AA933" i="3"/>
  <c r="H2115" i="8"/>
  <c r="J2115" i="8"/>
  <c r="H2193" i="8"/>
  <c r="J2193" i="8"/>
  <c r="H2281" i="8"/>
  <c r="J2281" i="8"/>
  <c r="J570" i="14"/>
  <c r="Z537" i="3"/>
  <c r="J227" i="14"/>
  <c r="Z931" i="3"/>
  <c r="H2415" i="8"/>
  <c r="J2415" i="8"/>
  <c r="J603" i="8"/>
  <c r="J600" i="8"/>
  <c r="M76" i="1"/>
  <c r="Q76" i="1"/>
  <c r="S118" i="1"/>
  <c r="J984" i="8"/>
  <c r="P125" i="1"/>
  <c r="T125" i="1"/>
  <c r="J986" i="8"/>
  <c r="J2431" i="8"/>
  <c r="J2432" i="8"/>
  <c r="J2425" i="8"/>
  <c r="P322" i="1"/>
  <c r="T322" i="1"/>
  <c r="M460" i="14"/>
  <c r="M461" i="14"/>
  <c r="K460" i="14"/>
  <c r="AA118" i="3"/>
  <c r="AA811" i="3"/>
  <c r="AA120" i="3"/>
  <c r="AA815" i="3"/>
  <c r="AA121" i="3"/>
  <c r="AA816" i="3"/>
  <c r="AA119" i="3"/>
  <c r="AA812" i="3"/>
  <c r="AA123" i="3"/>
  <c r="AA828" i="3"/>
  <c r="O920" i="3"/>
  <c r="Q920" i="3"/>
  <c r="S920" i="3"/>
  <c r="L920" i="3"/>
  <c r="J920" i="3"/>
  <c r="S805" i="3"/>
  <c r="Y850" i="3"/>
  <c r="G342" i="5"/>
  <c r="G1571" i="14"/>
  <c r="G157" i="5"/>
  <c r="G1359" i="14"/>
  <c r="H417" i="3"/>
  <c r="G433" i="14"/>
  <c r="H494" i="3"/>
  <c r="G516" i="14"/>
  <c r="J547" i="2"/>
  <c r="J548" i="2"/>
  <c r="J549" i="2"/>
  <c r="J550" i="2"/>
  <c r="J551" i="2"/>
  <c r="J552" i="2"/>
  <c r="L558" i="2"/>
  <c r="L559" i="2"/>
  <c r="K555" i="2"/>
  <c r="L557" i="2"/>
  <c r="J1470" i="2"/>
  <c r="J1471" i="2"/>
  <c r="H244" i="3"/>
  <c r="J1472" i="2"/>
  <c r="L1478" i="2"/>
  <c r="K1474" i="2"/>
  <c r="L1476" i="2"/>
  <c r="G1334" i="14"/>
  <c r="L1477" i="2"/>
  <c r="G370" i="5"/>
  <c r="G1599" i="14"/>
  <c r="M1599" i="14"/>
  <c r="I15" i="4"/>
  <c r="G971" i="14"/>
  <c r="G383" i="5"/>
  <c r="G1618" i="14"/>
  <c r="H751" i="3"/>
  <c r="G795" i="14"/>
  <c r="M795" i="14"/>
  <c r="AB176" i="3"/>
  <c r="H745" i="8"/>
  <c r="J745" i="8"/>
  <c r="J742" i="8"/>
  <c r="M92" i="1"/>
  <c r="Q92" i="1"/>
  <c r="H1337" i="8"/>
  <c r="J1337" i="8"/>
  <c r="J1334" i="8"/>
  <c r="M177" i="1"/>
  <c r="Q177" i="1"/>
  <c r="H41" i="8"/>
  <c r="J41" i="8"/>
  <c r="H53" i="8"/>
  <c r="J53" i="8"/>
  <c r="J50" i="8"/>
  <c r="M10" i="1"/>
  <c r="Q10" i="1"/>
  <c r="J170" i="14"/>
  <c r="AB175" i="3"/>
  <c r="AB900" i="3"/>
  <c r="Z172" i="3"/>
  <c r="H214" i="3"/>
  <c r="G218" i="14"/>
  <c r="G315" i="5"/>
  <c r="G1544" i="14"/>
  <c r="G266" i="5"/>
  <c r="G1472" i="14"/>
  <c r="I17" i="4"/>
  <c r="G973" i="14"/>
  <c r="I116" i="4"/>
  <c r="G1072" i="14"/>
  <c r="L1072" i="14"/>
  <c r="G252" i="5"/>
  <c r="G1458" i="14"/>
  <c r="M1458" i="14"/>
  <c r="M1692" i="14"/>
  <c r="Y39" i="3"/>
  <c r="Y38" i="3"/>
  <c r="Z109" i="3"/>
  <c r="H705" i="8"/>
  <c r="J705" i="8"/>
  <c r="J706" i="8"/>
  <c r="J704" i="8"/>
  <c r="M86" i="1"/>
  <c r="Q86" i="1"/>
  <c r="J107" i="14"/>
  <c r="AB109" i="3"/>
  <c r="H803" i="8"/>
  <c r="J803" i="8"/>
  <c r="J800" i="8"/>
  <c r="M99" i="1"/>
  <c r="Q99" i="1"/>
  <c r="J229" i="14"/>
  <c r="Z219" i="3"/>
  <c r="K531" i="2"/>
  <c r="L533" i="2"/>
  <c r="G1400" i="14"/>
  <c r="M1400" i="14"/>
  <c r="L534" i="2"/>
  <c r="J527" i="2"/>
  <c r="J528" i="2"/>
  <c r="J529" i="2"/>
  <c r="H476" i="3"/>
  <c r="G498" i="14"/>
  <c r="H408" i="3"/>
  <c r="G424" i="14"/>
  <c r="M424" i="14"/>
  <c r="H610" i="3"/>
  <c r="G651" i="14"/>
  <c r="H681" i="3"/>
  <c r="G725" i="14"/>
  <c r="M725" i="14"/>
  <c r="H536" i="3"/>
  <c r="G569" i="14"/>
  <c r="G82" i="5"/>
  <c r="G1278" i="14"/>
  <c r="L1278" i="14"/>
  <c r="G88" i="5"/>
  <c r="G1284" i="14"/>
  <c r="I148" i="4"/>
  <c r="G1104" i="14"/>
  <c r="L1104" i="14"/>
  <c r="I214" i="4"/>
  <c r="G1170" i="14"/>
  <c r="G505" i="5"/>
  <c r="G1497" i="14"/>
  <c r="L1497" i="14"/>
  <c r="Y13" i="3"/>
  <c r="Y12" i="3"/>
  <c r="Y110" i="3"/>
  <c r="Y801" i="3"/>
  <c r="Y109" i="3"/>
  <c r="H230" i="3"/>
  <c r="G240" i="14"/>
  <c r="M240" i="14"/>
  <c r="J818" i="2"/>
  <c r="H238" i="3"/>
  <c r="J819" i="2"/>
  <c r="L823" i="2"/>
  <c r="K821" i="2"/>
  <c r="I68" i="4"/>
  <c r="K1433" i="2"/>
  <c r="G1115" i="14"/>
  <c r="L1435" i="2"/>
  <c r="J1429" i="2"/>
  <c r="J1430" i="2"/>
  <c r="H74" i="3"/>
  <c r="J1431" i="2"/>
  <c r="H373" i="3"/>
  <c r="J1663" i="2"/>
  <c r="J1664" i="2"/>
  <c r="J1665" i="2"/>
  <c r="L1670" i="2"/>
  <c r="G1248" i="14"/>
  <c r="K1667" i="2"/>
  <c r="L1669" i="2"/>
  <c r="H520" i="3"/>
  <c r="G542" i="14"/>
  <c r="L542" i="14"/>
  <c r="G71" i="5"/>
  <c r="G1262" i="14"/>
  <c r="M1262" i="14"/>
  <c r="G354" i="5"/>
  <c r="G1583" i="14"/>
  <c r="AB301" i="3"/>
  <c r="H497" i="8"/>
  <c r="J497" i="8"/>
  <c r="H110" i="8"/>
  <c r="J110" i="8"/>
  <c r="H216" i="8"/>
  <c r="J216" i="8"/>
  <c r="H1552" i="8"/>
  <c r="J1552" i="8"/>
  <c r="H136" i="8"/>
  <c r="J136" i="8"/>
  <c r="H442" i="8"/>
  <c r="J442" i="8"/>
  <c r="H1539" i="8"/>
  <c r="J1539" i="8"/>
  <c r="H260" i="8"/>
  <c r="J260" i="8"/>
  <c r="H1887" i="8"/>
  <c r="J1887" i="8"/>
  <c r="J305" i="14"/>
  <c r="H1948" i="8"/>
  <c r="J1948" i="8"/>
  <c r="Z294" i="3"/>
  <c r="AB296" i="3"/>
  <c r="AB303" i="3"/>
  <c r="AB300" i="3"/>
  <c r="AB848" i="3"/>
  <c r="AB304" i="3"/>
  <c r="Y363" i="3"/>
  <c r="Y379" i="3"/>
  <c r="Y381" i="3"/>
  <c r="Y863" i="3"/>
  <c r="Y384" i="3"/>
  <c r="Y388" i="3"/>
  <c r="Y395" i="3"/>
  <c r="Y396" i="3"/>
  <c r="Y383" i="3"/>
  <c r="Y868" i="3"/>
  <c r="Y358" i="3"/>
  <c r="Y782" i="3"/>
  <c r="Y398" i="3"/>
  <c r="Y366" i="3"/>
  <c r="Y362" i="3"/>
  <c r="Y357" i="3"/>
  <c r="Y778" i="3"/>
  <c r="Y399" i="3"/>
  <c r="Y354" i="3"/>
  <c r="Y769" i="3"/>
  <c r="Y390" i="3"/>
  <c r="Y382" i="3"/>
  <c r="Y867" i="3"/>
  <c r="Y370" i="3"/>
  <c r="Y378" i="3"/>
  <c r="Y859" i="3"/>
  <c r="Y355" i="3"/>
  <c r="Z292" i="3"/>
  <c r="H1672" i="8"/>
  <c r="J1672" i="8"/>
  <c r="J1673" i="8"/>
  <c r="J1671" i="8"/>
  <c r="M222" i="1"/>
  <c r="Q222" i="1"/>
  <c r="J303" i="14"/>
  <c r="K303" i="14"/>
  <c r="Z937" i="3"/>
  <c r="J326" i="14"/>
  <c r="H2397" i="8"/>
  <c r="J2397" i="8"/>
  <c r="AB938" i="3"/>
  <c r="AB980" i="3"/>
  <c r="AB937" i="3"/>
  <c r="J1364" i="8"/>
  <c r="J1360" i="8"/>
  <c r="P179" i="1"/>
  <c r="T179" i="1"/>
  <c r="J1005" i="8"/>
  <c r="J1003" i="8"/>
  <c r="P129" i="1"/>
  <c r="T129" i="1"/>
  <c r="J1088" i="8"/>
  <c r="P142" i="1"/>
  <c r="T142" i="1"/>
  <c r="J1090" i="8"/>
  <c r="J1236" i="8"/>
  <c r="J1234" i="8"/>
  <c r="P162" i="1"/>
  <c r="T162" i="1"/>
  <c r="J2392" i="8"/>
  <c r="J2393" i="8"/>
  <c r="J2382" i="8"/>
  <c r="P320" i="1"/>
  <c r="T320" i="1"/>
  <c r="L34" i="14"/>
  <c r="M34" i="14"/>
  <c r="J1455" i="8"/>
  <c r="J1451" i="8"/>
  <c r="P189" i="1"/>
  <c r="T189" i="1"/>
  <c r="L121" i="5"/>
  <c r="Q121" i="5"/>
  <c r="I121" i="5"/>
  <c r="P121" i="5"/>
  <c r="Q479" i="5"/>
  <c r="I479" i="5"/>
  <c r="L479" i="5"/>
  <c r="P479" i="5"/>
  <c r="J2249" i="8"/>
  <c r="J2246" i="8"/>
  <c r="P300" i="1"/>
  <c r="T300" i="1"/>
  <c r="H1061" i="8"/>
  <c r="J1061" i="8"/>
  <c r="H899" i="8"/>
  <c r="J899" i="8"/>
  <c r="H960" i="8"/>
  <c r="J960" i="8"/>
  <c r="H1210" i="8"/>
  <c r="J1210" i="8"/>
  <c r="H888" i="8"/>
  <c r="J888" i="8"/>
  <c r="H971" i="8"/>
  <c r="J971" i="8"/>
  <c r="H1072" i="8"/>
  <c r="J1072" i="8"/>
  <c r="H1221" i="8"/>
  <c r="J1221" i="8"/>
  <c r="J18" i="14"/>
  <c r="H1996" i="8"/>
  <c r="J1996" i="8"/>
  <c r="Z20" i="3"/>
  <c r="AB27" i="3"/>
  <c r="AB22" i="3"/>
  <c r="AB24" i="3"/>
  <c r="H2377" i="8"/>
  <c r="J2377" i="8"/>
  <c r="H2420" i="8"/>
  <c r="J2420" i="8"/>
  <c r="H2361" i="8"/>
  <c r="J2361" i="8"/>
  <c r="H2309" i="8"/>
  <c r="J2309" i="8"/>
  <c r="H2326" i="8"/>
  <c r="J2326" i="8"/>
  <c r="H2344" i="8"/>
  <c r="J2344" i="8"/>
  <c r="AB921" i="3"/>
  <c r="AB925" i="3"/>
  <c r="AB979" i="3"/>
  <c r="Z919" i="3"/>
  <c r="AB920" i="3"/>
  <c r="AB924" i="3"/>
  <c r="AB923" i="3"/>
  <c r="AB692" i="3"/>
  <c r="H74" i="8"/>
  <c r="J74" i="8"/>
  <c r="H94" i="8"/>
  <c r="J94" i="8"/>
  <c r="J91" i="8"/>
  <c r="M14" i="1"/>
  <c r="Q14" i="1"/>
  <c r="H538" i="8"/>
  <c r="J538" i="8"/>
  <c r="H1387" i="8"/>
  <c r="J1387" i="8"/>
  <c r="H1714" i="8"/>
  <c r="J1714" i="8"/>
  <c r="J1711" i="8"/>
  <c r="M228" i="1"/>
  <c r="Q228" i="1"/>
  <c r="H654" i="8"/>
  <c r="J654" i="8"/>
  <c r="H1607" i="8"/>
  <c r="J1607" i="8"/>
  <c r="H1471" i="8"/>
  <c r="J1471" i="8"/>
  <c r="J733" i="14"/>
  <c r="AB691" i="3"/>
  <c r="AB697" i="3"/>
  <c r="Z689" i="3"/>
  <c r="AB690" i="3"/>
  <c r="Z138" i="3"/>
  <c r="H180" i="8"/>
  <c r="J180" i="8"/>
  <c r="J136" i="14"/>
  <c r="K136" i="14"/>
  <c r="H369" i="8"/>
  <c r="J369" i="8"/>
  <c r="H312" i="8"/>
  <c r="J312" i="8"/>
  <c r="H498" i="8"/>
  <c r="J498" i="8"/>
  <c r="H2067" i="8"/>
  <c r="J2067" i="8"/>
  <c r="H1134" i="8"/>
  <c r="J1134" i="8"/>
  <c r="J318" i="14"/>
  <c r="H774" i="8"/>
  <c r="J774" i="8"/>
  <c r="Z307" i="3"/>
  <c r="AB308" i="3"/>
  <c r="H1528" i="8"/>
  <c r="J1528" i="8"/>
  <c r="J470" i="14"/>
  <c r="Z448" i="3"/>
  <c r="AB448" i="3"/>
  <c r="AB449" i="3"/>
  <c r="H2192" i="8"/>
  <c r="J2192" i="8"/>
  <c r="J574" i="14"/>
  <c r="H2114" i="8"/>
  <c r="J2114" i="8"/>
  <c r="H2280" i="8"/>
  <c r="J2280" i="8"/>
  <c r="AB544" i="3"/>
  <c r="Z541" i="3"/>
  <c r="Z960" i="3"/>
  <c r="H2343" i="8"/>
  <c r="J2343" i="8"/>
  <c r="H2398" i="8"/>
  <c r="J2398" i="8"/>
  <c r="H2308" i="8"/>
  <c r="J2308" i="8"/>
  <c r="AB961" i="3"/>
  <c r="AB960" i="3"/>
  <c r="AB963" i="3"/>
  <c r="AB962" i="3"/>
  <c r="J416" i="8"/>
  <c r="J414" i="8"/>
  <c r="P56" i="1"/>
  <c r="T56" i="1"/>
  <c r="Z442" i="3"/>
  <c r="AB443" i="3"/>
  <c r="H2096" i="8"/>
  <c r="J2096" i="8"/>
  <c r="J2095" i="8"/>
  <c r="M277" i="1"/>
  <c r="Q277" i="1"/>
  <c r="J464" i="14"/>
  <c r="AB442" i="3"/>
  <c r="J1561" i="8"/>
  <c r="J1558" i="8"/>
  <c r="P201" i="1"/>
  <c r="T201" i="1"/>
  <c r="H550" i="3"/>
  <c r="G583" i="14"/>
  <c r="G18" i="5"/>
  <c r="G1209" i="14"/>
  <c r="H306" i="3"/>
  <c r="G317" i="14"/>
  <c r="G29" i="5"/>
  <c r="G1220" i="14"/>
  <c r="G163" i="5"/>
  <c r="G1365" i="14"/>
  <c r="R179" i="1"/>
  <c r="F1351" i="2"/>
  <c r="S179" i="1"/>
  <c r="G286" i="5"/>
  <c r="G1503" i="14"/>
  <c r="G385" i="5"/>
  <c r="G1620" i="14"/>
  <c r="H758" i="3"/>
  <c r="G802" i="14"/>
  <c r="H317" i="3"/>
  <c r="G331" i="14"/>
  <c r="G248" i="5"/>
  <c r="G1454" i="14"/>
  <c r="H41" i="3"/>
  <c r="G39" i="14"/>
  <c r="G41" i="5"/>
  <c r="G1232" i="14"/>
  <c r="H367" i="3"/>
  <c r="G383" i="14"/>
  <c r="H321" i="3"/>
  <c r="G335" i="14"/>
  <c r="H374" i="3"/>
  <c r="G390" i="14"/>
  <c r="H598" i="3"/>
  <c r="AA598" i="3"/>
  <c r="G631" i="14"/>
  <c r="H590" i="3"/>
  <c r="G623" i="14"/>
  <c r="G137" i="5"/>
  <c r="G1339" i="14"/>
  <c r="I112" i="4"/>
  <c r="G1068" i="14"/>
  <c r="G294" i="5"/>
  <c r="L294" i="5"/>
  <c r="G1519" i="14"/>
  <c r="G178" i="5"/>
  <c r="G1380" i="14"/>
  <c r="G179" i="5"/>
  <c r="G1381" i="14"/>
  <c r="I197" i="4"/>
  <c r="G1153" i="14"/>
  <c r="G355" i="5"/>
  <c r="G1584" i="14"/>
  <c r="G367" i="5"/>
  <c r="G1596" i="14"/>
  <c r="G202" i="5"/>
  <c r="G1406" i="14"/>
  <c r="I139" i="4"/>
  <c r="G1095" i="14"/>
  <c r="I114" i="4"/>
  <c r="G1070" i="14"/>
  <c r="G272" i="5"/>
  <c r="G1478" i="14"/>
  <c r="I247" i="4"/>
  <c r="G1192" i="14"/>
  <c r="I201" i="4"/>
  <c r="G1157" i="14"/>
  <c r="J50" i="3"/>
  <c r="L50" i="3"/>
  <c r="O50" i="3"/>
  <c r="AB50" i="3"/>
  <c r="S50" i="3"/>
  <c r="Q50" i="3"/>
  <c r="Y50" i="3"/>
  <c r="AA50" i="3"/>
  <c r="Y176" i="3"/>
  <c r="Y173" i="3"/>
  <c r="Y175" i="3"/>
  <c r="Y900" i="3"/>
  <c r="I43" i="4"/>
  <c r="G999" i="14"/>
  <c r="H514" i="3"/>
  <c r="G536" i="14"/>
  <c r="I173" i="4"/>
  <c r="G1129" i="14"/>
  <c r="AB141" i="3"/>
  <c r="AB866" i="3"/>
  <c r="H1985" i="8"/>
  <c r="J1985" i="8"/>
  <c r="J138" i="14"/>
  <c r="Z140" i="3"/>
  <c r="AB17" i="3"/>
  <c r="Z17" i="3"/>
  <c r="H2202" i="8"/>
  <c r="J2202" i="8"/>
  <c r="J2201" i="8"/>
  <c r="M294" i="1"/>
  <c r="Q294" i="1"/>
  <c r="J15" i="14"/>
  <c r="H2064" i="8"/>
  <c r="J2064" i="8"/>
  <c r="J2063" i="8"/>
  <c r="M270" i="1"/>
  <c r="Q270" i="1"/>
  <c r="AB18" i="3"/>
  <c r="AB19" i="3"/>
  <c r="J863" i="3"/>
  <c r="Y324" i="3"/>
  <c r="Y824" i="3"/>
  <c r="Y325" i="3"/>
  <c r="Y825" i="3"/>
  <c r="Y326" i="3"/>
  <c r="Y826" i="3"/>
  <c r="Y323" i="3"/>
  <c r="Y330" i="3"/>
  <c r="Y840" i="3"/>
  <c r="Y329" i="3"/>
  <c r="Y839" i="3"/>
  <c r="Y327" i="3"/>
  <c r="Y328" i="3"/>
  <c r="Y838" i="3"/>
  <c r="H306" i="8"/>
  <c r="J306" i="8"/>
  <c r="J305" i="8"/>
  <c r="M40" i="1"/>
  <c r="Q40" i="1"/>
  <c r="J32" i="14"/>
  <c r="AB35" i="3"/>
  <c r="Z34" i="3"/>
  <c r="H9" i="8"/>
  <c r="J9" i="8"/>
  <c r="H24" i="8"/>
  <c r="J24" i="8"/>
  <c r="H201" i="8"/>
  <c r="J201" i="8"/>
  <c r="H496" i="8"/>
  <c r="J496" i="8"/>
  <c r="H1312" i="8"/>
  <c r="J1312" i="8"/>
  <c r="H473" i="8"/>
  <c r="J473" i="8"/>
  <c r="J278" i="14"/>
  <c r="Z268" i="3"/>
  <c r="AB270" i="3"/>
  <c r="AB273" i="3"/>
  <c r="AB891" i="3"/>
  <c r="AB274" i="3"/>
  <c r="Z335" i="3"/>
  <c r="AB336" i="3"/>
  <c r="AB335" i="3"/>
  <c r="H1535" i="8"/>
  <c r="J1535" i="8"/>
  <c r="J1534" i="8"/>
  <c r="M199" i="1"/>
  <c r="Q199" i="1"/>
  <c r="J349" i="14"/>
  <c r="AB130" i="3"/>
  <c r="Q130" i="3"/>
  <c r="S130" i="3"/>
  <c r="L130" i="3"/>
  <c r="Y130" i="3"/>
  <c r="J130" i="3"/>
  <c r="O130" i="3"/>
  <c r="Y287" i="3"/>
  <c r="Y878" i="3"/>
  <c r="Y288" i="3"/>
  <c r="J438" i="3"/>
  <c r="Q438" i="3"/>
  <c r="S438" i="3"/>
  <c r="Y438" i="3"/>
  <c r="O438" i="3"/>
  <c r="L438" i="3"/>
  <c r="AB438" i="3"/>
  <c r="AA438" i="3"/>
  <c r="L446" i="3"/>
  <c r="AB446" i="3"/>
  <c r="S446" i="3"/>
  <c r="J446" i="3"/>
  <c r="O446" i="3"/>
  <c r="Q446" i="3"/>
  <c r="Y446" i="3"/>
  <c r="AA446" i="3"/>
  <c r="AB197" i="3"/>
  <c r="Z196" i="3"/>
  <c r="AA197" i="3"/>
  <c r="J200" i="14"/>
  <c r="H1489" i="8"/>
  <c r="J1489" i="8"/>
  <c r="J1488" i="8"/>
  <c r="M194" i="1"/>
  <c r="Q194" i="1"/>
  <c r="Z440" i="3"/>
  <c r="H1166" i="8"/>
  <c r="J1166" i="8"/>
  <c r="J462" i="14"/>
  <c r="AB441" i="3"/>
  <c r="AB833" i="3"/>
  <c r="AB440" i="3"/>
  <c r="Y903" i="3"/>
  <c r="AA708" i="3"/>
  <c r="AA707" i="3"/>
  <c r="J43" i="8"/>
  <c r="J38" i="8"/>
  <c r="M9" i="1"/>
  <c r="Q9" i="1"/>
  <c r="AB584" i="3"/>
  <c r="AB563" i="3"/>
  <c r="AB600" i="3"/>
  <c r="AB566" i="3"/>
  <c r="AB578" i="3"/>
  <c r="AB560" i="3"/>
  <c r="AB569" i="3"/>
  <c r="AB595" i="3"/>
  <c r="AB583" i="3"/>
  <c r="AB842" i="3"/>
  <c r="H138" i="8"/>
  <c r="J138" i="8"/>
  <c r="H262" i="8"/>
  <c r="J262" i="8"/>
  <c r="H866" i="8"/>
  <c r="J866" i="8"/>
  <c r="H1039" i="8"/>
  <c r="J1039" i="8"/>
  <c r="H1367" i="8"/>
  <c r="J1367" i="8"/>
  <c r="H1950" i="8"/>
  <c r="J1950" i="8"/>
  <c r="AB594" i="3"/>
  <c r="AB564" i="3"/>
  <c r="AB593" i="3"/>
  <c r="AB601" i="3"/>
  <c r="H577" i="8"/>
  <c r="J577" i="8"/>
  <c r="H1355" i="8"/>
  <c r="J1355" i="8"/>
  <c r="H444" i="8"/>
  <c r="J444" i="8"/>
  <c r="H887" i="8"/>
  <c r="J887" i="8"/>
  <c r="H952" i="8"/>
  <c r="J952" i="8"/>
  <c r="H1071" i="8"/>
  <c r="J1071" i="8"/>
  <c r="AB559" i="3"/>
  <c r="AB770" i="3"/>
  <c r="H410" i="8"/>
  <c r="J410" i="8"/>
  <c r="H938" i="8"/>
  <c r="J938" i="8"/>
  <c r="H1220" i="8"/>
  <c r="J1220" i="8"/>
  <c r="H2232" i="8"/>
  <c r="J2232" i="8"/>
  <c r="H1753" i="8"/>
  <c r="J1753" i="8"/>
  <c r="H1994" i="8"/>
  <c r="J1994" i="8"/>
  <c r="H1554" i="8"/>
  <c r="J1554" i="8"/>
  <c r="H1740" i="8"/>
  <c r="J1740" i="8"/>
  <c r="J589" i="14"/>
  <c r="AB565" i="3"/>
  <c r="AB585" i="3"/>
  <c r="AB568" i="3"/>
  <c r="AB599" i="3"/>
  <c r="AB905" i="3"/>
  <c r="H112" i="8"/>
  <c r="J112" i="8"/>
  <c r="H218" i="8"/>
  <c r="J218" i="8"/>
  <c r="H693" i="8"/>
  <c r="J693" i="8"/>
  <c r="H970" i="8"/>
  <c r="J970" i="8"/>
  <c r="H1115" i="8"/>
  <c r="J1115" i="8"/>
  <c r="H1188" i="8"/>
  <c r="J1188" i="8"/>
  <c r="H1446" i="8"/>
  <c r="J1446" i="8"/>
  <c r="AB575" i="3"/>
  <c r="AB821" i="3"/>
  <c r="AB557" i="3"/>
  <c r="AB589" i="3"/>
  <c r="AB597" i="3"/>
  <c r="Z556" i="3"/>
  <c r="H564" i="8"/>
  <c r="J564" i="8"/>
  <c r="H680" i="8"/>
  <c r="J680" i="8"/>
  <c r="H959" i="8"/>
  <c r="J959" i="8"/>
  <c r="H1202" i="8"/>
  <c r="J1202" i="8"/>
  <c r="J1205" i="8"/>
  <c r="H102" i="8"/>
  <c r="J102" i="8"/>
  <c r="H846" i="8"/>
  <c r="J846" i="8"/>
  <c r="H898" i="8"/>
  <c r="J898" i="8"/>
  <c r="H1060" i="8"/>
  <c r="J1060" i="8"/>
  <c r="H1271" i="8"/>
  <c r="J1271" i="8"/>
  <c r="AB586" i="3"/>
  <c r="H830" i="8"/>
  <c r="J830" i="8"/>
  <c r="H1209" i="8"/>
  <c r="J1209" i="8"/>
  <c r="H880" i="8"/>
  <c r="J880" i="8"/>
  <c r="H2154" i="8"/>
  <c r="J2154" i="8"/>
  <c r="H2287" i="8"/>
  <c r="J2287" i="8"/>
  <c r="H1889" i="8"/>
  <c r="J1889" i="8"/>
  <c r="H1053" i="8"/>
  <c r="J1053" i="8"/>
  <c r="H1912" i="8"/>
  <c r="J1912" i="8"/>
  <c r="H1541" i="8"/>
  <c r="J1541" i="8"/>
  <c r="AB567" i="3"/>
  <c r="AB579" i="3"/>
  <c r="AB570" i="3"/>
  <c r="AB572" i="3"/>
  <c r="AB573" i="3"/>
  <c r="Y649" i="3"/>
  <c r="H139" i="3"/>
  <c r="G137" i="14"/>
  <c r="H261" i="3"/>
  <c r="G271" i="14"/>
  <c r="M271" i="14"/>
  <c r="I7" i="4"/>
  <c r="G963" i="14"/>
  <c r="G239" i="5"/>
  <c r="G1445" i="14"/>
  <c r="M1445" i="14"/>
  <c r="M1642" i="14"/>
  <c r="J1944" i="8"/>
  <c r="J1942" i="8"/>
  <c r="P255" i="1"/>
  <c r="T255" i="1"/>
  <c r="J1785" i="8"/>
  <c r="J1782" i="8"/>
  <c r="M234" i="1"/>
  <c r="Q234" i="1"/>
  <c r="J2011" i="8"/>
  <c r="J2006" i="8"/>
  <c r="M263" i="1"/>
  <c r="Q263" i="1"/>
  <c r="L795" i="14"/>
  <c r="L925" i="14"/>
  <c r="L803" i="14"/>
  <c r="L774" i="14"/>
  <c r="L806" i="14"/>
  <c r="L791" i="14"/>
  <c r="L776" i="14"/>
  <c r="L792" i="14"/>
  <c r="L769" i="14"/>
  <c r="L805" i="14"/>
  <c r="L789" i="14"/>
  <c r="L773" i="14"/>
  <c r="L782" i="14"/>
  <c r="L767" i="14"/>
  <c r="L794" i="14"/>
  <c r="L796" i="14"/>
  <c r="L780" i="14"/>
  <c r="L777" i="14"/>
  <c r="L768" i="14"/>
  <c r="L784" i="14"/>
  <c r="L800" i="14"/>
  <c r="L785" i="14"/>
  <c r="L771" i="14"/>
  <c r="L772" i="14"/>
  <c r="L797" i="14"/>
  <c r="L788" i="14"/>
  <c r="L770" i="14"/>
  <c r="L804" i="14"/>
  <c r="L766" i="14"/>
  <c r="L786" i="14"/>
  <c r="L790" i="14"/>
  <c r="L911" i="14"/>
  <c r="M464" i="14"/>
  <c r="L1589" i="14"/>
  <c r="L1462" i="14"/>
  <c r="J1735" i="8"/>
  <c r="J1731" i="8"/>
  <c r="P229" i="1"/>
  <c r="T229" i="1"/>
  <c r="S161" i="1"/>
  <c r="T161" i="1"/>
  <c r="F1218" i="2"/>
  <c r="R161" i="1"/>
  <c r="AA716" i="3"/>
  <c r="AA718" i="3"/>
  <c r="AA720" i="3"/>
  <c r="AA717" i="3"/>
  <c r="AA719" i="3"/>
  <c r="J999" i="8"/>
  <c r="J997" i="8"/>
  <c r="M127" i="1"/>
  <c r="Q127" i="1"/>
  <c r="J2275" i="8"/>
  <c r="J2271" i="8"/>
  <c r="M303" i="1"/>
  <c r="Q303" i="1"/>
  <c r="J1283" i="8"/>
  <c r="J1279" i="8"/>
  <c r="M169" i="1"/>
  <c r="Q169" i="1"/>
  <c r="J155" i="8"/>
  <c r="M22" i="1"/>
  <c r="Q22" i="1"/>
  <c r="J1661" i="8"/>
  <c r="M221" i="1"/>
  <c r="Q221" i="1"/>
  <c r="J461" i="8"/>
  <c r="M61" i="1"/>
  <c r="Q61" i="1"/>
  <c r="J1384" i="8"/>
  <c r="M182" i="1"/>
  <c r="Q182" i="1"/>
  <c r="AB571" i="3"/>
  <c r="K140" i="1"/>
  <c r="F1058" i="2"/>
  <c r="S139" i="1"/>
  <c r="T139" i="1"/>
  <c r="R139" i="1"/>
  <c r="H712" i="3"/>
  <c r="G756" i="14"/>
  <c r="H271" i="3"/>
  <c r="G281" i="14"/>
  <c r="H470" i="3"/>
  <c r="G492" i="14"/>
  <c r="G115" i="5"/>
  <c r="G1313" i="14"/>
  <c r="G170" i="5"/>
  <c r="G1372" i="14"/>
  <c r="H458" i="3"/>
  <c r="G480" i="14"/>
  <c r="G363" i="5"/>
  <c r="G1592" i="14"/>
  <c r="G392" i="5"/>
  <c r="G1627" i="14"/>
  <c r="G1626" i="14"/>
  <c r="M1626" i="14"/>
  <c r="H94" i="3"/>
  <c r="G92" i="14"/>
  <c r="G76" i="5"/>
  <c r="G1267" i="14"/>
  <c r="L1267" i="14"/>
  <c r="L1711" i="14"/>
  <c r="G329" i="5"/>
  <c r="G1558" i="14"/>
  <c r="H655" i="3"/>
  <c r="G699" i="14"/>
  <c r="G143" i="5"/>
  <c r="G1345" i="14"/>
  <c r="H734" i="3"/>
  <c r="G778" i="14"/>
  <c r="H735" i="3"/>
  <c r="G779" i="14"/>
  <c r="H496" i="3"/>
  <c r="G518" i="14"/>
  <c r="M518" i="14"/>
  <c r="H445" i="3"/>
  <c r="G467" i="14"/>
  <c r="H605" i="3"/>
  <c r="G643" i="14"/>
  <c r="G642" i="14"/>
  <c r="H651" i="3"/>
  <c r="G695" i="14"/>
  <c r="G103" i="5"/>
  <c r="G1299" i="14"/>
  <c r="L1299" i="14"/>
  <c r="G112" i="5"/>
  <c r="G1310" i="14"/>
  <c r="G176" i="5"/>
  <c r="G1378" i="14"/>
  <c r="M1378" i="14"/>
  <c r="G149" i="5"/>
  <c r="G1351" i="14"/>
  <c r="G150" i="5"/>
  <c r="G1352" i="14"/>
  <c r="G95" i="5"/>
  <c r="G1291" i="14"/>
  <c r="I27" i="4"/>
  <c r="G983" i="14"/>
  <c r="I82" i="4"/>
  <c r="G1038" i="14"/>
  <c r="G32" i="5"/>
  <c r="G1223" i="14"/>
  <c r="L1223" i="14"/>
  <c r="H105" i="3"/>
  <c r="G103" i="14"/>
  <c r="H265" i="3"/>
  <c r="G275" i="14"/>
  <c r="M275" i="14"/>
  <c r="I28" i="4"/>
  <c r="G984" i="14"/>
  <c r="G1263" i="14"/>
  <c r="L1263" i="14"/>
  <c r="Z130" i="3"/>
  <c r="AA131" i="3"/>
  <c r="H2099" i="8"/>
  <c r="J2099" i="8"/>
  <c r="J2098" i="8"/>
  <c r="M278" i="1"/>
  <c r="Q278" i="1"/>
  <c r="J128" i="14"/>
  <c r="I170" i="4"/>
  <c r="P170" i="4"/>
  <c r="G1126" i="14"/>
  <c r="Y22" i="3"/>
  <c r="Y27" i="3"/>
  <c r="Y24" i="3"/>
  <c r="S111" i="3"/>
  <c r="L111" i="3"/>
  <c r="Y111" i="3"/>
  <c r="J111" i="3"/>
  <c r="Q111" i="3"/>
  <c r="O111" i="3"/>
  <c r="AB111" i="3"/>
  <c r="AA111" i="3"/>
  <c r="Y18" i="3"/>
  <c r="Y19" i="3"/>
  <c r="Y17" i="3"/>
  <c r="Q778" i="3"/>
  <c r="AB171" i="3"/>
  <c r="AB907" i="3"/>
  <c r="AB161" i="3"/>
  <c r="AB155" i="3"/>
  <c r="AB845" i="3"/>
  <c r="AB144" i="3"/>
  <c r="AB160" i="3"/>
  <c r="AB863" i="3"/>
  <c r="AB150" i="3"/>
  <c r="AB169" i="3"/>
  <c r="H507" i="8"/>
  <c r="J507" i="8"/>
  <c r="H1148" i="8"/>
  <c r="J1148" i="8"/>
  <c r="J1147" i="8"/>
  <c r="M151" i="1"/>
  <c r="Q151" i="1"/>
  <c r="H204" i="8"/>
  <c r="J204" i="8"/>
  <c r="H124" i="8"/>
  <c r="J124" i="8"/>
  <c r="J126" i="8"/>
  <c r="J121" i="8"/>
  <c r="M18" i="1"/>
  <c r="Q18" i="1"/>
  <c r="AB158" i="3"/>
  <c r="AB859" i="3"/>
  <c r="AB148" i="3"/>
  <c r="AB787" i="3"/>
  <c r="AB164" i="3"/>
  <c r="Z142" i="3"/>
  <c r="AB146" i="3"/>
  <c r="H1511" i="8"/>
  <c r="J1511" i="8"/>
  <c r="H2207" i="8"/>
  <c r="J2207" i="8"/>
  <c r="H27" i="8"/>
  <c r="J27" i="8"/>
  <c r="H1260" i="8"/>
  <c r="J1260" i="8"/>
  <c r="H334" i="8"/>
  <c r="J334" i="8"/>
  <c r="J336" i="8"/>
  <c r="H476" i="8"/>
  <c r="J476" i="8"/>
  <c r="H1416" i="8"/>
  <c r="J1416" i="8"/>
  <c r="H2135" i="8"/>
  <c r="J2135" i="8"/>
  <c r="J2137" i="8"/>
  <c r="J2132" i="8"/>
  <c r="M285" i="1"/>
  <c r="Q285" i="1"/>
  <c r="H1937" i="8"/>
  <c r="J1937" i="8"/>
  <c r="H1901" i="8"/>
  <c r="J1901" i="8"/>
  <c r="H2219" i="8"/>
  <c r="J2219" i="8"/>
  <c r="H2254" i="8"/>
  <c r="J2254" i="8"/>
  <c r="AB145" i="3"/>
  <c r="AB156" i="3"/>
  <c r="AB847" i="3"/>
  <c r="AB149" i="3"/>
  <c r="H12" i="8"/>
  <c r="J12" i="8"/>
  <c r="H1299" i="8"/>
  <c r="J1299" i="8"/>
  <c r="J1301" i="8"/>
  <c r="H1315" i="8"/>
  <c r="J1315" i="8"/>
  <c r="H379" i="8"/>
  <c r="J379" i="8"/>
  <c r="J381" i="8"/>
  <c r="J376" i="8"/>
  <c r="M52" i="1"/>
  <c r="Q52" i="1"/>
  <c r="H2123" i="8"/>
  <c r="J2123" i="8"/>
  <c r="J140" i="14"/>
  <c r="AB143" i="3"/>
  <c r="H623" i="8"/>
  <c r="J623" i="8"/>
  <c r="H248" i="8"/>
  <c r="J248" i="8"/>
  <c r="AB151" i="3"/>
  <c r="AB794" i="3"/>
  <c r="AB157" i="3"/>
  <c r="AB852" i="3"/>
  <c r="AB147" i="3"/>
  <c r="AB782" i="3"/>
  <c r="AB162" i="3"/>
  <c r="H2032" i="8"/>
  <c r="J2032" i="8"/>
  <c r="H322" i="8"/>
  <c r="J322" i="8"/>
  <c r="H421" i="8"/>
  <c r="J421" i="8"/>
  <c r="H1866" i="8"/>
  <c r="J1866" i="8"/>
  <c r="H1683" i="8"/>
  <c r="J1683" i="8"/>
  <c r="J1685" i="8"/>
  <c r="J1680" i="8"/>
  <c r="M225" i="1"/>
  <c r="Q225" i="1"/>
  <c r="H2241" i="8"/>
  <c r="J2241" i="8"/>
  <c r="AB167" i="3"/>
  <c r="AB886" i="3"/>
  <c r="AB152" i="3"/>
  <c r="AB159" i="3"/>
  <c r="AB861" i="3"/>
  <c r="AB154" i="3"/>
  <c r="AB844" i="3"/>
  <c r="AB170" i="3"/>
  <c r="Z323" i="3"/>
  <c r="AB324" i="3"/>
  <c r="AB824" i="3"/>
  <c r="H1093" i="8"/>
  <c r="J1093" i="8"/>
  <c r="H1102" i="8"/>
  <c r="J1102" i="8"/>
  <c r="H1084" i="8"/>
  <c r="J1084" i="8"/>
  <c r="J337" i="14"/>
  <c r="AB326" i="3"/>
  <c r="AB826" i="3"/>
  <c r="AB325" i="3"/>
  <c r="AB825" i="3"/>
  <c r="AB323" i="3"/>
  <c r="Y273" i="3"/>
  <c r="Y270" i="3"/>
  <c r="Y788" i="3"/>
  <c r="Y269" i="3"/>
  <c r="Y274" i="3"/>
  <c r="AB279" i="3"/>
  <c r="AB276" i="3"/>
  <c r="AB280" i="3"/>
  <c r="H200" i="8"/>
  <c r="J200" i="8"/>
  <c r="H8" i="8"/>
  <c r="J8" i="8"/>
  <c r="H23" i="8"/>
  <c r="J23" i="8"/>
  <c r="H1311" i="8"/>
  <c r="J1311" i="8"/>
  <c r="H472" i="8"/>
  <c r="J472" i="8"/>
  <c r="J285" i="14"/>
  <c r="Z275" i="3"/>
  <c r="AB277" i="3"/>
  <c r="Y308" i="3"/>
  <c r="Y776" i="3"/>
  <c r="H2162" i="8"/>
  <c r="J2162" i="8"/>
  <c r="J456" i="14"/>
  <c r="Z434" i="3"/>
  <c r="L833" i="3"/>
  <c r="Q903" i="3"/>
  <c r="AB639" i="3"/>
  <c r="Z606" i="3"/>
  <c r="AB617" i="3"/>
  <c r="AB620" i="3"/>
  <c r="H103" i="8"/>
  <c r="J103" i="8"/>
  <c r="H111" i="8"/>
  <c r="J111" i="8"/>
  <c r="J113" i="8"/>
  <c r="J108" i="8"/>
  <c r="M16" i="1"/>
  <c r="Q16" i="1"/>
  <c r="H293" i="8"/>
  <c r="J293" i="8"/>
  <c r="J296" i="8"/>
  <c r="H137" i="8"/>
  <c r="J137" i="8"/>
  <c r="H261" i="8"/>
  <c r="J261" i="8"/>
  <c r="AB624" i="3"/>
  <c r="AB627" i="3"/>
  <c r="AB621" i="3"/>
  <c r="H409" i="8"/>
  <c r="J409" i="8"/>
  <c r="H443" i="8"/>
  <c r="J443" i="8"/>
  <c r="H576" i="8"/>
  <c r="J576" i="8"/>
  <c r="H1040" i="8"/>
  <c r="J1040" i="8"/>
  <c r="H1354" i="8"/>
  <c r="J1354" i="8"/>
  <c r="H1368" i="8"/>
  <c r="J1368" i="8"/>
  <c r="H1445" i="8"/>
  <c r="J1445" i="8"/>
  <c r="H1725" i="8"/>
  <c r="J1725" i="8"/>
  <c r="H1888" i="8"/>
  <c r="J1888" i="8"/>
  <c r="H217" i="8"/>
  <c r="J217" i="8"/>
  <c r="H549" i="8"/>
  <c r="J549" i="8"/>
  <c r="H563" i="8"/>
  <c r="J563" i="8"/>
  <c r="H692" i="8"/>
  <c r="J692" i="8"/>
  <c r="H831" i="8"/>
  <c r="J831" i="8"/>
  <c r="H1054" i="8"/>
  <c r="J1054" i="8"/>
  <c r="H1189" i="8"/>
  <c r="J1189" i="8"/>
  <c r="H1270" i="8"/>
  <c r="J1270" i="8"/>
  <c r="H1911" i="8"/>
  <c r="J1911" i="8"/>
  <c r="H881" i="8"/>
  <c r="J881" i="8"/>
  <c r="H1203" i="8"/>
  <c r="J1203" i="8"/>
  <c r="H2288" i="8"/>
  <c r="J2288" i="8"/>
  <c r="H679" i="8"/>
  <c r="J679" i="8"/>
  <c r="H1540" i="8"/>
  <c r="J1540" i="8"/>
  <c r="H665" i="8"/>
  <c r="J665" i="8"/>
  <c r="H847" i="8"/>
  <c r="J847" i="8"/>
  <c r="H939" i="8"/>
  <c r="J939" i="8"/>
  <c r="H1949" i="8"/>
  <c r="J1949" i="8"/>
  <c r="H1553" i="8"/>
  <c r="J1553" i="8"/>
  <c r="H1752" i="8"/>
  <c r="J1752" i="8"/>
  <c r="H2155" i="8"/>
  <c r="J2155" i="8"/>
  <c r="H953" i="8"/>
  <c r="J953" i="8"/>
  <c r="H1739" i="8"/>
  <c r="J1739" i="8"/>
  <c r="H2233" i="8"/>
  <c r="J2233" i="8"/>
  <c r="H867" i="8"/>
  <c r="J867" i="8"/>
  <c r="AB628" i="3"/>
  <c r="AB615" i="3"/>
  <c r="AB795" i="3"/>
  <c r="J647" i="14"/>
  <c r="AB645" i="3"/>
  <c r="AB908" i="3"/>
  <c r="AB622" i="3"/>
  <c r="AB638" i="3"/>
  <c r="AB631" i="3"/>
  <c r="AB610" i="3"/>
  <c r="AB642" i="3"/>
  <c r="AB629" i="3"/>
  <c r="AB853" i="3"/>
  <c r="AB609" i="3"/>
  <c r="AB635" i="3"/>
  <c r="AB616" i="3"/>
  <c r="AB796" i="3"/>
  <c r="AB644" i="3"/>
  <c r="AB619" i="3"/>
  <c r="AB630" i="3"/>
  <c r="AB643" i="3"/>
  <c r="H2339" i="8"/>
  <c r="J2339" i="8"/>
  <c r="H2304" i="8"/>
  <c r="J2304" i="8"/>
  <c r="H2322" i="8"/>
  <c r="J2322" i="8"/>
  <c r="H2357" i="8"/>
  <c r="J2357" i="8"/>
  <c r="AB929" i="3"/>
  <c r="AB927" i="3"/>
  <c r="Z926" i="3"/>
  <c r="AB930" i="3"/>
  <c r="Y963" i="3"/>
  <c r="Y980" i="3"/>
  <c r="Y962" i="3"/>
  <c r="Y960" i="3"/>
  <c r="O484" i="5"/>
  <c r="J1307" i="14"/>
  <c r="O333" i="3"/>
  <c r="J333" i="3"/>
  <c r="AA333" i="3"/>
  <c r="Q333" i="3"/>
  <c r="Y333" i="3"/>
  <c r="AB333" i="3"/>
  <c r="S333" i="3"/>
  <c r="L333" i="3"/>
  <c r="Y443" i="3"/>
  <c r="Y442" i="3"/>
  <c r="Z529" i="3"/>
  <c r="AA530" i="3"/>
  <c r="AA869" i="3"/>
  <c r="AB530" i="3"/>
  <c r="AB869" i="3"/>
  <c r="J557" i="14"/>
  <c r="H2042" i="8"/>
  <c r="J2042" i="8"/>
  <c r="J1425" i="8"/>
  <c r="J1421" i="8"/>
  <c r="P186" i="1"/>
  <c r="T186" i="1"/>
  <c r="G448" i="14"/>
  <c r="H424" i="3"/>
  <c r="G1058" i="14"/>
  <c r="Q782" i="3"/>
  <c r="I12" i="4"/>
  <c r="G968" i="14"/>
  <c r="AA959" i="3"/>
  <c r="J1245" i="8"/>
  <c r="J1243" i="8"/>
  <c r="P163" i="1"/>
  <c r="T163" i="1"/>
  <c r="M30" i="14"/>
  <c r="L30" i="14"/>
  <c r="M347" i="14"/>
  <c r="L1530" i="14"/>
  <c r="M1530" i="14"/>
  <c r="L775" i="14"/>
  <c r="L1446" i="14"/>
  <c r="M718" i="14"/>
  <c r="K709" i="14"/>
  <c r="M710" i="14"/>
  <c r="M711" i="14"/>
  <c r="M724" i="14"/>
  <c r="M714" i="14"/>
  <c r="M723" i="14"/>
  <c r="M712" i="14"/>
  <c r="M719" i="14"/>
  <c r="M721" i="14"/>
  <c r="K458" i="14"/>
  <c r="M459" i="14"/>
  <c r="M458" i="14"/>
  <c r="L1347" i="14"/>
  <c r="M1347" i="14"/>
  <c r="G1346" i="14"/>
  <c r="M1346" i="14"/>
  <c r="AB776" i="3"/>
  <c r="J981" i="8"/>
  <c r="J979" i="8"/>
  <c r="M125" i="1"/>
  <c r="Q125" i="1"/>
  <c r="J918" i="8"/>
  <c r="J916" i="8"/>
  <c r="M115" i="1"/>
  <c r="Q115" i="1"/>
  <c r="J1924" i="8"/>
  <c r="J1920" i="8"/>
  <c r="M252" i="1"/>
  <c r="Q252" i="1"/>
  <c r="J1939" i="8"/>
  <c r="J1934" i="8"/>
  <c r="M255" i="1"/>
  <c r="Q255" i="1"/>
  <c r="AB868" i="3"/>
  <c r="J2125" i="8"/>
  <c r="J2120" i="8"/>
  <c r="M284" i="1"/>
  <c r="Q284" i="1"/>
  <c r="J324" i="8"/>
  <c r="J1643" i="8"/>
  <c r="M218" i="1"/>
  <c r="Q218" i="1"/>
  <c r="J651" i="8"/>
  <c r="M82" i="1"/>
  <c r="Q82" i="1"/>
  <c r="J1468" i="8"/>
  <c r="M191" i="1"/>
  <c r="Q191" i="1"/>
  <c r="J535" i="8"/>
  <c r="M71" i="1"/>
  <c r="Q71" i="1"/>
  <c r="H526" i="3"/>
  <c r="G548" i="14"/>
  <c r="L548" i="14"/>
  <c r="G193" i="5"/>
  <c r="P193" i="5"/>
  <c r="G1397" i="14"/>
  <c r="H299" i="3"/>
  <c r="G310" i="14"/>
  <c r="H237" i="3"/>
  <c r="L237" i="3"/>
  <c r="G247" i="14"/>
  <c r="G83" i="5"/>
  <c r="G1279" i="14"/>
  <c r="L1279" i="14"/>
  <c r="G377" i="5"/>
  <c r="G1606" i="14"/>
  <c r="G274" i="5"/>
  <c r="G1208" i="14"/>
  <c r="M1208" i="14"/>
  <c r="M1641" i="14"/>
  <c r="H168" i="3"/>
  <c r="G1053" i="14"/>
  <c r="L1053" i="14"/>
  <c r="H68" i="3"/>
  <c r="G67" i="14"/>
  <c r="M67" i="14"/>
  <c r="H29" i="3"/>
  <c r="G236" i="14"/>
  <c r="L236" i="14"/>
  <c r="G390" i="5"/>
  <c r="G1094" i="14"/>
  <c r="G325" i="5"/>
  <c r="I325" i="5"/>
  <c r="G1258" i="14"/>
  <c r="H185" i="3"/>
  <c r="G1517" i="14"/>
  <c r="I94" i="4"/>
  <c r="G1050" i="14"/>
  <c r="G166" i="5"/>
  <c r="G1368" i="14"/>
  <c r="L1368" i="14"/>
  <c r="H632" i="3"/>
  <c r="G673" i="14"/>
  <c r="H633" i="3"/>
  <c r="G674" i="14"/>
  <c r="M674" i="14"/>
  <c r="G250" i="5"/>
  <c r="G1456" i="14"/>
  <c r="Q859" i="3"/>
  <c r="J196" i="3"/>
  <c r="Q196" i="3"/>
  <c r="Y196" i="3"/>
  <c r="S196" i="3"/>
  <c r="O196" i="3"/>
  <c r="L196" i="3"/>
  <c r="AB196" i="3"/>
  <c r="AA196" i="3"/>
  <c r="S863" i="3"/>
  <c r="Y279" i="3"/>
  <c r="Y276" i="3"/>
  <c r="Y280" i="3"/>
  <c r="Y429" i="3"/>
  <c r="Y428" i="3"/>
  <c r="AB131" i="3"/>
  <c r="AB288" i="3"/>
  <c r="AB879" i="3"/>
  <c r="J295" i="14"/>
  <c r="H2168" i="8"/>
  <c r="J2168" i="8"/>
  <c r="H2180" i="8"/>
  <c r="J2180" i="8"/>
  <c r="H2052" i="8"/>
  <c r="J2052" i="8"/>
  <c r="Z285" i="3"/>
  <c r="AB287" i="3"/>
  <c r="AB878" i="3"/>
  <c r="AA352" i="3"/>
  <c r="J833" i="3"/>
  <c r="S529" i="3"/>
  <c r="AB529" i="3"/>
  <c r="Y529" i="3"/>
  <c r="J529" i="3"/>
  <c r="L529" i="3"/>
  <c r="Q529" i="3"/>
  <c r="O529" i="3"/>
  <c r="Z604" i="3"/>
  <c r="H1995" i="8"/>
  <c r="J1995" i="8"/>
  <c r="J642" i="14"/>
  <c r="K642" i="14"/>
  <c r="Y347" i="3"/>
  <c r="J347" i="3"/>
  <c r="S347" i="3"/>
  <c r="L347" i="3"/>
  <c r="Y808" i="3"/>
  <c r="Y544" i="3"/>
  <c r="L682" i="3"/>
  <c r="Y682" i="3"/>
  <c r="O682" i="3"/>
  <c r="Q682" i="3"/>
  <c r="AB682" i="3"/>
  <c r="AA682" i="3"/>
  <c r="S682" i="3"/>
  <c r="J682" i="3"/>
  <c r="Z935" i="3"/>
  <c r="H2417" i="8"/>
  <c r="J2417" i="8"/>
  <c r="AB936" i="3"/>
  <c r="AB935" i="3"/>
  <c r="Z952" i="3"/>
  <c r="H2323" i="8"/>
  <c r="J2323" i="8"/>
  <c r="J554" i="14"/>
  <c r="H2358" i="8"/>
  <c r="J2358" i="8"/>
  <c r="Z698" i="3"/>
  <c r="AB699" i="3"/>
  <c r="H2111" i="8"/>
  <c r="J2111" i="8"/>
  <c r="J2110" i="8"/>
  <c r="M282" i="1"/>
  <c r="Q282" i="1"/>
  <c r="J742" i="14"/>
  <c r="AB698" i="3"/>
  <c r="J1308" i="8"/>
  <c r="J1304" i="8"/>
  <c r="P174" i="1"/>
  <c r="T174" i="1"/>
  <c r="Y691" i="3"/>
  <c r="Y692" i="3"/>
  <c r="Y690" i="3"/>
  <c r="Y697" i="3"/>
  <c r="H1524" i="8"/>
  <c r="J1524" i="8"/>
  <c r="AB764" i="3"/>
  <c r="AB850" i="3"/>
  <c r="AB765" i="3"/>
  <c r="J807" i="14"/>
  <c r="Z763" i="3"/>
  <c r="H1631" i="8"/>
  <c r="J1631" i="8"/>
  <c r="AB763" i="3"/>
  <c r="J403" i="8"/>
  <c r="J399" i="8"/>
  <c r="M55" i="1"/>
  <c r="Q55" i="1"/>
  <c r="J509" i="8"/>
  <c r="J504" i="8"/>
  <c r="M68" i="1"/>
  <c r="Q68" i="1"/>
  <c r="AB607" i="3"/>
  <c r="H603" i="3"/>
  <c r="G639" i="14"/>
  <c r="I186" i="4"/>
  <c r="G1142" i="14"/>
  <c r="G309" i="5"/>
  <c r="G1538" i="14"/>
  <c r="L782" i="3"/>
  <c r="Y921" i="3"/>
  <c r="Y975" i="3"/>
  <c r="Y923" i="3"/>
  <c r="Y977" i="3"/>
  <c r="Y925" i="3"/>
  <c r="Y979" i="3"/>
  <c r="Y920" i="3"/>
  <c r="L978" i="3"/>
  <c r="J423" i="8"/>
  <c r="J418" i="8"/>
  <c r="M57" i="1"/>
  <c r="Q57" i="1"/>
  <c r="J1555" i="8"/>
  <c r="J1550" i="8"/>
  <c r="M201" i="1"/>
  <c r="Q201" i="1"/>
  <c r="J1521" i="8"/>
  <c r="J1516" i="8"/>
  <c r="P197" i="1"/>
  <c r="T197" i="1"/>
  <c r="L750" i="14"/>
  <c r="L749" i="14"/>
  <c r="M128" i="14"/>
  <c r="L787" i="14"/>
  <c r="M742" i="14"/>
  <c r="L1458" i="14"/>
  <c r="L1463" i="14"/>
  <c r="L1461" i="14"/>
  <c r="L1440" i="14"/>
  <c r="L1442" i="14"/>
  <c r="L1444" i="14"/>
  <c r="L1448" i="14"/>
  <c r="L1451" i="14"/>
  <c r="L1679" i="14"/>
  <c r="L1450" i="14"/>
  <c r="L1447" i="14"/>
  <c r="L1459" i="14"/>
  <c r="L1460" i="14"/>
  <c r="L1457" i="14"/>
  <c r="L1599" i="14"/>
  <c r="L1449" i="14"/>
  <c r="L1249" i="14"/>
  <c r="L1262" i="14"/>
  <c r="L1250" i="14"/>
  <c r="L1215" i="14"/>
  <c r="L1252" i="14"/>
  <c r="L1681" i="14"/>
  <c r="L1247" i="14"/>
  <c r="L1200" i="14"/>
  <c r="L1199" i="14"/>
  <c r="L1219" i="14"/>
  <c r="L1648" i="14"/>
  <c r="L1203" i="14"/>
  <c r="L1241" i="14"/>
  <c r="L1236" i="14"/>
  <c r="L1213" i="14"/>
  <c r="L1644" i="14"/>
  <c r="L1275" i="14"/>
  <c r="L1253" i="14"/>
  <c r="L1266" i="14"/>
  <c r="L1708" i="14"/>
  <c r="L1221" i="14"/>
  <c r="L1649" i="14"/>
  <c r="L1271" i="14"/>
  <c r="L1227" i="14"/>
  <c r="L1198" i="14"/>
  <c r="L1259" i="14"/>
  <c r="L1691" i="14"/>
  <c r="L1238" i="14"/>
  <c r="L1217" i="14"/>
  <c r="L1243" i="14"/>
  <c r="L1201" i="14"/>
  <c r="L1251" i="14"/>
  <c r="L1680" i="14"/>
  <c r="L1255" i="14"/>
  <c r="L1269" i="14"/>
  <c r="L1233" i="14"/>
  <c r="L1228" i="14"/>
  <c r="L1244" i="14"/>
  <c r="L1270" i="14"/>
  <c r="L1713" i="14"/>
  <c r="AA670" i="3"/>
  <c r="AA679" i="3"/>
  <c r="AA674" i="3"/>
  <c r="AA677" i="3"/>
  <c r="AA667" i="3"/>
  <c r="AA666" i="3"/>
  <c r="AA680" i="3"/>
  <c r="AA668" i="3"/>
  <c r="AA675" i="3"/>
  <c r="AA437" i="3"/>
  <c r="AA436" i="3"/>
  <c r="Q145" i="5"/>
  <c r="Q401" i="5"/>
  <c r="P145" i="5"/>
  <c r="G144" i="5"/>
  <c r="I145" i="5"/>
  <c r="I401" i="5"/>
  <c r="L145" i="5"/>
  <c r="L401" i="5"/>
  <c r="AA968" i="3"/>
  <c r="M760" i="14"/>
  <c r="M764" i="14"/>
  <c r="K760" i="14"/>
  <c r="M763" i="14"/>
  <c r="M761" i="14"/>
  <c r="M762" i="14"/>
  <c r="K6" i="14"/>
  <c r="AA125" i="3"/>
  <c r="J1418" i="8"/>
  <c r="K52" i="14"/>
  <c r="M59" i="14"/>
  <c r="M63" i="14"/>
  <c r="M73" i="14"/>
  <c r="M79" i="14"/>
  <c r="M83" i="14"/>
  <c r="M87" i="14"/>
  <c r="M95" i="14"/>
  <c r="M947" i="14"/>
  <c r="M88" i="14"/>
  <c r="M54" i="14"/>
  <c r="M62" i="14"/>
  <c r="M74" i="14"/>
  <c r="M94" i="14"/>
  <c r="M75" i="14"/>
  <c r="M53" i="14"/>
  <c r="M76" i="14"/>
  <c r="M896" i="14"/>
  <c r="M80" i="14"/>
  <c r="M56" i="14"/>
  <c r="M86" i="14"/>
  <c r="M98" i="14"/>
  <c r="M55" i="14"/>
  <c r="M65" i="14"/>
  <c r="M71" i="14"/>
  <c r="M889" i="14"/>
  <c r="M77" i="14"/>
  <c r="M81" i="14"/>
  <c r="M85" i="14"/>
  <c r="M93" i="14"/>
  <c r="M97" i="14"/>
  <c r="M68" i="14"/>
  <c r="M58" i="14"/>
  <c r="M829" i="14"/>
  <c r="M78" i="14"/>
  <c r="M90" i="14"/>
  <c r="M60" i="14"/>
  <c r="M57" i="14"/>
  <c r="M96" i="14"/>
  <c r="M64" i="14"/>
  <c r="M61" i="14"/>
  <c r="J1500" i="8"/>
  <c r="J1494" i="8"/>
  <c r="M196" i="1"/>
  <c r="Q196" i="1"/>
  <c r="AB778" i="3"/>
  <c r="J61" i="8"/>
  <c r="M11" i="1"/>
  <c r="Q11" i="1"/>
  <c r="M234" i="14"/>
  <c r="M266" i="14"/>
  <c r="M237" i="14"/>
  <c r="M256" i="14"/>
  <c r="M252" i="14"/>
  <c r="M233" i="14"/>
  <c r="M268" i="14"/>
  <c r="M255" i="14"/>
  <c r="M242" i="14"/>
  <c r="M261" i="14"/>
  <c r="M235" i="14"/>
  <c r="M264" i="14"/>
  <c r="K231" i="14"/>
  <c r="M263" i="14"/>
  <c r="M265" i="14"/>
  <c r="M232" i="14"/>
  <c r="M244" i="14"/>
  <c r="M241" i="14"/>
  <c r="M267" i="14"/>
  <c r="M253" i="14"/>
  <c r="M260" i="14"/>
  <c r="J71" i="8"/>
  <c r="M12" i="1"/>
  <c r="Q12" i="1"/>
  <c r="J279" i="8"/>
  <c r="M37" i="1"/>
  <c r="Q37" i="1"/>
  <c r="L1234" i="14"/>
  <c r="L1272" i="14"/>
  <c r="G194" i="5"/>
  <c r="G1398" i="14"/>
  <c r="M1398" i="14"/>
  <c r="H693" i="3"/>
  <c r="G737" i="14"/>
  <c r="Q166" i="1"/>
  <c r="R166" i="1"/>
  <c r="F1251" i="2"/>
  <c r="S166" i="1"/>
  <c r="T166" i="1"/>
  <c r="G16" i="5"/>
  <c r="G1207" i="14"/>
  <c r="G77" i="5"/>
  <c r="G1268" i="14"/>
  <c r="G136" i="5"/>
  <c r="G1338" i="14"/>
  <c r="H272" i="3"/>
  <c r="G282" i="14"/>
  <c r="H394" i="3"/>
  <c r="G410" i="14"/>
  <c r="G63" i="5"/>
  <c r="G1254" i="14"/>
  <c r="I64" i="4"/>
  <c r="G1020" i="14"/>
  <c r="G283" i="5"/>
  <c r="G1500" i="14"/>
  <c r="H153" i="3"/>
  <c r="G151" i="14"/>
  <c r="H368" i="3"/>
  <c r="G384" i="14"/>
  <c r="H673" i="3"/>
  <c r="G717" i="14"/>
  <c r="G346" i="5"/>
  <c r="G1575" i="14"/>
  <c r="H16" i="3"/>
  <c r="G14" i="14"/>
  <c r="I51" i="4"/>
  <c r="G1007" i="14"/>
  <c r="G386" i="5"/>
  <c r="G1621" i="14"/>
  <c r="G110" i="5"/>
  <c r="G1306" i="14"/>
  <c r="G31" i="5"/>
  <c r="G1222" i="14"/>
  <c r="G33" i="5"/>
  <c r="G1224" i="14"/>
  <c r="G99" i="5"/>
  <c r="G1295" i="14"/>
  <c r="G271" i="5"/>
  <c r="G1477" i="14"/>
  <c r="G246" i="5"/>
  <c r="G1452" i="14"/>
  <c r="I171" i="4"/>
  <c r="G1127" i="14"/>
  <c r="G116" i="5"/>
  <c r="G1314" i="14"/>
  <c r="H312" i="3"/>
  <c r="G323" i="14"/>
  <c r="I93" i="4"/>
  <c r="G1049" i="14"/>
  <c r="G522" i="5"/>
  <c r="G1614" i="14"/>
  <c r="G139" i="5"/>
  <c r="G1341" i="14"/>
  <c r="Z38" i="3"/>
  <c r="J36" i="14"/>
  <c r="H1081" i="8"/>
  <c r="J1081" i="8"/>
  <c r="J1080" i="8"/>
  <c r="M141" i="1"/>
  <c r="Q141" i="1"/>
  <c r="AB39" i="3"/>
  <c r="AB38" i="3"/>
  <c r="AA33" i="3"/>
  <c r="AA32" i="3"/>
  <c r="G357" i="5"/>
  <c r="G1586" i="14"/>
  <c r="H302" i="3"/>
  <c r="G313" i="14"/>
  <c r="H588" i="3"/>
  <c r="G621" i="14"/>
  <c r="I34" i="4"/>
  <c r="G990" i="14"/>
  <c r="L266" i="3"/>
  <c r="Y266" i="3"/>
  <c r="Q266" i="3"/>
  <c r="J266" i="3"/>
  <c r="O266" i="3"/>
  <c r="S266" i="3"/>
  <c r="AB266" i="3"/>
  <c r="AA266" i="3"/>
  <c r="Z327" i="3"/>
  <c r="H1239" i="8"/>
  <c r="J1239" i="8"/>
  <c r="H1248" i="8"/>
  <c r="J1248" i="8"/>
  <c r="J341" i="14"/>
  <c r="M341" i="14"/>
  <c r="H1230" i="8"/>
  <c r="J1230" i="8"/>
  <c r="AB328" i="3"/>
  <c r="AB838" i="3"/>
  <c r="AB329" i="3"/>
  <c r="AB839" i="3"/>
  <c r="AB327" i="3"/>
  <c r="AB330" i="3"/>
  <c r="AB840" i="3"/>
  <c r="Z347" i="3"/>
  <c r="AA348" i="3"/>
  <c r="H309" i="8"/>
  <c r="J309" i="8"/>
  <c r="J308" i="8"/>
  <c r="M41" i="1"/>
  <c r="Q41" i="1"/>
  <c r="J363" i="14"/>
  <c r="Y35" i="3"/>
  <c r="AB269" i="3"/>
  <c r="AB773" i="3"/>
  <c r="J879" i="3"/>
  <c r="AB348" i="3"/>
  <c r="H1979" i="8"/>
  <c r="J1979" i="8"/>
  <c r="J454" i="14"/>
  <c r="Z432" i="3"/>
  <c r="Q821" i="3"/>
  <c r="O897" i="3"/>
  <c r="O903" i="3"/>
  <c r="Z939" i="3"/>
  <c r="H2416" i="8"/>
  <c r="J2416" i="8"/>
  <c r="J361" i="14"/>
  <c r="AA346" i="3"/>
  <c r="Z648" i="3"/>
  <c r="J692" i="14"/>
  <c r="H1116" i="8"/>
  <c r="J1116" i="8"/>
  <c r="AB649" i="3"/>
  <c r="J1548" i="8"/>
  <c r="J1545" i="8"/>
  <c r="P200" i="1"/>
  <c r="T200" i="1"/>
  <c r="J219" i="8"/>
  <c r="Y763" i="3"/>
  <c r="Y765" i="3"/>
  <c r="J451" i="8"/>
  <c r="J448" i="8"/>
  <c r="P59" i="1"/>
  <c r="T59" i="1"/>
  <c r="Q767" i="3"/>
  <c r="H546" i="3"/>
  <c r="G579" i="14"/>
  <c r="H664" i="3"/>
  <c r="G708" i="14"/>
  <c r="G235" i="5"/>
  <c r="G1441" i="14"/>
  <c r="G314" i="5"/>
  <c r="G1543" i="14"/>
  <c r="P230" i="4"/>
  <c r="O230" i="4"/>
  <c r="K230" i="4"/>
  <c r="H68" i="8"/>
  <c r="J68" i="8"/>
  <c r="J67" i="8"/>
  <c r="P11" i="1"/>
  <c r="T11" i="1"/>
  <c r="H88" i="8"/>
  <c r="J88" i="8"/>
  <c r="J87" i="8"/>
  <c r="P13" i="1"/>
  <c r="T13" i="1"/>
  <c r="H468" i="8"/>
  <c r="J468" i="8"/>
  <c r="J467" i="8"/>
  <c r="P61" i="1"/>
  <c r="T61" i="1"/>
  <c r="H1381" i="8"/>
  <c r="J1381" i="8"/>
  <c r="J1379" i="8"/>
  <c r="P181" i="1"/>
  <c r="T181" i="1"/>
  <c r="H1401" i="8"/>
  <c r="J1401" i="8"/>
  <c r="J1400" i="8"/>
  <c r="P183" i="1"/>
  <c r="T183" i="1"/>
  <c r="H1569" i="8"/>
  <c r="J1569" i="8"/>
  <c r="H1650" i="8"/>
  <c r="J1650" i="8"/>
  <c r="J1649" i="8"/>
  <c r="P218" i="1"/>
  <c r="T218" i="1"/>
  <c r="H1668" i="8"/>
  <c r="J1668" i="8"/>
  <c r="J1667" i="8"/>
  <c r="P221" i="1"/>
  <c r="T221" i="1"/>
  <c r="H459" i="8"/>
  <c r="J459" i="8"/>
  <c r="J458" i="8"/>
  <c r="P60" i="1"/>
  <c r="T60" i="1"/>
  <c r="H1659" i="8"/>
  <c r="J1659" i="8"/>
  <c r="J1658" i="8"/>
  <c r="P220" i="1"/>
  <c r="T220" i="1"/>
  <c r="H1974" i="8"/>
  <c r="J1974" i="8"/>
  <c r="J1973" i="8"/>
  <c r="P258" i="1"/>
  <c r="T258" i="1"/>
  <c r="H1392" i="8"/>
  <c r="J1392" i="8"/>
  <c r="J1390" i="8"/>
  <c r="P182" i="1"/>
  <c r="T182" i="1"/>
  <c r="H1965" i="8"/>
  <c r="J1965" i="8"/>
  <c r="J1964" i="8"/>
  <c r="P257" i="1"/>
  <c r="T257" i="1"/>
  <c r="H1591" i="8"/>
  <c r="J1591" i="8"/>
  <c r="J1589" i="8"/>
  <c r="P206" i="1"/>
  <c r="T206" i="1"/>
  <c r="H1410" i="8"/>
  <c r="J1410" i="8"/>
  <c r="J1409" i="8"/>
  <c r="P184" i="1"/>
  <c r="T184" i="1"/>
  <c r="H1718" i="8"/>
  <c r="J1718" i="8"/>
  <c r="J1717" i="8"/>
  <c r="P228" i="1"/>
  <c r="T228" i="1"/>
  <c r="H78" i="8"/>
  <c r="J78" i="8"/>
  <c r="J77" i="8"/>
  <c r="P12" i="1"/>
  <c r="T12" i="1"/>
  <c r="T308" i="1"/>
  <c r="D12" i="6"/>
  <c r="D11" i="6"/>
  <c r="H1581" i="8"/>
  <c r="J1581" i="8"/>
  <c r="H1612" i="8"/>
  <c r="J1612" i="8"/>
  <c r="J1610" i="8"/>
  <c r="P210" i="1"/>
  <c r="T210" i="1"/>
  <c r="H162" i="8"/>
  <c r="J162" i="8"/>
  <c r="J161" i="8"/>
  <c r="P22" i="1"/>
  <c r="T22" i="1"/>
  <c r="H277" i="8"/>
  <c r="J277" i="8"/>
  <c r="J276" i="8"/>
  <c r="P36" i="1"/>
  <c r="T36" i="1"/>
  <c r="O184" i="5"/>
  <c r="H639" i="8"/>
  <c r="J639" i="8"/>
  <c r="J638" i="8"/>
  <c r="P80" i="1"/>
  <c r="T80" i="1"/>
  <c r="Q217" i="5"/>
  <c r="Q195" i="5"/>
  <c r="J1388" i="14"/>
  <c r="H98" i="8"/>
  <c r="J98" i="8"/>
  <c r="J97" i="8"/>
  <c r="P14" i="1"/>
  <c r="T14" i="1"/>
  <c r="H286" i="8"/>
  <c r="J286" i="8"/>
  <c r="J285" i="8"/>
  <c r="P37" i="1"/>
  <c r="T37" i="1"/>
  <c r="H658" i="8"/>
  <c r="J658" i="8"/>
  <c r="J657" i="8"/>
  <c r="P82" i="1"/>
  <c r="T82" i="1"/>
  <c r="H172" i="8"/>
  <c r="J172" i="8"/>
  <c r="J171" i="8"/>
  <c r="P24" i="1"/>
  <c r="T24" i="1"/>
  <c r="H648" i="8"/>
  <c r="J648" i="8"/>
  <c r="J647" i="8"/>
  <c r="P81" i="1"/>
  <c r="T81" i="1"/>
  <c r="Q219" i="5"/>
  <c r="H1708" i="8"/>
  <c r="J1708" i="8"/>
  <c r="J1707" i="8"/>
  <c r="P227" i="1"/>
  <c r="T227" i="1"/>
  <c r="H153" i="8"/>
  <c r="J153" i="8"/>
  <c r="J152" i="8"/>
  <c r="P20" i="1"/>
  <c r="T20" i="1"/>
  <c r="H822" i="8"/>
  <c r="J822" i="8"/>
  <c r="J821" i="8"/>
  <c r="P101" i="1"/>
  <c r="T101" i="1"/>
  <c r="H1476" i="8"/>
  <c r="J1476" i="8"/>
  <c r="J1474" i="8"/>
  <c r="P191" i="1"/>
  <c r="T191" i="1"/>
  <c r="H840" i="8"/>
  <c r="J840" i="8"/>
  <c r="J841" i="8"/>
  <c r="J836" i="8"/>
  <c r="P104" i="1"/>
  <c r="T104" i="1"/>
  <c r="H1699" i="8"/>
  <c r="J1699" i="8"/>
  <c r="J1698" i="8"/>
  <c r="P226" i="1"/>
  <c r="T226" i="1"/>
  <c r="H242" i="8"/>
  <c r="J242" i="8"/>
  <c r="J241" i="8"/>
  <c r="P33" i="1"/>
  <c r="T33" i="1"/>
  <c r="H1465" i="8"/>
  <c r="J1465" i="8"/>
  <c r="J1463" i="8"/>
  <c r="P190" i="1"/>
  <c r="T190" i="1"/>
  <c r="Q191" i="5"/>
  <c r="H2269" i="8"/>
  <c r="J2269" i="8"/>
  <c r="J2268" i="8"/>
  <c r="P302" i="1"/>
  <c r="T302" i="1"/>
  <c r="H542" i="8"/>
  <c r="J542" i="8"/>
  <c r="J541" i="8"/>
  <c r="P71" i="1"/>
  <c r="T71" i="1"/>
  <c r="H532" i="8"/>
  <c r="J532" i="8"/>
  <c r="J531" i="8"/>
  <c r="P70" i="1"/>
  <c r="T70" i="1"/>
  <c r="H1601" i="8"/>
  <c r="J1601" i="8"/>
  <c r="J1599" i="8"/>
  <c r="P208" i="1"/>
  <c r="T208" i="1"/>
  <c r="H233" i="8"/>
  <c r="J233" i="8"/>
  <c r="J232" i="8"/>
  <c r="P32" i="1"/>
  <c r="T32" i="1"/>
  <c r="H523" i="8"/>
  <c r="J523" i="8"/>
  <c r="J522" i="8"/>
  <c r="P69" i="1"/>
  <c r="T69" i="1"/>
  <c r="Q218" i="5"/>
  <c r="Q213" i="5"/>
  <c r="Q215" i="5"/>
  <c r="Q224" i="5"/>
  <c r="Q223" i="5"/>
  <c r="Q205" i="5"/>
  <c r="Q222" i="5"/>
  <c r="Q198" i="5"/>
  <c r="Q220" i="5"/>
  <c r="Q214" i="5"/>
  <c r="Q203" i="5"/>
  <c r="Q206" i="5"/>
  <c r="Q190" i="5"/>
  <c r="Q221" i="5"/>
  <c r="Q207" i="5"/>
  <c r="Q186" i="5"/>
  <c r="Q187" i="5"/>
  <c r="Q210" i="5"/>
  <c r="Q200" i="5"/>
  <c r="Q188" i="5"/>
  <c r="Q185" i="5"/>
  <c r="Q225" i="5"/>
  <c r="Q189" i="5"/>
  <c r="J1741" i="8"/>
  <c r="J1737" i="8"/>
  <c r="M230" i="1"/>
  <c r="Q230" i="1"/>
  <c r="J1691" i="8"/>
  <c r="J1688" i="8"/>
  <c r="P225" i="1"/>
  <c r="T225" i="1"/>
  <c r="J1211" i="8"/>
  <c r="J1207" i="8"/>
  <c r="M160" i="1"/>
  <c r="Q160" i="1"/>
  <c r="J1604" i="8"/>
  <c r="M210" i="1"/>
  <c r="Q210" i="1"/>
  <c r="J1957" i="8"/>
  <c r="J1954" i="8"/>
  <c r="P256" i="1"/>
  <c r="T256" i="1"/>
  <c r="J2318" i="8"/>
  <c r="J2319" i="8"/>
  <c r="J2314" i="8"/>
  <c r="P316" i="1"/>
  <c r="T316" i="1"/>
  <c r="J2353" i="8"/>
  <c r="J2354" i="8"/>
  <c r="J2349" i="8"/>
  <c r="P318" i="1"/>
  <c r="T318" i="1"/>
  <c r="L332" i="14"/>
  <c r="L329" i="14"/>
  <c r="L1598" i="14"/>
  <c r="L1597" i="14"/>
  <c r="L1595" i="14"/>
  <c r="L1602" i="14"/>
  <c r="L1590" i="14"/>
  <c r="L559" i="14"/>
  <c r="M559" i="14"/>
  <c r="J791" i="8"/>
  <c r="P98" i="1"/>
  <c r="T98" i="1"/>
  <c r="J1168" i="8"/>
  <c r="J1164" i="8"/>
  <c r="M154" i="1"/>
  <c r="Q154" i="1"/>
  <c r="M118" i="14"/>
  <c r="M859" i="14"/>
  <c r="M119" i="14"/>
  <c r="M860" i="14"/>
  <c r="K115" i="14"/>
  <c r="M117" i="14"/>
  <c r="M856" i="14"/>
  <c r="M121" i="14"/>
  <c r="M872" i="14"/>
  <c r="M116" i="14"/>
  <c r="M855" i="14"/>
  <c r="J250" i="8"/>
  <c r="J245" i="8"/>
  <c r="M34" i="1"/>
  <c r="Q34" i="1"/>
  <c r="AA76" i="3"/>
  <c r="AA85" i="3"/>
  <c r="AA63" i="3"/>
  <c r="AA100" i="3"/>
  <c r="AA66" i="3"/>
  <c r="AA61" i="3"/>
  <c r="AA82" i="3"/>
  <c r="AA67" i="3"/>
  <c r="AA56" i="3"/>
  <c r="AA88" i="3"/>
  <c r="AA96" i="3"/>
  <c r="AA55" i="3"/>
  <c r="AA70" i="3"/>
  <c r="AA73" i="3"/>
  <c r="AA64" i="3"/>
  <c r="AA89" i="3"/>
  <c r="AA62" i="3"/>
  <c r="AA98" i="3"/>
  <c r="AA83" i="3"/>
  <c r="AA57" i="3"/>
  <c r="AA77" i="3"/>
  <c r="AA99" i="3"/>
  <c r="AA97" i="3"/>
  <c r="AA79" i="3"/>
  <c r="AA78" i="3"/>
  <c r="AA65" i="3"/>
  <c r="AA81" i="3"/>
  <c r="AA58" i="3"/>
  <c r="AA80" i="3"/>
  <c r="AA59" i="3"/>
  <c r="AA95" i="3"/>
  <c r="AA75" i="3"/>
  <c r="AA846" i="3"/>
  <c r="AA87" i="3"/>
  <c r="AA92" i="3"/>
  <c r="AA60" i="3"/>
  <c r="AA785" i="3"/>
  <c r="AA90" i="3"/>
  <c r="J525" i="8"/>
  <c r="M70" i="1"/>
  <c r="Q70" i="1"/>
  <c r="J1403" i="8"/>
  <c r="M184" i="1"/>
  <c r="Q184" i="1"/>
  <c r="AA227" i="3"/>
  <c r="AA222" i="3"/>
  <c r="AA243" i="3"/>
  <c r="AA231" i="3"/>
  <c r="AA251" i="3"/>
  <c r="AA255" i="3"/>
  <c r="AA256" i="3"/>
  <c r="AA250" i="3"/>
  <c r="AA223" i="3"/>
  <c r="AA225" i="3"/>
  <c r="AA253" i="3"/>
  <c r="AA245" i="3"/>
  <c r="AA242" i="3"/>
  <c r="AA258" i="3"/>
  <c r="AA224" i="3"/>
  <c r="AA246" i="3"/>
  <c r="AA232" i="3"/>
  <c r="AA254" i="3"/>
  <c r="AA257" i="3"/>
  <c r="AA230" i="3"/>
  <c r="AA234" i="3"/>
  <c r="J319" i="8"/>
  <c r="M43" i="1"/>
  <c r="Q43" i="1"/>
  <c r="J1413" i="8"/>
  <c r="M186" i="1"/>
  <c r="Q186" i="1"/>
  <c r="AB899" i="3"/>
  <c r="AA300" i="3"/>
  <c r="AA303" i="3"/>
  <c r="AA301" i="3"/>
  <c r="AA296" i="3"/>
  <c r="AA304" i="3"/>
  <c r="L71" i="5"/>
  <c r="I71" i="5"/>
  <c r="Q71" i="5"/>
  <c r="P71" i="5"/>
  <c r="I78" i="4"/>
  <c r="G1034" i="14"/>
  <c r="H506" i="3"/>
  <c r="G528" i="14"/>
  <c r="G345" i="5"/>
  <c r="G1574" i="14"/>
  <c r="H656" i="3"/>
  <c r="G700" i="14"/>
  <c r="P214" i="4"/>
  <c r="K214" i="4"/>
  <c r="O214" i="4"/>
  <c r="I88" i="5"/>
  <c r="I421" i="5"/>
  <c r="L88" i="5"/>
  <c r="L421" i="5"/>
  <c r="Q88" i="5"/>
  <c r="Q421" i="5"/>
  <c r="P88" i="5"/>
  <c r="P421" i="5"/>
  <c r="Q536" i="3"/>
  <c r="L536" i="3"/>
  <c r="S536" i="3"/>
  <c r="AB536" i="3"/>
  <c r="O536" i="3"/>
  <c r="J536" i="3"/>
  <c r="AA536" i="3"/>
  <c r="Y536" i="3"/>
  <c r="H535" i="3"/>
  <c r="J610" i="3"/>
  <c r="O610" i="3"/>
  <c r="Q610" i="3"/>
  <c r="Y610" i="3"/>
  <c r="L610" i="3"/>
  <c r="S610" i="3"/>
  <c r="AA476" i="3"/>
  <c r="AB476" i="3"/>
  <c r="L476" i="3"/>
  <c r="S476" i="3"/>
  <c r="O476" i="3"/>
  <c r="Y476" i="3"/>
  <c r="J476" i="3"/>
  <c r="Q476" i="3"/>
  <c r="G19" i="5"/>
  <c r="G1210" i="14"/>
  <c r="M1072" i="14"/>
  <c r="G1471" i="14"/>
  <c r="M218" i="14"/>
  <c r="L218" i="14"/>
  <c r="O751" i="3"/>
  <c r="O881" i="3"/>
  <c r="Q751" i="3"/>
  <c r="L751" i="3"/>
  <c r="J751" i="3"/>
  <c r="O15" i="4"/>
  <c r="G132" i="5"/>
  <c r="G254" i="14"/>
  <c r="M254" i="14"/>
  <c r="H613" i="3"/>
  <c r="G654" i="14"/>
  <c r="L654" i="14"/>
  <c r="M1359" i="14"/>
  <c r="L1359" i="14"/>
  <c r="K227" i="14"/>
  <c r="I509" i="5"/>
  <c r="Q509" i="5"/>
  <c r="L388" i="5"/>
  <c r="P388" i="5"/>
  <c r="L298" i="5"/>
  <c r="G297" i="5"/>
  <c r="Q560" i="3"/>
  <c r="O560" i="3"/>
  <c r="S560" i="3"/>
  <c r="G180" i="5"/>
  <c r="G216" i="14"/>
  <c r="Q634" i="3"/>
  <c r="J634" i="3"/>
  <c r="O634" i="3"/>
  <c r="I353" i="5"/>
  <c r="Q353" i="5"/>
  <c r="G219" i="14"/>
  <c r="L1433" i="14"/>
  <c r="M758" i="14"/>
  <c r="M875" i="14"/>
  <c r="L758" i="14"/>
  <c r="L875" i="14"/>
  <c r="J1617" i="8"/>
  <c r="J1615" i="8"/>
  <c r="M213" i="1"/>
  <c r="Q213" i="1"/>
  <c r="M1135" i="14"/>
  <c r="I165" i="4"/>
  <c r="K165" i="4"/>
  <c r="M1016" i="14"/>
  <c r="L1012" i="14"/>
  <c r="M1012" i="14"/>
  <c r="L1090" i="14"/>
  <c r="M1090" i="14"/>
  <c r="K193" i="4"/>
  <c r="P13" i="4"/>
  <c r="O13" i="4"/>
  <c r="J578" i="3"/>
  <c r="L578" i="3"/>
  <c r="Y578" i="3"/>
  <c r="K180" i="14"/>
  <c r="M182" i="14"/>
  <c r="L403" i="14"/>
  <c r="M403" i="14"/>
  <c r="M1565" i="14"/>
  <c r="L1565" i="14"/>
  <c r="H672" i="3"/>
  <c r="G716" i="14"/>
  <c r="M716" i="14"/>
  <c r="L1246" i="14"/>
  <c r="M1246" i="14"/>
  <c r="K931" i="2"/>
  <c r="L933" i="2"/>
  <c r="J719" i="8"/>
  <c r="J716" i="8"/>
  <c r="M87" i="1"/>
  <c r="Q87" i="1"/>
  <c r="K365" i="14"/>
  <c r="M367" i="14"/>
  <c r="M368" i="14"/>
  <c r="J346" i="8"/>
  <c r="J343" i="8"/>
  <c r="M45" i="1"/>
  <c r="Q45" i="1"/>
  <c r="M346" i="14"/>
  <c r="M345" i="14"/>
  <c r="K345" i="14"/>
  <c r="O26" i="4"/>
  <c r="K26" i="4"/>
  <c r="P26" i="4"/>
  <c r="L337" i="5"/>
  <c r="P337" i="5"/>
  <c r="I95" i="4"/>
  <c r="L1562" i="14"/>
  <c r="M1562" i="14"/>
  <c r="M1282" i="14"/>
  <c r="M1656" i="14"/>
  <c r="L1282" i="14"/>
  <c r="L1656" i="14"/>
  <c r="G1281" i="14"/>
  <c r="M1281" i="14"/>
  <c r="K202" i="14"/>
  <c r="M203" i="14"/>
  <c r="M202" i="14"/>
  <c r="O213" i="4"/>
  <c r="K213" i="4"/>
  <c r="P213" i="4"/>
  <c r="P90" i="4"/>
  <c r="K90" i="4"/>
  <c r="O90" i="4"/>
  <c r="L216" i="3"/>
  <c r="Q216" i="3"/>
  <c r="Y216" i="3"/>
  <c r="J216" i="3"/>
  <c r="O216" i="3"/>
  <c r="S216" i="3"/>
  <c r="AB216" i="3"/>
  <c r="AA216" i="3"/>
  <c r="I141" i="5"/>
  <c r="I429" i="5"/>
  <c r="L141" i="5"/>
  <c r="L429" i="5"/>
  <c r="Q141" i="5"/>
  <c r="Q429" i="5"/>
  <c r="P141" i="5"/>
  <c r="P429" i="5"/>
  <c r="AA347" i="3"/>
  <c r="J1199" i="8"/>
  <c r="M158" i="1"/>
  <c r="Q158" i="1"/>
  <c r="K326" i="14"/>
  <c r="M327" i="14"/>
  <c r="M326" i="14"/>
  <c r="M1583" i="14"/>
  <c r="L1583" i="14"/>
  <c r="G389" i="14"/>
  <c r="M389" i="14"/>
  <c r="I159" i="4"/>
  <c r="P159" i="4"/>
  <c r="M1497" i="14"/>
  <c r="M1104" i="14"/>
  <c r="G196" i="5"/>
  <c r="K107" i="14"/>
  <c r="M107" i="14"/>
  <c r="M108" i="14"/>
  <c r="M845" i="14"/>
  <c r="K116" i="4"/>
  <c r="O116" i="4"/>
  <c r="P116" i="4"/>
  <c r="G265" i="5"/>
  <c r="P266" i="5"/>
  <c r="I266" i="5"/>
  <c r="L266" i="5"/>
  <c r="Q266" i="5"/>
  <c r="AB214" i="3"/>
  <c r="J214" i="3"/>
  <c r="Y214" i="3"/>
  <c r="O214" i="3"/>
  <c r="AA214" i="3"/>
  <c r="L214" i="3"/>
  <c r="S214" i="3"/>
  <c r="Q214" i="3"/>
  <c r="K170" i="14"/>
  <c r="M171" i="14"/>
  <c r="M173" i="14"/>
  <c r="M174" i="14"/>
  <c r="L1618" i="14"/>
  <c r="G1117" i="14"/>
  <c r="I161" i="4"/>
  <c r="O161" i="4"/>
  <c r="H500" i="3"/>
  <c r="G522" i="14"/>
  <c r="G21" i="5"/>
  <c r="G1212" i="14"/>
  <c r="L1212" i="14"/>
  <c r="H202" i="3"/>
  <c r="G206" i="14"/>
  <c r="J494" i="3"/>
  <c r="L494" i="3"/>
  <c r="O494" i="3"/>
  <c r="Q494" i="3"/>
  <c r="S494" i="3"/>
  <c r="AA494" i="3"/>
  <c r="AB494" i="3"/>
  <c r="Y494" i="3"/>
  <c r="I157" i="5"/>
  <c r="L157" i="5"/>
  <c r="P157" i="5"/>
  <c r="Q157" i="5"/>
  <c r="L460" i="14"/>
  <c r="L461" i="14"/>
  <c r="AA548" i="3"/>
  <c r="AA547" i="3"/>
  <c r="M277" i="14"/>
  <c r="M276" i="14"/>
  <c r="K276" i="14"/>
  <c r="Y640" i="3"/>
  <c r="L360" i="14"/>
  <c r="M360" i="14"/>
  <c r="M1057" i="14"/>
  <c r="L1057" i="14"/>
  <c r="H485" i="3"/>
  <c r="G507" i="14"/>
  <c r="G303" i="14"/>
  <c r="L304" i="14"/>
  <c r="L895" i="14"/>
  <c r="M304" i="14"/>
  <c r="M895" i="14"/>
  <c r="H493" i="3"/>
  <c r="G515" i="14"/>
  <c r="H416" i="3"/>
  <c r="G432" i="14"/>
  <c r="S87" i="3"/>
  <c r="J87" i="3"/>
  <c r="L87" i="3"/>
  <c r="O87" i="3"/>
  <c r="Q87" i="3"/>
  <c r="AB87" i="3"/>
  <c r="Y87" i="3"/>
  <c r="L227" i="5"/>
  <c r="P227" i="5"/>
  <c r="I227" i="5"/>
  <c r="Q227" i="5"/>
  <c r="J674" i="3"/>
  <c r="O674" i="3"/>
  <c r="Q674" i="3"/>
  <c r="S674" i="3"/>
  <c r="L674" i="3"/>
  <c r="AB674" i="3"/>
  <c r="Y674" i="3"/>
  <c r="J714" i="3"/>
  <c r="J831" i="3"/>
  <c r="L714" i="3"/>
  <c r="L831" i="3"/>
  <c r="O714" i="3"/>
  <c r="O831" i="3"/>
  <c r="Q714" i="3"/>
  <c r="Q831" i="3"/>
  <c r="S714" i="3"/>
  <c r="S831" i="3"/>
  <c r="Y714" i="3"/>
  <c r="Y831" i="3"/>
  <c r="AB714" i="3"/>
  <c r="AB831" i="3"/>
  <c r="AA714" i="3"/>
  <c r="AA831" i="3"/>
  <c r="I191" i="5"/>
  <c r="L191" i="5"/>
  <c r="P179" i="4"/>
  <c r="O179" i="4"/>
  <c r="K179" i="4"/>
  <c r="Q595" i="3"/>
  <c r="S595" i="3"/>
  <c r="O595" i="3"/>
  <c r="L595" i="3"/>
  <c r="Y595" i="3"/>
  <c r="J595" i="3"/>
  <c r="G54" i="5"/>
  <c r="G1245" i="14"/>
  <c r="G130" i="5"/>
  <c r="G1332" i="14"/>
  <c r="H240" i="3"/>
  <c r="G250" i="14"/>
  <c r="M250" i="14"/>
  <c r="P60" i="4"/>
  <c r="K60" i="4"/>
  <c r="O60" i="4"/>
  <c r="O56" i="4"/>
  <c r="K134" i="4"/>
  <c r="O134" i="4"/>
  <c r="P134" i="4"/>
  <c r="I224" i="4"/>
  <c r="K224" i="4"/>
  <c r="G1180" i="14"/>
  <c r="L1180" i="14"/>
  <c r="H562" i="3"/>
  <c r="G595" i="14"/>
  <c r="H203" i="3"/>
  <c r="G207" i="14"/>
  <c r="M207" i="14"/>
  <c r="G15" i="5"/>
  <c r="G1206" i="14"/>
  <c r="M1366" i="14"/>
  <c r="M1651" i="14"/>
  <c r="L1366" i="14"/>
  <c r="L1651" i="14"/>
  <c r="AB387" i="3"/>
  <c r="J387" i="3"/>
  <c r="AA387" i="3"/>
  <c r="O387" i="3"/>
  <c r="Y387" i="3"/>
  <c r="L387" i="3"/>
  <c r="L881" i="3"/>
  <c r="Q387" i="3"/>
  <c r="Q881" i="3"/>
  <c r="S387" i="3"/>
  <c r="L243" i="5"/>
  <c r="I243" i="5"/>
  <c r="Q243" i="5"/>
  <c r="P243" i="5"/>
  <c r="I336" i="5"/>
  <c r="Q336" i="5"/>
  <c r="P336" i="5"/>
  <c r="L336" i="5"/>
  <c r="H236" i="3"/>
  <c r="G246" i="14"/>
  <c r="M246" i="14"/>
  <c r="L242" i="3"/>
  <c r="O242" i="3"/>
  <c r="J242" i="3"/>
  <c r="Y242" i="3"/>
  <c r="S242" i="3"/>
  <c r="AB242" i="3"/>
  <c r="Q242" i="3"/>
  <c r="Q55" i="5"/>
  <c r="P55" i="5"/>
  <c r="I55" i="5"/>
  <c r="L55" i="5"/>
  <c r="AA555" i="3"/>
  <c r="AA797" i="3"/>
  <c r="AA554" i="3"/>
  <c r="M1013" i="14"/>
  <c r="G629" i="14"/>
  <c r="I333" i="5"/>
  <c r="Q333" i="5"/>
  <c r="L333" i="5"/>
  <c r="P333" i="5"/>
  <c r="L86" i="5"/>
  <c r="L419" i="5"/>
  <c r="I86" i="5"/>
  <c r="I419" i="5"/>
  <c r="P86" i="5"/>
  <c r="P419" i="5"/>
  <c r="Q86" i="5"/>
  <c r="Q419" i="5"/>
  <c r="G85" i="5"/>
  <c r="I240" i="5"/>
  <c r="Q240" i="5"/>
  <c r="L240" i="5"/>
  <c r="P240" i="5"/>
  <c r="J649" i="3"/>
  <c r="L649" i="3"/>
  <c r="O649" i="3"/>
  <c r="Q649" i="3"/>
  <c r="M520" i="14"/>
  <c r="L520" i="14"/>
  <c r="M949" i="14"/>
  <c r="J331" i="8"/>
  <c r="M44" i="1"/>
  <c r="Q44" i="1"/>
  <c r="AA938" i="3"/>
  <c r="AA937" i="3"/>
  <c r="M307" i="14"/>
  <c r="M311" i="14"/>
  <c r="M312" i="14"/>
  <c r="K305" i="14"/>
  <c r="M315" i="14"/>
  <c r="M314" i="14"/>
  <c r="L354" i="5"/>
  <c r="Q354" i="5"/>
  <c r="P354" i="5"/>
  <c r="I354" i="5"/>
  <c r="AA520" i="3"/>
  <c r="AA901" i="3"/>
  <c r="P148" i="4"/>
  <c r="I82" i="5"/>
  <c r="Q681" i="3"/>
  <c r="AB681" i="3"/>
  <c r="Y408" i="3"/>
  <c r="AA408" i="3"/>
  <c r="K229" i="14"/>
  <c r="M973" i="14"/>
  <c r="L973" i="14"/>
  <c r="M1544" i="14"/>
  <c r="M1646" i="14"/>
  <c r="L1544" i="14"/>
  <c r="AA173" i="3"/>
  <c r="AA176" i="3"/>
  <c r="AA175" i="3"/>
  <c r="I383" i="5"/>
  <c r="Q383" i="5"/>
  <c r="G382" i="5"/>
  <c r="L383" i="5"/>
  <c r="L438" i="5"/>
  <c r="P383" i="5"/>
  <c r="L370" i="5"/>
  <c r="I370" i="5"/>
  <c r="Q370" i="5"/>
  <c r="P370" i="5"/>
  <c r="G51" i="5"/>
  <c r="G1242" i="14"/>
  <c r="G275" i="5"/>
  <c r="G1488" i="14"/>
  <c r="H403" i="3"/>
  <c r="G419" i="14"/>
  <c r="H465" i="3"/>
  <c r="J465" i="3"/>
  <c r="G487" i="14"/>
  <c r="M433" i="14"/>
  <c r="M1571" i="14"/>
  <c r="L1571" i="14"/>
  <c r="M422" i="14"/>
  <c r="M435" i="14"/>
  <c r="M428" i="14"/>
  <c r="K417" i="14"/>
  <c r="L433" i="14"/>
  <c r="M426" i="14"/>
  <c r="M427" i="14"/>
  <c r="M421" i="14"/>
  <c r="M839" i="14"/>
  <c r="M434" i="14"/>
  <c r="M425" i="14"/>
  <c r="M423" i="14"/>
  <c r="M439" i="14"/>
  <c r="M442" i="14"/>
  <c r="M430" i="14"/>
  <c r="M441" i="14"/>
  <c r="H345" i="3"/>
  <c r="Q346" i="3"/>
  <c r="J346" i="3"/>
  <c r="O346" i="3"/>
  <c r="Y346" i="3"/>
  <c r="S346" i="3"/>
  <c r="AB346" i="3"/>
  <c r="L346" i="3"/>
  <c r="P189" i="4"/>
  <c r="K189" i="4"/>
  <c r="O189" i="4"/>
  <c r="P101" i="4"/>
  <c r="K101" i="4"/>
  <c r="O101" i="4"/>
  <c r="I145" i="4"/>
  <c r="G1101" i="14"/>
  <c r="H623" i="3"/>
  <c r="G664" i="14"/>
  <c r="M211" i="14"/>
  <c r="L211" i="14"/>
  <c r="AA13" i="3"/>
  <c r="AA14" i="3"/>
  <c r="AA12" i="3"/>
  <c r="J293" i="3"/>
  <c r="J851" i="3"/>
  <c r="H292" i="3"/>
  <c r="Y293" i="3"/>
  <c r="Y851" i="3"/>
  <c r="L293" i="3"/>
  <c r="L851" i="3"/>
  <c r="O293" i="3"/>
  <c r="O851" i="3"/>
  <c r="Q293" i="3"/>
  <c r="Q851" i="3"/>
  <c r="AB293" i="3"/>
  <c r="AB851" i="3"/>
  <c r="AA293" i="3"/>
  <c r="AA851" i="3"/>
  <c r="S293" i="3"/>
  <c r="S851" i="3"/>
  <c r="H625" i="3"/>
  <c r="G666" i="14"/>
  <c r="M666" i="14"/>
  <c r="L511" i="14"/>
  <c r="M511" i="14"/>
  <c r="M1551" i="14"/>
  <c r="L1551" i="14"/>
  <c r="H676" i="3"/>
  <c r="G720" i="14"/>
  <c r="M720" i="14"/>
  <c r="G212" i="5"/>
  <c r="G1416" i="14"/>
  <c r="G204" i="5"/>
  <c r="L204" i="5"/>
  <c r="G1408" i="14"/>
  <c r="M1408" i="14"/>
  <c r="H497" i="3"/>
  <c r="G519" i="14"/>
  <c r="L1514" i="14"/>
  <c r="M1514" i="14"/>
  <c r="M550" i="14"/>
  <c r="L550" i="14"/>
  <c r="G288" i="5"/>
  <c r="G1505" i="14"/>
  <c r="H614" i="3"/>
  <c r="G655" i="14"/>
  <c r="H669" i="3"/>
  <c r="G713" i="14"/>
  <c r="M713" i="14"/>
  <c r="G192" i="5"/>
  <c r="Q589" i="3"/>
  <c r="S589" i="3"/>
  <c r="J589" i="3"/>
  <c r="O589" i="3"/>
  <c r="L589" i="3"/>
  <c r="Y589" i="3"/>
  <c r="Q164" i="5"/>
  <c r="P164" i="5"/>
  <c r="L164" i="5"/>
  <c r="I164" i="5"/>
  <c r="I414" i="5"/>
  <c r="O69" i="4"/>
  <c r="K69" i="4"/>
  <c r="P69" i="4"/>
  <c r="AA184" i="3"/>
  <c r="M1118" i="14"/>
  <c r="L1118" i="14"/>
  <c r="M1545" i="14"/>
  <c r="L1545" i="14"/>
  <c r="G199" i="5"/>
  <c r="G1403" i="14"/>
  <c r="H469" i="3"/>
  <c r="G491" i="14"/>
  <c r="L491" i="14"/>
  <c r="M1357" i="14"/>
  <c r="L1357" i="14"/>
  <c r="AA551" i="3"/>
  <c r="AA552" i="3"/>
  <c r="AA792" i="3"/>
  <c r="AA553" i="3"/>
  <c r="AA857" i="3"/>
  <c r="AA332" i="3"/>
  <c r="AA331" i="3"/>
  <c r="L371" i="5"/>
  <c r="L459" i="5"/>
  <c r="I371" i="5"/>
  <c r="Q371" i="5"/>
  <c r="P371" i="5"/>
  <c r="O57" i="4"/>
  <c r="P57" i="4"/>
  <c r="K57" i="4"/>
  <c r="H641" i="3"/>
  <c r="G682" i="14"/>
  <c r="AA181" i="3"/>
  <c r="AA179" i="3"/>
  <c r="AA180" i="3"/>
  <c r="L297" i="3"/>
  <c r="S297" i="3"/>
  <c r="M1608" i="14"/>
  <c r="L1608" i="14"/>
  <c r="L1023" i="14"/>
  <c r="M1023" i="14"/>
  <c r="M431" i="14"/>
  <c r="AA198" i="3"/>
  <c r="AA199" i="3"/>
  <c r="L395" i="5"/>
  <c r="P395" i="5"/>
  <c r="J498" i="3"/>
  <c r="AA498" i="3"/>
  <c r="AB498" i="3"/>
  <c r="O498" i="3"/>
  <c r="I213" i="5"/>
  <c r="AA900" i="3"/>
  <c r="L1692" i="14"/>
  <c r="L1646" i="14"/>
  <c r="J214" i="8"/>
  <c r="M31" i="1"/>
  <c r="Q31" i="1"/>
  <c r="AB903" i="3"/>
  <c r="AB800" i="3"/>
  <c r="AB808" i="3"/>
  <c r="G216" i="5"/>
  <c r="G1420" i="14"/>
  <c r="H252" i="3"/>
  <c r="G262" i="14"/>
  <c r="M262" i="14"/>
  <c r="H739" i="3"/>
  <c r="G783" i="14"/>
  <c r="G1405" i="14"/>
  <c r="G201" i="5"/>
  <c r="J230" i="3"/>
  <c r="L230" i="3"/>
  <c r="S230" i="3"/>
  <c r="O230" i="3"/>
  <c r="Q230" i="3"/>
  <c r="Y230" i="3"/>
  <c r="AB230" i="3"/>
  <c r="M1170" i="14"/>
  <c r="L1170" i="14"/>
  <c r="M1284" i="14"/>
  <c r="M1658" i="14"/>
  <c r="L1284" i="14"/>
  <c r="L1658" i="14"/>
  <c r="M569" i="14"/>
  <c r="G568" i="14"/>
  <c r="L569" i="14"/>
  <c r="M498" i="14"/>
  <c r="L498" i="14"/>
  <c r="H463" i="3"/>
  <c r="G485" i="14"/>
  <c r="AA110" i="3"/>
  <c r="AA801" i="3"/>
  <c r="AA109" i="3"/>
  <c r="Q252" i="5"/>
  <c r="Q455" i="5"/>
  <c r="I315" i="5"/>
  <c r="I409" i="5"/>
  <c r="L971" i="14"/>
  <c r="M971" i="14"/>
  <c r="H695" i="3"/>
  <c r="G739" i="14"/>
  <c r="M739" i="14"/>
  <c r="H686" i="3"/>
  <c r="S686" i="3"/>
  <c r="G730" i="14"/>
  <c r="S417" i="3"/>
  <c r="Q417" i="3"/>
  <c r="Q837" i="3"/>
  <c r="AA417" i="3"/>
  <c r="AA837" i="3"/>
  <c r="L417" i="3"/>
  <c r="I342" i="5"/>
  <c r="Q342" i="5"/>
  <c r="K570" i="14"/>
  <c r="AA414" i="3"/>
  <c r="AA410" i="3"/>
  <c r="AA806" i="3"/>
  <c r="AA418" i="3"/>
  <c r="AA412" i="3"/>
  <c r="AA419" i="3"/>
  <c r="AA409" i="3"/>
  <c r="AA805" i="3"/>
  <c r="AA405" i="3"/>
  <c r="AA407" i="3"/>
  <c r="AA411" i="3"/>
  <c r="AA406" i="3"/>
  <c r="M581" i="14"/>
  <c r="K580" i="14"/>
  <c r="M580" i="14"/>
  <c r="L1512" i="14"/>
  <c r="M1512" i="14"/>
  <c r="M1623" i="14"/>
  <c r="L1623" i="14"/>
  <c r="M1523" i="14"/>
  <c r="G1522" i="14"/>
  <c r="L1523" i="14"/>
  <c r="G38" i="5"/>
  <c r="G1229" i="14"/>
  <c r="H574" i="3"/>
  <c r="G607" i="14"/>
  <c r="L207" i="3"/>
  <c r="J207" i="3"/>
  <c r="O207" i="3"/>
  <c r="Q207" i="3"/>
  <c r="S207" i="3"/>
  <c r="AB207" i="3"/>
  <c r="Y207" i="3"/>
  <c r="AA207" i="3"/>
  <c r="K10" i="14"/>
  <c r="M11" i="14"/>
  <c r="M12" i="14"/>
  <c r="M1582" i="14"/>
  <c r="J489" i="3"/>
  <c r="O489" i="3"/>
  <c r="L489" i="3"/>
  <c r="AB489" i="3"/>
  <c r="S489" i="3"/>
  <c r="L322" i="5"/>
  <c r="I322" i="5"/>
  <c r="Q322" i="5"/>
  <c r="P322" i="5"/>
  <c r="L255" i="5"/>
  <c r="Q255" i="5"/>
  <c r="O626" i="3"/>
  <c r="Q626" i="3"/>
  <c r="L626" i="3"/>
  <c r="L837" i="3"/>
  <c r="Y626" i="3"/>
  <c r="K347" i="14"/>
  <c r="M348" i="14"/>
  <c r="M893" i="14"/>
  <c r="Q141" i="3"/>
  <c r="Q866" i="3"/>
  <c r="H140" i="3"/>
  <c r="O141" i="3"/>
  <c r="O866" i="3"/>
  <c r="J141" i="3"/>
  <c r="J866" i="3"/>
  <c r="Y141" i="3"/>
  <c r="Y866" i="3"/>
  <c r="S141" i="3"/>
  <c r="S866" i="3"/>
  <c r="L141" i="3"/>
  <c r="L866" i="3"/>
  <c r="Q256" i="5"/>
  <c r="L256" i="5"/>
  <c r="I256" i="5"/>
  <c r="P256" i="5"/>
  <c r="H248" i="3"/>
  <c r="G258" i="14"/>
  <c r="G156" i="5"/>
  <c r="G1358" i="14"/>
  <c r="G1356" i="14"/>
  <c r="L1356" i="14"/>
  <c r="G48" i="5"/>
  <c r="G1239" i="14"/>
  <c r="I157" i="4"/>
  <c r="K157" i="4"/>
  <c r="G1113" i="14"/>
  <c r="M1113" i="14"/>
  <c r="I511" i="5"/>
  <c r="L511" i="5"/>
  <c r="P511" i="5"/>
  <c r="Q511" i="5"/>
  <c r="L328" i="5"/>
  <c r="I328" i="5"/>
  <c r="P328" i="5"/>
  <c r="Q328" i="5"/>
  <c r="Q24" i="5"/>
  <c r="P24" i="5"/>
  <c r="I24" i="5"/>
  <c r="L24" i="5"/>
  <c r="S528" i="3"/>
  <c r="L528" i="3"/>
  <c r="Q528" i="3"/>
  <c r="AB528" i="3"/>
  <c r="J528" i="3"/>
  <c r="O528" i="3"/>
  <c r="Y528" i="3"/>
  <c r="AA528" i="3"/>
  <c r="Q565" i="3"/>
  <c r="J565" i="3"/>
  <c r="O565" i="3"/>
  <c r="S565" i="3"/>
  <c r="L565" i="3"/>
  <c r="Y565" i="3"/>
  <c r="M1149" i="14"/>
  <c r="L1149" i="14"/>
  <c r="M969" i="14"/>
  <c r="L969" i="14"/>
  <c r="P162" i="4"/>
  <c r="K162" i="4"/>
  <c r="O162" i="4"/>
  <c r="Q316" i="5"/>
  <c r="L316" i="5"/>
  <c r="P316" i="5"/>
  <c r="I316" i="5"/>
  <c r="G25" i="5"/>
  <c r="G1216" i="14"/>
  <c r="M1216" i="14"/>
  <c r="I65" i="4"/>
  <c r="G1021" i="14"/>
  <c r="O582" i="3"/>
  <c r="Q582" i="3"/>
  <c r="S582" i="3"/>
  <c r="J582" i="3"/>
  <c r="L582" i="3"/>
  <c r="Y582" i="3"/>
  <c r="G154" i="5"/>
  <c r="Q155" i="5"/>
  <c r="P155" i="5"/>
  <c r="L155" i="5"/>
  <c r="I155" i="5"/>
  <c r="L100" i="14"/>
  <c r="M586" i="14"/>
  <c r="K584" i="14"/>
  <c r="M584" i="14"/>
  <c r="M585" i="14"/>
  <c r="M836" i="14"/>
  <c r="M588" i="14"/>
  <c r="M841" i="14"/>
  <c r="K587" i="14"/>
  <c r="M587" i="14"/>
  <c r="L982" i="14"/>
  <c r="M982" i="14"/>
  <c r="L1566" i="14"/>
  <c r="M1566" i="14"/>
  <c r="G1264" i="14"/>
  <c r="M1264" i="14"/>
  <c r="G73" i="5"/>
  <c r="H521" i="3"/>
  <c r="G543" i="14"/>
  <c r="L543" i="14"/>
  <c r="K177" i="14"/>
  <c r="M179" i="14"/>
  <c r="M178" i="14"/>
  <c r="O618" i="3"/>
  <c r="Q618" i="3"/>
  <c r="L618" i="3"/>
  <c r="Y618" i="3"/>
  <c r="I379" i="5"/>
  <c r="P67" i="4"/>
  <c r="K67" i="4"/>
  <c r="J415" i="3"/>
  <c r="O415" i="3"/>
  <c r="Q415" i="3"/>
  <c r="AB415" i="3"/>
  <c r="AA415" i="3"/>
  <c r="Y415" i="3"/>
  <c r="L415" i="3"/>
  <c r="S415" i="3"/>
  <c r="M1169" i="14"/>
  <c r="L1169" i="14"/>
  <c r="M1046" i="14"/>
  <c r="L1046" i="14"/>
  <c r="L220" i="14"/>
  <c r="M220" i="14"/>
  <c r="M1343" i="14"/>
  <c r="M1666" i="14"/>
  <c r="L1343" i="14"/>
  <c r="L1666" i="14"/>
  <c r="L116" i="14"/>
  <c r="L855" i="14"/>
  <c r="L117" i="14"/>
  <c r="L856" i="14"/>
  <c r="L118" i="14"/>
  <c r="L859" i="14"/>
  <c r="L119" i="14"/>
  <c r="L860" i="14"/>
  <c r="L121" i="14"/>
  <c r="L872" i="14"/>
  <c r="L1543" i="14"/>
  <c r="M1543" i="14"/>
  <c r="Q546" i="3"/>
  <c r="H545" i="3"/>
  <c r="S546" i="3"/>
  <c r="J546" i="3"/>
  <c r="O546" i="3"/>
  <c r="L546" i="3"/>
  <c r="Y546" i="3"/>
  <c r="AB546" i="3"/>
  <c r="AA546" i="3"/>
  <c r="K363" i="14"/>
  <c r="M364" i="14"/>
  <c r="M363" i="14"/>
  <c r="Q357" i="5"/>
  <c r="Q464" i="5"/>
  <c r="M1341" i="14"/>
  <c r="M1664" i="14"/>
  <c r="L1341" i="14"/>
  <c r="L1664" i="14"/>
  <c r="M1314" i="14"/>
  <c r="L1314" i="14"/>
  <c r="L1222" i="14"/>
  <c r="M1222" i="14"/>
  <c r="L1621" i="14"/>
  <c r="M1621" i="14"/>
  <c r="M717" i="14"/>
  <c r="L717" i="14"/>
  <c r="L410" i="14"/>
  <c r="M410" i="14"/>
  <c r="M1338" i="14"/>
  <c r="L1338" i="14"/>
  <c r="AB693" i="3"/>
  <c r="L194" i="5"/>
  <c r="I194" i="5"/>
  <c r="Q194" i="5"/>
  <c r="P194" i="5"/>
  <c r="M1395" i="14"/>
  <c r="K1388" i="14"/>
  <c r="M1417" i="14"/>
  <c r="M1399" i="14"/>
  <c r="M1390" i="14"/>
  <c r="M1407" i="14"/>
  <c r="M1410" i="14"/>
  <c r="M1425" i="14"/>
  <c r="M1391" i="14"/>
  <c r="M1420" i="14"/>
  <c r="M1393" i="14"/>
  <c r="M1414" i="14"/>
  <c r="M1678" i="14"/>
  <c r="M1419" i="14"/>
  <c r="M1409" i="14"/>
  <c r="M1402" i="14"/>
  <c r="M1424" i="14"/>
  <c r="M1394" i="14"/>
  <c r="M1429" i="14"/>
  <c r="M1392" i="14"/>
  <c r="M1426" i="14"/>
  <c r="M1428" i="14"/>
  <c r="M1403" i="14"/>
  <c r="M1411" i="14"/>
  <c r="M1389" i="14"/>
  <c r="M1404" i="14"/>
  <c r="M1405" i="14"/>
  <c r="M1427" i="14"/>
  <c r="M1418" i="14"/>
  <c r="M1423" i="14"/>
  <c r="M1396" i="14"/>
  <c r="M1421" i="14"/>
  <c r="M1422" i="14"/>
  <c r="M1415" i="14"/>
  <c r="M1416" i="14"/>
  <c r="I314" i="5"/>
  <c r="L314" i="5"/>
  <c r="L405" i="5"/>
  <c r="Q314" i="5"/>
  <c r="P314" i="5"/>
  <c r="K361" i="14"/>
  <c r="J1249" i="8"/>
  <c r="J1247" i="8"/>
  <c r="M164" i="1"/>
  <c r="Q164" i="1"/>
  <c r="P93" i="4"/>
  <c r="K93" i="4"/>
  <c r="O93" i="4"/>
  <c r="L246" i="5"/>
  <c r="I246" i="5"/>
  <c r="Q246" i="5"/>
  <c r="P246" i="5"/>
  <c r="L31" i="5"/>
  <c r="I31" i="5"/>
  <c r="Q31" i="5"/>
  <c r="P31" i="5"/>
  <c r="O16" i="3"/>
  <c r="O872" i="3"/>
  <c r="Y16" i="3"/>
  <c r="Y872" i="3"/>
  <c r="J16" i="3"/>
  <c r="J872" i="3"/>
  <c r="L16" i="3"/>
  <c r="L872" i="3"/>
  <c r="H15" i="3"/>
  <c r="Q16" i="3"/>
  <c r="Q872" i="3"/>
  <c r="AB16" i="3"/>
  <c r="AB872" i="3"/>
  <c r="S16" i="3"/>
  <c r="AA16" i="3"/>
  <c r="AA872" i="3"/>
  <c r="L153" i="3"/>
  <c r="O153" i="3"/>
  <c r="Q153" i="3"/>
  <c r="S153" i="3"/>
  <c r="AB153" i="3"/>
  <c r="Y153" i="3"/>
  <c r="J153" i="3"/>
  <c r="AA153" i="3"/>
  <c r="J394" i="3"/>
  <c r="O394" i="3"/>
  <c r="Q394" i="3"/>
  <c r="S394" i="3"/>
  <c r="Y394" i="3"/>
  <c r="AB394" i="3"/>
  <c r="L394" i="3"/>
  <c r="AA394" i="3"/>
  <c r="L234" i="14"/>
  <c r="L266" i="14"/>
  <c r="L261" i="14"/>
  <c r="L265" i="14"/>
  <c r="L244" i="14"/>
  <c r="L252" i="14"/>
  <c r="L264" i="14"/>
  <c r="L254" i="14"/>
  <c r="L242" i="14"/>
  <c r="L235" i="14"/>
  <c r="L267" i="14"/>
  <c r="L255" i="14"/>
  <c r="L256" i="14"/>
  <c r="L232" i="14"/>
  <c r="L262" i="14"/>
  <c r="L250" i="14"/>
  <c r="L268" i="14"/>
  <c r="L233" i="14"/>
  <c r="L253" i="14"/>
  <c r="L260" i="14"/>
  <c r="L263" i="14"/>
  <c r="L241" i="14"/>
  <c r="L240" i="14"/>
  <c r="L237" i="14"/>
  <c r="L1538" i="14"/>
  <c r="M1538" i="14"/>
  <c r="G638" i="14"/>
  <c r="L638" i="14"/>
  <c r="L639" i="14"/>
  <c r="M639" i="14"/>
  <c r="J2185" i="8"/>
  <c r="J2179" i="8"/>
  <c r="M291" i="1"/>
  <c r="Q291" i="1"/>
  <c r="M1258" i="14"/>
  <c r="L1258" i="14"/>
  <c r="M236" i="14"/>
  <c r="L67" i="14"/>
  <c r="L887" i="14"/>
  <c r="M548" i="14"/>
  <c r="M1058" i="14"/>
  <c r="L1058" i="14"/>
  <c r="G447" i="14"/>
  <c r="M447" i="14"/>
  <c r="J2044" i="8"/>
  <c r="J2041" i="8"/>
  <c r="M268" i="1"/>
  <c r="Q268" i="1"/>
  <c r="K1307" i="14"/>
  <c r="J1909" i="8"/>
  <c r="M251" i="1"/>
  <c r="Q251" i="1"/>
  <c r="J1913" i="8"/>
  <c r="J479" i="8"/>
  <c r="J471" i="8"/>
  <c r="M63" i="1"/>
  <c r="Q63" i="1"/>
  <c r="J1083" i="8"/>
  <c r="M142" i="1"/>
  <c r="Q142" i="1"/>
  <c r="J1085" i="8"/>
  <c r="AA324" i="3"/>
  <c r="AA824" i="3"/>
  <c r="AA325" i="3"/>
  <c r="AA825" i="3"/>
  <c r="AA326" i="3"/>
  <c r="AA826" i="3"/>
  <c r="AA323" i="3"/>
  <c r="J2034" i="8"/>
  <c r="J2029" i="8"/>
  <c r="M267" i="1"/>
  <c r="Q267" i="1"/>
  <c r="J587" i="3"/>
  <c r="J864" i="3"/>
  <c r="S587" i="3"/>
  <c r="Q587" i="3"/>
  <c r="AB587" i="3"/>
  <c r="L275" i="14"/>
  <c r="G1377" i="14"/>
  <c r="L1378" i="14"/>
  <c r="L643" i="14"/>
  <c r="M643" i="14"/>
  <c r="M1627" i="14"/>
  <c r="L1627" i="14"/>
  <c r="L1652" i="14"/>
  <c r="M1372" i="14"/>
  <c r="L1372" i="14"/>
  <c r="G1369" i="14"/>
  <c r="L1369" i="14"/>
  <c r="M756" i="14"/>
  <c r="M827" i="14"/>
  <c r="L756" i="14"/>
  <c r="L827" i="14"/>
  <c r="L1445" i="14"/>
  <c r="L1642" i="14"/>
  <c r="J883" i="8"/>
  <c r="J877" i="8"/>
  <c r="M110" i="1"/>
  <c r="Q110" i="1"/>
  <c r="J104" i="8"/>
  <c r="J101" i="8"/>
  <c r="M15" i="1"/>
  <c r="Q15" i="1"/>
  <c r="J1191" i="8"/>
  <c r="J1185" i="8"/>
  <c r="M157" i="1"/>
  <c r="Q157" i="1"/>
  <c r="J2234" i="8"/>
  <c r="J2231" i="8"/>
  <c r="M298" i="1"/>
  <c r="Q298" i="1"/>
  <c r="J869" i="8"/>
  <c r="J863" i="8"/>
  <c r="M109" i="1"/>
  <c r="Q109" i="1"/>
  <c r="K462" i="14"/>
  <c r="M463" i="14"/>
  <c r="M877" i="14"/>
  <c r="M462" i="14"/>
  <c r="J1986" i="8"/>
  <c r="J1984" i="8"/>
  <c r="M260" i="1"/>
  <c r="Q260" i="1"/>
  <c r="M1192" i="14"/>
  <c r="L1192" i="14"/>
  <c r="M1406" i="14"/>
  <c r="L1406" i="14"/>
  <c r="L1381" i="14"/>
  <c r="M1381" i="14"/>
  <c r="L1519" i="14"/>
  <c r="G1518" i="14"/>
  <c r="M1519" i="14"/>
  <c r="M631" i="14"/>
  <c r="K464" i="14"/>
  <c r="M465" i="14"/>
  <c r="J2116" i="8"/>
  <c r="J2113" i="8"/>
  <c r="M283" i="1"/>
  <c r="Q283" i="1"/>
  <c r="J1137" i="8"/>
  <c r="J1133" i="8"/>
  <c r="M149" i="1"/>
  <c r="Q149" i="1"/>
  <c r="K18" i="14"/>
  <c r="M20" i="14"/>
  <c r="M854" i="14"/>
  <c r="M22" i="14"/>
  <c r="M25" i="14"/>
  <c r="J1542" i="8"/>
  <c r="J1537" i="8"/>
  <c r="M200" i="1"/>
  <c r="Q200" i="1"/>
  <c r="J1296" i="8"/>
  <c r="M174" i="1"/>
  <c r="Q174" i="1"/>
  <c r="P213" i="5"/>
  <c r="P219" i="5"/>
  <c r="P217" i="5"/>
  <c r="P195" i="5"/>
  <c r="P191" i="5"/>
  <c r="P192" i="5"/>
  <c r="P222" i="5"/>
  <c r="P215" i="5"/>
  <c r="P223" i="5"/>
  <c r="P205" i="5"/>
  <c r="P212" i="5"/>
  <c r="P224" i="5"/>
  <c r="P218" i="5"/>
  <c r="P185" i="5"/>
  <c r="P225" i="5"/>
  <c r="P189" i="5"/>
  <c r="P210" i="5"/>
  <c r="P200" i="5"/>
  <c r="P198" i="5"/>
  <c r="P220" i="5"/>
  <c r="P214" i="5"/>
  <c r="P203" i="5"/>
  <c r="P199" i="5"/>
  <c r="P221" i="5"/>
  <c r="P207" i="5"/>
  <c r="P204" i="5"/>
  <c r="P186" i="5"/>
  <c r="P206" i="5"/>
  <c r="P190" i="5"/>
  <c r="P187" i="5"/>
  <c r="P188" i="5"/>
  <c r="J1582" i="8"/>
  <c r="J1578" i="8"/>
  <c r="P204" i="1"/>
  <c r="T204" i="1"/>
  <c r="J1570" i="8"/>
  <c r="J1568" i="8"/>
  <c r="P202" i="1"/>
  <c r="T202" i="1"/>
  <c r="J664" i="3"/>
  <c r="L664" i="3"/>
  <c r="O664" i="3"/>
  <c r="Q664" i="3"/>
  <c r="S664" i="3"/>
  <c r="AB664" i="3"/>
  <c r="Y664" i="3"/>
  <c r="AA664" i="3"/>
  <c r="M693" i="14"/>
  <c r="M692" i="14"/>
  <c r="K692" i="14"/>
  <c r="J2421" i="8"/>
  <c r="J2414" i="8"/>
  <c r="M322" i="1"/>
  <c r="Q322" i="1"/>
  <c r="J1240" i="8"/>
  <c r="J1238" i="8"/>
  <c r="M163" i="1"/>
  <c r="Q163" i="1"/>
  <c r="O34" i="4"/>
  <c r="K34" i="4"/>
  <c r="P34" i="4"/>
  <c r="S302" i="3"/>
  <c r="O302" i="3"/>
  <c r="J302" i="3"/>
  <c r="Q302" i="3"/>
  <c r="AB302" i="3"/>
  <c r="L302" i="3"/>
  <c r="Y302" i="3"/>
  <c r="AA302" i="3"/>
  <c r="K36" i="14"/>
  <c r="M37" i="14"/>
  <c r="M36" i="14"/>
  <c r="L1614" i="14"/>
  <c r="G1613" i="14"/>
  <c r="L1613" i="14"/>
  <c r="M1614" i="14"/>
  <c r="M323" i="14"/>
  <c r="M1127" i="14"/>
  <c r="L1127" i="14"/>
  <c r="L1477" i="14"/>
  <c r="M1477" i="14"/>
  <c r="G1475" i="14"/>
  <c r="M1224" i="14"/>
  <c r="L1224" i="14"/>
  <c r="L1306" i="14"/>
  <c r="G1305" i="14"/>
  <c r="M1306" i="14"/>
  <c r="L1007" i="14"/>
  <c r="M1007" i="14"/>
  <c r="L1575" i="14"/>
  <c r="M1575" i="14"/>
  <c r="G1570" i="14"/>
  <c r="M384" i="14"/>
  <c r="L384" i="14"/>
  <c r="M1500" i="14"/>
  <c r="L1500" i="14"/>
  <c r="L1254" i="14"/>
  <c r="L1684" i="14"/>
  <c r="M1254" i="14"/>
  <c r="M1684" i="14"/>
  <c r="M282" i="14"/>
  <c r="L1268" i="14"/>
  <c r="L1712" i="14"/>
  <c r="M1268" i="14"/>
  <c r="M1712" i="14"/>
  <c r="L1255" i="2"/>
  <c r="G1344" i="14"/>
  <c r="K1253" i="2"/>
  <c r="L351" i="5"/>
  <c r="I351" i="5"/>
  <c r="J310" i="3"/>
  <c r="S310" i="3"/>
  <c r="Q310" i="3"/>
  <c r="Y310" i="3"/>
  <c r="S259" i="3"/>
  <c r="AB259" i="3"/>
  <c r="L259" i="3"/>
  <c r="AA259" i="3"/>
  <c r="L763" i="14"/>
  <c r="L764" i="14"/>
  <c r="L762" i="14"/>
  <c r="L761" i="14"/>
  <c r="L760" i="14"/>
  <c r="P144" i="5"/>
  <c r="I144" i="5"/>
  <c r="L144" i="5"/>
  <c r="Q144" i="5"/>
  <c r="L1688" i="14"/>
  <c r="L309" i="5"/>
  <c r="I309" i="5"/>
  <c r="Q309" i="5"/>
  <c r="P309" i="5"/>
  <c r="H602" i="3"/>
  <c r="AB603" i="3"/>
  <c r="L603" i="3"/>
  <c r="Q603" i="3"/>
  <c r="S603" i="3"/>
  <c r="O603" i="3"/>
  <c r="Y603" i="3"/>
  <c r="J603" i="3"/>
  <c r="AA603" i="3"/>
  <c r="J1636" i="8"/>
  <c r="J1630" i="8"/>
  <c r="M217" i="1"/>
  <c r="Q217" i="1"/>
  <c r="AA698" i="3"/>
  <c r="AA699" i="3"/>
  <c r="AA529" i="3"/>
  <c r="J2173" i="8"/>
  <c r="J2167" i="8"/>
  <c r="M290" i="1"/>
  <c r="Q290" i="1"/>
  <c r="AB633" i="3"/>
  <c r="L633" i="3"/>
  <c r="Q633" i="3"/>
  <c r="S633" i="3"/>
  <c r="AA633" i="3"/>
  <c r="Y633" i="3"/>
  <c r="J633" i="3"/>
  <c r="O633" i="3"/>
  <c r="I166" i="5"/>
  <c r="L166" i="5"/>
  <c r="Q166" i="5"/>
  <c r="P166" i="5"/>
  <c r="P514" i="5"/>
  <c r="L514" i="5"/>
  <c r="S128" i="3"/>
  <c r="Q128" i="3"/>
  <c r="O128" i="3"/>
  <c r="J128" i="3"/>
  <c r="J830" i="3"/>
  <c r="AA128" i="3"/>
  <c r="I67" i="5"/>
  <c r="P67" i="5"/>
  <c r="O117" i="4"/>
  <c r="P138" i="4"/>
  <c r="O138" i="4"/>
  <c r="L174" i="5"/>
  <c r="I174" i="5"/>
  <c r="J226" i="3"/>
  <c r="L226" i="3"/>
  <c r="Y226" i="3"/>
  <c r="S226" i="3"/>
  <c r="AA226" i="3"/>
  <c r="L209" i="5"/>
  <c r="L440" i="5"/>
  <c r="Q440" i="5"/>
  <c r="I209" i="5"/>
  <c r="I440" i="5"/>
  <c r="S69" i="3"/>
  <c r="Q69" i="3"/>
  <c r="Q843" i="3"/>
  <c r="Y69" i="3"/>
  <c r="Y843" i="3"/>
  <c r="AA69" i="3"/>
  <c r="L106" i="5"/>
  <c r="P106" i="5"/>
  <c r="Q106" i="5"/>
  <c r="Q461" i="5"/>
  <c r="P97" i="4"/>
  <c r="L278" i="3"/>
  <c r="Y278" i="3"/>
  <c r="J278" i="3"/>
  <c r="AA278" i="3"/>
  <c r="H275" i="3"/>
  <c r="Q17" i="5"/>
  <c r="Q404" i="5"/>
  <c r="P17" i="5"/>
  <c r="P404" i="5"/>
  <c r="L83" i="5"/>
  <c r="I83" i="5"/>
  <c r="P83" i="5"/>
  <c r="Q83" i="5"/>
  <c r="S299" i="3"/>
  <c r="L299" i="3"/>
  <c r="J299" i="3"/>
  <c r="Q299" i="3"/>
  <c r="O299" i="3"/>
  <c r="AA299" i="3"/>
  <c r="Y299" i="3"/>
  <c r="AB299" i="3"/>
  <c r="O526" i="3"/>
  <c r="L526" i="3"/>
  <c r="Y526" i="3"/>
  <c r="J526" i="3"/>
  <c r="AB526" i="3"/>
  <c r="S526" i="3"/>
  <c r="Q526" i="3"/>
  <c r="AA526" i="3"/>
  <c r="O12" i="4"/>
  <c r="P12" i="4"/>
  <c r="K12" i="4"/>
  <c r="K102" i="4"/>
  <c r="O102" i="4"/>
  <c r="Q426" i="3"/>
  <c r="AA426" i="3"/>
  <c r="O426" i="3"/>
  <c r="H425" i="3"/>
  <c r="K557" i="14"/>
  <c r="M558" i="14"/>
  <c r="M913" i="14"/>
  <c r="M557" i="14"/>
  <c r="J2310" i="8"/>
  <c r="J2303" i="8"/>
  <c r="M316" i="1"/>
  <c r="Q316" i="1"/>
  <c r="J1755" i="8"/>
  <c r="J1748" i="8"/>
  <c r="M231" i="1"/>
  <c r="Q231" i="1"/>
  <c r="J1272" i="8"/>
  <c r="J1268" i="8"/>
  <c r="M168" i="1"/>
  <c r="Q168" i="1"/>
  <c r="J695" i="8"/>
  <c r="J688" i="8"/>
  <c r="M85" i="1"/>
  <c r="Q85" i="1"/>
  <c r="J1890" i="8"/>
  <c r="J1885" i="8"/>
  <c r="M249" i="1"/>
  <c r="Q249" i="1"/>
  <c r="J1357" i="8"/>
  <c r="J1351" i="8"/>
  <c r="M179" i="1"/>
  <c r="Q179" i="1"/>
  <c r="J411" i="8"/>
  <c r="J407" i="8"/>
  <c r="M56" i="1"/>
  <c r="Q56" i="1"/>
  <c r="J263" i="8"/>
  <c r="J258" i="8"/>
  <c r="M35" i="1"/>
  <c r="Q35" i="1"/>
  <c r="AA614" i="3"/>
  <c r="AA628" i="3"/>
  <c r="AA631" i="3"/>
  <c r="AA630" i="3"/>
  <c r="AA629" i="3"/>
  <c r="AA853" i="3"/>
  <c r="AA616" i="3"/>
  <c r="AA622" i="3"/>
  <c r="AA640" i="3"/>
  <c r="AA634" i="3"/>
  <c r="AA627" i="3"/>
  <c r="AA617" i="3"/>
  <c r="AA641" i="3"/>
  <c r="AA609" i="3"/>
  <c r="AA607" i="3"/>
  <c r="AA635" i="3"/>
  <c r="AA645" i="3"/>
  <c r="AA610" i="3"/>
  <c r="AA642" i="3"/>
  <c r="AA624" i="3"/>
  <c r="AA626" i="3"/>
  <c r="AA639" i="3"/>
  <c r="AA621" i="3"/>
  <c r="AA619" i="3"/>
  <c r="AA613" i="3"/>
  <c r="AA643" i="3"/>
  <c r="AA623" i="3"/>
  <c r="AA620" i="3"/>
  <c r="AA638" i="3"/>
  <c r="AA897" i="3"/>
  <c r="AA625" i="3"/>
  <c r="AA615" i="3"/>
  <c r="AA795" i="3"/>
  <c r="AA644" i="3"/>
  <c r="K456" i="14"/>
  <c r="J1318" i="8"/>
  <c r="J1310" i="8"/>
  <c r="M175" i="1"/>
  <c r="Q175" i="1"/>
  <c r="J1103" i="8"/>
  <c r="J1101" i="8"/>
  <c r="M144" i="1"/>
  <c r="Q144" i="1"/>
  <c r="AB898" i="3"/>
  <c r="J1863" i="8"/>
  <c r="M247" i="1"/>
  <c r="Q247" i="1"/>
  <c r="J1868" i="8"/>
  <c r="J1513" i="8"/>
  <c r="J1508" i="8"/>
  <c r="M197" i="1"/>
  <c r="Q197" i="1"/>
  <c r="L1126" i="14"/>
  <c r="M1126" i="14"/>
  <c r="K128" i="14"/>
  <c r="M129" i="14"/>
  <c r="L72" i="5"/>
  <c r="L462" i="5"/>
  <c r="P72" i="5"/>
  <c r="P462" i="5"/>
  <c r="Q265" i="3"/>
  <c r="O265" i="3"/>
  <c r="L265" i="3"/>
  <c r="S265" i="3"/>
  <c r="J265" i="3"/>
  <c r="Y265" i="3"/>
  <c r="AB265" i="3"/>
  <c r="AA265" i="3"/>
  <c r="I32" i="5"/>
  <c r="L32" i="5"/>
  <c r="Q32" i="5"/>
  <c r="P32" i="5"/>
  <c r="P27" i="4"/>
  <c r="K27" i="4"/>
  <c r="O27" i="4"/>
  <c r="I150" i="5"/>
  <c r="L150" i="5"/>
  <c r="Q150" i="5"/>
  <c r="P150" i="5"/>
  <c r="L176" i="5"/>
  <c r="G175" i="5"/>
  <c r="I175" i="5"/>
  <c r="I176" i="5"/>
  <c r="P176" i="5"/>
  <c r="Q176" i="5"/>
  <c r="I103" i="5"/>
  <c r="L103" i="5"/>
  <c r="P103" i="5"/>
  <c r="Q103" i="5"/>
  <c r="J605" i="3"/>
  <c r="AB605" i="3"/>
  <c r="H604" i="3"/>
  <c r="O605" i="3"/>
  <c r="Q605" i="3"/>
  <c r="AA605" i="3"/>
  <c r="S605" i="3"/>
  <c r="Y605" i="3"/>
  <c r="L605" i="3"/>
  <c r="Q496" i="3"/>
  <c r="J496" i="3"/>
  <c r="AA496" i="3"/>
  <c r="L496" i="3"/>
  <c r="Y496" i="3"/>
  <c r="S496" i="3"/>
  <c r="AB496" i="3"/>
  <c r="O496" i="3"/>
  <c r="O734" i="3"/>
  <c r="Q734" i="3"/>
  <c r="J734" i="3"/>
  <c r="S734" i="3"/>
  <c r="S841" i="3"/>
  <c r="L734" i="3"/>
  <c r="AB734" i="3"/>
  <c r="Y734" i="3"/>
  <c r="AA734" i="3"/>
  <c r="Q655" i="3"/>
  <c r="S655" i="3"/>
  <c r="J655" i="3"/>
  <c r="O655" i="3"/>
  <c r="L655" i="3"/>
  <c r="Y655" i="3"/>
  <c r="AB655" i="3"/>
  <c r="AA655" i="3"/>
  <c r="I76" i="5"/>
  <c r="I467" i="5"/>
  <c r="L76" i="5"/>
  <c r="L467" i="5"/>
  <c r="Q76" i="5"/>
  <c r="Q467" i="5"/>
  <c r="P76" i="5"/>
  <c r="P467" i="5"/>
  <c r="I392" i="5"/>
  <c r="Q392" i="5"/>
  <c r="L392" i="5"/>
  <c r="P392" i="5"/>
  <c r="Q458" i="3"/>
  <c r="J458" i="3"/>
  <c r="Y458" i="3"/>
  <c r="L458" i="3"/>
  <c r="O458" i="3"/>
  <c r="S458" i="3"/>
  <c r="AB458" i="3"/>
  <c r="AA458" i="3"/>
  <c r="O470" i="3"/>
  <c r="Q470" i="3"/>
  <c r="O712" i="3"/>
  <c r="O783" i="3"/>
  <c r="Q712" i="3"/>
  <c r="Q783" i="3"/>
  <c r="L1227" i="2"/>
  <c r="G1235" i="14"/>
  <c r="J1222" i="2"/>
  <c r="H28" i="3"/>
  <c r="J1220" i="2"/>
  <c r="L1228" i="2"/>
  <c r="J1221" i="2"/>
  <c r="K1225" i="2"/>
  <c r="L239" i="5"/>
  <c r="Q239" i="5"/>
  <c r="P239" i="5"/>
  <c r="P405" i="5"/>
  <c r="I239" i="5"/>
  <c r="I405" i="5"/>
  <c r="J289" i="8"/>
  <c r="M39" i="1"/>
  <c r="Q39" i="1"/>
  <c r="AB806" i="3"/>
  <c r="J1062" i="8"/>
  <c r="J1058" i="8"/>
  <c r="M139" i="1"/>
  <c r="Q139" i="1"/>
  <c r="J1111" i="8"/>
  <c r="M147" i="1"/>
  <c r="Q147" i="1"/>
  <c r="J1222" i="8"/>
  <c r="J1218" i="8"/>
  <c r="M161" i="1"/>
  <c r="Q161" i="1"/>
  <c r="J1073" i="8"/>
  <c r="J1069" i="8"/>
  <c r="M140" i="1"/>
  <c r="Q140" i="1"/>
  <c r="AB897" i="3"/>
  <c r="M32" i="14"/>
  <c r="K32" i="14"/>
  <c r="M33" i="14"/>
  <c r="M536" i="14"/>
  <c r="L536" i="14"/>
  <c r="P114" i="4"/>
  <c r="P355" i="5"/>
  <c r="P294" i="5"/>
  <c r="S598" i="3"/>
  <c r="Y321" i="3"/>
  <c r="Y892" i="3"/>
  <c r="O321" i="3"/>
  <c r="O892" i="3"/>
  <c r="L41" i="5"/>
  <c r="Q758" i="3"/>
  <c r="I286" i="5"/>
  <c r="M1365" i="14"/>
  <c r="L1365" i="14"/>
  <c r="M317" i="14"/>
  <c r="G316" i="14"/>
  <c r="L317" i="14"/>
  <c r="G582" i="14"/>
  <c r="M583" i="14"/>
  <c r="L583" i="14"/>
  <c r="AA963" i="3"/>
  <c r="AA980" i="3"/>
  <c r="AA961" i="3"/>
  <c r="AA960" i="3"/>
  <c r="AA962" i="3"/>
  <c r="AA544" i="3"/>
  <c r="M577" i="14"/>
  <c r="K574" i="14"/>
  <c r="J2070" i="8"/>
  <c r="J2066" i="8"/>
  <c r="M271" i="1"/>
  <c r="Q271" i="1"/>
  <c r="AA690" i="3"/>
  <c r="AA692" i="3"/>
  <c r="AA695" i="3"/>
  <c r="AA691" i="3"/>
  <c r="AA697" i="3"/>
  <c r="K733" i="14"/>
  <c r="M736" i="14"/>
  <c r="M741" i="14"/>
  <c r="M734" i="14"/>
  <c r="M735" i="14"/>
  <c r="AB975" i="3"/>
  <c r="L235" i="5"/>
  <c r="I235" i="5"/>
  <c r="Q235" i="5"/>
  <c r="P235" i="5"/>
  <c r="J1980" i="8"/>
  <c r="J1977" i="8"/>
  <c r="M259" i="1"/>
  <c r="Q259" i="1"/>
  <c r="L1049" i="14"/>
  <c r="M1049" i="14"/>
  <c r="M1295" i="14"/>
  <c r="M1660" i="14"/>
  <c r="L1295" i="14"/>
  <c r="L1660" i="14"/>
  <c r="G1294" i="14"/>
  <c r="G13" i="14"/>
  <c r="L13" i="14"/>
  <c r="L14" i="14"/>
  <c r="L916" i="14"/>
  <c r="M14" i="14"/>
  <c r="M916" i="14"/>
  <c r="M151" i="14"/>
  <c r="M1207" i="14"/>
  <c r="L1207" i="14"/>
  <c r="L708" i="14"/>
  <c r="M708" i="14"/>
  <c r="M990" i="14"/>
  <c r="L990" i="14"/>
  <c r="M313" i="14"/>
  <c r="L313" i="14"/>
  <c r="I139" i="5"/>
  <c r="I427" i="5"/>
  <c r="L139" i="5"/>
  <c r="L427" i="5"/>
  <c r="P139" i="5"/>
  <c r="P427" i="5"/>
  <c r="Q139" i="5"/>
  <c r="Q427" i="5"/>
  <c r="I116" i="5"/>
  <c r="L116" i="5"/>
  <c r="P116" i="5"/>
  <c r="Q116" i="5"/>
  <c r="L99" i="5"/>
  <c r="L423" i="5"/>
  <c r="P99" i="5"/>
  <c r="P423" i="5"/>
  <c r="I99" i="5"/>
  <c r="I423" i="5"/>
  <c r="Q99" i="5"/>
  <c r="Q423" i="5"/>
  <c r="G98" i="5"/>
  <c r="I386" i="5"/>
  <c r="P386" i="5"/>
  <c r="Q386" i="5"/>
  <c r="L386" i="5"/>
  <c r="S673" i="3"/>
  <c r="L673" i="3"/>
  <c r="Q673" i="3"/>
  <c r="J673" i="3"/>
  <c r="Y673" i="3"/>
  <c r="AB673" i="3"/>
  <c r="O673" i="3"/>
  <c r="AA673" i="3"/>
  <c r="O64" i="4"/>
  <c r="P64" i="4"/>
  <c r="K64" i="4"/>
  <c r="I136" i="5"/>
  <c r="L136" i="5"/>
  <c r="P136" i="5"/>
  <c r="Q136" i="5"/>
  <c r="I16" i="5"/>
  <c r="L16" i="5"/>
  <c r="Q16" i="5"/>
  <c r="P16" i="5"/>
  <c r="L58" i="14"/>
  <c r="L829" i="14"/>
  <c r="L56" i="14"/>
  <c r="L78" i="14"/>
  <c r="L86" i="14"/>
  <c r="L94" i="14"/>
  <c r="L59" i="14"/>
  <c r="L77" i="14"/>
  <c r="L87" i="14"/>
  <c r="L57" i="14"/>
  <c r="L826" i="14"/>
  <c r="L53" i="14"/>
  <c r="L79" i="14"/>
  <c r="L55" i="14"/>
  <c r="L62" i="14"/>
  <c r="L74" i="14"/>
  <c r="L90" i="14"/>
  <c r="L93" i="14"/>
  <c r="L940" i="14"/>
  <c r="L71" i="14"/>
  <c r="L88" i="14"/>
  <c r="L61" i="14"/>
  <c r="L81" i="14"/>
  <c r="L75" i="14"/>
  <c r="L73" i="14"/>
  <c r="L60" i="14"/>
  <c r="L76" i="14"/>
  <c r="L83" i="14"/>
  <c r="L65" i="14"/>
  <c r="L63" i="14"/>
  <c r="L64" i="14"/>
  <c r="L838" i="14"/>
  <c r="L80" i="14"/>
  <c r="L96" i="14"/>
  <c r="L95" i="14"/>
  <c r="L947" i="14"/>
  <c r="L54" i="14"/>
  <c r="L68" i="14"/>
  <c r="L98" i="14"/>
  <c r="L958" i="14"/>
  <c r="L97" i="14"/>
  <c r="L85" i="14"/>
  <c r="K554" i="14"/>
  <c r="M556" i="14"/>
  <c r="M938" i="14"/>
  <c r="M1053" i="14"/>
  <c r="M1279" i="14"/>
  <c r="G1277" i="14"/>
  <c r="M1277" i="14"/>
  <c r="L968" i="14"/>
  <c r="M968" i="14"/>
  <c r="J2327" i="8"/>
  <c r="J2321" i="8"/>
  <c r="M317" i="1"/>
  <c r="Q317" i="1"/>
  <c r="J681" i="8"/>
  <c r="J677" i="8"/>
  <c r="M84" i="1"/>
  <c r="Q84" i="1"/>
  <c r="J445" i="8"/>
  <c r="J440" i="8"/>
  <c r="M59" i="1"/>
  <c r="Q59" i="1"/>
  <c r="J207" i="8"/>
  <c r="J199" i="8"/>
  <c r="M30" i="1"/>
  <c r="Q30" i="1"/>
  <c r="M141" i="14"/>
  <c r="M813" i="14"/>
  <c r="M147" i="14"/>
  <c r="M148" i="14"/>
  <c r="M153" i="14"/>
  <c r="M145" i="14"/>
  <c r="M826" i="14"/>
  <c r="M142" i="14"/>
  <c r="M149" i="14"/>
  <c r="M838" i="14"/>
  <c r="M165" i="14"/>
  <c r="M167" i="14"/>
  <c r="M160" i="14"/>
  <c r="M168" i="14"/>
  <c r="M159" i="14"/>
  <c r="M912" i="14"/>
  <c r="K140" i="14"/>
  <c r="L151" i="14"/>
  <c r="M154" i="14"/>
  <c r="M891" i="14"/>
  <c r="M155" i="14"/>
  <c r="M158" i="14"/>
  <c r="M907" i="14"/>
  <c r="M152" i="14"/>
  <c r="M169" i="14"/>
  <c r="M958" i="14"/>
  <c r="M146" i="14"/>
  <c r="M831" i="14"/>
  <c r="M162" i="14"/>
  <c r="M157" i="14"/>
  <c r="M150" i="14"/>
  <c r="M143" i="14"/>
  <c r="M144" i="14"/>
  <c r="M822" i="14"/>
  <c r="M156" i="14"/>
  <c r="M903" i="14"/>
  <c r="J1903" i="8"/>
  <c r="J1898" i="8"/>
  <c r="M250" i="1"/>
  <c r="Q250" i="1"/>
  <c r="J2209" i="8"/>
  <c r="J2204" i="8"/>
  <c r="M295" i="1"/>
  <c r="Q295" i="1"/>
  <c r="Q331" i="5"/>
  <c r="P331" i="5"/>
  <c r="M1263" i="14"/>
  <c r="M1704" i="14"/>
  <c r="L1704" i="14"/>
  <c r="M1223" i="14"/>
  <c r="M1655" i="14"/>
  <c r="M1352" i="14"/>
  <c r="M1299" i="14"/>
  <c r="M1653" i="14"/>
  <c r="L518" i="14"/>
  <c r="L778" i="14"/>
  <c r="M1267" i="14"/>
  <c r="M1711" i="14"/>
  <c r="L480" i="14"/>
  <c r="M480" i="14"/>
  <c r="M492" i="14"/>
  <c r="L492" i="14"/>
  <c r="J139" i="3"/>
  <c r="S139" i="3"/>
  <c r="J1056" i="8"/>
  <c r="J1050" i="8"/>
  <c r="M137" i="1"/>
  <c r="Q137" i="1"/>
  <c r="M200" i="14"/>
  <c r="K200" i="14"/>
  <c r="M201" i="14"/>
  <c r="K278" i="14"/>
  <c r="M284" i="14"/>
  <c r="M283" i="14"/>
  <c r="M280" i="14"/>
  <c r="M279" i="14"/>
  <c r="AA19" i="3"/>
  <c r="AA17" i="3"/>
  <c r="AA18" i="3"/>
  <c r="O173" i="4"/>
  <c r="P173" i="4"/>
  <c r="K173" i="4"/>
  <c r="O43" i="4"/>
  <c r="P43" i="4"/>
  <c r="K43" i="4"/>
  <c r="L1070" i="14"/>
  <c r="M1070" i="14"/>
  <c r="M1584" i="14"/>
  <c r="L1584" i="14"/>
  <c r="M1339" i="14"/>
  <c r="L1339" i="14"/>
  <c r="L335" i="14"/>
  <c r="L941" i="14"/>
  <c r="M335" i="14"/>
  <c r="M941" i="14"/>
  <c r="G334" i="14"/>
  <c r="M1232" i="14"/>
  <c r="L1232" i="14"/>
  <c r="L1454" i="14"/>
  <c r="M1454" i="14"/>
  <c r="M802" i="14"/>
  <c r="L802" i="14"/>
  <c r="L1503" i="14"/>
  <c r="M1503" i="14"/>
  <c r="L29" i="5"/>
  <c r="I29" i="5"/>
  <c r="I18" i="5"/>
  <c r="L18" i="5"/>
  <c r="J372" i="8"/>
  <c r="J368" i="8"/>
  <c r="M50" i="1"/>
  <c r="Q50" i="1"/>
  <c r="AB834" i="3"/>
  <c r="L1441" i="14"/>
  <c r="M1441" i="14"/>
  <c r="G578" i="14"/>
  <c r="M579" i="14"/>
  <c r="L579" i="14"/>
  <c r="AA649" i="3"/>
  <c r="K454" i="14"/>
  <c r="J1231" i="8"/>
  <c r="J1229" i="8"/>
  <c r="M162" i="1"/>
  <c r="Q162" i="1"/>
  <c r="AA330" i="3"/>
  <c r="AA840" i="3"/>
  <c r="AA328" i="3"/>
  <c r="AA838" i="3"/>
  <c r="AA329" i="3"/>
  <c r="AA839" i="3"/>
  <c r="AA327" i="3"/>
  <c r="M621" i="14"/>
  <c r="M1586" i="14"/>
  <c r="L1586" i="14"/>
  <c r="AA38" i="3"/>
  <c r="AA39" i="3"/>
  <c r="P522" i="5"/>
  <c r="I522" i="5"/>
  <c r="G521" i="5"/>
  <c r="Q522" i="5"/>
  <c r="L522" i="5"/>
  <c r="L312" i="3"/>
  <c r="Q312" i="3"/>
  <c r="Y312" i="3"/>
  <c r="S312" i="3"/>
  <c r="AA312" i="3"/>
  <c r="O312" i="3"/>
  <c r="AB312" i="3"/>
  <c r="J312" i="3"/>
  <c r="P171" i="4"/>
  <c r="O171" i="4"/>
  <c r="K171" i="4"/>
  <c r="L271" i="5"/>
  <c r="Q271" i="5"/>
  <c r="P271" i="5"/>
  <c r="I271" i="5"/>
  <c r="G269" i="5"/>
  <c r="L33" i="5"/>
  <c r="I33" i="5"/>
  <c r="Q33" i="5"/>
  <c r="P33" i="5"/>
  <c r="L110" i="5"/>
  <c r="G109" i="5"/>
  <c r="I110" i="5"/>
  <c r="P110" i="5"/>
  <c r="Q110" i="5"/>
  <c r="O51" i="4"/>
  <c r="P51" i="4"/>
  <c r="K51" i="4"/>
  <c r="I346" i="5"/>
  <c r="Q346" i="5"/>
  <c r="L346" i="5"/>
  <c r="P346" i="5"/>
  <c r="G341" i="5"/>
  <c r="L368" i="3"/>
  <c r="Y368" i="3"/>
  <c r="O368" i="3"/>
  <c r="Q368" i="3"/>
  <c r="J368" i="3"/>
  <c r="S368" i="3"/>
  <c r="AB368" i="3"/>
  <c r="AA368" i="3"/>
  <c r="L283" i="5"/>
  <c r="I283" i="5"/>
  <c r="Q283" i="5"/>
  <c r="P283" i="5"/>
  <c r="I63" i="5"/>
  <c r="I447" i="5"/>
  <c r="L63" i="5"/>
  <c r="L447" i="5"/>
  <c r="Q63" i="5"/>
  <c r="Q447" i="5"/>
  <c r="P63" i="5"/>
  <c r="P447" i="5"/>
  <c r="S272" i="3"/>
  <c r="O272" i="3"/>
  <c r="J272" i="3"/>
  <c r="Q272" i="3"/>
  <c r="AB272" i="3"/>
  <c r="L272" i="3"/>
  <c r="Y272" i="3"/>
  <c r="AA272" i="3"/>
  <c r="L77" i="5"/>
  <c r="L468" i="5"/>
  <c r="I77" i="5"/>
  <c r="I468" i="5"/>
  <c r="Q77" i="5"/>
  <c r="Q468" i="5"/>
  <c r="P77" i="5"/>
  <c r="P468" i="5"/>
  <c r="M737" i="14"/>
  <c r="L737" i="14"/>
  <c r="L1398" i="14"/>
  <c r="M930" i="14"/>
  <c r="M905" i="14"/>
  <c r="L1637" i="14"/>
  <c r="AA765" i="3"/>
  <c r="AA763" i="3"/>
  <c r="AA764" i="3"/>
  <c r="AA850" i="3"/>
  <c r="J1523" i="8"/>
  <c r="M198" i="1"/>
  <c r="Q198" i="1"/>
  <c r="K742" i="14"/>
  <c r="M743" i="14"/>
  <c r="AA954" i="3"/>
  <c r="AA936" i="3"/>
  <c r="AA935" i="3"/>
  <c r="AA288" i="3"/>
  <c r="AA879" i="3"/>
  <c r="AA287" i="3"/>
  <c r="AA878" i="3"/>
  <c r="K295" i="14"/>
  <c r="M297" i="14"/>
  <c r="M298" i="14"/>
  <c r="M923" i="14"/>
  <c r="M1456" i="14"/>
  <c r="L1456" i="14"/>
  <c r="M673" i="14"/>
  <c r="M1050" i="14"/>
  <c r="L1050" i="14"/>
  <c r="L183" i="14"/>
  <c r="M183" i="14"/>
  <c r="L1499" i="14"/>
  <c r="G1498" i="14"/>
  <c r="L1096" i="14"/>
  <c r="M1096" i="14"/>
  <c r="L1625" i="14"/>
  <c r="M1628" i="14"/>
  <c r="L27" i="14"/>
  <c r="M66" i="14"/>
  <c r="M245" i="14"/>
  <c r="M166" i="14"/>
  <c r="M1298" i="14"/>
  <c r="G1297" i="14"/>
  <c r="L1297" i="14"/>
  <c r="L1606" i="14"/>
  <c r="L1702" i="14"/>
  <c r="M1606" i="14"/>
  <c r="G1603" i="14"/>
  <c r="M247" i="14"/>
  <c r="L247" i="14"/>
  <c r="L1397" i="14"/>
  <c r="M1397" i="14"/>
  <c r="L1346" i="14"/>
  <c r="L446" i="14"/>
  <c r="G445" i="14"/>
  <c r="J2345" i="8"/>
  <c r="J2338" i="8"/>
  <c r="M318" i="1"/>
  <c r="Q318" i="1"/>
  <c r="J668" i="8"/>
  <c r="J661" i="8"/>
  <c r="M83" i="1"/>
  <c r="Q83" i="1"/>
  <c r="J565" i="8"/>
  <c r="J561" i="8"/>
  <c r="M73" i="1"/>
  <c r="Q73" i="1"/>
  <c r="J1728" i="8"/>
  <c r="J1721" i="8"/>
  <c r="M229" i="1"/>
  <c r="Q229" i="1"/>
  <c r="J139" i="8"/>
  <c r="J134" i="8"/>
  <c r="M19" i="1"/>
  <c r="Q19" i="1"/>
  <c r="AA280" i="3"/>
  <c r="AA277" i="3"/>
  <c r="AA276" i="3"/>
  <c r="AA279" i="3"/>
  <c r="J30" i="8"/>
  <c r="J22" i="8"/>
  <c r="M8" i="1"/>
  <c r="Q8" i="1"/>
  <c r="J1094" i="8"/>
  <c r="J1092" i="8"/>
  <c r="M143" i="1"/>
  <c r="Q143" i="1"/>
  <c r="J625" i="8"/>
  <c r="J620" i="8"/>
  <c r="M79" i="1"/>
  <c r="Q79" i="1"/>
  <c r="J2256" i="8"/>
  <c r="J2251" i="8"/>
  <c r="M301" i="1"/>
  <c r="Q301" i="1"/>
  <c r="J1262" i="8"/>
  <c r="J1257" i="8"/>
  <c r="M167" i="1"/>
  <c r="Q167" i="1"/>
  <c r="K170" i="4"/>
  <c r="O170" i="4"/>
  <c r="M984" i="14"/>
  <c r="L984" i="14"/>
  <c r="M103" i="14"/>
  <c r="L103" i="14"/>
  <c r="L1038" i="14"/>
  <c r="M1038" i="14"/>
  <c r="M1291" i="14"/>
  <c r="M1682" i="14"/>
  <c r="L1291" i="14"/>
  <c r="L1682" i="14"/>
  <c r="G1290" i="14"/>
  <c r="M1351" i="14"/>
  <c r="L1351" i="14"/>
  <c r="G1309" i="14"/>
  <c r="M1310" i="14"/>
  <c r="L1310" i="14"/>
  <c r="M695" i="14"/>
  <c r="L695" i="14"/>
  <c r="G466" i="14"/>
  <c r="M467" i="14"/>
  <c r="L467" i="14"/>
  <c r="L779" i="14"/>
  <c r="M779" i="14"/>
  <c r="M1345" i="14"/>
  <c r="L1345" i="14"/>
  <c r="L1558" i="14"/>
  <c r="M1558" i="14"/>
  <c r="M92" i="14"/>
  <c r="L92" i="14"/>
  <c r="M1592" i="14"/>
  <c r="L1592" i="14"/>
  <c r="M1313" i="14"/>
  <c r="L1313" i="14"/>
  <c r="L281" i="14"/>
  <c r="M281" i="14"/>
  <c r="G278" i="14"/>
  <c r="L1067" i="2"/>
  <c r="G1230" i="14"/>
  <c r="O261" i="3"/>
  <c r="Q261" i="3"/>
  <c r="J261" i="3"/>
  <c r="S261" i="3"/>
  <c r="L261" i="3"/>
  <c r="AB261" i="3"/>
  <c r="Y261" i="3"/>
  <c r="AA261" i="3"/>
  <c r="J2289" i="8"/>
  <c r="J2286" i="8"/>
  <c r="M305" i="1"/>
  <c r="Q305" i="1"/>
  <c r="J833" i="8"/>
  <c r="J827" i="8"/>
  <c r="M104" i="1"/>
  <c r="Q104" i="1"/>
  <c r="J900" i="8"/>
  <c r="J896" i="8"/>
  <c r="M113" i="1"/>
  <c r="Q113" i="1"/>
  <c r="J961" i="8"/>
  <c r="J957" i="8"/>
  <c r="M123" i="1"/>
  <c r="Q123" i="1"/>
  <c r="AA574" i="3"/>
  <c r="AA567" i="3"/>
  <c r="AA582" i="3"/>
  <c r="AA597" i="3"/>
  <c r="AA903" i="3"/>
  <c r="AA585" i="3"/>
  <c r="AA854" i="3"/>
  <c r="AA601" i="3"/>
  <c r="AA908" i="3"/>
  <c r="AA566" i="3"/>
  <c r="AA589" i="3"/>
  <c r="AA563" i="3"/>
  <c r="AA578" i="3"/>
  <c r="AA560" i="3"/>
  <c r="AA564" i="3"/>
  <c r="AA800" i="3"/>
  <c r="AA575" i="3"/>
  <c r="AA821" i="3"/>
  <c r="AA600" i="3"/>
  <c r="AA557" i="3"/>
  <c r="AA767" i="3"/>
  <c r="AA559" i="3"/>
  <c r="AA562" i="3"/>
  <c r="AA586" i="3"/>
  <c r="AA860" i="3"/>
  <c r="AA565" i="3"/>
  <c r="AA594" i="3"/>
  <c r="AA899" i="3"/>
  <c r="AA583" i="3"/>
  <c r="AA842" i="3"/>
  <c r="AA599" i="3"/>
  <c r="AA905" i="3"/>
  <c r="AA569" i="3"/>
  <c r="AA808" i="3"/>
  <c r="AA593" i="3"/>
  <c r="AA584" i="3"/>
  <c r="AA596" i="3"/>
  <c r="AA568" i="3"/>
  <c r="AA807" i="3"/>
  <c r="AA595" i="3"/>
  <c r="AA572" i="3"/>
  <c r="AA573" i="3"/>
  <c r="AA814" i="3"/>
  <c r="AA579" i="3"/>
  <c r="AA571" i="3"/>
  <c r="AA570" i="3"/>
  <c r="J972" i="8"/>
  <c r="J968" i="8"/>
  <c r="M124" i="1"/>
  <c r="Q124" i="1"/>
  <c r="J1997" i="8"/>
  <c r="J1990" i="8"/>
  <c r="M262" i="1"/>
  <c r="Q262" i="1"/>
  <c r="J941" i="8"/>
  <c r="J935" i="8"/>
  <c r="M120" i="1"/>
  <c r="Q120" i="1"/>
  <c r="J955" i="8"/>
  <c r="J949" i="8"/>
  <c r="M121" i="1"/>
  <c r="Q121" i="1"/>
  <c r="J1369" i="8"/>
  <c r="J1366" i="8"/>
  <c r="M180" i="1"/>
  <c r="Q180" i="1"/>
  <c r="AB805" i="3"/>
  <c r="AA441" i="3"/>
  <c r="AA833" i="3"/>
  <c r="AA440" i="3"/>
  <c r="AA130" i="3"/>
  <c r="K349" i="14"/>
  <c r="M349" i="14"/>
  <c r="M350" i="14"/>
  <c r="AA335" i="3"/>
  <c r="AA336" i="3"/>
  <c r="K15" i="14"/>
  <c r="M17" i="14"/>
  <c r="M15" i="14"/>
  <c r="M16" i="14"/>
  <c r="AA140" i="3"/>
  <c r="AA141" i="3"/>
  <c r="AA866" i="3"/>
  <c r="J514" i="3"/>
  <c r="Y514" i="3"/>
  <c r="L514" i="3"/>
  <c r="Q514" i="3"/>
  <c r="O514" i="3"/>
  <c r="S514" i="3"/>
  <c r="AB514" i="3"/>
  <c r="AA514" i="3"/>
  <c r="M1157" i="14"/>
  <c r="L1157" i="14"/>
  <c r="M1478" i="14"/>
  <c r="L1478" i="14"/>
  <c r="L1095" i="14"/>
  <c r="M1095" i="14"/>
  <c r="L1596" i="14"/>
  <c r="M1596" i="14"/>
  <c r="M1153" i="14"/>
  <c r="L1153" i="14"/>
  <c r="M1380" i="14"/>
  <c r="L1380" i="14"/>
  <c r="L1068" i="14"/>
  <c r="M1068" i="14"/>
  <c r="M623" i="14"/>
  <c r="M390" i="14"/>
  <c r="M890" i="14"/>
  <c r="L390" i="14"/>
  <c r="L383" i="14"/>
  <c r="M383" i="14"/>
  <c r="M39" i="14"/>
  <c r="G38" i="14"/>
  <c r="L39" i="14"/>
  <c r="L331" i="14"/>
  <c r="M331" i="14"/>
  <c r="G328" i="14"/>
  <c r="M1620" i="14"/>
  <c r="L1620" i="14"/>
  <c r="G1619" i="14"/>
  <c r="L163" i="5"/>
  <c r="I163" i="5"/>
  <c r="Q163" i="5"/>
  <c r="P163" i="5"/>
  <c r="H305" i="3"/>
  <c r="J306" i="3"/>
  <c r="AB306" i="3"/>
  <c r="Q306" i="3"/>
  <c r="Q789" i="3"/>
  <c r="L306" i="3"/>
  <c r="S306" i="3"/>
  <c r="AA306" i="3"/>
  <c r="Y306" i="3"/>
  <c r="O306" i="3"/>
  <c r="S550" i="3"/>
  <c r="AB550" i="3"/>
  <c r="H549" i="3"/>
  <c r="O549" i="3"/>
  <c r="O550" i="3"/>
  <c r="Q550" i="3"/>
  <c r="Y550" i="3"/>
  <c r="AA550" i="3"/>
  <c r="J550" i="3"/>
  <c r="L550" i="3"/>
  <c r="J2191" i="8"/>
  <c r="M292" i="1"/>
  <c r="Q292" i="1"/>
  <c r="J2194" i="8"/>
  <c r="AA449" i="3"/>
  <c r="AA448" i="3"/>
  <c r="J777" i="8"/>
  <c r="J773" i="8"/>
  <c r="M96" i="1"/>
  <c r="Q96" i="1"/>
  <c r="J184" i="8"/>
  <c r="J178" i="8"/>
  <c r="M26" i="1"/>
  <c r="Q26" i="1"/>
  <c r="AB977" i="3"/>
  <c r="AA923" i="3"/>
  <c r="AA925" i="3"/>
  <c r="AA979" i="3"/>
  <c r="AA921" i="3"/>
  <c r="AA924" i="3"/>
  <c r="AA920" i="3"/>
  <c r="AA27" i="3"/>
  <c r="AA22" i="3"/>
  <c r="AA24" i="3"/>
  <c r="K341" i="14"/>
  <c r="M344" i="14"/>
  <c r="M884" i="14"/>
  <c r="M343" i="14"/>
  <c r="M883" i="14"/>
  <c r="M342" i="14"/>
  <c r="M882" i="14"/>
  <c r="S588" i="3"/>
  <c r="S876" i="3"/>
  <c r="Y588" i="3"/>
  <c r="Y876" i="3"/>
  <c r="M1452" i="14"/>
  <c r="L1452" i="14"/>
  <c r="L1020" i="14"/>
  <c r="M1020" i="14"/>
  <c r="P186" i="4"/>
  <c r="O186" i="4"/>
  <c r="K186" i="4"/>
  <c r="K807" i="14"/>
  <c r="M807" i="14"/>
  <c r="M808" i="14"/>
  <c r="M809" i="14"/>
  <c r="J2057" i="8"/>
  <c r="J2051" i="8"/>
  <c r="M269" i="1"/>
  <c r="Q269" i="1"/>
  <c r="L250" i="5"/>
  <c r="I250" i="5"/>
  <c r="Q250" i="5"/>
  <c r="P250" i="5"/>
  <c r="Y632" i="3"/>
  <c r="Q632" i="3"/>
  <c r="S632" i="3"/>
  <c r="O632" i="3"/>
  <c r="AA632" i="3"/>
  <c r="AB632" i="3"/>
  <c r="L632" i="3"/>
  <c r="J632" i="3"/>
  <c r="K94" i="4"/>
  <c r="P94" i="4"/>
  <c r="O94" i="4"/>
  <c r="AB185" i="3"/>
  <c r="O185" i="3"/>
  <c r="J185" i="3"/>
  <c r="AA185" i="3"/>
  <c r="Y185" i="3"/>
  <c r="P390" i="5"/>
  <c r="I390" i="5"/>
  <c r="Y29" i="3"/>
  <c r="AB68" i="3"/>
  <c r="AB841" i="3"/>
  <c r="S68" i="3"/>
  <c r="Q68" i="3"/>
  <c r="Q841" i="3"/>
  <c r="AB168" i="3"/>
  <c r="L274" i="5"/>
  <c r="P274" i="5"/>
  <c r="G374" i="5"/>
  <c r="L374" i="5"/>
  <c r="AA237" i="3"/>
  <c r="L459" i="14"/>
  <c r="L458" i="14"/>
  <c r="L718" i="14"/>
  <c r="L712" i="14"/>
  <c r="L714" i="14"/>
  <c r="L710" i="14"/>
  <c r="L719" i="14"/>
  <c r="L721" i="14"/>
  <c r="L723" i="14"/>
  <c r="L713" i="14"/>
  <c r="L716" i="14"/>
  <c r="L724" i="14"/>
  <c r="L720" i="14"/>
  <c r="L711" i="14"/>
  <c r="Y424" i="3"/>
  <c r="AA927" i="3"/>
  <c r="AA929" i="3"/>
  <c r="AA977" i="3"/>
  <c r="AA930" i="3"/>
  <c r="J2362" i="8"/>
  <c r="J2356" i="8"/>
  <c r="M319" i="1"/>
  <c r="Q319" i="1"/>
  <c r="K647" i="14"/>
  <c r="L673" i="14"/>
  <c r="M656" i="14"/>
  <c r="M669" i="14"/>
  <c r="M676" i="14"/>
  <c r="M650" i="14"/>
  <c r="M657" i="14"/>
  <c r="M682" i="14"/>
  <c r="M670" i="14"/>
  <c r="M897" i="14"/>
  <c r="M683" i="14"/>
  <c r="M651" i="14"/>
  <c r="M671" i="14"/>
  <c r="M898" i="14"/>
  <c r="M684" i="14"/>
  <c r="M688" i="14"/>
  <c r="M659" i="14"/>
  <c r="M667" i="14"/>
  <c r="M663" i="14"/>
  <c r="M664" i="14"/>
  <c r="M668" i="14"/>
  <c r="M672" i="14"/>
  <c r="M679" i="14"/>
  <c r="M665" i="14"/>
  <c r="M655" i="14"/>
  <c r="M658" i="14"/>
  <c r="M661" i="14"/>
  <c r="M648" i="14"/>
  <c r="M660" i="14"/>
  <c r="M685" i="14"/>
  <c r="M686" i="14"/>
  <c r="M662" i="14"/>
  <c r="M680" i="14"/>
  <c r="M689" i="14"/>
  <c r="M654" i="14"/>
  <c r="J1951" i="8"/>
  <c r="J1946" i="8"/>
  <c r="M256" i="1"/>
  <c r="Q256" i="1"/>
  <c r="J552" i="8"/>
  <c r="J545" i="8"/>
  <c r="M72" i="1"/>
  <c r="Q72" i="1"/>
  <c r="J1448" i="8"/>
  <c r="J1442" i="8"/>
  <c r="M189" i="1"/>
  <c r="Q189" i="1"/>
  <c r="J579" i="8"/>
  <c r="J572" i="8"/>
  <c r="M74" i="1"/>
  <c r="Q74" i="1"/>
  <c r="J2163" i="8"/>
  <c r="J2160" i="8"/>
  <c r="M289" i="1"/>
  <c r="Q289" i="1"/>
  <c r="K285" i="14"/>
  <c r="M286" i="14"/>
  <c r="M290" i="14"/>
  <c r="M289" i="14"/>
  <c r="M287" i="14"/>
  <c r="J15" i="8"/>
  <c r="J7" i="8"/>
  <c r="M7" i="1"/>
  <c r="Q7" i="1"/>
  <c r="M338" i="14"/>
  <c r="M868" i="14"/>
  <c r="M337" i="14"/>
  <c r="M339" i="14"/>
  <c r="M869" i="14"/>
  <c r="M340" i="14"/>
  <c r="M870" i="14"/>
  <c r="K337" i="14"/>
  <c r="J2243" i="8"/>
  <c r="J2238" i="8"/>
  <c r="M300" i="1"/>
  <c r="Q300" i="1"/>
  <c r="J2221" i="8"/>
  <c r="J2216" i="8"/>
  <c r="M296" i="1"/>
  <c r="Q296" i="1"/>
  <c r="AA144" i="3"/>
  <c r="AA159" i="3"/>
  <c r="AA861" i="3"/>
  <c r="AA145" i="3"/>
  <c r="AA171" i="3"/>
  <c r="AA907" i="3"/>
  <c r="AA151" i="3"/>
  <c r="AA794" i="3"/>
  <c r="AA149" i="3"/>
  <c r="AA148" i="3"/>
  <c r="AA160" i="3"/>
  <c r="AA863" i="3"/>
  <c r="AA169" i="3"/>
  <c r="AA891" i="3"/>
  <c r="AA143" i="3"/>
  <c r="AA769" i="3"/>
  <c r="AA170" i="3"/>
  <c r="AA898" i="3"/>
  <c r="AA154" i="3"/>
  <c r="AA844" i="3"/>
  <c r="AA146" i="3"/>
  <c r="AA778" i="3"/>
  <c r="AA164" i="3"/>
  <c r="AA150" i="3"/>
  <c r="AA155" i="3"/>
  <c r="AA157" i="3"/>
  <c r="AA852" i="3"/>
  <c r="AA147" i="3"/>
  <c r="AA156" i="3"/>
  <c r="AA847" i="3"/>
  <c r="AA152" i="3"/>
  <c r="AA158" i="3"/>
  <c r="AA859" i="3"/>
  <c r="AA161" i="3"/>
  <c r="AA868" i="3"/>
  <c r="AA167" i="3"/>
  <c r="AA886" i="3"/>
  <c r="AA162" i="3"/>
  <c r="K28" i="4"/>
  <c r="O28" i="4"/>
  <c r="P28" i="4"/>
  <c r="J105" i="3"/>
  <c r="Q105" i="3"/>
  <c r="S105" i="3"/>
  <c r="S830" i="3"/>
  <c r="O105" i="3"/>
  <c r="O830" i="3"/>
  <c r="AB105" i="3"/>
  <c r="L105" i="3"/>
  <c r="L830" i="3"/>
  <c r="Y105" i="3"/>
  <c r="AA105" i="3"/>
  <c r="AA830" i="3"/>
  <c r="P82" i="4"/>
  <c r="K82" i="4"/>
  <c r="O82" i="4"/>
  <c r="L95" i="5"/>
  <c r="L445" i="5"/>
  <c r="P95" i="5"/>
  <c r="P445" i="5"/>
  <c r="I95" i="5"/>
  <c r="I445" i="5"/>
  <c r="Q95" i="5"/>
  <c r="Q445" i="5"/>
  <c r="G94" i="5"/>
  <c r="I94" i="5"/>
  <c r="L149" i="5"/>
  <c r="I149" i="5"/>
  <c r="P149" i="5"/>
  <c r="Q149" i="5"/>
  <c r="L112" i="5"/>
  <c r="G111" i="5"/>
  <c r="I112" i="5"/>
  <c r="P112" i="5"/>
  <c r="Q112" i="5"/>
  <c r="Q651" i="3"/>
  <c r="S651" i="3"/>
  <c r="J651" i="3"/>
  <c r="O651" i="3"/>
  <c r="L651" i="3"/>
  <c r="AB651" i="3"/>
  <c r="Y651" i="3"/>
  <c r="AA651" i="3"/>
  <c r="J445" i="3"/>
  <c r="O445" i="3"/>
  <c r="O846" i="3"/>
  <c r="Q445" i="3"/>
  <c r="Y445" i="3"/>
  <c r="AB445" i="3"/>
  <c r="AB846" i="3"/>
  <c r="L445" i="3"/>
  <c r="H444" i="3"/>
  <c r="S445" i="3"/>
  <c r="AA445" i="3"/>
  <c r="S735" i="3"/>
  <c r="Y735" i="3"/>
  <c r="L735" i="3"/>
  <c r="J735" i="3"/>
  <c r="J843" i="3"/>
  <c r="O735" i="3"/>
  <c r="AB735" i="3"/>
  <c r="AA735" i="3"/>
  <c r="Q735" i="3"/>
  <c r="L143" i="5"/>
  <c r="I143" i="5"/>
  <c r="P143" i="5"/>
  <c r="Q143" i="5"/>
  <c r="Q329" i="5"/>
  <c r="L329" i="5"/>
  <c r="I329" i="5"/>
  <c r="P329" i="5"/>
  <c r="J94" i="3"/>
  <c r="S94" i="3"/>
  <c r="AB94" i="3"/>
  <c r="O94" i="3"/>
  <c r="L94" i="3"/>
  <c r="Q94" i="3"/>
  <c r="Y94" i="3"/>
  <c r="AA94" i="3"/>
  <c r="I363" i="5"/>
  <c r="Q363" i="5"/>
  <c r="L363" i="5"/>
  <c r="P363" i="5"/>
  <c r="L115" i="5"/>
  <c r="I115" i="5"/>
  <c r="P115" i="5"/>
  <c r="Q115" i="5"/>
  <c r="Q271" i="3"/>
  <c r="O271" i="3"/>
  <c r="AB271" i="3"/>
  <c r="J271" i="3"/>
  <c r="J789" i="3"/>
  <c r="L271" i="3"/>
  <c r="Y271" i="3"/>
  <c r="Y789" i="3"/>
  <c r="H268" i="3"/>
  <c r="S271" i="3"/>
  <c r="S789" i="3"/>
  <c r="AA271" i="3"/>
  <c r="F1069" i="2"/>
  <c r="S140" i="1"/>
  <c r="T140" i="1"/>
  <c r="R140" i="1"/>
  <c r="R308" i="1"/>
  <c r="M963" i="14"/>
  <c r="L963" i="14"/>
  <c r="M137" i="14"/>
  <c r="L137" i="14"/>
  <c r="G136" i="14"/>
  <c r="J2156" i="8"/>
  <c r="J2153" i="8"/>
  <c r="M287" i="1"/>
  <c r="Q287" i="1"/>
  <c r="AB860" i="3"/>
  <c r="J849" i="8"/>
  <c r="J843" i="8"/>
  <c r="M105" i="1"/>
  <c r="Q105" i="1"/>
  <c r="M634" i="14"/>
  <c r="M959" i="14"/>
  <c r="M595" i="14"/>
  <c r="M627" i="14"/>
  <c r="M948" i="14"/>
  <c r="M628" i="14"/>
  <c r="M618" i="14"/>
  <c r="M602" i="14"/>
  <c r="M852" i="14"/>
  <c r="M629" i="14"/>
  <c r="M597" i="14"/>
  <c r="M844" i="14"/>
  <c r="M622" i="14"/>
  <c r="M928" i="14"/>
  <c r="M598" i="14"/>
  <c r="M848" i="14"/>
  <c r="M615" i="14"/>
  <c r="M633" i="14"/>
  <c r="M957" i="14"/>
  <c r="M632" i="14"/>
  <c r="M956" i="14"/>
  <c r="M636" i="14"/>
  <c r="M592" i="14"/>
  <c r="M596" i="14"/>
  <c r="M626" i="14"/>
  <c r="M946" i="14"/>
  <c r="K589" i="14"/>
  <c r="L623" i="14"/>
  <c r="M601" i="14"/>
  <c r="M851" i="14"/>
  <c r="M611" i="14"/>
  <c r="M608" i="14"/>
  <c r="M865" i="14"/>
  <c r="M635" i="14"/>
  <c r="M630" i="14"/>
  <c r="M952" i="14"/>
  <c r="M593" i="14"/>
  <c r="M607" i="14"/>
  <c r="M600" i="14"/>
  <c r="M850" i="14"/>
  <c r="M599" i="14"/>
  <c r="M605" i="14"/>
  <c r="M637" i="14"/>
  <c r="M955" i="14"/>
  <c r="M590" i="14"/>
  <c r="M811" i="14"/>
  <c r="M616" i="14"/>
  <c r="M617" i="14"/>
  <c r="M892" i="14"/>
  <c r="M619" i="14"/>
  <c r="M904" i="14"/>
  <c r="M604" i="14"/>
  <c r="M603" i="14"/>
  <c r="M612" i="14"/>
  <c r="M606" i="14"/>
  <c r="J889" i="8"/>
  <c r="J885" i="8"/>
  <c r="M112" i="1"/>
  <c r="Q112" i="1"/>
  <c r="J1042" i="8"/>
  <c r="J1036" i="8"/>
  <c r="M136" i="1"/>
  <c r="Q136" i="1"/>
  <c r="AB906" i="3"/>
  <c r="AA269" i="3"/>
  <c r="AA773" i="3"/>
  <c r="AA270" i="3"/>
  <c r="AA273" i="3"/>
  <c r="AA274" i="3"/>
  <c r="J500" i="8"/>
  <c r="J495" i="8"/>
  <c r="M65" i="1"/>
  <c r="Q65" i="1"/>
  <c r="AA35" i="3"/>
  <c r="K138" i="14"/>
  <c r="M138" i="14"/>
  <c r="M139" i="14"/>
  <c r="M910" i="14"/>
  <c r="L1129" i="14"/>
  <c r="M1129" i="14"/>
  <c r="M999" i="14"/>
  <c r="L999" i="14"/>
  <c r="P201" i="4"/>
  <c r="K201" i="4"/>
  <c r="O201" i="4"/>
  <c r="I272" i="5"/>
  <c r="P272" i="5"/>
  <c r="Q272" i="5"/>
  <c r="L272" i="5"/>
  <c r="K139" i="4"/>
  <c r="P139" i="4"/>
  <c r="O139" i="4"/>
  <c r="L367" i="5"/>
  <c r="I367" i="5"/>
  <c r="Q367" i="5"/>
  <c r="P367" i="5"/>
  <c r="P197" i="4"/>
  <c r="K197" i="4"/>
  <c r="O197" i="4"/>
  <c r="L178" i="5"/>
  <c r="I178" i="5"/>
  <c r="Q178" i="5"/>
  <c r="P178" i="5"/>
  <c r="O112" i="4"/>
  <c r="P112" i="4"/>
  <c r="K112" i="4"/>
  <c r="O590" i="3"/>
  <c r="O888" i="3"/>
  <c r="L590" i="3"/>
  <c r="L888" i="3"/>
  <c r="J590" i="3"/>
  <c r="J888" i="3"/>
  <c r="Q590" i="3"/>
  <c r="Q888" i="3"/>
  <c r="AB590" i="3"/>
  <c r="AB888" i="3"/>
  <c r="S590" i="3"/>
  <c r="S888" i="3"/>
  <c r="Y590" i="3"/>
  <c r="Y888" i="3"/>
  <c r="AA590" i="3"/>
  <c r="AA888" i="3"/>
  <c r="O374" i="3"/>
  <c r="Q374" i="3"/>
  <c r="Q846" i="3"/>
  <c r="S374" i="3"/>
  <c r="Y374" i="3"/>
  <c r="Y846" i="3"/>
  <c r="J374" i="3"/>
  <c r="AB374" i="3"/>
  <c r="AA374" i="3"/>
  <c r="L374" i="3"/>
  <c r="L846" i="3"/>
  <c r="S367" i="3"/>
  <c r="O367" i="3"/>
  <c r="Q367" i="3"/>
  <c r="AA367" i="3"/>
  <c r="J367" i="3"/>
  <c r="AB367" i="3"/>
  <c r="Y367" i="3"/>
  <c r="L367" i="3"/>
  <c r="Q41" i="3"/>
  <c r="AB41" i="3"/>
  <c r="L41" i="3"/>
  <c r="Y41" i="3"/>
  <c r="O41" i="3"/>
  <c r="AA41" i="3"/>
  <c r="H40" i="3"/>
  <c r="J41" i="3"/>
  <c r="S41" i="3"/>
  <c r="O317" i="3"/>
  <c r="AB317" i="3"/>
  <c r="J317" i="3"/>
  <c r="S317" i="3"/>
  <c r="Q317" i="3"/>
  <c r="H314" i="3"/>
  <c r="L317" i="3"/>
  <c r="Y317" i="3"/>
  <c r="AA317" i="3"/>
  <c r="L385" i="5"/>
  <c r="I385" i="5"/>
  <c r="Q385" i="5"/>
  <c r="P385" i="5"/>
  <c r="G384" i="5"/>
  <c r="J1353" i="2"/>
  <c r="H420" i="3"/>
  <c r="J1356" i="2"/>
  <c r="G624" i="14"/>
  <c r="J1357" i="2"/>
  <c r="L1362" i="2"/>
  <c r="G133" i="5"/>
  <c r="L1363" i="2"/>
  <c r="G69" i="5"/>
  <c r="L1209" i="14"/>
  <c r="M1209" i="14"/>
  <c r="AA443" i="3"/>
  <c r="AA442" i="3"/>
  <c r="J2401" i="8"/>
  <c r="J2395" i="8"/>
  <c r="M321" i="1"/>
  <c r="Q321" i="1"/>
  <c r="J2282" i="8"/>
  <c r="J2279" i="8"/>
  <c r="M304" i="1"/>
  <c r="Q304" i="1"/>
  <c r="K470" i="14"/>
  <c r="M471" i="14"/>
  <c r="M470" i="14"/>
  <c r="AA308" i="3"/>
  <c r="AA776" i="3"/>
  <c r="K318" i="14"/>
  <c r="M325" i="14"/>
  <c r="M319" i="14"/>
  <c r="M820" i="14"/>
  <c r="J315" i="8"/>
  <c r="J311" i="8"/>
  <c r="M42" i="1"/>
  <c r="Q42" i="1"/>
  <c r="AB978" i="3"/>
  <c r="J2378" i="8"/>
  <c r="J2373" i="8"/>
  <c r="M320" i="1"/>
  <c r="Q320" i="1"/>
  <c r="L621" i="14"/>
  <c r="M817" i="14"/>
  <c r="O521" i="3"/>
  <c r="S521" i="3"/>
  <c r="J521" i="3"/>
  <c r="Y521" i="3"/>
  <c r="L521" i="3"/>
  <c r="Q521" i="3"/>
  <c r="AB521" i="3"/>
  <c r="AB902" i="3"/>
  <c r="AA521" i="3"/>
  <c r="L588" i="14"/>
  <c r="L841" i="14"/>
  <c r="L587" i="14"/>
  <c r="L584" i="14"/>
  <c r="L586" i="14"/>
  <c r="L901" i="14"/>
  <c r="L585" i="14"/>
  <c r="L836" i="14"/>
  <c r="Q25" i="5"/>
  <c r="P25" i="5"/>
  <c r="M1239" i="14"/>
  <c r="L1239" i="14"/>
  <c r="M1229" i="14"/>
  <c r="L1229" i="14"/>
  <c r="L581" i="14"/>
  <c r="L580" i="14"/>
  <c r="L730" i="14"/>
  <c r="M730" i="14"/>
  <c r="Q463" i="3"/>
  <c r="O463" i="3"/>
  <c r="AB463" i="3"/>
  <c r="L463" i="3"/>
  <c r="AA463" i="3"/>
  <c r="Y463" i="3"/>
  <c r="J463" i="3"/>
  <c r="S463" i="3"/>
  <c r="M568" i="14"/>
  <c r="L568" i="14"/>
  <c r="L739" i="3"/>
  <c r="Y739" i="3"/>
  <c r="AB739" i="3"/>
  <c r="S739" i="3"/>
  <c r="Q739" i="3"/>
  <c r="O739" i="3"/>
  <c r="J739" i="3"/>
  <c r="AA739" i="3"/>
  <c r="J669" i="3"/>
  <c r="S669" i="3"/>
  <c r="L669" i="3"/>
  <c r="Q669" i="3"/>
  <c r="O669" i="3"/>
  <c r="AB669" i="3"/>
  <c r="Y669" i="3"/>
  <c r="AA669" i="3"/>
  <c r="P288" i="5"/>
  <c r="Q288" i="5"/>
  <c r="I288" i="5"/>
  <c r="L288" i="5"/>
  <c r="L497" i="3"/>
  <c r="Y497" i="3"/>
  <c r="O497" i="3"/>
  <c r="Q497" i="3"/>
  <c r="J497" i="3"/>
  <c r="S497" i="3"/>
  <c r="AB497" i="3"/>
  <c r="AA497" i="3"/>
  <c r="L212" i="5"/>
  <c r="I212" i="5"/>
  <c r="Q212" i="5"/>
  <c r="J625" i="3"/>
  <c r="L625" i="3"/>
  <c r="Y625" i="3"/>
  <c r="O625" i="3"/>
  <c r="Q625" i="3"/>
  <c r="S625" i="3"/>
  <c r="AB625" i="3"/>
  <c r="S292" i="3"/>
  <c r="Y292" i="3"/>
  <c r="J623" i="3"/>
  <c r="S623" i="3"/>
  <c r="L623" i="3"/>
  <c r="Q623" i="3"/>
  <c r="Y623" i="3"/>
  <c r="O623" i="3"/>
  <c r="AB623" i="3"/>
  <c r="AB345" i="3"/>
  <c r="O345" i="3"/>
  <c r="J345" i="3"/>
  <c r="L345" i="3"/>
  <c r="S345" i="3"/>
  <c r="Q345" i="3"/>
  <c r="Y345" i="3"/>
  <c r="AA345" i="3"/>
  <c r="M419" i="14"/>
  <c r="L419" i="14"/>
  <c r="M1242" i="14"/>
  <c r="L1242" i="14"/>
  <c r="L382" i="5"/>
  <c r="Q382" i="5"/>
  <c r="P382" i="5"/>
  <c r="I382" i="5"/>
  <c r="S74" i="3"/>
  <c r="J236" i="3"/>
  <c r="L236" i="3"/>
  <c r="S236" i="3"/>
  <c r="Y236" i="3"/>
  <c r="AB236" i="3"/>
  <c r="Q236" i="3"/>
  <c r="O236" i="3"/>
  <c r="AA236" i="3"/>
  <c r="AB203" i="3"/>
  <c r="P224" i="4"/>
  <c r="J240" i="3"/>
  <c r="O240" i="3"/>
  <c r="S240" i="3"/>
  <c r="L240" i="3"/>
  <c r="Q240" i="3"/>
  <c r="Y240" i="3"/>
  <c r="AB240" i="3"/>
  <c r="AA240" i="3"/>
  <c r="L54" i="5"/>
  <c r="I54" i="5"/>
  <c r="Q54" i="5"/>
  <c r="P54" i="5"/>
  <c r="Q416" i="3"/>
  <c r="J416" i="3"/>
  <c r="L416" i="3"/>
  <c r="S416" i="3"/>
  <c r="O416" i="3"/>
  <c r="AB416" i="3"/>
  <c r="AA416" i="3"/>
  <c r="Y416" i="3"/>
  <c r="M507" i="14"/>
  <c r="L507" i="14"/>
  <c r="L277" i="14"/>
  <c r="L276" i="14"/>
  <c r="M1212" i="14"/>
  <c r="P161" i="4"/>
  <c r="K161" i="4"/>
  <c r="M1115" i="14"/>
  <c r="L1115" i="14"/>
  <c r="M1248" i="14"/>
  <c r="L1248" i="14"/>
  <c r="L326" i="14"/>
  <c r="L327" i="14"/>
  <c r="L955" i="14"/>
  <c r="L203" i="14"/>
  <c r="L202" i="14"/>
  <c r="O884" i="3"/>
  <c r="Q884" i="3"/>
  <c r="I180" i="5"/>
  <c r="Q180" i="5"/>
  <c r="L180" i="5"/>
  <c r="P180" i="5"/>
  <c r="Q297" i="5"/>
  <c r="P297" i="5"/>
  <c r="I297" i="5"/>
  <c r="L297" i="5"/>
  <c r="M1210" i="14"/>
  <c r="L1210" i="14"/>
  <c r="Y535" i="3"/>
  <c r="AA535" i="3"/>
  <c r="Q535" i="3"/>
  <c r="AB535" i="3"/>
  <c r="O535" i="3"/>
  <c r="S535" i="3"/>
  <c r="L535" i="3"/>
  <c r="J535" i="3"/>
  <c r="M700" i="14"/>
  <c r="L700" i="14"/>
  <c r="L528" i="14"/>
  <c r="M528" i="14"/>
  <c r="P459" i="5"/>
  <c r="AA902" i="3"/>
  <c r="L885" i="14"/>
  <c r="I73" i="5"/>
  <c r="I463" i="5"/>
  <c r="P73" i="5"/>
  <c r="P463" i="5"/>
  <c r="Q73" i="5"/>
  <c r="Q463" i="5"/>
  <c r="L73" i="5"/>
  <c r="L463" i="5"/>
  <c r="L1021" i="14"/>
  <c r="M1021" i="14"/>
  <c r="P48" i="5"/>
  <c r="I48" i="5"/>
  <c r="L48" i="5"/>
  <c r="Q48" i="5"/>
  <c r="L248" i="3"/>
  <c r="Q248" i="3"/>
  <c r="L12" i="14"/>
  <c r="L11" i="14"/>
  <c r="L10" i="14"/>
  <c r="L38" i="5"/>
  <c r="I38" i="5"/>
  <c r="P38" i="5"/>
  <c r="Q38" i="5"/>
  <c r="Y686" i="3"/>
  <c r="J695" i="3"/>
  <c r="Q695" i="3"/>
  <c r="S695" i="3"/>
  <c r="O695" i="3"/>
  <c r="L695" i="3"/>
  <c r="AB695" i="3"/>
  <c r="Y695" i="3"/>
  <c r="Q201" i="5"/>
  <c r="L199" i="5"/>
  <c r="I199" i="5"/>
  <c r="Q199" i="5"/>
  <c r="L1101" i="14"/>
  <c r="M1101" i="14"/>
  <c r="O403" i="3"/>
  <c r="Q403" i="3"/>
  <c r="S403" i="3"/>
  <c r="J403" i="3"/>
  <c r="L403" i="3"/>
  <c r="Y403" i="3"/>
  <c r="AB403" i="3"/>
  <c r="AA403" i="3"/>
  <c r="P51" i="5"/>
  <c r="L51" i="5"/>
  <c r="Q51" i="5"/>
  <c r="I51" i="5"/>
  <c r="M1206" i="14"/>
  <c r="L1206" i="14"/>
  <c r="L1332" i="14"/>
  <c r="M1332" i="14"/>
  <c r="L515" i="14"/>
  <c r="M515" i="14"/>
  <c r="M303" i="14"/>
  <c r="L303" i="14"/>
  <c r="Q485" i="3"/>
  <c r="AB485" i="3"/>
  <c r="I21" i="5"/>
  <c r="P21" i="5"/>
  <c r="L21" i="5"/>
  <c r="Q21" i="5"/>
  <c r="L1117" i="14"/>
  <c r="M1117" i="14"/>
  <c r="L171" i="14"/>
  <c r="L173" i="14"/>
  <c r="L174" i="14"/>
  <c r="L107" i="14"/>
  <c r="L108" i="14"/>
  <c r="L845" i="14"/>
  <c r="O159" i="4"/>
  <c r="K159" i="4"/>
  <c r="O165" i="4"/>
  <c r="P165" i="4"/>
  <c r="J884" i="3"/>
  <c r="M216" i="14"/>
  <c r="L216" i="14"/>
  <c r="Y613" i="3"/>
  <c r="AB613" i="3"/>
  <c r="S244" i="3"/>
  <c r="Q244" i="3"/>
  <c r="O244" i="3"/>
  <c r="Y244" i="3"/>
  <c r="J244" i="3"/>
  <c r="AB244" i="3"/>
  <c r="L244" i="3"/>
  <c r="AA244" i="3"/>
  <c r="I19" i="5"/>
  <c r="L19" i="5"/>
  <c r="Q19" i="5"/>
  <c r="P19" i="5"/>
  <c r="O656" i="3"/>
  <c r="Q656" i="3"/>
  <c r="L656" i="3"/>
  <c r="S656" i="3"/>
  <c r="J656" i="3"/>
  <c r="AB656" i="3"/>
  <c r="Y656" i="3"/>
  <c r="AA656" i="3"/>
  <c r="O506" i="3"/>
  <c r="Y506" i="3"/>
  <c r="J506" i="3"/>
  <c r="L506" i="3"/>
  <c r="Q506" i="3"/>
  <c r="AB506" i="3"/>
  <c r="S506" i="3"/>
  <c r="AA506" i="3"/>
  <c r="Q459" i="5"/>
  <c r="M832" i="14"/>
  <c r="L949" i="14"/>
  <c r="L178" i="14"/>
  <c r="L890" i="14"/>
  <c r="L179" i="14"/>
  <c r="L177" i="14"/>
  <c r="M1705" i="14"/>
  <c r="L1264" i="14"/>
  <c r="L1705" i="14"/>
  <c r="I154" i="5"/>
  <c r="P154" i="5"/>
  <c r="L154" i="5"/>
  <c r="Q154" i="5"/>
  <c r="P65" i="4"/>
  <c r="K65" i="4"/>
  <c r="O65" i="4"/>
  <c r="L1113" i="14"/>
  <c r="L348" i="14"/>
  <c r="L893" i="14"/>
  <c r="L347" i="14"/>
  <c r="J252" i="3"/>
  <c r="S252" i="3"/>
  <c r="L252" i="3"/>
  <c r="O252" i="3"/>
  <c r="Y252" i="3"/>
  <c r="Q252" i="3"/>
  <c r="AB252" i="3"/>
  <c r="AA252" i="3"/>
  <c r="Y641" i="3"/>
  <c r="O641" i="3"/>
  <c r="Q641" i="3"/>
  <c r="L641" i="3"/>
  <c r="J641" i="3"/>
  <c r="S641" i="3"/>
  <c r="AB641" i="3"/>
  <c r="M491" i="14"/>
  <c r="I192" i="5"/>
  <c r="L192" i="5"/>
  <c r="Q192" i="5"/>
  <c r="O614" i="3"/>
  <c r="Q614" i="3"/>
  <c r="J614" i="3"/>
  <c r="S614" i="3"/>
  <c r="L614" i="3"/>
  <c r="Y614" i="3"/>
  <c r="AB614" i="3"/>
  <c r="I204" i="5"/>
  <c r="Q204" i="5"/>
  <c r="Q676" i="3"/>
  <c r="J676" i="3"/>
  <c r="L676" i="3"/>
  <c r="S676" i="3"/>
  <c r="O676" i="3"/>
  <c r="Y676" i="3"/>
  <c r="AB676" i="3"/>
  <c r="AA676" i="3"/>
  <c r="K145" i="4"/>
  <c r="O145" i="4"/>
  <c r="P145" i="4"/>
  <c r="L423" i="14"/>
  <c r="L426" i="14"/>
  <c r="L850" i="14"/>
  <c r="L441" i="14"/>
  <c r="L435" i="14"/>
  <c r="L422" i="14"/>
  <c r="L421" i="14"/>
  <c r="L430" i="14"/>
  <c r="L428" i="14"/>
  <c r="L442" i="14"/>
  <c r="L434" i="14"/>
  <c r="L427" i="14"/>
  <c r="L439" i="14"/>
  <c r="L425" i="14"/>
  <c r="L487" i="14"/>
  <c r="M487" i="14"/>
  <c r="L311" i="14"/>
  <c r="L892" i="14"/>
  <c r="L315" i="14"/>
  <c r="L307" i="14"/>
  <c r="L312" i="14"/>
  <c r="L314" i="14"/>
  <c r="L15" i="5"/>
  <c r="I15" i="5"/>
  <c r="Q15" i="5"/>
  <c r="P15" i="5"/>
  <c r="J562" i="3"/>
  <c r="L562" i="3"/>
  <c r="S562" i="3"/>
  <c r="Y562" i="3"/>
  <c r="Q562" i="3"/>
  <c r="O562" i="3"/>
  <c r="AB562" i="3"/>
  <c r="I130" i="5"/>
  <c r="Q130" i="5"/>
  <c r="P130" i="5"/>
  <c r="L130" i="5"/>
  <c r="O493" i="3"/>
  <c r="AB493" i="3"/>
  <c r="AA493" i="3"/>
  <c r="S493" i="3"/>
  <c r="Q493" i="3"/>
  <c r="L493" i="3"/>
  <c r="Y493" i="3"/>
  <c r="J493" i="3"/>
  <c r="M359" i="14"/>
  <c r="L359" i="14"/>
  <c r="M206" i="14"/>
  <c r="L206" i="14"/>
  <c r="M522" i="14"/>
  <c r="L522" i="14"/>
  <c r="L424" i="14"/>
  <c r="L848" i="14"/>
  <c r="L389" i="14"/>
  <c r="L1281" i="14"/>
  <c r="L1051" i="14"/>
  <c r="M1051" i="14"/>
  <c r="G140" i="5"/>
  <c r="G1342" i="14"/>
  <c r="Q215" i="3"/>
  <c r="AB215" i="3"/>
  <c r="AA215" i="3"/>
  <c r="Y215" i="3"/>
  <c r="J215" i="3"/>
  <c r="O215" i="3"/>
  <c r="S215" i="3"/>
  <c r="L215" i="3"/>
  <c r="O212" i="3"/>
  <c r="Q212" i="3"/>
  <c r="L212" i="3"/>
  <c r="AB212" i="3"/>
  <c r="S212" i="3"/>
  <c r="AA212" i="3"/>
  <c r="Y212" i="3"/>
  <c r="J212" i="3"/>
  <c r="M1334" i="14"/>
  <c r="L1334" i="14"/>
  <c r="M1574" i="14"/>
  <c r="L1574" i="14"/>
  <c r="M1034" i="14"/>
  <c r="L1034" i="14"/>
  <c r="I459" i="5"/>
  <c r="L1216" i="14"/>
  <c r="O157" i="4"/>
  <c r="P157" i="4"/>
  <c r="L156" i="5"/>
  <c r="I156" i="5"/>
  <c r="P156" i="5"/>
  <c r="Q156" i="5"/>
  <c r="L140" i="3"/>
  <c r="J140" i="3"/>
  <c r="Y140" i="3"/>
  <c r="AB140" i="3"/>
  <c r="O574" i="3"/>
  <c r="L574" i="3"/>
  <c r="Q574" i="3"/>
  <c r="J574" i="3"/>
  <c r="S574" i="3"/>
  <c r="Y574" i="3"/>
  <c r="AB574" i="3"/>
  <c r="M1522" i="14"/>
  <c r="L1522" i="14"/>
  <c r="M485" i="14"/>
  <c r="L485" i="14"/>
  <c r="M783" i="14"/>
  <c r="L783" i="14"/>
  <c r="J469" i="3"/>
  <c r="Y469" i="3"/>
  <c r="L469" i="3"/>
  <c r="O469" i="3"/>
  <c r="Q469" i="3"/>
  <c r="AA469" i="3"/>
  <c r="AB469" i="3"/>
  <c r="S469" i="3"/>
  <c r="M1505" i="14"/>
  <c r="L1505" i="14"/>
  <c r="M519" i="14"/>
  <c r="L519" i="14"/>
  <c r="Q465" i="3"/>
  <c r="I275" i="5"/>
  <c r="I85" i="5"/>
  <c r="L85" i="5"/>
  <c r="P85" i="5"/>
  <c r="Q85" i="5"/>
  <c r="S596" i="3"/>
  <c r="S902" i="3"/>
  <c r="O596" i="3"/>
  <c r="Y596" i="3"/>
  <c r="Y902" i="3"/>
  <c r="J596" i="3"/>
  <c r="L596" i="3"/>
  <c r="L902" i="3"/>
  <c r="Q596" i="3"/>
  <c r="AB596" i="3"/>
  <c r="L207" i="14"/>
  <c r="M1180" i="14"/>
  <c r="M1245" i="14"/>
  <c r="L1245" i="14"/>
  <c r="L432" i="14"/>
  <c r="M432" i="14"/>
  <c r="S202" i="3"/>
  <c r="O202" i="3"/>
  <c r="AA202" i="3"/>
  <c r="AB202" i="3"/>
  <c r="J202" i="3"/>
  <c r="Y202" i="3"/>
  <c r="L202" i="3"/>
  <c r="Q202" i="3"/>
  <c r="S500" i="3"/>
  <c r="AB500" i="3"/>
  <c r="AA500" i="3"/>
  <c r="L500" i="3"/>
  <c r="Y500" i="3"/>
  <c r="O500" i="3"/>
  <c r="J500" i="3"/>
  <c r="Q500" i="3"/>
  <c r="P265" i="5"/>
  <c r="L265" i="5"/>
  <c r="Q265" i="5"/>
  <c r="I265" i="5"/>
  <c r="I196" i="5"/>
  <c r="Q238" i="3"/>
  <c r="O238" i="3"/>
  <c r="J238" i="3"/>
  <c r="S238" i="3"/>
  <c r="Y238" i="3"/>
  <c r="AB238" i="3"/>
  <c r="L238" i="3"/>
  <c r="AA238" i="3"/>
  <c r="Y373" i="3"/>
  <c r="S373" i="3"/>
  <c r="L373" i="3"/>
  <c r="O373" i="3"/>
  <c r="AA373" i="3"/>
  <c r="AB373" i="3"/>
  <c r="J373" i="3"/>
  <c r="Q373" i="3"/>
  <c r="O95" i="4"/>
  <c r="P95" i="4"/>
  <c r="K95" i="4"/>
  <c r="L346" i="14"/>
  <c r="L345" i="14"/>
  <c r="L367" i="14"/>
  <c r="L368" i="14"/>
  <c r="I202" i="4"/>
  <c r="G1158" i="14"/>
  <c r="J672" i="3"/>
  <c r="O672" i="3"/>
  <c r="Q672" i="3"/>
  <c r="L672" i="3"/>
  <c r="Y672" i="3"/>
  <c r="AB672" i="3"/>
  <c r="S672" i="3"/>
  <c r="AA672" i="3"/>
  <c r="L182" i="14"/>
  <c r="M1382" i="14"/>
  <c r="L1382" i="14"/>
  <c r="P132" i="5"/>
  <c r="L132" i="5"/>
  <c r="J881" i="3"/>
  <c r="M1471" i="14"/>
  <c r="L1471" i="14"/>
  <c r="I345" i="5"/>
  <c r="Q345" i="5"/>
  <c r="L345" i="5"/>
  <c r="P345" i="5"/>
  <c r="K78" i="4"/>
  <c r="P78" i="4"/>
  <c r="O78" i="4"/>
  <c r="L471" i="14"/>
  <c r="L470" i="14"/>
  <c r="L445" i="14"/>
  <c r="M445" i="14"/>
  <c r="P341" i="5"/>
  <c r="I341" i="5"/>
  <c r="L109" i="5"/>
  <c r="I109" i="5"/>
  <c r="Q521" i="5"/>
  <c r="P521" i="5"/>
  <c r="L822" i="14"/>
  <c r="M582" i="14"/>
  <c r="L582" i="14"/>
  <c r="L33" i="14"/>
  <c r="L32" i="14"/>
  <c r="AB602" i="3"/>
  <c r="AA602" i="3"/>
  <c r="Y602" i="3"/>
  <c r="L602" i="3"/>
  <c r="O602" i="3"/>
  <c r="Q602" i="3"/>
  <c r="J602" i="3"/>
  <c r="S602" i="3"/>
  <c r="G142" i="5"/>
  <c r="L1518" i="14"/>
  <c r="M1518" i="14"/>
  <c r="L1626" i="14"/>
  <c r="AA314" i="3"/>
  <c r="AB314" i="3"/>
  <c r="J40" i="3"/>
  <c r="L40" i="3"/>
  <c r="L139" i="14"/>
  <c r="L910" i="14"/>
  <c r="L138" i="14"/>
  <c r="M935" i="14"/>
  <c r="L602" i="14"/>
  <c r="L596" i="14"/>
  <c r="L608" i="14"/>
  <c r="L618" i="14"/>
  <c r="L632" i="14"/>
  <c r="L627" i="14"/>
  <c r="L592" i="14"/>
  <c r="L629" i="14"/>
  <c r="L950" i="14"/>
  <c r="L636" i="14"/>
  <c r="L598" i="14"/>
  <c r="L615" i="14"/>
  <c r="L593" i="14"/>
  <c r="L633" i="14"/>
  <c r="L637" i="14"/>
  <c r="L595" i="14"/>
  <c r="L590" i="14"/>
  <c r="L599" i="14"/>
  <c r="L616" i="14"/>
  <c r="L626" i="14"/>
  <c r="L634" i="14"/>
  <c r="L959" i="14"/>
  <c r="L601" i="14"/>
  <c r="L611" i="14"/>
  <c r="L635" i="14"/>
  <c r="L630" i="14"/>
  <c r="L952" i="14"/>
  <c r="L619" i="14"/>
  <c r="L603" i="14"/>
  <c r="L612" i="14"/>
  <c r="L597" i="14"/>
  <c r="L607" i="14"/>
  <c r="L600" i="14"/>
  <c r="L617" i="14"/>
  <c r="L606" i="14"/>
  <c r="L622" i="14"/>
  <c r="L928" i="14"/>
  <c r="L604" i="14"/>
  <c r="L605" i="14"/>
  <c r="Y268" i="3"/>
  <c r="AA268" i="3"/>
  <c r="AB268" i="3"/>
  <c r="J268" i="3"/>
  <c r="Q444" i="3"/>
  <c r="L444" i="3"/>
  <c r="AB444" i="3"/>
  <c r="S444" i="3"/>
  <c r="O444" i="3"/>
  <c r="Y444" i="3"/>
  <c r="J444" i="3"/>
  <c r="AA444" i="3"/>
  <c r="L289" i="14"/>
  <c r="L286" i="14"/>
  <c r="L287" i="14"/>
  <c r="L832" i="14"/>
  <c r="L290" i="14"/>
  <c r="AA810" i="3"/>
  <c r="AB305" i="3"/>
  <c r="O305" i="3"/>
  <c r="S305" i="3"/>
  <c r="J305" i="3"/>
  <c r="M328" i="14"/>
  <c r="L328" i="14"/>
  <c r="M38" i="14"/>
  <c r="L38" i="14"/>
  <c r="M932" i="14"/>
  <c r="L278" i="14"/>
  <c r="M278" i="14"/>
  <c r="L1309" i="14"/>
  <c r="M1309" i="14"/>
  <c r="L1290" i="14"/>
  <c r="M1290" i="14"/>
  <c r="M1297" i="14"/>
  <c r="L743" i="14"/>
  <c r="L742" i="14"/>
  <c r="L334" i="14"/>
  <c r="M334" i="14"/>
  <c r="L201" i="14"/>
  <c r="L200" i="14"/>
  <c r="L147" i="14"/>
  <c r="L158" i="14"/>
  <c r="L907" i="14"/>
  <c r="L153" i="14"/>
  <c r="L889" i="14"/>
  <c r="L165" i="14"/>
  <c r="L930" i="14"/>
  <c r="L144" i="14"/>
  <c r="L154" i="14"/>
  <c r="L143" i="14"/>
  <c r="L150" i="14"/>
  <c r="L169" i="14"/>
  <c r="L145" i="14"/>
  <c r="L141" i="14"/>
  <c r="L813" i="14"/>
  <c r="L155" i="14"/>
  <c r="L896" i="14"/>
  <c r="L159" i="14"/>
  <c r="L160" i="14"/>
  <c r="L146" i="14"/>
  <c r="L831" i="14"/>
  <c r="L148" i="14"/>
  <c r="L167" i="14"/>
  <c r="L157" i="14"/>
  <c r="L162" i="14"/>
  <c r="L156" i="14"/>
  <c r="L168" i="14"/>
  <c r="L142" i="14"/>
  <c r="L152" i="14"/>
  <c r="L149" i="14"/>
  <c r="G26" i="14"/>
  <c r="M26" i="14"/>
  <c r="O604" i="3"/>
  <c r="L604" i="3"/>
  <c r="S604" i="3"/>
  <c r="J604" i="3"/>
  <c r="Y604" i="3"/>
  <c r="Q604" i="3"/>
  <c r="AA604" i="3"/>
  <c r="AB604" i="3"/>
  <c r="Q425" i="3"/>
  <c r="L425" i="3"/>
  <c r="S425" i="3"/>
  <c r="AB425" i="3"/>
  <c r="J275" i="3"/>
  <c r="AB275" i="3"/>
  <c r="O275" i="3"/>
  <c r="AA275" i="3"/>
  <c r="S843" i="3"/>
  <c r="L1305" i="14"/>
  <c r="M1305" i="14"/>
  <c r="M1475" i="14"/>
  <c r="L1475" i="14"/>
  <c r="M1613" i="14"/>
  <c r="L37" i="14"/>
  <c r="L36" i="14"/>
  <c r="S864" i="3"/>
  <c r="M878" i="14"/>
  <c r="L631" i="14"/>
  <c r="L463" i="14"/>
  <c r="L877" i="14"/>
  <c r="L462" i="14"/>
  <c r="M1369" i="14"/>
  <c r="M638" i="14"/>
  <c r="L364" i="14"/>
  <c r="L363" i="14"/>
  <c r="J545" i="3"/>
  <c r="AB545" i="3"/>
  <c r="Y545" i="3"/>
  <c r="AA545" i="3"/>
  <c r="H591" i="3"/>
  <c r="AB591" i="3"/>
  <c r="M136" i="14"/>
  <c r="L136" i="14"/>
  <c r="I111" i="5"/>
  <c r="P111" i="5"/>
  <c r="L111" i="5"/>
  <c r="Q111" i="5"/>
  <c r="M1498" i="14"/>
  <c r="L1498" i="14"/>
  <c r="P98" i="5"/>
  <c r="I98" i="5"/>
  <c r="L98" i="5"/>
  <c r="Q98" i="5"/>
  <c r="L1294" i="14"/>
  <c r="M1294" i="14"/>
  <c r="H492" i="3"/>
  <c r="G514" i="14"/>
  <c r="L465" i="14"/>
  <c r="L464" i="14"/>
  <c r="S846" i="3"/>
  <c r="M886" i="14"/>
  <c r="J1071" i="2"/>
  <c r="J1072" i="2"/>
  <c r="H577" i="3"/>
  <c r="J1073" i="2"/>
  <c r="K1076" i="2"/>
  <c r="L1078" i="2"/>
  <c r="G40" i="5"/>
  <c r="L1079" i="2"/>
  <c r="G126" i="5"/>
  <c r="Q830" i="3"/>
  <c r="L337" i="14"/>
  <c r="L338" i="14"/>
  <c r="L868" i="14"/>
  <c r="L340" i="14"/>
  <c r="L870" i="14"/>
  <c r="L339" i="14"/>
  <c r="L869" i="14"/>
  <c r="L663" i="14"/>
  <c r="L670" i="14"/>
  <c r="L897" i="14"/>
  <c r="L681" i="14"/>
  <c r="L676" i="14"/>
  <c r="L932" i="14"/>
  <c r="L684" i="14"/>
  <c r="L956" i="14"/>
  <c r="L664" i="14"/>
  <c r="L671" i="14"/>
  <c r="L669" i="14"/>
  <c r="L659" i="14"/>
  <c r="L667" i="14"/>
  <c r="L661" i="14"/>
  <c r="L682" i="14"/>
  <c r="L688" i="14"/>
  <c r="L935" i="14"/>
  <c r="L685" i="14"/>
  <c r="L650" i="14"/>
  <c r="L814" i="14"/>
  <c r="L656" i="14"/>
  <c r="L839" i="14"/>
  <c r="L657" i="14"/>
  <c r="L675" i="14"/>
  <c r="L683" i="14"/>
  <c r="L651" i="14"/>
  <c r="L686" i="14"/>
  <c r="L655" i="14"/>
  <c r="L680" i="14"/>
  <c r="L948" i="14"/>
  <c r="L665" i="14"/>
  <c r="L668" i="14"/>
  <c r="L886" i="14"/>
  <c r="L689" i="14"/>
  <c r="L679" i="14"/>
  <c r="L662" i="14"/>
  <c r="L658" i="14"/>
  <c r="L660" i="14"/>
  <c r="L849" i="14"/>
  <c r="L648" i="14"/>
  <c r="L672" i="14"/>
  <c r="L807" i="14"/>
  <c r="L809" i="14"/>
  <c r="L808" i="14"/>
  <c r="AA834" i="3"/>
  <c r="AA978" i="3"/>
  <c r="AA549" i="3"/>
  <c r="AB549" i="3"/>
  <c r="L1619" i="14"/>
  <c r="M1619" i="14"/>
  <c r="AA848" i="3"/>
  <c r="AA906" i="3"/>
  <c r="M1652" i="14"/>
  <c r="P430" i="5"/>
  <c r="Q269" i="5"/>
  <c r="I269" i="5"/>
  <c r="P269" i="5"/>
  <c r="L269" i="5"/>
  <c r="L1706" i="14"/>
  <c r="L912" i="14"/>
  <c r="L905" i="14"/>
  <c r="L577" i="14"/>
  <c r="L316" i="14"/>
  <c r="M316" i="14"/>
  <c r="G613" i="14"/>
  <c r="M613" i="14"/>
  <c r="H580" i="3"/>
  <c r="L580" i="3"/>
  <c r="L129" i="14"/>
  <c r="L128" i="14"/>
  <c r="P461" i="5"/>
  <c r="AA843" i="3"/>
  <c r="L1570" i="14"/>
  <c r="M1570" i="14"/>
  <c r="Q864" i="3"/>
  <c r="L25" i="14"/>
  <c r="L20" i="14"/>
  <c r="L854" i="14"/>
  <c r="L22" i="14"/>
  <c r="L1377" i="14"/>
  <c r="M1377" i="14"/>
  <c r="S15" i="3"/>
  <c r="O15" i="3"/>
  <c r="AB15" i="3"/>
  <c r="Q15" i="3"/>
  <c r="J15" i="3"/>
  <c r="Y15" i="3"/>
  <c r="L15" i="3"/>
  <c r="AA15" i="3"/>
  <c r="G1335" i="14"/>
  <c r="M1335" i="14"/>
  <c r="L350" i="14"/>
  <c r="L349" i="14"/>
  <c r="L319" i="14"/>
  <c r="L820" i="14"/>
  <c r="L325" i="14"/>
  <c r="H517" i="3"/>
  <c r="J517" i="3"/>
  <c r="G539" i="14"/>
  <c r="L539" i="14"/>
  <c r="P94" i="5"/>
  <c r="L343" i="14"/>
  <c r="L883" i="14"/>
  <c r="L344" i="14"/>
  <c r="L884" i="14"/>
  <c r="L342" i="14"/>
  <c r="L882" i="14"/>
  <c r="L341" i="14"/>
  <c r="AA975" i="3"/>
  <c r="L17" i="14"/>
  <c r="L15" i="14"/>
  <c r="L16" i="14"/>
  <c r="AA796" i="3"/>
  <c r="G39" i="5"/>
  <c r="I39" i="5"/>
  <c r="L466" i="14"/>
  <c r="M466" i="14"/>
  <c r="L1603" i="14"/>
  <c r="M1603" i="14"/>
  <c r="L297" i="14"/>
  <c r="L298" i="14"/>
  <c r="L923" i="14"/>
  <c r="M578" i="14"/>
  <c r="L578" i="14"/>
  <c r="L283" i="14"/>
  <c r="L284" i="14"/>
  <c r="L279" i="14"/>
  <c r="L817" i="14"/>
  <c r="L280" i="14"/>
  <c r="L1653" i="14"/>
  <c r="L1655" i="14"/>
  <c r="L556" i="14"/>
  <c r="L891" i="14"/>
  <c r="L734" i="14"/>
  <c r="L735" i="14"/>
  <c r="L741" i="14"/>
  <c r="L736" i="14"/>
  <c r="Q405" i="5"/>
  <c r="G128" i="5"/>
  <c r="G1330" i="14"/>
  <c r="P175" i="5"/>
  <c r="L175" i="5"/>
  <c r="L558" i="14"/>
  <c r="L913" i="14"/>
  <c r="L557" i="14"/>
  <c r="G1162" i="14"/>
  <c r="I206" i="4"/>
  <c r="L282" i="14"/>
  <c r="L323" i="14"/>
  <c r="L692" i="14"/>
  <c r="L693" i="14"/>
  <c r="M1702" i="14"/>
  <c r="L642" i="14"/>
  <c r="M642" i="14"/>
  <c r="M887" i="14"/>
  <c r="L1399" i="14"/>
  <c r="L1417" i="14"/>
  <c r="L1421" i="14"/>
  <c r="L1416" i="14"/>
  <c r="L1395" i="14"/>
  <c r="L1423" i="14"/>
  <c r="L1415" i="14"/>
  <c r="L1400" i="14"/>
  <c r="L1390" i="14"/>
  <c r="L1429" i="14"/>
  <c r="L1404" i="14"/>
  <c r="L1426" i="14"/>
  <c r="L1427" i="14"/>
  <c r="L1418" i="14"/>
  <c r="L1411" i="14"/>
  <c r="L1391" i="14"/>
  <c r="L1420" i="14"/>
  <c r="L1389" i="14"/>
  <c r="L1424" i="14"/>
  <c r="L1394" i="14"/>
  <c r="L1392" i="14"/>
  <c r="L1405" i="14"/>
  <c r="L1428" i="14"/>
  <c r="L1407" i="14"/>
  <c r="L1410" i="14"/>
  <c r="L1403" i="14"/>
  <c r="L1425" i="14"/>
  <c r="L1393" i="14"/>
  <c r="L1414" i="14"/>
  <c r="L1678" i="14"/>
  <c r="L1419" i="14"/>
  <c r="L1409" i="14"/>
  <c r="L1402" i="14"/>
  <c r="L1396" i="14"/>
  <c r="L1422" i="14"/>
  <c r="M1158" i="14"/>
  <c r="L1158" i="14"/>
  <c r="Q902" i="3"/>
  <c r="O202" i="4"/>
  <c r="K202" i="4"/>
  <c r="P202" i="4"/>
  <c r="L1342" i="14"/>
  <c r="L1665" i="14"/>
  <c r="M1342" i="14"/>
  <c r="M1665" i="14"/>
  <c r="L140" i="5"/>
  <c r="L428" i="5"/>
  <c r="I140" i="5"/>
  <c r="I428" i="5"/>
  <c r="P140" i="5"/>
  <c r="P428" i="5"/>
  <c r="Q140" i="5"/>
  <c r="Q428" i="5"/>
  <c r="H26" i="3"/>
  <c r="Q26" i="3"/>
  <c r="G24" i="14"/>
  <c r="L492" i="3"/>
  <c r="J492" i="3"/>
  <c r="O492" i="3"/>
  <c r="Q492" i="3"/>
  <c r="Y492" i="3"/>
  <c r="S492" i="3"/>
  <c r="AB492" i="3"/>
  <c r="AA492" i="3"/>
  <c r="L904" i="14"/>
  <c r="L851" i="14"/>
  <c r="L951" i="14"/>
  <c r="L898" i="14"/>
  <c r="P206" i="4"/>
  <c r="O206" i="4"/>
  <c r="K206" i="4"/>
  <c r="L1330" i="14"/>
  <c r="M1330" i="14"/>
  <c r="J580" i="3"/>
  <c r="AB580" i="3"/>
  <c r="G1328" i="14"/>
  <c r="L1328" i="14"/>
  <c r="M624" i="14"/>
  <c r="L624" i="14"/>
  <c r="L844" i="14"/>
  <c r="L811" i="14"/>
  <c r="L957" i="14"/>
  <c r="L865" i="14"/>
  <c r="L39" i="5"/>
  <c r="Y517" i="3"/>
  <c r="O517" i="3"/>
  <c r="S517" i="3"/>
  <c r="AB517" i="3"/>
  <c r="I147" i="4"/>
  <c r="G1103" i="14"/>
  <c r="M1103" i="14"/>
  <c r="L514" i="14"/>
  <c r="M514" i="14"/>
  <c r="L26" i="14"/>
  <c r="L879" i="14"/>
  <c r="I142" i="5"/>
  <c r="I433" i="5"/>
  <c r="P142" i="5"/>
  <c r="P433" i="5"/>
  <c r="Q142" i="5"/>
  <c r="Q433" i="5"/>
  <c r="L142" i="5"/>
  <c r="L433" i="5"/>
  <c r="M1162" i="14"/>
  <c r="L1162" i="14"/>
  <c r="I128" i="5"/>
  <c r="P128" i="5"/>
  <c r="L128" i="5"/>
  <c r="Q128" i="5"/>
  <c r="L613" i="14"/>
  <c r="H488" i="3"/>
  <c r="Q488" i="3"/>
  <c r="G510" i="14"/>
  <c r="L510" i="14"/>
  <c r="S591" i="3"/>
  <c r="O591" i="3"/>
  <c r="J591" i="3"/>
  <c r="AA591" i="3"/>
  <c r="L946" i="14"/>
  <c r="M1344" i="14"/>
  <c r="M1670" i="14"/>
  <c r="L1344" i="14"/>
  <c r="L1670" i="14"/>
  <c r="G1337" i="14"/>
  <c r="M1337" i="14"/>
  <c r="L1337" i="14"/>
  <c r="L24" i="14"/>
  <c r="M24" i="14"/>
  <c r="Y488" i="3"/>
  <c r="AA488" i="3"/>
  <c r="L488" i="3"/>
  <c r="S488" i="3"/>
  <c r="S26" i="3"/>
  <c r="AA26" i="3"/>
  <c r="K147" i="4"/>
  <c r="P147" i="4"/>
  <c r="O147" i="4"/>
  <c r="A55" i="6"/>
  <c r="A21" i="6"/>
  <c r="A12" i="7"/>
  <c r="A22" i="11"/>
  <c r="A67" i="12"/>
  <c r="I126" i="5"/>
  <c r="L126" i="5"/>
  <c r="Q126" i="5"/>
  <c r="P126" i="5"/>
  <c r="J577" i="3"/>
  <c r="AA577" i="3"/>
  <c r="AA823" i="3"/>
  <c r="Y577" i="3"/>
  <c r="L577" i="3"/>
  <c r="S577" i="3"/>
  <c r="O577" i="3"/>
  <c r="AB577" i="3"/>
  <c r="Q577" i="3"/>
  <c r="Y28" i="3"/>
  <c r="S28" i="3"/>
  <c r="AB28" i="3"/>
  <c r="AB835" i="3"/>
  <c r="Q28" i="3"/>
  <c r="J28" i="3"/>
  <c r="J835" i="3"/>
  <c r="L28" i="3"/>
  <c r="L835" i="3"/>
  <c r="O28" i="3"/>
  <c r="AA28" i="3"/>
  <c r="Q823" i="3"/>
  <c r="Q40" i="5"/>
  <c r="P40" i="5"/>
  <c r="I40" i="5"/>
  <c r="L40" i="5"/>
  <c r="M879" i="14"/>
  <c r="L69" i="5"/>
  <c r="I69" i="5"/>
  <c r="P69" i="5"/>
  <c r="Q69" i="5"/>
  <c r="AB420" i="3"/>
  <c r="Y420" i="3"/>
  <c r="L420" i="3"/>
  <c r="O420" i="3"/>
  <c r="S420" i="3"/>
  <c r="AA420" i="3"/>
  <c r="Q420" i="3"/>
  <c r="J420" i="3"/>
  <c r="Q308" i="1"/>
  <c r="D8" i="6"/>
  <c r="D7" i="6"/>
  <c r="D13" i="6"/>
  <c r="L1235" i="14"/>
  <c r="M1235" i="14"/>
  <c r="S823" i="3"/>
  <c r="I133" i="5"/>
  <c r="L133" i="5"/>
  <c r="Q133" i="5"/>
  <c r="P133" i="5"/>
  <c r="M1230" i="14"/>
  <c r="L1230" i="14"/>
  <c r="M1142" i="14"/>
  <c r="L1142" i="14"/>
  <c r="I377" i="5"/>
  <c r="Q377" i="5"/>
  <c r="G340" i="5"/>
  <c r="G1569" i="14"/>
  <c r="I14" i="4"/>
  <c r="G970" i="14"/>
  <c r="M258" i="14"/>
  <c r="L258" i="14"/>
  <c r="L275" i="5"/>
  <c r="Q275" i="5"/>
  <c r="AA203" i="3"/>
  <c r="O203" i="3"/>
  <c r="Q203" i="3"/>
  <c r="J203" i="3"/>
  <c r="AA29" i="3"/>
  <c r="Q29" i="3"/>
  <c r="J29" i="3"/>
  <c r="L29" i="3"/>
  <c r="L424" i="3"/>
  <c r="O424" i="3"/>
  <c r="AB424" i="3"/>
  <c r="AA424" i="3"/>
  <c r="K7" i="4"/>
  <c r="P7" i="4"/>
  <c r="H138" i="3"/>
  <c r="L139" i="3"/>
  <c r="AB139" i="3"/>
  <c r="Q139" i="3"/>
  <c r="AB767" i="3"/>
  <c r="P247" i="4"/>
  <c r="O247" i="4"/>
  <c r="L202" i="5"/>
  <c r="Q202" i="5"/>
  <c r="L179" i="5"/>
  <c r="Q179" i="5"/>
  <c r="L137" i="5"/>
  <c r="I137" i="5"/>
  <c r="Q321" i="3"/>
  <c r="Q892" i="3"/>
  <c r="AA321" i="3"/>
  <c r="AA892" i="3"/>
  <c r="AB321" i="3"/>
  <c r="AB892" i="3"/>
  <c r="J321" i="3"/>
  <c r="J892" i="3"/>
  <c r="P248" i="5"/>
  <c r="Q248" i="5"/>
  <c r="S758" i="3"/>
  <c r="AA758" i="3"/>
  <c r="L758" i="3"/>
  <c r="O758" i="3"/>
  <c r="S520" i="3"/>
  <c r="AB520" i="3"/>
  <c r="J520" i="3"/>
  <c r="L520" i="3"/>
  <c r="Y520" i="3"/>
  <c r="Y901" i="3"/>
  <c r="L74" i="3"/>
  <c r="AA74" i="3"/>
  <c r="Q74" i="3"/>
  <c r="O74" i="3"/>
  <c r="J26" i="3"/>
  <c r="G135" i="5"/>
  <c r="Q580" i="3"/>
  <c r="L1277" i="14"/>
  <c r="P275" i="5"/>
  <c r="L203" i="3"/>
  <c r="Y74" i="3"/>
  <c r="S40" i="3"/>
  <c r="O40" i="3"/>
  <c r="AA40" i="3"/>
  <c r="Q40" i="3"/>
  <c r="P377" i="5"/>
  <c r="O29" i="3"/>
  <c r="AA884" i="3"/>
  <c r="M920" i="14"/>
  <c r="Y139" i="3"/>
  <c r="J758" i="3"/>
  <c r="S321" i="3"/>
  <c r="S892" i="3"/>
  <c r="S248" i="3"/>
  <c r="O248" i="3"/>
  <c r="J248" i="3"/>
  <c r="AB248" i="3"/>
  <c r="L216" i="5"/>
  <c r="Q216" i="5"/>
  <c r="Q292" i="3"/>
  <c r="AB292" i="3"/>
  <c r="J292" i="3"/>
  <c r="AA292" i="3"/>
  <c r="L485" i="3"/>
  <c r="J485" i="3"/>
  <c r="Y485" i="3"/>
  <c r="S485" i="3"/>
  <c r="J613" i="3"/>
  <c r="S613" i="3"/>
  <c r="O613" i="3"/>
  <c r="Q588" i="3"/>
  <c r="Q876" i="3"/>
  <c r="O588" i="3"/>
  <c r="O876" i="3"/>
  <c r="L588" i="3"/>
  <c r="L876" i="3"/>
  <c r="AB588" i="3"/>
  <c r="AB876" i="3"/>
  <c r="P357" i="5"/>
  <c r="L357" i="5"/>
  <c r="J693" i="3"/>
  <c r="Y693" i="3"/>
  <c r="S693" i="3"/>
  <c r="L693" i="3"/>
  <c r="M888" i="14"/>
  <c r="M925" i="14"/>
  <c r="L1517" i="14"/>
  <c r="G1515" i="14"/>
  <c r="M1094" i="14"/>
  <c r="L1094" i="14"/>
  <c r="M310" i="14"/>
  <c r="L310" i="14"/>
  <c r="M448" i="14"/>
  <c r="M815" i="14"/>
  <c r="L448" i="14"/>
  <c r="I170" i="5"/>
  <c r="I460" i="5"/>
  <c r="G167" i="5"/>
  <c r="P170" i="5"/>
  <c r="P460" i="5"/>
  <c r="Y470" i="3"/>
  <c r="AA470" i="3"/>
  <c r="L470" i="3"/>
  <c r="J470" i="3"/>
  <c r="L712" i="3"/>
  <c r="L783" i="3"/>
  <c r="Y712" i="3"/>
  <c r="Y783" i="3"/>
  <c r="AA712" i="3"/>
  <c r="AA783" i="3"/>
  <c r="S712" i="3"/>
  <c r="S783" i="3"/>
  <c r="J712" i="3"/>
  <c r="J783" i="3"/>
  <c r="J1062" i="2"/>
  <c r="K1065" i="2"/>
  <c r="L1068" i="2"/>
  <c r="Q374" i="5"/>
  <c r="P374" i="5"/>
  <c r="G1107" i="14"/>
  <c r="I151" i="4"/>
  <c r="Y465" i="3"/>
  <c r="AA465" i="3"/>
  <c r="L465" i="3"/>
  <c r="S465" i="3"/>
  <c r="O168" i="3"/>
  <c r="AA168" i="3"/>
  <c r="AA890" i="3"/>
  <c r="Q168" i="3"/>
  <c r="Q890" i="3"/>
  <c r="L168" i="3"/>
  <c r="L890" i="3"/>
  <c r="O237" i="3"/>
  <c r="AB237" i="3"/>
  <c r="Q237" i="3"/>
  <c r="Y237" i="3"/>
  <c r="O114" i="4"/>
  <c r="K114" i="4"/>
  <c r="Q355" i="5"/>
  <c r="L355" i="5"/>
  <c r="I294" i="5"/>
  <c r="I430" i="5"/>
  <c r="G293" i="5"/>
  <c r="O598" i="3"/>
  <c r="L598" i="3"/>
  <c r="Q598" i="3"/>
  <c r="AB598" i="3"/>
  <c r="P41" i="5"/>
  <c r="I41" i="5"/>
  <c r="Q286" i="5"/>
  <c r="L286" i="5"/>
  <c r="L403" i="5"/>
  <c r="G722" i="14"/>
  <c r="H678" i="3"/>
  <c r="P68" i="4"/>
  <c r="O68" i="4"/>
  <c r="O26" i="3"/>
  <c r="M539" i="14"/>
  <c r="P39" i="5"/>
  <c r="G610" i="14"/>
  <c r="Y580" i="3"/>
  <c r="M13" i="14"/>
  <c r="Q94" i="5"/>
  <c r="Y549" i="3"/>
  <c r="J549" i="3"/>
  <c r="K68" i="4"/>
  <c r="L852" i="14"/>
  <c r="O686" i="3"/>
  <c r="J902" i="3"/>
  <c r="I384" i="5"/>
  <c r="L384" i="5"/>
  <c r="O314" i="3"/>
  <c r="Q314" i="3"/>
  <c r="L314" i="3"/>
  <c r="S314" i="3"/>
  <c r="S424" i="3"/>
  <c r="S771" i="3"/>
  <c r="Y168" i="3"/>
  <c r="I248" i="5"/>
  <c r="Q137" i="5"/>
  <c r="I355" i="5"/>
  <c r="L464" i="5"/>
  <c r="P201" i="5"/>
  <c r="I201" i="5"/>
  <c r="L201" i="5"/>
  <c r="Y804" i="3"/>
  <c r="M1328" i="14"/>
  <c r="Y26" i="3"/>
  <c r="Y823" i="3"/>
  <c r="L1103" i="14"/>
  <c r="AB488" i="3"/>
  <c r="J488" i="3"/>
  <c r="M510" i="14"/>
  <c r="Y591" i="3"/>
  <c r="Q591" i="3"/>
  <c r="G1231" i="14"/>
  <c r="Q517" i="3"/>
  <c r="L517" i="3"/>
  <c r="Q39" i="5"/>
  <c r="S580" i="3"/>
  <c r="AA580" i="3"/>
  <c r="L1335" i="14"/>
  <c r="Q175" i="5"/>
  <c r="L739" i="14"/>
  <c r="L94" i="5"/>
  <c r="G436" i="14"/>
  <c r="G1260" i="14"/>
  <c r="G44" i="5"/>
  <c r="L549" i="3"/>
  <c r="Q549" i="3"/>
  <c r="L666" i="14"/>
  <c r="Y40" i="3"/>
  <c r="J314" i="3"/>
  <c r="P384" i="5"/>
  <c r="I374" i="5"/>
  <c r="AB465" i="3"/>
  <c r="M543" i="14"/>
  <c r="M951" i="14"/>
  <c r="L674" i="14"/>
  <c r="L920" i="14"/>
  <c r="Q613" i="3"/>
  <c r="O485" i="3"/>
  <c r="AA248" i="3"/>
  <c r="S203" i="3"/>
  <c r="AB74" i="3"/>
  <c r="O292" i="3"/>
  <c r="H423" i="3"/>
  <c r="Q424" i="3"/>
  <c r="J237" i="3"/>
  <c r="L377" i="5"/>
  <c r="J168" i="3"/>
  <c r="J890" i="3"/>
  <c r="S29" i="3"/>
  <c r="J588" i="3"/>
  <c r="J876" i="3"/>
  <c r="AA770" i="3"/>
  <c r="J1061" i="2"/>
  <c r="L341" i="5"/>
  <c r="Q341" i="5"/>
  <c r="Q109" i="5"/>
  <c r="P109" i="5"/>
  <c r="L521" i="5"/>
  <c r="I521" i="5"/>
  <c r="M940" i="14"/>
  <c r="O139" i="3"/>
  <c r="O771" i="3"/>
  <c r="O7" i="4"/>
  <c r="L1208" i="14"/>
  <c r="L1641" i="14"/>
  <c r="M1368" i="14"/>
  <c r="M1706" i="14"/>
  <c r="L1640" i="14"/>
  <c r="AB758" i="3"/>
  <c r="L248" i="5"/>
  <c r="H320" i="3"/>
  <c r="L321" i="3"/>
  <c r="L892" i="3"/>
  <c r="Y598" i="3"/>
  <c r="P137" i="5"/>
  <c r="P179" i="5"/>
  <c r="P202" i="5"/>
  <c r="K247" i="4"/>
  <c r="L271" i="14"/>
  <c r="AB470" i="3"/>
  <c r="Q170" i="5"/>
  <c r="Q460" i="5"/>
  <c r="Q324" i="1"/>
  <c r="L275" i="3"/>
  <c r="Q275" i="3"/>
  <c r="S275" i="3"/>
  <c r="Y275" i="3"/>
  <c r="L461" i="5"/>
  <c r="P464" i="5"/>
  <c r="AB864" i="3"/>
  <c r="P216" i="5"/>
  <c r="M1517" i="14"/>
  <c r="L246" i="14"/>
  <c r="Q693" i="3"/>
  <c r="L25" i="5"/>
  <c r="I25" i="5"/>
  <c r="M1358" i="14"/>
  <c r="L1358" i="14"/>
  <c r="S774" i="3"/>
  <c r="G1024" i="14"/>
  <c r="O520" i="3"/>
  <c r="L308" i="14"/>
  <c r="L818" i="14"/>
  <c r="M814" i="14"/>
  <c r="P196" i="5"/>
  <c r="L196" i="5"/>
  <c r="Q196" i="5"/>
  <c r="L219" i="14"/>
  <c r="M219" i="14"/>
  <c r="AA782" i="3"/>
  <c r="AA788" i="3"/>
  <c r="Q185" i="3"/>
  <c r="L185" i="3"/>
  <c r="S185" i="3"/>
  <c r="G389" i="5"/>
  <c r="L390" i="5"/>
  <c r="L430" i="5"/>
  <c r="Q390" i="5"/>
  <c r="J68" i="3"/>
  <c r="J841" i="3"/>
  <c r="O68" i="3"/>
  <c r="O841" i="3"/>
  <c r="AA68" i="3"/>
  <c r="AA841" i="3"/>
  <c r="Y68" i="3"/>
  <c r="Y841" i="3"/>
  <c r="L68" i="3"/>
  <c r="L841" i="3"/>
  <c r="I274" i="5"/>
  <c r="I403" i="5"/>
  <c r="Q274" i="5"/>
  <c r="Q403" i="5"/>
  <c r="Y891" i="3"/>
  <c r="L983" i="14"/>
  <c r="M983" i="14"/>
  <c r="L1352" i="14"/>
  <c r="M778" i="14"/>
  <c r="M885" i="14"/>
  <c r="L699" i="14"/>
  <c r="M699" i="14"/>
  <c r="J1354" i="2"/>
  <c r="L1364" i="2"/>
  <c r="J1355" i="2"/>
  <c r="K1360" i="2"/>
  <c r="L1220" i="14"/>
  <c r="M1220" i="14"/>
  <c r="L252" i="5"/>
  <c r="L455" i="5"/>
  <c r="P252" i="5"/>
  <c r="P455" i="5"/>
  <c r="I252" i="5"/>
  <c r="I455" i="5"/>
  <c r="P17" i="4"/>
  <c r="K17" i="4"/>
  <c r="O17" i="4"/>
  <c r="Q315" i="5"/>
  <c r="Q409" i="5"/>
  <c r="P315" i="5"/>
  <c r="P409" i="5"/>
  <c r="L315" i="5"/>
  <c r="L409" i="5"/>
  <c r="I72" i="5"/>
  <c r="I462" i="5"/>
  <c r="Q72" i="5"/>
  <c r="Q462" i="5"/>
  <c r="L587" i="3"/>
  <c r="L864" i="3"/>
  <c r="AA587" i="3"/>
  <c r="AA864" i="3"/>
  <c r="O587" i="3"/>
  <c r="O864" i="3"/>
  <c r="Y587" i="3"/>
  <c r="Y864" i="3"/>
  <c r="I331" i="5"/>
  <c r="L331" i="5"/>
  <c r="S426" i="3"/>
  <c r="J426" i="3"/>
  <c r="AB426" i="3"/>
  <c r="L426" i="3"/>
  <c r="Y426" i="3"/>
  <c r="H122" i="3"/>
  <c r="G120" i="14"/>
  <c r="K1451" i="2"/>
  <c r="J1447" i="2"/>
  <c r="L1455" i="2"/>
  <c r="J1444" i="2"/>
  <c r="J1448" i="2"/>
  <c r="J1446" i="2"/>
  <c r="L1453" i="2"/>
  <c r="L1454" i="2"/>
  <c r="J1445" i="2"/>
  <c r="AA297" i="3"/>
  <c r="AA774" i="3"/>
  <c r="Y297" i="3"/>
  <c r="O297" i="3"/>
  <c r="O774" i="3"/>
  <c r="J297" i="3"/>
  <c r="AB297" i="3"/>
  <c r="AB774" i="3"/>
  <c r="Q297" i="3"/>
  <c r="Q774" i="3"/>
  <c r="G270" i="14"/>
  <c r="H260" i="3"/>
  <c r="H534" i="3"/>
  <c r="G567" i="14"/>
  <c r="G1312" i="14"/>
  <c r="G114" i="5"/>
  <c r="I195" i="4"/>
  <c r="G1151" i="14"/>
  <c r="G1453" i="14"/>
  <c r="G247" i="5"/>
  <c r="G503" i="5"/>
  <c r="G1495" i="14"/>
  <c r="G483" i="5"/>
  <c r="G1276" i="14"/>
  <c r="J110" i="2"/>
  <c r="J113" i="2"/>
  <c r="J112" i="2"/>
  <c r="J111" i="2"/>
  <c r="K116" i="2"/>
  <c r="L118" i="2"/>
  <c r="L119" i="2"/>
  <c r="H653" i="3"/>
  <c r="G697" i="14"/>
  <c r="S640" i="3"/>
  <c r="O640" i="3"/>
  <c r="L640" i="3"/>
  <c r="Q640" i="3"/>
  <c r="AB640" i="3"/>
  <c r="J640" i="3"/>
  <c r="I41" i="4"/>
  <c r="G997" i="14"/>
  <c r="G165" i="5"/>
  <c r="G1367" i="14"/>
  <c r="I122" i="4"/>
  <c r="G1078" i="14"/>
  <c r="G526" i="5"/>
  <c r="G1632" i="14"/>
  <c r="M1520" i="14"/>
  <c r="L1520" i="14"/>
  <c r="L686" i="3"/>
  <c r="AB686" i="3"/>
  <c r="J686" i="3"/>
  <c r="Q686" i="3"/>
  <c r="P325" i="5"/>
  <c r="L325" i="5"/>
  <c r="L193" i="5"/>
  <c r="I193" i="5"/>
  <c r="AB26" i="3"/>
  <c r="AB823" i="3"/>
  <c r="L26" i="3"/>
  <c r="L823" i="3"/>
  <c r="O488" i="3"/>
  <c r="L591" i="3"/>
  <c r="AA517" i="3"/>
  <c r="O580" i="3"/>
  <c r="L1408" i="14"/>
  <c r="S549" i="3"/>
  <c r="AB40" i="3"/>
  <c r="Y314" i="3"/>
  <c r="Q384" i="5"/>
  <c r="L447" i="14"/>
  <c r="O902" i="3"/>
  <c r="O465" i="3"/>
  <c r="L613" i="3"/>
  <c r="AA485" i="3"/>
  <c r="AA686" i="3"/>
  <c r="Y248" i="3"/>
  <c r="O224" i="4"/>
  <c r="Y203" i="3"/>
  <c r="J74" i="3"/>
  <c r="L292" i="3"/>
  <c r="I216" i="5"/>
  <c r="M1356" i="14"/>
  <c r="O268" i="3"/>
  <c r="Q268" i="3"/>
  <c r="S268" i="3"/>
  <c r="L268" i="3"/>
  <c r="J424" i="3"/>
  <c r="J771" i="3"/>
  <c r="Q193" i="5"/>
  <c r="S237" i="3"/>
  <c r="S168" i="3"/>
  <c r="AB29" i="3"/>
  <c r="Q325" i="5"/>
  <c r="AA588" i="3"/>
  <c r="AA876" i="3"/>
  <c r="L305" i="3"/>
  <c r="Y305" i="3"/>
  <c r="Q305" i="3"/>
  <c r="AA305" i="3"/>
  <c r="J1060" i="2"/>
  <c r="L815" i="14"/>
  <c r="AA139" i="3"/>
  <c r="AA771" i="3"/>
  <c r="P286" i="5"/>
  <c r="P403" i="5"/>
  <c r="Y758" i="3"/>
  <c r="Q41" i="5"/>
  <c r="J598" i="3"/>
  <c r="Q294" i="5"/>
  <c r="I179" i="5"/>
  <c r="I202" i="5"/>
  <c r="AB712" i="3"/>
  <c r="AB783" i="3"/>
  <c r="S470" i="3"/>
  <c r="L170" i="5"/>
  <c r="L460" i="5"/>
  <c r="J425" i="3"/>
  <c r="O425" i="3"/>
  <c r="Y425" i="3"/>
  <c r="AA425" i="3"/>
  <c r="AA693" i="3"/>
  <c r="O693" i="3"/>
  <c r="I357" i="5"/>
  <c r="I464" i="5"/>
  <c r="Q545" i="3"/>
  <c r="O545" i="3"/>
  <c r="L545" i="3"/>
  <c r="S545" i="3"/>
  <c r="O140" i="3"/>
  <c r="S140" i="3"/>
  <c r="Q140" i="3"/>
  <c r="L1488" i="14"/>
  <c r="M1488" i="14"/>
  <c r="P438" i="5"/>
  <c r="G72" i="14"/>
  <c r="Q520" i="3"/>
  <c r="Q901" i="3"/>
  <c r="I132" i="5"/>
  <c r="Q132" i="5"/>
  <c r="AA845" i="3"/>
  <c r="AA787" i="3"/>
  <c r="Y898" i="3"/>
  <c r="AB788" i="3"/>
  <c r="Q29" i="5"/>
  <c r="P29" i="5"/>
  <c r="Q18" i="5"/>
  <c r="P18" i="5"/>
  <c r="L505" i="5"/>
  <c r="Q505" i="5"/>
  <c r="I505" i="5"/>
  <c r="P505" i="5"/>
  <c r="O148" i="4"/>
  <c r="K148" i="4"/>
  <c r="P82" i="5"/>
  <c r="L82" i="5"/>
  <c r="Q82" i="5"/>
  <c r="G81" i="5"/>
  <c r="S681" i="3"/>
  <c r="Y681" i="3"/>
  <c r="O681" i="3"/>
  <c r="L681" i="3"/>
  <c r="AA681" i="3"/>
  <c r="J681" i="3"/>
  <c r="J408" i="3"/>
  <c r="AB408" i="3"/>
  <c r="L408" i="3"/>
  <c r="L804" i="3"/>
  <c r="S408" i="3"/>
  <c r="O408" i="3"/>
  <c r="O804" i="3"/>
  <c r="Q408" i="3"/>
  <c r="Q804" i="3"/>
  <c r="H233" i="3"/>
  <c r="G243" i="14"/>
  <c r="I62" i="4"/>
  <c r="G1018" i="14"/>
  <c r="H581" i="3"/>
  <c r="G614" i="14"/>
  <c r="P255" i="5"/>
  <c r="I255" i="5"/>
  <c r="AB626" i="3"/>
  <c r="J626" i="3"/>
  <c r="S626" i="3"/>
  <c r="S837" i="3"/>
  <c r="Q211" i="5"/>
  <c r="I211" i="5"/>
  <c r="P211" i="5"/>
  <c r="L211" i="5"/>
  <c r="H503" i="3"/>
  <c r="G525" i="14"/>
  <c r="M1121" i="14"/>
  <c r="L1121" i="14"/>
  <c r="H694" i="3"/>
  <c r="G738" i="14"/>
  <c r="O259" i="3"/>
  <c r="J259" i="3"/>
  <c r="Q259" i="3"/>
  <c r="Y259" i="3"/>
  <c r="O310" i="3"/>
  <c r="O789" i="3"/>
  <c r="AB310" i="3"/>
  <c r="AB789" i="3"/>
  <c r="L310" i="3"/>
  <c r="L789" i="3"/>
  <c r="AA310" i="3"/>
  <c r="AA789" i="3"/>
  <c r="P351" i="5"/>
  <c r="Q351" i="5"/>
  <c r="G350" i="5"/>
  <c r="Y847" i="3"/>
  <c r="L725" i="14"/>
  <c r="M1487" i="14"/>
  <c r="M1640" i="14"/>
  <c r="M249" i="14"/>
  <c r="G1624" i="14"/>
  <c r="M1554" i="14"/>
  <c r="I17" i="5"/>
  <c r="I404" i="5"/>
  <c r="AB278" i="3"/>
  <c r="AB890" i="3"/>
  <c r="S278" i="3"/>
  <c r="O97" i="4"/>
  <c r="G105" i="5"/>
  <c r="L69" i="3"/>
  <c r="L843" i="3"/>
  <c r="O69" i="3"/>
  <c r="O843" i="3"/>
  <c r="P209" i="5"/>
  <c r="P440" i="5"/>
  <c r="Q226" i="3"/>
  <c r="Q174" i="5"/>
  <c r="Q430" i="5"/>
  <c r="G173" i="5"/>
  <c r="K117" i="4"/>
  <c r="Q67" i="5"/>
  <c r="AB128" i="3"/>
  <c r="AB830" i="3"/>
  <c r="G512" i="5"/>
  <c r="I514" i="5"/>
  <c r="L379" i="5"/>
  <c r="S618" i="3"/>
  <c r="AB804" i="3"/>
  <c r="G57" i="5"/>
  <c r="G126" i="14"/>
  <c r="G1073" i="14"/>
  <c r="G1376" i="14"/>
  <c r="G1413" i="14"/>
  <c r="G1302" i="14"/>
  <c r="G288" i="14"/>
  <c r="Y773" i="3"/>
  <c r="M1472" i="14"/>
  <c r="L1472" i="14"/>
  <c r="Y751" i="3"/>
  <c r="Y881" i="3"/>
  <c r="AA751" i="3"/>
  <c r="AA881" i="3"/>
  <c r="AB751" i="3"/>
  <c r="AB881" i="3"/>
  <c r="S751" i="3"/>
  <c r="S881" i="3"/>
  <c r="P15" i="4"/>
  <c r="K15" i="4"/>
  <c r="G208" i="5"/>
  <c r="G1412" i="14"/>
  <c r="I223" i="4"/>
  <c r="G1179" i="14"/>
  <c r="H188" i="3"/>
  <c r="G186" i="14"/>
  <c r="O417" i="3"/>
  <c r="O837" i="3"/>
  <c r="J417" i="3"/>
  <c r="J837" i="3"/>
  <c r="Y417" i="3"/>
  <c r="Y837" i="3"/>
  <c r="AB417" i="3"/>
  <c r="AB837" i="3"/>
  <c r="L342" i="5"/>
  <c r="P342" i="5"/>
  <c r="AB807" i="3"/>
  <c r="L509" i="5"/>
  <c r="P509" i="5"/>
  <c r="I388" i="5"/>
  <c r="Q388" i="5"/>
  <c r="I298" i="5"/>
  <c r="P298" i="5"/>
  <c r="Q298" i="5"/>
  <c r="Y560" i="3"/>
  <c r="L560" i="3"/>
  <c r="L774" i="3"/>
  <c r="J560" i="3"/>
  <c r="AB634" i="3"/>
  <c r="AB884" i="3"/>
  <c r="L634" i="3"/>
  <c r="L884" i="3"/>
  <c r="S634" i="3"/>
  <c r="S884" i="3"/>
  <c r="Y634" i="3"/>
  <c r="Y884" i="3"/>
  <c r="P353" i="5"/>
  <c r="P414" i="5"/>
  <c r="L353" i="5"/>
  <c r="L414" i="5"/>
  <c r="M1433" i="14"/>
  <c r="M1025" i="14"/>
  <c r="L1025" i="14"/>
  <c r="AB769" i="3"/>
  <c r="AA618" i="3"/>
  <c r="AA804" i="3"/>
  <c r="O278" i="3"/>
  <c r="O890" i="3"/>
  <c r="AB69" i="3"/>
  <c r="AB843" i="3"/>
  <c r="AB226" i="3"/>
  <c r="Y128" i="3"/>
  <c r="Y830" i="3"/>
  <c r="P379" i="5"/>
  <c r="J618" i="3"/>
  <c r="Q414" i="5"/>
  <c r="M1278" i="14"/>
  <c r="G248" i="14"/>
  <c r="M542" i="14"/>
  <c r="M950" i="14"/>
  <c r="T324" i="1"/>
  <c r="D45" i="6"/>
  <c r="D46" i="6"/>
  <c r="D44" i="6"/>
  <c r="G282" i="5"/>
  <c r="I140" i="4"/>
  <c r="G393" i="5"/>
  <c r="H239" i="3"/>
  <c r="H235" i="3"/>
  <c r="G102" i="5"/>
  <c r="G1617" i="14"/>
  <c r="M1618" i="14"/>
  <c r="M1675" i="14"/>
  <c r="G287" i="5"/>
  <c r="G1504" i="14"/>
  <c r="L516" i="14"/>
  <c r="L881" i="14"/>
  <c r="M516" i="14"/>
  <c r="M881" i="14"/>
  <c r="M1145" i="14"/>
  <c r="L1145" i="14"/>
  <c r="G151" i="5"/>
  <c r="G1353" i="14"/>
  <c r="H413" i="3"/>
  <c r="G429" i="14"/>
  <c r="P56" i="4"/>
  <c r="K56" i="4"/>
  <c r="M1600" i="14"/>
  <c r="M1701" i="14"/>
  <c r="L1600" i="14"/>
  <c r="L1701" i="14"/>
  <c r="I395" i="5"/>
  <c r="I438" i="5"/>
  <c r="Q395" i="5"/>
  <c r="Q438" i="5"/>
  <c r="Q498" i="3"/>
  <c r="S498" i="3"/>
  <c r="Y498" i="3"/>
  <c r="L498" i="3"/>
  <c r="Y842" i="3"/>
  <c r="H671" i="3"/>
  <c r="G715" i="14"/>
  <c r="L1557" i="14"/>
  <c r="M1557" i="14"/>
  <c r="L562" i="14"/>
  <c r="M562" i="14"/>
  <c r="Y489" i="3"/>
  <c r="L1630" i="14"/>
  <c r="L1675" i="14"/>
  <c r="H648" i="3"/>
  <c r="Q337" i="5"/>
  <c r="O578" i="3"/>
  <c r="Q578" i="3"/>
  <c r="O193" i="4"/>
  <c r="G1580" i="14"/>
  <c r="G321" i="14"/>
  <c r="G269" i="14"/>
  <c r="AB347" i="3"/>
  <c r="O347" i="3"/>
  <c r="G1560" i="14"/>
  <c r="G620" i="14"/>
  <c r="J237" i="2"/>
  <c r="K241" i="2"/>
  <c r="J238" i="2"/>
  <c r="J575" i="2"/>
  <c r="J579" i="2"/>
  <c r="L584" i="2"/>
  <c r="J576" i="2"/>
  <c r="L585" i="2"/>
  <c r="G268" i="5"/>
  <c r="G1474" i="14"/>
  <c r="G481" i="5"/>
  <c r="G1274" i="14"/>
  <c r="L860" i="3"/>
  <c r="G21" i="14"/>
  <c r="H23" i="3"/>
  <c r="AA489" i="3"/>
  <c r="L898" i="3"/>
  <c r="J573" i="3"/>
  <c r="Q573" i="3"/>
  <c r="O573" i="3"/>
  <c r="Y573" i="3"/>
  <c r="S573" i="3"/>
  <c r="M1360" i="14"/>
  <c r="L1360" i="14"/>
  <c r="G1533" i="14"/>
  <c r="L1534" i="14"/>
  <c r="M1534" i="14"/>
  <c r="M1125" i="14"/>
  <c r="L1125" i="14"/>
  <c r="I169" i="5"/>
  <c r="Q169" i="5"/>
  <c r="L169" i="5"/>
  <c r="P169" i="5"/>
  <c r="Q92" i="5"/>
  <c r="Q431" i="5"/>
  <c r="L92" i="5"/>
  <c r="L431" i="5"/>
  <c r="I92" i="5"/>
  <c r="I431" i="5"/>
  <c r="P92" i="5"/>
  <c r="P431" i="5"/>
  <c r="P47" i="4"/>
  <c r="O47" i="4"/>
  <c r="K47" i="4"/>
  <c r="P129" i="5"/>
  <c r="L129" i="5"/>
  <c r="Q129" i="5"/>
  <c r="Q28" i="5"/>
  <c r="Q411" i="5"/>
  <c r="P28" i="5"/>
  <c r="P411" i="5"/>
  <c r="I28" i="5"/>
  <c r="I411" i="5"/>
  <c r="L28" i="5"/>
  <c r="L411" i="5"/>
  <c r="G362" i="5"/>
  <c r="G1591" i="14"/>
  <c r="G231" i="5"/>
  <c r="G1437" i="14"/>
  <c r="I49" i="4"/>
  <c r="G1005" i="14"/>
  <c r="M1150" i="14"/>
  <c r="L1150" i="14"/>
  <c r="K154" i="4"/>
  <c r="P154" i="4"/>
  <c r="Q118" i="5"/>
  <c r="Q436" i="5"/>
  <c r="L118" i="5"/>
  <c r="L436" i="5"/>
  <c r="P118" i="5"/>
  <c r="P436" i="5"/>
  <c r="I118" i="5"/>
  <c r="I436" i="5"/>
  <c r="O180" i="4"/>
  <c r="P180" i="4"/>
  <c r="K180" i="4"/>
  <c r="P23" i="4"/>
  <c r="O23" i="4"/>
  <c r="K23" i="4"/>
  <c r="Q808" i="3"/>
  <c r="O860" i="3"/>
  <c r="L788" i="3"/>
  <c r="Y483" i="3"/>
  <c r="Q483" i="3"/>
  <c r="J483" i="3"/>
  <c r="AB483" i="3"/>
  <c r="S483" i="3"/>
  <c r="AA483" i="3"/>
  <c r="Q484" i="3"/>
  <c r="Q814" i="3"/>
  <c r="Y484" i="3"/>
  <c r="Y814" i="3"/>
  <c r="J484" i="3"/>
  <c r="AB484" i="3"/>
  <c r="AB814" i="3"/>
  <c r="G34" i="5"/>
  <c r="G1225" i="14"/>
  <c r="P469" i="5"/>
  <c r="M1525" i="14"/>
  <c r="L1525" i="14"/>
  <c r="L1466" i="14"/>
  <c r="M1466" i="14"/>
  <c r="M1287" i="14"/>
  <c r="M1663" i="14"/>
  <c r="L1287" i="14"/>
  <c r="L1663" i="14"/>
  <c r="L1184" i="14"/>
  <c r="M1184" i="14"/>
  <c r="L1167" i="14"/>
  <c r="M1167" i="14"/>
  <c r="G1513" i="14"/>
  <c r="G510" i="5"/>
  <c r="M1480" i="14"/>
  <c r="G1479" i="14"/>
  <c r="L1480" i="14"/>
  <c r="G493" i="5"/>
  <c r="G1431" i="14"/>
  <c r="O807" i="3"/>
  <c r="M1099" i="14"/>
  <c r="L1099" i="14"/>
  <c r="G1318" i="14"/>
  <c r="L1319" i="14"/>
  <c r="L1186" i="14"/>
  <c r="M1186" i="14"/>
  <c r="L499" i="5"/>
  <c r="Q499" i="5"/>
  <c r="P499" i="5"/>
  <c r="G152" i="5"/>
  <c r="G1354" i="14"/>
  <c r="I222" i="5"/>
  <c r="L222" i="5"/>
  <c r="K158" i="4"/>
  <c r="P158" i="4"/>
  <c r="O158" i="4"/>
  <c r="G1320" i="14"/>
  <c r="L1321" i="14"/>
  <c r="M1321" i="14"/>
  <c r="O814" i="3"/>
  <c r="Y31" i="3"/>
  <c r="H30" i="3"/>
  <c r="AA31" i="3"/>
  <c r="Q31" i="3"/>
  <c r="J31" i="3"/>
  <c r="AB31" i="3"/>
  <c r="S24" i="3"/>
  <c r="S814" i="3"/>
  <c r="L24" i="3"/>
  <c r="L814" i="3"/>
  <c r="J24" i="3"/>
  <c r="J814" i="3"/>
  <c r="G1324" i="14"/>
  <c r="G122" i="5"/>
  <c r="J571" i="3"/>
  <c r="O571" i="3"/>
  <c r="Y571" i="3"/>
  <c r="L301" i="5"/>
  <c r="P301" i="5"/>
  <c r="Q301" i="5"/>
  <c r="I301" i="5"/>
  <c r="Q295" i="5"/>
  <c r="P295" i="5"/>
  <c r="I295" i="5"/>
  <c r="G1325" i="14"/>
  <c r="G123" i="5"/>
  <c r="Q43" i="5"/>
  <c r="P43" i="5"/>
  <c r="O579" i="3"/>
  <c r="O834" i="3"/>
  <c r="L579" i="3"/>
  <c r="L834" i="3"/>
  <c r="S579" i="3"/>
  <c r="S834" i="3"/>
  <c r="Y579" i="3"/>
  <c r="Y834" i="3"/>
  <c r="Q579" i="3"/>
  <c r="Q834" i="3"/>
  <c r="G1563" i="14"/>
  <c r="G334" i="5"/>
  <c r="L84" i="5"/>
  <c r="I84" i="5"/>
  <c r="P84" i="5"/>
  <c r="I209" i="4"/>
  <c r="G1165" i="14"/>
  <c r="L451" i="5"/>
  <c r="Q488" i="5"/>
  <c r="P488" i="5"/>
  <c r="L300" i="5"/>
  <c r="I300" i="5"/>
  <c r="I260" i="5"/>
  <c r="Q260" i="5"/>
  <c r="L296" i="5"/>
  <c r="P296" i="5"/>
  <c r="I296" i="5"/>
  <c r="I466" i="5"/>
  <c r="I245" i="5"/>
  <c r="I442" i="5"/>
  <c r="P245" i="5"/>
  <c r="I321" i="5"/>
  <c r="I437" i="5"/>
  <c r="Q321" i="5"/>
  <c r="Q437" i="5"/>
  <c r="L376" i="5"/>
  <c r="I376" i="5"/>
  <c r="I56" i="5"/>
  <c r="Q56" i="5"/>
  <c r="M1349" i="14"/>
  <c r="M1700" i="14"/>
  <c r="G1348" i="14"/>
  <c r="L1581" i="14"/>
  <c r="L1650" i="14"/>
  <c r="M1581" i="14"/>
  <c r="M1650" i="14"/>
  <c r="I52" i="5"/>
  <c r="P52" i="5"/>
  <c r="I335" i="5"/>
  <c r="Q335" i="5"/>
  <c r="P13" i="5"/>
  <c r="L13" i="5"/>
  <c r="I14" i="5"/>
  <c r="P14" i="5"/>
  <c r="G66" i="5"/>
  <c r="G1257" i="14"/>
  <c r="G480" i="5"/>
  <c r="G1273" i="14"/>
  <c r="J436" i="3"/>
  <c r="O436" i="3"/>
  <c r="L436" i="3"/>
  <c r="AB531" i="3"/>
  <c r="Y531" i="3"/>
  <c r="AA531" i="3"/>
  <c r="O531" i="3"/>
  <c r="J531" i="3"/>
  <c r="L531" i="3"/>
  <c r="L513" i="14"/>
  <c r="L878" i="14"/>
  <c r="P486" i="5"/>
  <c r="O482" i="3"/>
  <c r="O810" i="3"/>
  <c r="AB482" i="3"/>
  <c r="AB810" i="3"/>
  <c r="Y570" i="3"/>
  <c r="G506" i="14"/>
  <c r="L127" i="5"/>
  <c r="G519" i="5"/>
  <c r="Q487" i="5"/>
  <c r="I171" i="5"/>
  <c r="P517" i="5"/>
  <c r="G1612" i="14"/>
  <c r="I396" i="5"/>
  <c r="L396" i="5"/>
  <c r="P466" i="5"/>
  <c r="P376" i="5"/>
  <c r="I61" i="5"/>
  <c r="I444" i="5"/>
  <c r="L1187" i="14"/>
  <c r="M1568" i="14"/>
  <c r="L413" i="5"/>
  <c r="P300" i="5"/>
  <c r="I368" i="5"/>
  <c r="I451" i="5"/>
  <c r="Q368" i="5"/>
  <c r="Q451" i="5"/>
  <c r="P194" i="4"/>
  <c r="O194" i="4"/>
  <c r="M1654" i="14"/>
  <c r="G1464" i="14"/>
  <c r="L1374" i="14"/>
  <c r="L1638" i="14"/>
  <c r="M1374" i="14"/>
  <c r="M1638" i="14"/>
  <c r="K892" i="2"/>
  <c r="J889" i="2"/>
  <c r="O200" i="4"/>
  <c r="P200" i="4"/>
  <c r="K84" i="4"/>
  <c r="P84" i="4"/>
  <c r="Q324" i="5"/>
  <c r="Q442" i="5"/>
  <c r="P324" i="5"/>
  <c r="L989" i="14"/>
  <c r="M989" i="14"/>
  <c r="M1476" i="14"/>
  <c r="L1476" i="14"/>
  <c r="M1315" i="14"/>
  <c r="L1315" i="14"/>
  <c r="L1672" i="14"/>
  <c r="L1185" i="14"/>
  <c r="M1185" i="14"/>
  <c r="L1181" i="14"/>
  <c r="M1181" i="14"/>
  <c r="P279" i="5"/>
  <c r="P443" i="5"/>
  <c r="L279" i="5"/>
  <c r="L443" i="5"/>
  <c r="G1559" i="14"/>
  <c r="G330" i="5"/>
  <c r="O172" i="4"/>
  <c r="P172" i="4"/>
  <c r="Q43" i="3"/>
  <c r="AA43" i="3"/>
  <c r="AB43" i="3"/>
  <c r="L43" i="3"/>
  <c r="S43" i="3"/>
  <c r="Y43" i="3"/>
  <c r="G1111" i="14"/>
  <c r="I155" i="4"/>
  <c r="J769" i="3"/>
  <c r="I381" i="5"/>
  <c r="Q381" i="5"/>
  <c r="L109" i="3"/>
  <c r="Q109" i="3"/>
  <c r="O785" i="3"/>
  <c r="J698" i="3"/>
  <c r="L698" i="3"/>
  <c r="Q698" i="3"/>
  <c r="S698" i="3"/>
  <c r="G468" i="14"/>
  <c r="M469" i="14"/>
  <c r="M894" i="14"/>
  <c r="L469" i="14"/>
  <c r="L894" i="14"/>
  <c r="J810" i="3"/>
  <c r="Y482" i="3"/>
  <c r="Y810" i="3"/>
  <c r="L487" i="5"/>
  <c r="L245" i="5"/>
  <c r="L442" i="5"/>
  <c r="Q296" i="5"/>
  <c r="Q466" i="5"/>
  <c r="M1547" i="14"/>
  <c r="L435" i="5"/>
  <c r="Q376" i="5"/>
  <c r="P321" i="5"/>
  <c r="P437" i="5"/>
  <c r="L466" i="5"/>
  <c r="L1138" i="14"/>
  <c r="G258" i="5"/>
  <c r="Q300" i="5"/>
  <c r="I347" i="5"/>
  <c r="Q347" i="5"/>
  <c r="G515" i="5"/>
  <c r="P516" i="5"/>
  <c r="Q502" i="5"/>
  <c r="P502" i="5"/>
  <c r="Q435" i="5"/>
  <c r="J1125" i="2"/>
  <c r="K1129" i="2"/>
  <c r="G263" i="5"/>
  <c r="G1469" i="14"/>
  <c r="Q249" i="5"/>
  <c r="P249" i="5"/>
  <c r="Q251" i="5"/>
  <c r="P251" i="5"/>
  <c r="G228" i="5"/>
  <c r="G1434" i="14"/>
  <c r="G1432" i="14"/>
  <c r="G365" i="5"/>
  <c r="G1594" i="14"/>
  <c r="Q366" i="5"/>
  <c r="Q441" i="5"/>
  <c r="P366" i="5"/>
  <c r="P441" i="5"/>
  <c r="G980" i="14"/>
  <c r="I24" i="4"/>
  <c r="G65" i="5"/>
  <c r="G1256" i="14"/>
  <c r="G1483" i="14"/>
  <c r="G498" i="5"/>
  <c r="Q844" i="3"/>
  <c r="S442" i="3"/>
  <c r="O442" i="3"/>
  <c r="J442" i="3"/>
  <c r="L225" i="14"/>
  <c r="L937" i="14"/>
  <c r="M225" i="14"/>
  <c r="M937" i="14"/>
  <c r="P172" i="5"/>
  <c r="P401" i="5"/>
  <c r="P44" i="4"/>
  <c r="Q236" i="5"/>
  <c r="L206" i="5"/>
  <c r="J2409" i="2"/>
  <c r="J2406" i="2"/>
  <c r="L2415" i="2"/>
  <c r="M1110" i="14"/>
  <c r="M981" i="14"/>
  <c r="M1074" i="14"/>
  <c r="Q234" i="5"/>
  <c r="Q349" i="5"/>
  <c r="L270" i="5"/>
  <c r="P33" i="4"/>
  <c r="L1176" i="14"/>
  <c r="P253" i="5"/>
  <c r="G107" i="5"/>
  <c r="P310" i="5"/>
  <c r="L198" i="5"/>
  <c r="O225" i="4"/>
  <c r="G158" i="5"/>
  <c r="I159" i="5"/>
  <c r="I413" i="5"/>
  <c r="P22" i="5"/>
  <c r="P407" i="5"/>
  <c r="L313" i="5"/>
  <c r="L259" i="5"/>
  <c r="Q259" i="5"/>
  <c r="Q289" i="5"/>
  <c r="I104" i="5"/>
  <c r="I417" i="5"/>
  <c r="G979" i="14"/>
  <c r="G1316" i="14"/>
  <c r="G1204" i="14"/>
  <c r="G1564" i="14"/>
  <c r="G1455" i="14"/>
  <c r="G1205" i="14"/>
  <c r="I8" i="4"/>
  <c r="G153" i="5"/>
  <c r="G1355" i="14"/>
  <c r="L867" i="3"/>
  <c r="M135" i="14"/>
  <c r="M863" i="14"/>
  <c r="G132" i="14"/>
  <c r="L135" i="14"/>
  <c r="L863" i="14"/>
  <c r="J2408" i="2"/>
  <c r="J2405" i="2"/>
  <c r="L96" i="5"/>
  <c r="L446" i="5"/>
  <c r="P30" i="5"/>
  <c r="P412" i="5"/>
  <c r="G27" i="5"/>
  <c r="G1218" i="14"/>
  <c r="I191" i="4"/>
  <c r="G1147" i="14"/>
  <c r="G1141" i="14"/>
  <c r="G49" i="5"/>
  <c r="G1240" i="14"/>
  <c r="I77" i="4"/>
  <c r="G1033" i="14"/>
  <c r="G1511" i="14"/>
  <c r="G508" i="5"/>
  <c r="L394" i="14"/>
  <c r="L903" i="14"/>
  <c r="O111" i="4"/>
  <c r="K111" i="4"/>
  <c r="M1081" i="14"/>
  <c r="L1081" i="14"/>
  <c r="G726" i="14"/>
  <c r="M727" i="14"/>
  <c r="K39" i="4"/>
  <c r="P39" i="4"/>
  <c r="L621" i="3"/>
  <c r="L807" i="3"/>
  <c r="S621" i="3"/>
  <c r="S807" i="3"/>
  <c r="M473" i="14"/>
  <c r="L473" i="14"/>
  <c r="L293" i="14"/>
  <c r="L922" i="14"/>
  <c r="M293" i="14"/>
  <c r="M922" i="14"/>
  <c r="L209" i="14"/>
  <c r="L840" i="14"/>
  <c r="M209" i="14"/>
  <c r="M840" i="14"/>
  <c r="K174" i="4"/>
  <c r="O174" i="4"/>
  <c r="P174" i="4"/>
  <c r="K74" i="4"/>
  <c r="O74" i="4"/>
  <c r="J384" i="3"/>
  <c r="L384" i="3"/>
  <c r="Q384" i="3"/>
  <c r="L363" i="3"/>
  <c r="J363" i="3"/>
  <c r="S363" i="3"/>
  <c r="K216" i="4"/>
  <c r="P216" i="4"/>
  <c r="L736" i="3"/>
  <c r="L844" i="3"/>
  <c r="Q736" i="3"/>
  <c r="O639" i="3"/>
  <c r="O899" i="3"/>
  <c r="Q639" i="3"/>
  <c r="Q899" i="3"/>
  <c r="H540" i="3"/>
  <c r="G573" i="14"/>
  <c r="I89" i="4"/>
  <c r="G1045" i="14"/>
  <c r="J2275" i="2"/>
  <c r="J2273" i="2"/>
  <c r="J2274" i="2"/>
  <c r="P36" i="4"/>
  <c r="K36" i="4"/>
  <c r="O390" i="3"/>
  <c r="Q390" i="3"/>
  <c r="H165" i="3"/>
  <c r="G163" i="14"/>
  <c r="G798" i="14"/>
  <c r="H754" i="3"/>
  <c r="H389" i="3"/>
  <c r="G405" i="14"/>
  <c r="L164" i="3"/>
  <c r="O164" i="3"/>
  <c r="K2197" i="2"/>
  <c r="J2193" i="2"/>
  <c r="J2194" i="2"/>
  <c r="H386" i="3"/>
  <c r="G402" i="14"/>
  <c r="H86" i="3"/>
  <c r="G84" i="14"/>
  <c r="J750" i="3"/>
  <c r="Q750" i="3"/>
  <c r="H385" i="3"/>
  <c r="G401" i="14"/>
  <c r="H163" i="3"/>
  <c r="G161" i="14"/>
  <c r="H749" i="3"/>
  <c r="G793" i="14"/>
  <c r="H84" i="3"/>
  <c r="G82" i="14"/>
  <c r="O748" i="3"/>
  <c r="Q748" i="3"/>
  <c r="M1131" i="14"/>
  <c r="M1069" i="14"/>
  <c r="M1061" i="14"/>
  <c r="M534" i="14"/>
  <c r="M901" i="14"/>
  <c r="L385" i="14"/>
  <c r="L888" i="14"/>
  <c r="O176" i="4"/>
  <c r="P176" i="4"/>
  <c r="O115" i="4"/>
  <c r="K115" i="4"/>
  <c r="J954" i="3"/>
  <c r="J978" i="3"/>
  <c r="S954" i="3"/>
  <c r="S978" i="3"/>
  <c r="J944" i="3"/>
  <c r="J977" i="3"/>
  <c r="Q944" i="3"/>
  <c r="Q977" i="3"/>
  <c r="S944" i="3"/>
  <c r="S977" i="3"/>
  <c r="J760" i="3"/>
  <c r="J898" i="3"/>
  <c r="O760" i="3"/>
  <c r="O898" i="3"/>
  <c r="Q760" i="3"/>
  <c r="Q898" i="3"/>
  <c r="J748" i="3"/>
  <c r="L663" i="3"/>
  <c r="S663" i="3"/>
  <c r="J480" i="3"/>
  <c r="J808" i="3"/>
  <c r="S480" i="3"/>
  <c r="S808" i="3"/>
  <c r="J232" i="3"/>
  <c r="Q232" i="3"/>
  <c r="S232" i="3"/>
  <c r="O91" i="4"/>
  <c r="P91" i="4"/>
  <c r="O934" i="3"/>
  <c r="O980" i="3"/>
  <c r="S934" i="3"/>
  <c r="S980" i="3"/>
  <c r="S927" i="3"/>
  <c r="S975" i="3"/>
  <c r="Q927" i="3"/>
  <c r="Q975" i="3"/>
  <c r="L744" i="3"/>
  <c r="L861" i="3"/>
  <c r="Q744" i="3"/>
  <c r="Q861" i="3"/>
  <c r="S670" i="3"/>
  <c r="O670" i="3"/>
  <c r="J670" i="3"/>
  <c r="Q501" i="3"/>
  <c r="Q848" i="3"/>
  <c r="L501" i="3"/>
  <c r="L848" i="3"/>
  <c r="J501" i="3"/>
  <c r="J848" i="3"/>
  <c r="S501" i="3"/>
  <c r="S848" i="3"/>
  <c r="J407" i="3"/>
  <c r="J800" i="3"/>
  <c r="S407" i="3"/>
  <c r="S800" i="3"/>
  <c r="O407" i="3"/>
  <c r="O800" i="3"/>
  <c r="J152" i="3"/>
  <c r="O152" i="3"/>
  <c r="Q152" i="3"/>
  <c r="S152" i="3"/>
  <c r="L148" i="3"/>
  <c r="L787" i="3"/>
  <c r="S148" i="3"/>
  <c r="S787" i="3"/>
  <c r="K210" i="4"/>
  <c r="O110" i="4"/>
  <c r="P104" i="4"/>
  <c r="K54" i="4"/>
  <c r="H958" i="3"/>
  <c r="H700" i="3"/>
  <c r="S701" i="3"/>
  <c r="S872" i="3"/>
  <c r="J516" i="3"/>
  <c r="J867" i="3"/>
  <c r="S516" i="3"/>
  <c r="O510" i="3"/>
  <c r="O854" i="3"/>
  <c r="Q510" i="3"/>
  <c r="J273" i="3"/>
  <c r="J891" i="3"/>
  <c r="L273" i="3"/>
  <c r="L891" i="3"/>
  <c r="S273" i="3"/>
  <c r="S891" i="3"/>
  <c r="K2119" i="2"/>
  <c r="J2115" i="2"/>
  <c r="J2116" i="2"/>
  <c r="K1942" i="2"/>
  <c r="L1944" i="2"/>
  <c r="K1916" i="2"/>
  <c r="L1918" i="2"/>
  <c r="K426" i="2"/>
  <c r="L428" i="2"/>
  <c r="L429" i="2"/>
  <c r="L430" i="2"/>
  <c r="Y688" i="3"/>
  <c r="Y853" i="3"/>
  <c r="J688" i="3"/>
  <c r="S688" i="3"/>
  <c r="O688" i="3"/>
  <c r="O853" i="3"/>
  <c r="S647" i="3"/>
  <c r="S896" i="3"/>
  <c r="H646" i="3"/>
  <c r="J593" i="3"/>
  <c r="J897" i="3"/>
  <c r="S593" i="3"/>
  <c r="S897" i="3"/>
  <c r="Q585" i="3"/>
  <c r="J585" i="3"/>
  <c r="J854" i="3"/>
  <c r="Q419" i="3"/>
  <c r="Q854" i="3"/>
  <c r="S419" i="3"/>
  <c r="S854" i="3"/>
  <c r="S418" i="3"/>
  <c r="J418" i="3"/>
  <c r="J853" i="3"/>
  <c r="J388" i="3"/>
  <c r="L388" i="3"/>
  <c r="Q388" i="3"/>
  <c r="O382" i="3"/>
  <c r="O867" i="3"/>
  <c r="S382" i="3"/>
  <c r="S867" i="3"/>
  <c r="Q330" i="3"/>
  <c r="Q840" i="3"/>
  <c r="S330" i="3"/>
  <c r="S840" i="3"/>
  <c r="L191" i="3"/>
  <c r="L796" i="3"/>
  <c r="O191" i="3"/>
  <c r="S191" i="3"/>
  <c r="J178" i="3"/>
  <c r="Q178" i="3"/>
  <c r="H177" i="3"/>
  <c r="S178" i="3"/>
  <c r="J102" i="3"/>
  <c r="J776" i="3"/>
  <c r="Q102" i="3"/>
  <c r="Q776" i="3"/>
  <c r="S102" i="3"/>
  <c r="S776" i="3"/>
  <c r="O76" i="3"/>
  <c r="O847" i="3"/>
  <c r="L76" i="3"/>
  <c r="L847" i="3"/>
  <c r="O67" i="3"/>
  <c r="S67" i="3"/>
  <c r="J48" i="3"/>
  <c r="J832" i="3"/>
  <c r="S48" i="3"/>
  <c r="S832" i="3"/>
  <c r="S563" i="3"/>
  <c r="O563" i="3"/>
  <c r="Q559" i="3"/>
  <c r="Q770" i="3"/>
  <c r="J559" i="3"/>
  <c r="J770" i="3"/>
  <c r="Y510" i="3"/>
  <c r="Y854" i="3"/>
  <c r="Q375" i="3"/>
  <c r="Q847" i="3"/>
  <c r="S375" i="3"/>
  <c r="S847" i="3"/>
  <c r="L365" i="3"/>
  <c r="L794" i="3"/>
  <c r="O365" i="3"/>
  <c r="O794" i="3"/>
  <c r="Q365" i="3"/>
  <c r="Q794" i="3"/>
  <c r="L269" i="3"/>
  <c r="L773" i="3"/>
  <c r="S269" i="3"/>
  <c r="S773" i="3"/>
  <c r="O92" i="3"/>
  <c r="O886" i="3"/>
  <c r="Q92" i="3"/>
  <c r="Q886" i="3"/>
  <c r="H34" i="3"/>
  <c r="Q35" i="3"/>
  <c r="J1994" i="2"/>
  <c r="J1992" i="2"/>
  <c r="J1993" i="2"/>
  <c r="Q324" i="3"/>
  <c r="Q824" i="3"/>
  <c r="Q315" i="3"/>
  <c r="Q773" i="3"/>
  <c r="Q257" i="3"/>
  <c r="J75" i="3"/>
  <c r="J846" i="3"/>
  <c r="L2401" i="2"/>
  <c r="L2400" i="2"/>
  <c r="K2176" i="2"/>
  <c r="L2178" i="2"/>
  <c r="K1983" i="2"/>
  <c r="J1979" i="2"/>
  <c r="J1980" i="2"/>
  <c r="K1589" i="2"/>
  <c r="J1586" i="2"/>
  <c r="J1587" i="2"/>
  <c r="K1400" i="2"/>
  <c r="J1397" i="2"/>
  <c r="J1398" i="2"/>
  <c r="J1339" i="2"/>
  <c r="J1337" i="2"/>
  <c r="J1338" i="2"/>
  <c r="K2329" i="2"/>
  <c r="J2322" i="2"/>
  <c r="J2323" i="2"/>
  <c r="J2324" i="2"/>
  <c r="J2325" i="2"/>
  <c r="J2326" i="2"/>
  <c r="K1275" i="2"/>
  <c r="L1277" i="2"/>
  <c r="K780" i="2"/>
  <c r="J775" i="2"/>
  <c r="J776" i="2"/>
  <c r="J777" i="2"/>
  <c r="K375" i="2"/>
  <c r="J370" i="2"/>
  <c r="J371" i="2"/>
  <c r="J372" i="2"/>
  <c r="J1930" i="2"/>
  <c r="J1328" i="2"/>
  <c r="J1327" i="2"/>
  <c r="L544" i="2"/>
  <c r="L543" i="2"/>
  <c r="J509" i="2"/>
  <c r="J324" i="2"/>
  <c r="L255" i="2"/>
  <c r="J2243" i="2"/>
  <c r="J2242" i="2"/>
  <c r="J2241" i="2"/>
  <c r="J2240" i="2"/>
  <c r="J2163" i="2"/>
  <c r="J2162" i="2"/>
  <c r="J2070" i="2"/>
  <c r="J2069" i="2"/>
  <c r="J2068" i="2"/>
  <c r="J2057" i="2"/>
  <c r="J2056" i="2"/>
  <c r="J2055" i="2"/>
  <c r="J2054" i="2"/>
  <c r="J2053" i="2"/>
  <c r="L1908" i="2"/>
  <c r="J1608" i="2"/>
  <c r="J1607" i="2"/>
  <c r="J1606" i="2"/>
  <c r="J804" i="2"/>
  <c r="J803" i="2"/>
  <c r="J802" i="2"/>
  <c r="J445" i="2"/>
  <c r="J444" i="2"/>
  <c r="J443" i="2"/>
  <c r="J442" i="2"/>
  <c r="J395" i="2"/>
  <c r="J353" i="2"/>
  <c r="J352" i="2"/>
  <c r="J296" i="2"/>
  <c r="J295" i="2"/>
  <c r="J294" i="2"/>
  <c r="J293" i="2"/>
  <c r="J292" i="2"/>
  <c r="J291" i="2"/>
  <c r="J230" i="2"/>
  <c r="J229" i="2"/>
  <c r="L1432" i="14"/>
  <c r="M1432" i="14"/>
  <c r="L1141" i="14"/>
  <c r="M1141" i="14"/>
  <c r="L468" i="14"/>
  <c r="M468" i="14"/>
  <c r="M1111" i="14"/>
  <c r="L1111" i="14"/>
  <c r="M1273" i="14"/>
  <c r="L1273" i="14"/>
  <c r="L66" i="5"/>
  <c r="I66" i="5"/>
  <c r="Q66" i="5"/>
  <c r="P66" i="5"/>
  <c r="P209" i="4"/>
  <c r="K209" i="4"/>
  <c r="O209" i="4"/>
  <c r="L334" i="5"/>
  <c r="I334" i="5"/>
  <c r="Q334" i="5"/>
  <c r="P334" i="5"/>
  <c r="P123" i="5"/>
  <c r="Q123" i="5"/>
  <c r="I123" i="5"/>
  <c r="L123" i="5"/>
  <c r="L1513" i="14"/>
  <c r="L1696" i="14"/>
  <c r="M1513" i="14"/>
  <c r="M1696" i="14"/>
  <c r="M1225" i="14"/>
  <c r="L1225" i="14"/>
  <c r="M1005" i="14"/>
  <c r="L1005" i="14"/>
  <c r="M1591" i="14"/>
  <c r="L1591" i="14"/>
  <c r="L1533" i="14"/>
  <c r="M1533" i="14"/>
  <c r="O23" i="3"/>
  <c r="O813" i="3"/>
  <c r="J23" i="3"/>
  <c r="J813" i="3"/>
  <c r="Q23" i="3"/>
  <c r="Q813" i="3"/>
  <c r="S23" i="3"/>
  <c r="S813" i="3"/>
  <c r="L23" i="3"/>
  <c r="L813" i="3"/>
  <c r="Y23" i="3"/>
  <c r="Y813" i="3"/>
  <c r="AA23" i="3"/>
  <c r="AA813" i="3"/>
  <c r="AB23" i="3"/>
  <c r="AB813" i="3"/>
  <c r="M1274" i="14"/>
  <c r="L1274" i="14"/>
  <c r="G1214" i="14"/>
  <c r="G23" i="5"/>
  <c r="G489" i="14"/>
  <c r="H467" i="3"/>
  <c r="M620" i="14"/>
  <c r="M908" i="14"/>
  <c r="L620" i="14"/>
  <c r="L908" i="14"/>
  <c r="L269" i="14"/>
  <c r="M269" i="14"/>
  <c r="J671" i="3"/>
  <c r="AA671" i="3"/>
  <c r="H665" i="3"/>
  <c r="O671" i="3"/>
  <c r="S671" i="3"/>
  <c r="AB671" i="3"/>
  <c r="Y671" i="3"/>
  <c r="Q671" i="3"/>
  <c r="L671" i="3"/>
  <c r="M1353" i="14"/>
  <c r="L1353" i="14"/>
  <c r="Q102" i="5"/>
  <c r="Q415" i="5"/>
  <c r="L102" i="5"/>
  <c r="L415" i="5"/>
  <c r="G101" i="5"/>
  <c r="I102" i="5"/>
  <c r="I415" i="5"/>
  <c r="P102" i="5"/>
  <c r="P415" i="5"/>
  <c r="O140" i="4"/>
  <c r="K140" i="4"/>
  <c r="P140" i="4"/>
  <c r="M248" i="14"/>
  <c r="L248" i="14"/>
  <c r="P223" i="4"/>
  <c r="O223" i="4"/>
  <c r="K223" i="4"/>
  <c r="I221" i="4"/>
  <c r="L1413" i="14"/>
  <c r="L1677" i="14"/>
  <c r="M1413" i="14"/>
  <c r="M1677" i="14"/>
  <c r="P57" i="5"/>
  <c r="L57" i="5"/>
  <c r="Q57" i="5"/>
  <c r="I57" i="5"/>
  <c r="L350" i="5"/>
  <c r="Q350" i="5"/>
  <c r="P350" i="5"/>
  <c r="I350" i="5"/>
  <c r="L694" i="3"/>
  <c r="S694" i="3"/>
  <c r="Q694" i="3"/>
  <c r="Y694" i="3"/>
  <c r="AA694" i="3"/>
  <c r="AB694" i="3"/>
  <c r="J694" i="3"/>
  <c r="O694" i="3"/>
  <c r="O503" i="3"/>
  <c r="AA503" i="3"/>
  <c r="AB503" i="3"/>
  <c r="S503" i="3"/>
  <c r="L503" i="3"/>
  <c r="Q503" i="3"/>
  <c r="Y503" i="3"/>
  <c r="J503" i="3"/>
  <c r="M1018" i="14"/>
  <c r="L1018" i="14"/>
  <c r="I81" i="5"/>
  <c r="P81" i="5"/>
  <c r="L81" i="5"/>
  <c r="Q81" i="5"/>
  <c r="H487" i="3"/>
  <c r="G509" i="14"/>
  <c r="S890" i="3"/>
  <c r="M1078" i="14"/>
  <c r="L1078" i="14"/>
  <c r="L997" i="14"/>
  <c r="M997" i="14"/>
  <c r="L697" i="14"/>
  <c r="M697" i="14"/>
  <c r="G1088" i="14"/>
  <c r="I132" i="4"/>
  <c r="H455" i="3"/>
  <c r="G477" i="14"/>
  <c r="G501" i="5"/>
  <c r="I503" i="5"/>
  <c r="P503" i="5"/>
  <c r="Q503" i="5"/>
  <c r="L503" i="5"/>
  <c r="P195" i="4"/>
  <c r="O195" i="4"/>
  <c r="K195" i="4"/>
  <c r="AA534" i="3"/>
  <c r="AA779" i="3"/>
  <c r="Y534" i="3"/>
  <c r="Y779" i="3"/>
  <c r="Q534" i="3"/>
  <c r="Q779" i="3"/>
  <c r="J534" i="3"/>
  <c r="J779" i="3"/>
  <c r="L534" i="3"/>
  <c r="L779" i="3"/>
  <c r="H533" i="3"/>
  <c r="O534" i="3"/>
  <c r="O779" i="3"/>
  <c r="S534" i="3"/>
  <c r="S779" i="3"/>
  <c r="AB534" i="3"/>
  <c r="AB779" i="3"/>
  <c r="G678" i="14"/>
  <c r="H637" i="3"/>
  <c r="H592" i="3"/>
  <c r="G625" i="14"/>
  <c r="G182" i="5"/>
  <c r="G1384" i="14"/>
  <c r="O901" i="3"/>
  <c r="I44" i="5"/>
  <c r="Q44" i="5"/>
  <c r="P44" i="5"/>
  <c r="L44" i="5"/>
  <c r="O823" i="3"/>
  <c r="O678" i="3"/>
  <c r="Y678" i="3"/>
  <c r="Q678" i="3"/>
  <c r="AB678" i="3"/>
  <c r="S678" i="3"/>
  <c r="L678" i="3"/>
  <c r="AA678" i="3"/>
  <c r="J678" i="3"/>
  <c r="I293" i="5"/>
  <c r="L293" i="5"/>
  <c r="Q293" i="5"/>
  <c r="P293" i="5"/>
  <c r="G23" i="14"/>
  <c r="H25" i="3"/>
  <c r="L135" i="5"/>
  <c r="I135" i="5"/>
  <c r="Q135" i="5"/>
  <c r="P135" i="5"/>
  <c r="S901" i="3"/>
  <c r="Q771" i="3"/>
  <c r="I340" i="5"/>
  <c r="Q340" i="5"/>
  <c r="L340" i="5"/>
  <c r="P340" i="5"/>
  <c r="Y835" i="3"/>
  <c r="H611" i="3"/>
  <c r="G652" i="14"/>
  <c r="H220" i="3"/>
  <c r="G230" i="14"/>
  <c r="H106" i="3"/>
  <c r="G104" i="14"/>
  <c r="H737" i="3"/>
  <c r="G781" i="14"/>
  <c r="G1109" i="14"/>
  <c r="I153" i="4"/>
  <c r="H433" i="3"/>
  <c r="G455" i="14"/>
  <c r="G237" i="5"/>
  <c r="G1443" i="14"/>
  <c r="I96" i="4"/>
  <c r="G1052" i="14"/>
  <c r="H93" i="3"/>
  <c r="G91" i="14"/>
  <c r="P8" i="4"/>
  <c r="O8" i="4"/>
  <c r="K8" i="4"/>
  <c r="M1204" i="14"/>
  <c r="L1204" i="14"/>
  <c r="M1434" i="14"/>
  <c r="L1434" i="14"/>
  <c r="G974" i="14"/>
  <c r="I18" i="4"/>
  <c r="H187" i="3"/>
  <c r="G185" i="14"/>
  <c r="H685" i="3"/>
  <c r="G729" i="14"/>
  <c r="H53" i="3"/>
  <c r="G51" i="14"/>
  <c r="H561" i="3"/>
  <c r="G594" i="14"/>
  <c r="G526" i="14"/>
  <c r="H504" i="3"/>
  <c r="H286" i="3"/>
  <c r="G296" i="14"/>
  <c r="H282" i="3"/>
  <c r="G292" i="14"/>
  <c r="H344" i="3"/>
  <c r="G358" i="14"/>
  <c r="G164" i="14"/>
  <c r="H166" i="3"/>
  <c r="H364" i="3"/>
  <c r="G380" i="14"/>
  <c r="H71" i="3"/>
  <c r="G69" i="14"/>
  <c r="H309" i="3"/>
  <c r="G320" i="14"/>
  <c r="H311" i="3"/>
  <c r="G322" i="14"/>
  <c r="H922" i="3"/>
  <c r="G194" i="14"/>
  <c r="H928" i="3"/>
  <c r="G224" i="14"/>
  <c r="H371" i="3"/>
  <c r="G387" i="14"/>
  <c r="H659" i="3"/>
  <c r="G703" i="14"/>
  <c r="H342" i="3"/>
  <c r="G356" i="14"/>
  <c r="G485" i="5"/>
  <c r="G1308" i="14"/>
  <c r="H523" i="3"/>
  <c r="G545" i="14"/>
  <c r="AA646" i="3"/>
  <c r="L646" i="3"/>
  <c r="S646" i="3"/>
  <c r="Y646" i="3"/>
  <c r="O646" i="3"/>
  <c r="AB646" i="3"/>
  <c r="Q646" i="3"/>
  <c r="J646" i="3"/>
  <c r="G364" i="5"/>
  <c r="G1593" i="14"/>
  <c r="G327" i="5"/>
  <c r="G1556" i="14"/>
  <c r="I86" i="4"/>
  <c r="G1042" i="14"/>
  <c r="M793" i="14"/>
  <c r="L793" i="14"/>
  <c r="M401" i="14"/>
  <c r="L401" i="14"/>
  <c r="M84" i="14"/>
  <c r="L84" i="14"/>
  <c r="H539" i="3"/>
  <c r="G572" i="14"/>
  <c r="M798" i="14"/>
  <c r="L798" i="14"/>
  <c r="H757" i="3"/>
  <c r="G801" i="14"/>
  <c r="M573" i="14"/>
  <c r="M931" i="14"/>
  <c r="L573" i="14"/>
  <c r="L931" i="14"/>
  <c r="O77" i="4"/>
  <c r="P77" i="4"/>
  <c r="K77" i="4"/>
  <c r="O191" i="4"/>
  <c r="K191" i="4"/>
  <c r="P191" i="4"/>
  <c r="I185" i="4"/>
  <c r="M132" i="14"/>
  <c r="L132" i="14"/>
  <c r="M1205" i="14"/>
  <c r="M1639" i="14"/>
  <c r="L1205" i="14"/>
  <c r="L1639" i="14"/>
  <c r="L1316" i="14"/>
  <c r="L1673" i="14"/>
  <c r="M1316" i="14"/>
  <c r="M1673" i="14"/>
  <c r="H940" i="3"/>
  <c r="G362" i="14"/>
  <c r="Q498" i="5"/>
  <c r="G497" i="5"/>
  <c r="I498" i="5"/>
  <c r="P498" i="5"/>
  <c r="L498" i="5"/>
  <c r="Q65" i="5"/>
  <c r="Q453" i="5"/>
  <c r="L65" i="5"/>
  <c r="L453" i="5"/>
  <c r="I65" i="5"/>
  <c r="I453" i="5"/>
  <c r="P65" i="5"/>
  <c r="P453" i="5"/>
  <c r="Q228" i="5"/>
  <c r="L228" i="5"/>
  <c r="P228" i="5"/>
  <c r="I228" i="5"/>
  <c r="G226" i="5"/>
  <c r="G512" i="14"/>
  <c r="H490" i="3"/>
  <c r="I330" i="5"/>
  <c r="Q330" i="5"/>
  <c r="L330" i="5"/>
  <c r="P330" i="5"/>
  <c r="H21" i="3"/>
  <c r="G19" i="14"/>
  <c r="M1464" i="14"/>
  <c r="L1464" i="14"/>
  <c r="M506" i="14"/>
  <c r="M858" i="14"/>
  <c r="L506" i="14"/>
  <c r="L858" i="14"/>
  <c r="Q480" i="5"/>
  <c r="P480" i="5"/>
  <c r="I480" i="5"/>
  <c r="L480" i="5"/>
  <c r="G478" i="5"/>
  <c r="L1563" i="14"/>
  <c r="M1563" i="14"/>
  <c r="M1325" i="14"/>
  <c r="L1325" i="14"/>
  <c r="M1354" i="14"/>
  <c r="L1354" i="14"/>
  <c r="M1479" i="14"/>
  <c r="L1479" i="14"/>
  <c r="P34" i="5"/>
  <c r="L34" i="5"/>
  <c r="I34" i="5"/>
  <c r="Q34" i="5"/>
  <c r="P49" i="4"/>
  <c r="K49" i="4"/>
  <c r="O49" i="4"/>
  <c r="Q362" i="5"/>
  <c r="Q402" i="5"/>
  <c r="P362" i="5"/>
  <c r="P402" i="5"/>
  <c r="L362" i="5"/>
  <c r="L402" i="5"/>
  <c r="I362" i="5"/>
  <c r="M21" i="14"/>
  <c r="M857" i="14"/>
  <c r="L21" i="14"/>
  <c r="L857" i="14"/>
  <c r="Q481" i="5"/>
  <c r="Q530" i="5"/>
  <c r="P481" i="5"/>
  <c r="P530" i="5"/>
  <c r="I481" i="5"/>
  <c r="I530" i="5"/>
  <c r="L481" i="5"/>
  <c r="L530" i="5"/>
  <c r="H404" i="3"/>
  <c r="G420" i="14"/>
  <c r="G239" i="14"/>
  <c r="H229" i="3"/>
  <c r="M1560" i="14"/>
  <c r="L1560" i="14"/>
  <c r="M321" i="14"/>
  <c r="M833" i="14"/>
  <c r="L321" i="14"/>
  <c r="Q151" i="5"/>
  <c r="I151" i="5"/>
  <c r="G148" i="5"/>
  <c r="L151" i="5"/>
  <c r="P151" i="5"/>
  <c r="M1617" i="14"/>
  <c r="L1617" i="14"/>
  <c r="O235" i="3"/>
  <c r="AA235" i="3"/>
  <c r="Q235" i="3"/>
  <c r="L235" i="3"/>
  <c r="S235" i="3"/>
  <c r="J235" i="3"/>
  <c r="Y235" i="3"/>
  <c r="AB235" i="3"/>
  <c r="P282" i="5"/>
  <c r="G281" i="5"/>
  <c r="Q282" i="5"/>
  <c r="I282" i="5"/>
  <c r="I418" i="5"/>
  <c r="L282" i="5"/>
  <c r="L418" i="5"/>
  <c r="L186" i="14"/>
  <c r="L835" i="14"/>
  <c r="M186" i="14"/>
  <c r="M835" i="14"/>
  <c r="M1412" i="14"/>
  <c r="L1412" i="14"/>
  <c r="L1376" i="14"/>
  <c r="L1667" i="14"/>
  <c r="M1376" i="14"/>
  <c r="M1667" i="14"/>
  <c r="G1375" i="14"/>
  <c r="I105" i="5"/>
  <c r="P105" i="5"/>
  <c r="L105" i="5"/>
  <c r="Q105" i="5"/>
  <c r="O62" i="4"/>
  <c r="K62" i="4"/>
  <c r="P62" i="4"/>
  <c r="J804" i="3"/>
  <c r="O122" i="4"/>
  <c r="P122" i="4"/>
  <c r="K122" i="4"/>
  <c r="O41" i="4"/>
  <c r="P41" i="4"/>
  <c r="K41" i="4"/>
  <c r="S653" i="3"/>
  <c r="AB653" i="3"/>
  <c r="J653" i="3"/>
  <c r="AA653" i="3"/>
  <c r="O653" i="3"/>
  <c r="Q653" i="3"/>
  <c r="L653" i="3"/>
  <c r="Y653" i="3"/>
  <c r="H295" i="3"/>
  <c r="G306" i="14"/>
  <c r="L1276" i="14"/>
  <c r="L1697" i="14"/>
  <c r="M1276" i="14"/>
  <c r="M1697" i="14"/>
  <c r="P247" i="5"/>
  <c r="L247" i="5"/>
  <c r="Q247" i="5"/>
  <c r="I247" i="5"/>
  <c r="I114" i="5"/>
  <c r="Q114" i="5"/>
  <c r="G113" i="5"/>
  <c r="P114" i="5"/>
  <c r="L114" i="5"/>
  <c r="L260" i="3"/>
  <c r="Y260" i="3"/>
  <c r="Q260" i="3"/>
  <c r="O260" i="3"/>
  <c r="AA260" i="3"/>
  <c r="S260" i="3"/>
  <c r="J260" i="3"/>
  <c r="AB260" i="3"/>
  <c r="J774" i="3"/>
  <c r="G301" i="14"/>
  <c r="H291" i="3"/>
  <c r="H518" i="3"/>
  <c r="G540" i="14"/>
  <c r="I178" i="4"/>
  <c r="G1134" i="14"/>
  <c r="G300" i="14"/>
  <c r="H290" i="3"/>
  <c r="I389" i="5"/>
  <c r="L389" i="5"/>
  <c r="P389" i="5"/>
  <c r="Q389" i="5"/>
  <c r="L1024" i="14"/>
  <c r="M1024" i="14"/>
  <c r="P418" i="5"/>
  <c r="M1260" i="14"/>
  <c r="L1260" i="14"/>
  <c r="M1231" i="14"/>
  <c r="L1231" i="14"/>
  <c r="Y890" i="3"/>
  <c r="L610" i="14"/>
  <c r="L867" i="14"/>
  <c r="M610" i="14"/>
  <c r="M867" i="14"/>
  <c r="M722" i="14"/>
  <c r="L722" i="14"/>
  <c r="Y771" i="3"/>
  <c r="J823" i="3"/>
  <c r="L901" i="3"/>
  <c r="AB771" i="3"/>
  <c r="L970" i="14"/>
  <c r="M970" i="14"/>
  <c r="G962" i="14"/>
  <c r="AA835" i="3"/>
  <c r="Q835" i="3"/>
  <c r="H652" i="3"/>
  <c r="G696" i="14"/>
  <c r="H612" i="3"/>
  <c r="G653" i="14"/>
  <c r="H350" i="3"/>
  <c r="G366" i="14"/>
  <c r="H356" i="3"/>
  <c r="G372" i="14"/>
  <c r="H127" i="3"/>
  <c r="G125" i="14"/>
  <c r="H72" i="3"/>
  <c r="G70" i="14"/>
  <c r="G1084" i="14"/>
  <c r="I128" i="4"/>
  <c r="Q177" i="3"/>
  <c r="O177" i="3"/>
  <c r="S177" i="3"/>
  <c r="L177" i="3"/>
  <c r="J177" i="3"/>
  <c r="AA177" i="3"/>
  <c r="Y177" i="3"/>
  <c r="AB177" i="3"/>
  <c r="H542" i="3"/>
  <c r="G575" i="14"/>
  <c r="L386" i="3"/>
  <c r="J386" i="3"/>
  <c r="O386" i="3"/>
  <c r="AA386" i="3"/>
  <c r="AB386" i="3"/>
  <c r="Q386" i="3"/>
  <c r="S386" i="3"/>
  <c r="Y386" i="3"/>
  <c r="G483" i="14"/>
  <c r="H461" i="3"/>
  <c r="G748" i="14"/>
  <c r="H704" i="3"/>
  <c r="H435" i="3"/>
  <c r="G457" i="14"/>
  <c r="G197" i="5"/>
  <c r="G1401" i="14"/>
  <c r="I107" i="4"/>
  <c r="G1063" i="14"/>
  <c r="I109" i="4"/>
  <c r="G1065" i="14"/>
  <c r="H967" i="3"/>
  <c r="G645" i="14"/>
  <c r="G1188" i="14"/>
  <c r="I243" i="4"/>
  <c r="H657" i="3"/>
  <c r="G701" i="14"/>
  <c r="H247" i="3"/>
  <c r="G257" i="14"/>
  <c r="I121" i="4"/>
  <c r="G1077" i="14"/>
  <c r="G524" i="5"/>
  <c r="G1616" i="14"/>
  <c r="S853" i="3"/>
  <c r="I59" i="4"/>
  <c r="G1015" i="14"/>
  <c r="G1039" i="14"/>
  <c r="I83" i="4"/>
  <c r="Q700" i="3"/>
  <c r="S700" i="3"/>
  <c r="J700" i="3"/>
  <c r="AA700" i="3"/>
  <c r="O700" i="3"/>
  <c r="AB700" i="3"/>
  <c r="L700" i="3"/>
  <c r="Y700" i="3"/>
  <c r="Q749" i="3"/>
  <c r="AA749" i="3"/>
  <c r="J749" i="3"/>
  <c r="AB749" i="3"/>
  <c r="L749" i="3"/>
  <c r="S749" i="3"/>
  <c r="O749" i="3"/>
  <c r="Y749" i="3"/>
  <c r="O385" i="3"/>
  <c r="L385" i="3"/>
  <c r="S385" i="3"/>
  <c r="Q385" i="3"/>
  <c r="AA385" i="3"/>
  <c r="AB385" i="3"/>
  <c r="J385" i="3"/>
  <c r="Y385" i="3"/>
  <c r="S86" i="3"/>
  <c r="O86" i="3"/>
  <c r="Q86" i="3"/>
  <c r="Y86" i="3"/>
  <c r="L86" i="3"/>
  <c r="J86" i="3"/>
  <c r="AB86" i="3"/>
  <c r="AA86" i="3"/>
  <c r="H543" i="3"/>
  <c r="G576" i="14"/>
  <c r="L405" i="14"/>
  <c r="L926" i="14"/>
  <c r="M405" i="14"/>
  <c r="M926" i="14"/>
  <c r="M163" i="14"/>
  <c r="M927" i="14"/>
  <c r="L163" i="14"/>
  <c r="L927" i="14"/>
  <c r="H393" i="3"/>
  <c r="G409" i="14"/>
  <c r="J540" i="3"/>
  <c r="J887" i="3"/>
  <c r="Q540" i="3"/>
  <c r="Q887" i="3"/>
  <c r="O540" i="3"/>
  <c r="O887" i="3"/>
  <c r="S540" i="3"/>
  <c r="S887" i="3"/>
  <c r="L540" i="3"/>
  <c r="L887" i="3"/>
  <c r="AB540" i="3"/>
  <c r="AB887" i="3"/>
  <c r="Y540" i="3"/>
  <c r="Y887" i="3"/>
  <c r="AA540" i="3"/>
  <c r="AA887" i="3"/>
  <c r="P508" i="5"/>
  <c r="L508" i="5"/>
  <c r="I508" i="5"/>
  <c r="Q508" i="5"/>
  <c r="M1240" i="14"/>
  <c r="L1240" i="14"/>
  <c r="M1218" i="14"/>
  <c r="M1647" i="14"/>
  <c r="L1218" i="14"/>
  <c r="L1647" i="14"/>
  <c r="H932" i="3"/>
  <c r="G228" i="14"/>
  <c r="M1355" i="14"/>
  <c r="L1355" i="14"/>
  <c r="M1455" i="14"/>
  <c r="L1455" i="14"/>
  <c r="M979" i="14"/>
  <c r="L979" i="14"/>
  <c r="P158" i="5"/>
  <c r="I158" i="5"/>
  <c r="L158" i="5"/>
  <c r="Q158" i="5"/>
  <c r="L107" i="5"/>
  <c r="Q107" i="5"/>
  <c r="P107" i="5"/>
  <c r="I107" i="5"/>
  <c r="H970" i="3"/>
  <c r="G687" i="14"/>
  <c r="M1483" i="14"/>
  <c r="L1483" i="14"/>
  <c r="G1482" i="14"/>
  <c r="K24" i="4"/>
  <c r="P24" i="4"/>
  <c r="O24" i="4"/>
  <c r="M1594" i="14"/>
  <c r="M1676" i="14"/>
  <c r="L1594" i="14"/>
  <c r="L1676" i="14"/>
  <c r="M1469" i="14"/>
  <c r="M1686" i="14"/>
  <c r="G1467" i="14"/>
  <c r="L1469" i="14"/>
  <c r="L1686" i="14"/>
  <c r="P515" i="5"/>
  <c r="I515" i="5"/>
  <c r="L515" i="5"/>
  <c r="Q515" i="5"/>
  <c r="P258" i="5"/>
  <c r="Q258" i="5"/>
  <c r="L258" i="5"/>
  <c r="I258" i="5"/>
  <c r="L1559" i="14"/>
  <c r="M1559" i="14"/>
  <c r="M1672" i="14"/>
  <c r="I141" i="4"/>
  <c r="G1097" i="14"/>
  <c r="I402" i="5"/>
  <c r="L122" i="5"/>
  <c r="Q122" i="5"/>
  <c r="I122" i="5"/>
  <c r="P122" i="5"/>
  <c r="L152" i="5"/>
  <c r="I152" i="5"/>
  <c r="Q152" i="5"/>
  <c r="P152" i="5"/>
  <c r="M1318" i="14"/>
  <c r="L1318" i="14"/>
  <c r="G1430" i="14"/>
  <c r="M1431" i="14"/>
  <c r="M1709" i="14"/>
  <c r="L1431" i="14"/>
  <c r="L1709" i="14"/>
  <c r="L1437" i="14"/>
  <c r="M1437" i="14"/>
  <c r="G1473" i="14"/>
  <c r="M1474" i="14"/>
  <c r="L1474" i="14"/>
  <c r="G276" i="5"/>
  <c r="G1489" i="14"/>
  <c r="I55" i="4"/>
  <c r="G1011" i="14"/>
  <c r="G1579" i="14"/>
  <c r="L1580" i="14"/>
  <c r="M1580" i="14"/>
  <c r="M429" i="14"/>
  <c r="M864" i="14"/>
  <c r="L429" i="14"/>
  <c r="L864" i="14"/>
  <c r="M1504" i="14"/>
  <c r="M1643" i="14"/>
  <c r="L1504" i="14"/>
  <c r="O239" i="3"/>
  <c r="L239" i="3"/>
  <c r="J239" i="3"/>
  <c r="Q239" i="3"/>
  <c r="S239" i="3"/>
  <c r="AB239" i="3"/>
  <c r="Y239" i="3"/>
  <c r="AA239" i="3"/>
  <c r="O188" i="3"/>
  <c r="O791" i="3"/>
  <c r="Y188" i="3"/>
  <c r="Y791" i="3"/>
  <c r="S188" i="3"/>
  <c r="S791" i="3"/>
  <c r="AA188" i="3"/>
  <c r="AA791" i="3"/>
  <c r="Q188" i="3"/>
  <c r="Q791" i="3"/>
  <c r="AB188" i="3"/>
  <c r="AB791" i="3"/>
  <c r="L188" i="3"/>
  <c r="L791" i="3"/>
  <c r="J188" i="3"/>
  <c r="J791" i="3"/>
  <c r="I208" i="5"/>
  <c r="P208" i="5"/>
  <c r="L208" i="5"/>
  <c r="Q208" i="5"/>
  <c r="L288" i="14"/>
  <c r="L939" i="14"/>
  <c r="G285" i="14"/>
  <c r="M288" i="14"/>
  <c r="M939" i="14"/>
  <c r="L1073" i="14"/>
  <c r="M1073" i="14"/>
  <c r="I512" i="5"/>
  <c r="L512" i="5"/>
  <c r="P512" i="5"/>
  <c r="Q512" i="5"/>
  <c r="P173" i="5"/>
  <c r="I173" i="5"/>
  <c r="Q173" i="5"/>
  <c r="L173" i="5"/>
  <c r="M614" i="14"/>
  <c r="L614" i="14"/>
  <c r="L880" i="14"/>
  <c r="L243" i="14"/>
  <c r="M243" i="14"/>
  <c r="S804" i="3"/>
  <c r="L1643" i="14"/>
  <c r="G1631" i="14"/>
  <c r="M1632" i="14"/>
  <c r="L1632" i="14"/>
  <c r="L1367" i="14"/>
  <c r="L1687" i="14"/>
  <c r="M1367" i="14"/>
  <c r="M1687" i="14"/>
  <c r="G1364" i="14"/>
  <c r="G11" i="5"/>
  <c r="G1202" i="14"/>
  <c r="G649" i="14"/>
  <c r="H608" i="3"/>
  <c r="L483" i="5"/>
  <c r="L532" i="5"/>
  <c r="P483" i="5"/>
  <c r="P532" i="5"/>
  <c r="Q483" i="5"/>
  <c r="Q532" i="5"/>
  <c r="I483" i="5"/>
  <c r="I532" i="5"/>
  <c r="M1453" i="14"/>
  <c r="L1453" i="14"/>
  <c r="G1311" i="14"/>
  <c r="L1312" i="14"/>
  <c r="M1312" i="14"/>
  <c r="M270" i="14"/>
  <c r="L270" i="14"/>
  <c r="G70" i="5"/>
  <c r="G1261" i="14"/>
  <c r="H421" i="3"/>
  <c r="G437" i="14"/>
  <c r="G115" i="14"/>
  <c r="L120" i="14"/>
  <c r="L871" i="14"/>
  <c r="M120" i="14"/>
  <c r="M871" i="14"/>
  <c r="I177" i="4"/>
  <c r="G1133" i="14"/>
  <c r="AB320" i="3"/>
  <c r="J320" i="3"/>
  <c r="Y320" i="3"/>
  <c r="AA320" i="3"/>
  <c r="O320" i="3"/>
  <c r="S320" i="3"/>
  <c r="L320" i="3"/>
  <c r="Q320" i="3"/>
  <c r="L436" i="14"/>
  <c r="M436" i="14"/>
  <c r="P151" i="4"/>
  <c r="O151" i="4"/>
  <c r="K151" i="4"/>
  <c r="G125" i="5"/>
  <c r="G1327" i="14"/>
  <c r="J901" i="3"/>
  <c r="L771" i="3"/>
  <c r="K14" i="4"/>
  <c r="P14" i="4"/>
  <c r="O14" i="4"/>
  <c r="O835" i="3"/>
  <c r="H263" i="3"/>
  <c r="G273" i="14"/>
  <c r="G1555" i="14"/>
  <c r="G326" i="5"/>
  <c r="H91" i="3"/>
  <c r="G89" i="14"/>
  <c r="H126" i="3"/>
  <c r="G124" i="14"/>
  <c r="H953" i="3"/>
  <c r="G555" i="14"/>
  <c r="I71" i="4"/>
  <c r="G1027" i="14"/>
  <c r="H422" i="3"/>
  <c r="G438" i="14"/>
  <c r="O796" i="3"/>
  <c r="O84" i="3"/>
  <c r="O874" i="3"/>
  <c r="S84" i="3"/>
  <c r="S874" i="3"/>
  <c r="L84" i="3"/>
  <c r="L874" i="3"/>
  <c r="J84" i="3"/>
  <c r="J874" i="3"/>
  <c r="Y84" i="3"/>
  <c r="Y874" i="3"/>
  <c r="Q84" i="3"/>
  <c r="Q874" i="3"/>
  <c r="AA84" i="3"/>
  <c r="AA874" i="3"/>
  <c r="AB84" i="3"/>
  <c r="AB874" i="3"/>
  <c r="J163" i="3"/>
  <c r="J875" i="3"/>
  <c r="S163" i="3"/>
  <c r="S875" i="3"/>
  <c r="O163" i="3"/>
  <c r="O875" i="3"/>
  <c r="Q163" i="3"/>
  <c r="Q875" i="3"/>
  <c r="L163" i="3"/>
  <c r="L875" i="3"/>
  <c r="Y163" i="3"/>
  <c r="Y875" i="3"/>
  <c r="AB163" i="3"/>
  <c r="AB875" i="3"/>
  <c r="H142" i="3"/>
  <c r="AA163" i="3"/>
  <c r="AA875" i="3"/>
  <c r="O754" i="3"/>
  <c r="AB754" i="3"/>
  <c r="L754" i="3"/>
  <c r="Y754" i="3"/>
  <c r="AA754" i="3"/>
  <c r="S754" i="3"/>
  <c r="Q754" i="3"/>
  <c r="J754" i="3"/>
  <c r="O89" i="4"/>
  <c r="K89" i="4"/>
  <c r="P89" i="4"/>
  <c r="M1033" i="14"/>
  <c r="L1033" i="14"/>
  <c r="M1147" i="14"/>
  <c r="L1147" i="14"/>
  <c r="G507" i="5"/>
  <c r="G1510" i="14"/>
  <c r="M1256" i="14"/>
  <c r="M1690" i="14"/>
  <c r="L1256" i="14"/>
  <c r="L1690" i="14"/>
  <c r="H460" i="3"/>
  <c r="G482" i="14"/>
  <c r="H402" i="3"/>
  <c r="G418" i="14"/>
  <c r="H46" i="3"/>
  <c r="G44" i="14"/>
  <c r="H249" i="3"/>
  <c r="G259" i="14"/>
  <c r="H313" i="3"/>
  <c r="G324" i="14"/>
  <c r="H391" i="3"/>
  <c r="G407" i="14"/>
  <c r="H715" i="3"/>
  <c r="G759" i="14"/>
  <c r="H228" i="3"/>
  <c r="G238" i="14"/>
  <c r="G205" i="14"/>
  <c r="H201" i="3"/>
  <c r="H183" i="3"/>
  <c r="G181" i="14"/>
  <c r="H298" i="3"/>
  <c r="G309" i="14"/>
  <c r="G9" i="14"/>
  <c r="H11" i="3"/>
  <c r="H696" i="3"/>
  <c r="G740" i="14"/>
  <c r="H338" i="3"/>
  <c r="G352" i="14"/>
  <c r="H129" i="3"/>
  <c r="G127" i="14"/>
  <c r="H755" i="3"/>
  <c r="G799" i="14"/>
  <c r="G372" i="5"/>
  <c r="G1601" i="14"/>
  <c r="G20" i="5"/>
  <c r="G1211" i="14"/>
  <c r="H103" i="3"/>
  <c r="G101" i="14"/>
  <c r="H104" i="3"/>
  <c r="G102" i="14"/>
  <c r="G46" i="5"/>
  <c r="G1237" i="14"/>
  <c r="G440" i="14"/>
  <c r="H943" i="3"/>
  <c r="H174" i="3"/>
  <c r="G172" i="14"/>
  <c r="H241" i="3"/>
  <c r="G251" i="14"/>
  <c r="I164" i="4"/>
  <c r="G1120" i="14"/>
  <c r="G380" i="5"/>
  <c r="G1609" i="14"/>
  <c r="H9" i="3"/>
  <c r="G7" i="14"/>
  <c r="Q34" i="3"/>
  <c r="O34" i="3"/>
  <c r="L34" i="3"/>
  <c r="J34" i="3"/>
  <c r="S34" i="3"/>
  <c r="Y34" i="3"/>
  <c r="AB34" i="3"/>
  <c r="AA34" i="3"/>
  <c r="S796" i="3"/>
  <c r="G312" i="5"/>
  <c r="G1541" i="14"/>
  <c r="G1265" i="14"/>
  <c r="G74" i="5"/>
  <c r="G571" i="14"/>
  <c r="H538" i="3"/>
  <c r="L958" i="3"/>
  <c r="AB958" i="3"/>
  <c r="O958" i="3"/>
  <c r="J958" i="3"/>
  <c r="Q958" i="3"/>
  <c r="S958" i="3"/>
  <c r="Y958" i="3"/>
  <c r="AA958" i="3"/>
  <c r="M82" i="14"/>
  <c r="M918" i="14"/>
  <c r="L82" i="14"/>
  <c r="L918" i="14"/>
  <c r="G140" i="14"/>
  <c r="M161" i="14"/>
  <c r="M919" i="14"/>
  <c r="L161" i="14"/>
  <c r="L919" i="14"/>
  <c r="M402" i="14"/>
  <c r="L402" i="14"/>
  <c r="G1043" i="14"/>
  <c r="I87" i="4"/>
  <c r="AB389" i="3"/>
  <c r="AB882" i="3"/>
  <c r="J389" i="3"/>
  <c r="J882" i="3"/>
  <c r="Q389" i="3"/>
  <c r="Q882" i="3"/>
  <c r="S389" i="3"/>
  <c r="S882" i="3"/>
  <c r="L389" i="3"/>
  <c r="L882" i="3"/>
  <c r="O389" i="3"/>
  <c r="O882" i="3"/>
  <c r="AA389" i="3"/>
  <c r="AA882" i="3"/>
  <c r="Y389" i="3"/>
  <c r="Y882" i="3"/>
  <c r="Q165" i="3"/>
  <c r="Q883" i="3"/>
  <c r="Y165" i="3"/>
  <c r="Y883" i="3"/>
  <c r="O165" i="3"/>
  <c r="O883" i="3"/>
  <c r="J165" i="3"/>
  <c r="J883" i="3"/>
  <c r="S165" i="3"/>
  <c r="S883" i="3"/>
  <c r="L165" i="3"/>
  <c r="L883" i="3"/>
  <c r="AB165" i="3"/>
  <c r="AB883" i="3"/>
  <c r="AA165" i="3"/>
  <c r="AA883" i="3"/>
  <c r="M1045" i="14"/>
  <c r="L1045" i="14"/>
  <c r="L726" i="14"/>
  <c r="M726" i="14"/>
  <c r="L1511" i="14"/>
  <c r="M1511" i="14"/>
  <c r="P49" i="5"/>
  <c r="L49" i="5"/>
  <c r="I49" i="5"/>
  <c r="Q49" i="5"/>
  <c r="I27" i="5"/>
  <c r="I410" i="5"/>
  <c r="P27" i="5"/>
  <c r="P410" i="5"/>
  <c r="L27" i="5"/>
  <c r="L410" i="5"/>
  <c r="Q27" i="5"/>
  <c r="Q410" i="5"/>
  <c r="H949" i="3"/>
  <c r="G551" i="14"/>
  <c r="L153" i="5"/>
  <c r="I153" i="5"/>
  <c r="Q153" i="5"/>
  <c r="P153" i="5"/>
  <c r="L1564" i="14"/>
  <c r="M1564" i="14"/>
  <c r="L980" i="14"/>
  <c r="M980" i="14"/>
  <c r="I365" i="5"/>
  <c r="I439" i="5"/>
  <c r="Q365" i="5"/>
  <c r="Q439" i="5"/>
  <c r="L365" i="5"/>
  <c r="L439" i="5"/>
  <c r="P365" i="5"/>
  <c r="P263" i="5"/>
  <c r="P449" i="5"/>
  <c r="G261" i="5"/>
  <c r="L263" i="5"/>
  <c r="L449" i="5"/>
  <c r="I263" i="5"/>
  <c r="I449" i="5"/>
  <c r="Q263" i="5"/>
  <c r="Q449" i="5"/>
  <c r="O155" i="4"/>
  <c r="K155" i="4"/>
  <c r="P155" i="4"/>
  <c r="L1612" i="14"/>
  <c r="M1612" i="14"/>
  <c r="G1611" i="14"/>
  <c r="L519" i="5"/>
  <c r="Q519" i="5"/>
  <c r="P519" i="5"/>
  <c r="I519" i="5"/>
  <c r="M1257" i="14"/>
  <c r="L1257" i="14"/>
  <c r="P439" i="5"/>
  <c r="L1348" i="14"/>
  <c r="M1348" i="14"/>
  <c r="P442" i="5"/>
  <c r="M1165" i="14"/>
  <c r="L1165" i="14"/>
  <c r="M1324" i="14"/>
  <c r="L1324" i="14"/>
  <c r="S30" i="3"/>
  <c r="O30" i="3"/>
  <c r="J30" i="3"/>
  <c r="Y30" i="3"/>
  <c r="L30" i="3"/>
  <c r="AA30" i="3"/>
  <c r="AB30" i="3"/>
  <c r="Q30" i="3"/>
  <c r="M1320" i="14"/>
  <c r="L1320" i="14"/>
  <c r="Q493" i="5"/>
  <c r="Q533" i="5"/>
  <c r="L493" i="5"/>
  <c r="L533" i="5"/>
  <c r="G492" i="5"/>
  <c r="I493" i="5"/>
  <c r="I533" i="5"/>
  <c r="P493" i="5"/>
  <c r="P533" i="5"/>
  <c r="L510" i="5"/>
  <c r="L531" i="5"/>
  <c r="I510" i="5"/>
  <c r="I531" i="5"/>
  <c r="Q510" i="5"/>
  <c r="Q531" i="5"/>
  <c r="P510" i="5"/>
  <c r="P531" i="5"/>
  <c r="P231" i="5"/>
  <c r="L231" i="5"/>
  <c r="Q231" i="5"/>
  <c r="I231" i="5"/>
  <c r="G267" i="5"/>
  <c r="L268" i="5"/>
  <c r="I268" i="5"/>
  <c r="P268" i="5"/>
  <c r="Q268" i="5"/>
  <c r="H189" i="3"/>
  <c r="G187" i="14"/>
  <c r="H459" i="3"/>
  <c r="G481" i="14"/>
  <c r="J648" i="3"/>
  <c r="O648" i="3"/>
  <c r="AA648" i="3"/>
  <c r="S648" i="3"/>
  <c r="Y648" i="3"/>
  <c r="AB648" i="3"/>
  <c r="Q648" i="3"/>
  <c r="L648" i="3"/>
  <c r="G709" i="14"/>
  <c r="M715" i="14"/>
  <c r="L715" i="14"/>
  <c r="O413" i="3"/>
  <c r="O820" i="3"/>
  <c r="AB413" i="3"/>
  <c r="AB820" i="3"/>
  <c r="J413" i="3"/>
  <c r="J820" i="3"/>
  <c r="AA413" i="3"/>
  <c r="AA820" i="3"/>
  <c r="Y413" i="3"/>
  <c r="Y820" i="3"/>
  <c r="S413" i="3"/>
  <c r="S820" i="3"/>
  <c r="Q413" i="3"/>
  <c r="Q820" i="3"/>
  <c r="L413" i="3"/>
  <c r="L820" i="3"/>
  <c r="P287" i="5"/>
  <c r="P406" i="5"/>
  <c r="L287" i="5"/>
  <c r="L406" i="5"/>
  <c r="I287" i="5"/>
  <c r="I406" i="5"/>
  <c r="Q287" i="5"/>
  <c r="G391" i="5"/>
  <c r="P393" i="5"/>
  <c r="Q393" i="5"/>
  <c r="Q416" i="5"/>
  <c r="I393" i="5"/>
  <c r="L393" i="5"/>
  <c r="L416" i="5"/>
  <c r="L1179" i="14"/>
  <c r="G1177" i="14"/>
  <c r="M1179" i="14"/>
  <c r="L1302" i="14"/>
  <c r="L1703" i="14"/>
  <c r="G1301" i="14"/>
  <c r="M1302" i="14"/>
  <c r="M1703" i="14"/>
  <c r="M126" i="14"/>
  <c r="M874" i="14"/>
  <c r="L126" i="14"/>
  <c r="L874" i="14"/>
  <c r="M1624" i="14"/>
  <c r="L1624" i="14"/>
  <c r="G733" i="14"/>
  <c r="L738" i="14"/>
  <c r="M738" i="14"/>
  <c r="L525" i="14"/>
  <c r="M525" i="14"/>
  <c r="AA581" i="3"/>
  <c r="AA836" i="3"/>
  <c r="O581" i="3"/>
  <c r="O836" i="3"/>
  <c r="Y581" i="3"/>
  <c r="Y836" i="3"/>
  <c r="Q581" i="3"/>
  <c r="Q836" i="3"/>
  <c r="AB581" i="3"/>
  <c r="AB836" i="3"/>
  <c r="J581" i="3"/>
  <c r="J836" i="3"/>
  <c r="S581" i="3"/>
  <c r="S836" i="3"/>
  <c r="L581" i="3"/>
  <c r="L836" i="3"/>
  <c r="S233" i="3"/>
  <c r="J233" i="3"/>
  <c r="Y233" i="3"/>
  <c r="AA233" i="3"/>
  <c r="Q233" i="3"/>
  <c r="O233" i="3"/>
  <c r="L233" i="3"/>
  <c r="AB233" i="3"/>
  <c r="M72" i="14"/>
  <c r="L72" i="14"/>
  <c r="I526" i="5"/>
  <c r="Q526" i="5"/>
  <c r="L526" i="5"/>
  <c r="P526" i="5"/>
  <c r="G525" i="5"/>
  <c r="L165" i="5"/>
  <c r="L450" i="5"/>
  <c r="I165" i="5"/>
  <c r="I450" i="5"/>
  <c r="Q165" i="5"/>
  <c r="Q450" i="5"/>
  <c r="G162" i="5"/>
  <c r="P165" i="5"/>
  <c r="P450" i="5"/>
  <c r="G1588" i="14"/>
  <c r="G359" i="5"/>
  <c r="H558" i="3"/>
  <c r="G591" i="14"/>
  <c r="L1495" i="14"/>
  <c r="M1495" i="14"/>
  <c r="M1151" i="14"/>
  <c r="L1151" i="14"/>
  <c r="G566" i="14"/>
  <c r="L567" i="14"/>
  <c r="L823" i="14"/>
  <c r="M567" i="14"/>
  <c r="M823" i="14"/>
  <c r="Y774" i="3"/>
  <c r="G134" i="5"/>
  <c r="G1336" i="14"/>
  <c r="G1322" i="14"/>
  <c r="G183" i="5"/>
  <c r="G1385" i="14"/>
  <c r="O122" i="3"/>
  <c r="O827" i="3"/>
  <c r="L122" i="3"/>
  <c r="L827" i="3"/>
  <c r="S122" i="3"/>
  <c r="S827" i="3"/>
  <c r="AB122" i="3"/>
  <c r="AB827" i="3"/>
  <c r="Y122" i="3"/>
  <c r="Y827" i="3"/>
  <c r="J122" i="3"/>
  <c r="J827" i="3"/>
  <c r="H117" i="3"/>
  <c r="Q122" i="3"/>
  <c r="Q827" i="3"/>
  <c r="AA122" i="3"/>
  <c r="AA827" i="3"/>
  <c r="G677" i="14"/>
  <c r="H636" i="3"/>
  <c r="G1350" i="14"/>
  <c r="M880" i="14"/>
  <c r="P416" i="5"/>
  <c r="G609" i="14"/>
  <c r="H576" i="3"/>
  <c r="AB423" i="3"/>
  <c r="AA423" i="3"/>
  <c r="S423" i="3"/>
  <c r="Y423" i="3"/>
  <c r="L423" i="3"/>
  <c r="Q423" i="3"/>
  <c r="J423" i="3"/>
  <c r="O423" i="3"/>
  <c r="G285" i="5"/>
  <c r="M1107" i="14"/>
  <c r="L1107" i="14"/>
  <c r="I146" i="4"/>
  <c r="G1102" i="14"/>
  <c r="I167" i="5"/>
  <c r="L167" i="5"/>
  <c r="P167" i="5"/>
  <c r="Q167" i="5"/>
  <c r="L833" i="14"/>
  <c r="M1515" i="14"/>
  <c r="L1515" i="14"/>
  <c r="AB901" i="3"/>
  <c r="I416" i="5"/>
  <c r="Q418" i="5"/>
  <c r="Y138" i="3"/>
  <c r="AB138" i="3"/>
  <c r="AA138" i="3"/>
  <c r="O138" i="3"/>
  <c r="L138" i="3"/>
  <c r="J138" i="3"/>
  <c r="S138" i="3"/>
  <c r="Q138" i="3"/>
  <c r="Q406" i="5"/>
  <c r="L1569" i="14"/>
  <c r="M1569" i="14"/>
  <c r="D14" i="6"/>
  <c r="D15" i="6"/>
  <c r="D16" i="6"/>
  <c r="S835" i="3"/>
  <c r="D8" i="11"/>
  <c r="F8" i="11"/>
  <c r="D12" i="11"/>
  <c r="F12" i="11"/>
  <c r="D15" i="11"/>
  <c r="F15" i="11"/>
  <c r="D17" i="6"/>
  <c r="D8" i="9"/>
  <c r="F8" i="9"/>
  <c r="H14" i="12"/>
  <c r="D11" i="9"/>
  <c r="F11" i="9"/>
  <c r="D18" i="6"/>
  <c r="D19" i="6"/>
  <c r="D20" i="6"/>
  <c r="D6" i="7"/>
  <c r="L1322" i="14"/>
  <c r="M1322" i="14"/>
  <c r="M609" i="14"/>
  <c r="L609" i="14"/>
  <c r="O558" i="3"/>
  <c r="AB558" i="3"/>
  <c r="S558" i="3"/>
  <c r="Y558" i="3"/>
  <c r="J558" i="3"/>
  <c r="H556" i="3"/>
  <c r="Q558" i="3"/>
  <c r="L558" i="3"/>
  <c r="AA558" i="3"/>
  <c r="M1102" i="14"/>
  <c r="L1102" i="14"/>
  <c r="L285" i="5"/>
  <c r="Q285" i="5"/>
  <c r="I285" i="5"/>
  <c r="P285" i="5"/>
  <c r="L134" i="5"/>
  <c r="I134" i="5"/>
  <c r="P134" i="5"/>
  <c r="Q134" i="5"/>
  <c r="L566" i="14"/>
  <c r="M566" i="14"/>
  <c r="G1587" i="14"/>
  <c r="L1588" i="14"/>
  <c r="M1588" i="14"/>
  <c r="Q391" i="5"/>
  <c r="P391" i="5"/>
  <c r="I391" i="5"/>
  <c r="L391" i="5"/>
  <c r="L481" i="14"/>
  <c r="M481" i="14"/>
  <c r="L267" i="5"/>
  <c r="Q267" i="5"/>
  <c r="I267" i="5"/>
  <c r="P267" i="5"/>
  <c r="M1611" i="14"/>
  <c r="L1611" i="14"/>
  <c r="L551" i="14"/>
  <c r="M551" i="14"/>
  <c r="P87" i="4"/>
  <c r="O87" i="4"/>
  <c r="K87" i="4"/>
  <c r="M1265" i="14"/>
  <c r="M1707" i="14"/>
  <c r="L1265" i="14"/>
  <c r="L1707" i="14"/>
  <c r="G6" i="14"/>
  <c r="L7" i="14"/>
  <c r="M7" i="14"/>
  <c r="L1120" i="14"/>
  <c r="M1120" i="14"/>
  <c r="G170" i="14"/>
  <c r="M172" i="14"/>
  <c r="L172" i="14"/>
  <c r="M1237" i="14"/>
  <c r="M1671" i="14"/>
  <c r="L1237" i="14"/>
  <c r="L1671" i="14"/>
  <c r="M101" i="14"/>
  <c r="L101" i="14"/>
  <c r="G99" i="14"/>
  <c r="M1601" i="14"/>
  <c r="L1601" i="14"/>
  <c r="M127" i="14"/>
  <c r="L127" i="14"/>
  <c r="L740" i="14"/>
  <c r="M740" i="14"/>
  <c r="M309" i="14"/>
  <c r="L309" i="14"/>
  <c r="Q201" i="3"/>
  <c r="O201" i="3"/>
  <c r="S201" i="3"/>
  <c r="L201" i="3"/>
  <c r="AA201" i="3"/>
  <c r="J201" i="3"/>
  <c r="Y201" i="3"/>
  <c r="AB201" i="3"/>
  <c r="H200" i="3"/>
  <c r="L759" i="14"/>
  <c r="L906" i="14"/>
  <c r="M759" i="14"/>
  <c r="M906" i="14"/>
  <c r="G753" i="14"/>
  <c r="M324" i="14"/>
  <c r="L324" i="14"/>
  <c r="G43" i="14"/>
  <c r="L44" i="14"/>
  <c r="M44" i="14"/>
  <c r="L482" i="14"/>
  <c r="M482" i="14"/>
  <c r="M1510" i="14"/>
  <c r="M1693" i="14"/>
  <c r="L1510" i="14"/>
  <c r="L1693" i="14"/>
  <c r="O422" i="3"/>
  <c r="Q422" i="3"/>
  <c r="L422" i="3"/>
  <c r="J422" i="3"/>
  <c r="S422" i="3"/>
  <c r="AB422" i="3"/>
  <c r="AA422" i="3"/>
  <c r="Y422" i="3"/>
  <c r="Q953" i="3"/>
  <c r="L953" i="3"/>
  <c r="J953" i="3"/>
  <c r="S953" i="3"/>
  <c r="H952" i="3"/>
  <c r="AB953" i="3"/>
  <c r="Y953" i="3"/>
  <c r="O953" i="3"/>
  <c r="AA953" i="3"/>
  <c r="S91" i="3"/>
  <c r="O91" i="3"/>
  <c r="J91" i="3"/>
  <c r="L91" i="3"/>
  <c r="AB91" i="3"/>
  <c r="Y91" i="3"/>
  <c r="Q91" i="3"/>
  <c r="AA91" i="3"/>
  <c r="Y263" i="3"/>
  <c r="L263" i="3"/>
  <c r="O263" i="3"/>
  <c r="AB263" i="3"/>
  <c r="S263" i="3"/>
  <c r="Q263" i="3"/>
  <c r="AA263" i="3"/>
  <c r="J263" i="3"/>
  <c r="H262" i="3"/>
  <c r="L1327" i="14"/>
  <c r="M1327" i="14"/>
  <c r="M1133" i="14"/>
  <c r="L1133" i="14"/>
  <c r="L115" i="14"/>
  <c r="M115" i="14"/>
  <c r="P70" i="5"/>
  <c r="I70" i="5"/>
  <c r="L70" i="5"/>
  <c r="Q70" i="5"/>
  <c r="Q608" i="3"/>
  <c r="O608" i="3"/>
  <c r="S608" i="3"/>
  <c r="AA608" i="3"/>
  <c r="L608" i="3"/>
  <c r="Y608" i="3"/>
  <c r="H606" i="3"/>
  <c r="J608" i="3"/>
  <c r="AB608" i="3"/>
  <c r="M1364" i="14"/>
  <c r="L1364" i="14"/>
  <c r="L1579" i="14"/>
  <c r="M1579" i="14"/>
  <c r="I276" i="5"/>
  <c r="L276" i="5"/>
  <c r="Q276" i="5"/>
  <c r="P276" i="5"/>
  <c r="G273" i="5"/>
  <c r="M1430" i="14"/>
  <c r="L1430" i="14"/>
  <c r="P141" i="4"/>
  <c r="O141" i="4"/>
  <c r="K141" i="4"/>
  <c r="L1482" i="14"/>
  <c r="M1482" i="14"/>
  <c r="H969" i="3"/>
  <c r="L970" i="3"/>
  <c r="J970" i="3"/>
  <c r="Y970" i="3"/>
  <c r="AA970" i="3"/>
  <c r="S970" i="3"/>
  <c r="O970" i="3"/>
  <c r="Q970" i="3"/>
  <c r="AB970" i="3"/>
  <c r="S932" i="3"/>
  <c r="H931" i="3"/>
  <c r="O932" i="3"/>
  <c r="Y932" i="3"/>
  <c r="Q932" i="3"/>
  <c r="J932" i="3"/>
  <c r="L932" i="3"/>
  <c r="AB932" i="3"/>
  <c r="AA932" i="3"/>
  <c r="S543" i="3"/>
  <c r="J543" i="3"/>
  <c r="Q543" i="3"/>
  <c r="O543" i="3"/>
  <c r="L543" i="3"/>
  <c r="AB543" i="3"/>
  <c r="Y543" i="3"/>
  <c r="AA543" i="3"/>
  <c r="P59" i="4"/>
  <c r="O59" i="4"/>
  <c r="K59" i="4"/>
  <c r="L1077" i="14"/>
  <c r="M1077" i="14"/>
  <c r="M701" i="14"/>
  <c r="L701" i="14"/>
  <c r="G644" i="14"/>
  <c r="M645" i="14"/>
  <c r="L645" i="14"/>
  <c r="M1063" i="14"/>
  <c r="L1063" i="14"/>
  <c r="G1059" i="14"/>
  <c r="G456" i="14"/>
  <c r="M457" i="14"/>
  <c r="L457" i="14"/>
  <c r="J461" i="3"/>
  <c r="S461" i="3"/>
  <c r="AB461" i="3"/>
  <c r="AA461" i="3"/>
  <c r="L461" i="3"/>
  <c r="O461" i="3"/>
  <c r="Q461" i="3"/>
  <c r="Y461" i="3"/>
  <c r="O128" i="4"/>
  <c r="P128" i="4"/>
  <c r="K128" i="4"/>
  <c r="I126" i="4"/>
  <c r="M125" i="14"/>
  <c r="L125" i="14"/>
  <c r="G365" i="14"/>
  <c r="M366" i="14"/>
  <c r="L366" i="14"/>
  <c r="M696" i="14"/>
  <c r="L696" i="14"/>
  <c r="G694" i="14"/>
  <c r="K178" i="4"/>
  <c r="O178" i="4"/>
  <c r="P178" i="4"/>
  <c r="M301" i="14"/>
  <c r="L301" i="14"/>
  <c r="Q113" i="5"/>
  <c r="P113" i="5"/>
  <c r="L113" i="5"/>
  <c r="I113" i="5"/>
  <c r="L229" i="3"/>
  <c r="J229" i="3"/>
  <c r="Q229" i="3"/>
  <c r="AB229" i="3"/>
  <c r="O229" i="3"/>
  <c r="Y229" i="3"/>
  <c r="S229" i="3"/>
  <c r="AA229" i="3"/>
  <c r="I529" i="5"/>
  <c r="L21" i="3"/>
  <c r="L809" i="3"/>
  <c r="O21" i="3"/>
  <c r="O809" i="3"/>
  <c r="Q21" i="3"/>
  <c r="Q809" i="3"/>
  <c r="S21" i="3"/>
  <c r="S809" i="3"/>
  <c r="Y21" i="3"/>
  <c r="Y809" i="3"/>
  <c r="AB21" i="3"/>
  <c r="AB809" i="3"/>
  <c r="H20" i="3"/>
  <c r="J21" i="3"/>
  <c r="J809" i="3"/>
  <c r="AA21" i="3"/>
  <c r="AA809" i="3"/>
  <c r="O539" i="3"/>
  <c r="O880" i="3"/>
  <c r="Q539" i="3"/>
  <c r="Q880" i="3"/>
  <c r="J539" i="3"/>
  <c r="J880" i="3"/>
  <c r="L539" i="3"/>
  <c r="L880" i="3"/>
  <c r="S539" i="3"/>
  <c r="S880" i="3"/>
  <c r="Y539" i="3"/>
  <c r="Y880" i="3"/>
  <c r="AA539" i="3"/>
  <c r="AA880" i="3"/>
  <c r="AB539" i="3"/>
  <c r="AB880" i="3"/>
  <c r="K86" i="4"/>
  <c r="O86" i="4"/>
  <c r="P86" i="4"/>
  <c r="I364" i="5"/>
  <c r="Q364" i="5"/>
  <c r="L364" i="5"/>
  <c r="P364" i="5"/>
  <c r="I485" i="5"/>
  <c r="G484" i="5"/>
  <c r="L485" i="5"/>
  <c r="Q485" i="5"/>
  <c r="P485" i="5"/>
  <c r="J659" i="3"/>
  <c r="O659" i="3"/>
  <c r="S659" i="3"/>
  <c r="L659" i="3"/>
  <c r="AB659" i="3"/>
  <c r="AA659" i="3"/>
  <c r="Q659" i="3"/>
  <c r="Y659" i="3"/>
  <c r="Q928" i="3"/>
  <c r="H926" i="3"/>
  <c r="S928" i="3"/>
  <c r="Y928" i="3"/>
  <c r="O928" i="3"/>
  <c r="L928" i="3"/>
  <c r="J928" i="3"/>
  <c r="AB928" i="3"/>
  <c r="AA928" i="3"/>
  <c r="O311" i="3"/>
  <c r="J311" i="3"/>
  <c r="S311" i="3"/>
  <c r="Q311" i="3"/>
  <c r="L311" i="3"/>
  <c r="AB311" i="3"/>
  <c r="Y311" i="3"/>
  <c r="AA311" i="3"/>
  <c r="L71" i="3"/>
  <c r="O71" i="3"/>
  <c r="S71" i="3"/>
  <c r="J71" i="3"/>
  <c r="Q71" i="3"/>
  <c r="Y71" i="3"/>
  <c r="AB71" i="3"/>
  <c r="AA71" i="3"/>
  <c r="H54" i="3"/>
  <c r="L164" i="14"/>
  <c r="M164" i="14"/>
  <c r="S282" i="3"/>
  <c r="H281" i="3"/>
  <c r="AB282" i="3"/>
  <c r="Q282" i="3"/>
  <c r="L282" i="3"/>
  <c r="O282" i="3"/>
  <c r="J282" i="3"/>
  <c r="AA282" i="3"/>
  <c r="Y282" i="3"/>
  <c r="L526" i="14"/>
  <c r="M526" i="14"/>
  <c r="Q53" i="3"/>
  <c r="Q784" i="3"/>
  <c r="S53" i="3"/>
  <c r="S784" i="3"/>
  <c r="AA53" i="3"/>
  <c r="AA784" i="3"/>
  <c r="H52" i="3"/>
  <c r="O53" i="3"/>
  <c r="O784" i="3"/>
  <c r="L53" i="3"/>
  <c r="L784" i="3"/>
  <c r="AB53" i="3"/>
  <c r="AB784" i="3"/>
  <c r="J53" i="3"/>
  <c r="J784" i="3"/>
  <c r="Y53" i="3"/>
  <c r="Y784" i="3"/>
  <c r="Q187" i="3"/>
  <c r="S187" i="3"/>
  <c r="O187" i="3"/>
  <c r="J187" i="3"/>
  <c r="AB187" i="3"/>
  <c r="AA187" i="3"/>
  <c r="Y187" i="3"/>
  <c r="L187" i="3"/>
  <c r="H186" i="3"/>
  <c r="M1052" i="14"/>
  <c r="L1052" i="14"/>
  <c r="L455" i="14"/>
  <c r="G454" i="14"/>
  <c r="M455" i="14"/>
  <c r="M781" i="14"/>
  <c r="L781" i="14"/>
  <c r="G765" i="14"/>
  <c r="G229" i="14"/>
  <c r="L230" i="14"/>
  <c r="M230" i="14"/>
  <c r="M625" i="14"/>
  <c r="L625" i="14"/>
  <c r="Q501" i="5"/>
  <c r="P501" i="5"/>
  <c r="I501" i="5"/>
  <c r="L501" i="5"/>
  <c r="M1088" i="14"/>
  <c r="L1088" i="14"/>
  <c r="G1086" i="14"/>
  <c r="L509" i="14"/>
  <c r="M509" i="14"/>
  <c r="L467" i="3"/>
  <c r="J467" i="3"/>
  <c r="Y467" i="3"/>
  <c r="S467" i="3"/>
  <c r="O467" i="3"/>
  <c r="Q467" i="3"/>
  <c r="AA467" i="3"/>
  <c r="AB467" i="3"/>
  <c r="L1695" i="14"/>
  <c r="L1694" i="14"/>
  <c r="AB636" i="3"/>
  <c r="J636" i="3"/>
  <c r="L636" i="3"/>
  <c r="O636" i="3"/>
  <c r="Y636" i="3"/>
  <c r="AA636" i="3"/>
  <c r="Q636" i="3"/>
  <c r="S636" i="3"/>
  <c r="S117" i="3"/>
  <c r="AA117" i="3"/>
  <c r="AB117" i="3"/>
  <c r="Y117" i="3"/>
  <c r="J117" i="3"/>
  <c r="L117" i="3"/>
  <c r="Q117" i="3"/>
  <c r="O117" i="3"/>
  <c r="I183" i="5"/>
  <c r="L183" i="5"/>
  <c r="P183" i="5"/>
  <c r="Q183" i="5"/>
  <c r="P146" i="4"/>
  <c r="K146" i="4"/>
  <c r="O146" i="4"/>
  <c r="Q576" i="3"/>
  <c r="O576" i="3"/>
  <c r="AA576" i="3"/>
  <c r="S576" i="3"/>
  <c r="J576" i="3"/>
  <c r="AB576" i="3"/>
  <c r="L576" i="3"/>
  <c r="Y576" i="3"/>
  <c r="M1350" i="14"/>
  <c r="L1350" i="14"/>
  <c r="L1385" i="14"/>
  <c r="M1385" i="14"/>
  <c r="M591" i="14"/>
  <c r="L591" i="14"/>
  <c r="G589" i="14"/>
  <c r="M733" i="14"/>
  <c r="L733" i="14"/>
  <c r="J459" i="3"/>
  <c r="Q459" i="3"/>
  <c r="S459" i="3"/>
  <c r="Y459" i="3"/>
  <c r="L459" i="3"/>
  <c r="AA459" i="3"/>
  <c r="O459" i="3"/>
  <c r="AB459" i="3"/>
  <c r="J949" i="3"/>
  <c r="L949" i="3"/>
  <c r="H948" i="3"/>
  <c r="Q949" i="3"/>
  <c r="AA949" i="3"/>
  <c r="Y949" i="3"/>
  <c r="AB949" i="3"/>
  <c r="O949" i="3"/>
  <c r="S949" i="3"/>
  <c r="M1043" i="14"/>
  <c r="L1043" i="14"/>
  <c r="Q538" i="3"/>
  <c r="J538" i="3"/>
  <c r="S538" i="3"/>
  <c r="O538" i="3"/>
  <c r="L538" i="3"/>
  <c r="H537" i="3"/>
  <c r="Y538" i="3"/>
  <c r="AA538" i="3"/>
  <c r="AB538" i="3"/>
  <c r="L1541" i="14"/>
  <c r="M1541" i="14"/>
  <c r="G1535" i="14"/>
  <c r="L9" i="3"/>
  <c r="O9" i="3"/>
  <c r="H8" i="3"/>
  <c r="S9" i="3"/>
  <c r="Q9" i="3"/>
  <c r="Y9" i="3"/>
  <c r="J9" i="3"/>
  <c r="AB9" i="3"/>
  <c r="AA9" i="3"/>
  <c r="P164" i="4"/>
  <c r="K164" i="4"/>
  <c r="O164" i="4"/>
  <c r="O174" i="3"/>
  <c r="S174" i="3"/>
  <c r="H172" i="3"/>
  <c r="J174" i="3"/>
  <c r="Q174" i="3"/>
  <c r="L174" i="3"/>
  <c r="AB174" i="3"/>
  <c r="Y174" i="3"/>
  <c r="AA174" i="3"/>
  <c r="I46" i="5"/>
  <c r="I434" i="5"/>
  <c r="L46" i="5"/>
  <c r="L434" i="5"/>
  <c r="Q46" i="5"/>
  <c r="Q434" i="5"/>
  <c r="P46" i="5"/>
  <c r="P434" i="5"/>
  <c r="Q103" i="3"/>
  <c r="J103" i="3"/>
  <c r="S103" i="3"/>
  <c r="O103" i="3"/>
  <c r="Y103" i="3"/>
  <c r="AB103" i="3"/>
  <c r="L103" i="3"/>
  <c r="AA103" i="3"/>
  <c r="H101" i="3"/>
  <c r="L372" i="5"/>
  <c r="I372" i="5"/>
  <c r="Q372" i="5"/>
  <c r="P372" i="5"/>
  <c r="Q129" i="3"/>
  <c r="AB129" i="3"/>
  <c r="Y129" i="3"/>
  <c r="L129" i="3"/>
  <c r="S129" i="3"/>
  <c r="O129" i="3"/>
  <c r="J129" i="3"/>
  <c r="AA129" i="3"/>
  <c r="Q696" i="3"/>
  <c r="J696" i="3"/>
  <c r="S696" i="3"/>
  <c r="L696" i="3"/>
  <c r="O696" i="3"/>
  <c r="AB696" i="3"/>
  <c r="Y696" i="3"/>
  <c r="AA696" i="3"/>
  <c r="S298" i="3"/>
  <c r="O298" i="3"/>
  <c r="Y298" i="3"/>
  <c r="L298" i="3"/>
  <c r="Q298" i="3"/>
  <c r="J298" i="3"/>
  <c r="AB298" i="3"/>
  <c r="AA298" i="3"/>
  <c r="M205" i="14"/>
  <c r="L205" i="14"/>
  <c r="G204" i="14"/>
  <c r="O715" i="3"/>
  <c r="O862" i="3"/>
  <c r="J715" i="3"/>
  <c r="J862" i="3"/>
  <c r="S715" i="3"/>
  <c r="S862" i="3"/>
  <c r="Q715" i="3"/>
  <c r="Q862" i="3"/>
  <c r="Y715" i="3"/>
  <c r="Y862" i="3"/>
  <c r="AB715" i="3"/>
  <c r="AB862" i="3"/>
  <c r="L715" i="3"/>
  <c r="L862" i="3"/>
  <c r="AA715" i="3"/>
  <c r="AA862" i="3"/>
  <c r="H709" i="3"/>
  <c r="Q313" i="3"/>
  <c r="O313" i="3"/>
  <c r="J313" i="3"/>
  <c r="S313" i="3"/>
  <c r="AB313" i="3"/>
  <c r="L313" i="3"/>
  <c r="Y313" i="3"/>
  <c r="AA313" i="3"/>
  <c r="AA46" i="3"/>
  <c r="H45" i="3"/>
  <c r="S46" i="3"/>
  <c r="Q46" i="3"/>
  <c r="AB46" i="3"/>
  <c r="L46" i="3"/>
  <c r="J46" i="3"/>
  <c r="Y46" i="3"/>
  <c r="O46" i="3"/>
  <c r="Y460" i="3"/>
  <c r="S460" i="3"/>
  <c r="AB460" i="3"/>
  <c r="O460" i="3"/>
  <c r="AA460" i="3"/>
  <c r="L460" i="3"/>
  <c r="J460" i="3"/>
  <c r="Q460" i="3"/>
  <c r="Q507" i="5"/>
  <c r="Q528" i="5"/>
  <c r="P507" i="5"/>
  <c r="P528" i="5"/>
  <c r="I507" i="5"/>
  <c r="I528" i="5"/>
  <c r="L507" i="5"/>
  <c r="L528" i="5"/>
  <c r="G506" i="5"/>
  <c r="M1027" i="14"/>
  <c r="L1027" i="14"/>
  <c r="M124" i="14"/>
  <c r="L124" i="14"/>
  <c r="G122" i="14"/>
  <c r="L326" i="5"/>
  <c r="I326" i="5"/>
  <c r="Q326" i="5"/>
  <c r="P326" i="5"/>
  <c r="Q125" i="5"/>
  <c r="P125" i="5"/>
  <c r="L125" i="5"/>
  <c r="I125" i="5"/>
  <c r="P177" i="4"/>
  <c r="K177" i="4"/>
  <c r="O177" i="4"/>
  <c r="L437" i="14"/>
  <c r="M437" i="14"/>
  <c r="M1311" i="14"/>
  <c r="L1311" i="14"/>
  <c r="G647" i="14"/>
  <c r="M649" i="14"/>
  <c r="L649" i="14"/>
  <c r="L1631" i="14"/>
  <c r="M1631" i="14"/>
  <c r="M1011" i="14"/>
  <c r="L1011" i="14"/>
  <c r="G120" i="5"/>
  <c r="M1467" i="14"/>
  <c r="L1467" i="14"/>
  <c r="L409" i="14"/>
  <c r="M409" i="14"/>
  <c r="K83" i="4"/>
  <c r="P83" i="4"/>
  <c r="O83" i="4"/>
  <c r="P121" i="4"/>
  <c r="O121" i="4"/>
  <c r="K121" i="4"/>
  <c r="S657" i="3"/>
  <c r="O657" i="3"/>
  <c r="Y657" i="3"/>
  <c r="Q657" i="3"/>
  <c r="J657" i="3"/>
  <c r="AB657" i="3"/>
  <c r="AA657" i="3"/>
  <c r="L657" i="3"/>
  <c r="L967" i="3"/>
  <c r="O967" i="3"/>
  <c r="H966" i="3"/>
  <c r="AB967" i="3"/>
  <c r="J967" i="3"/>
  <c r="S967" i="3"/>
  <c r="Q967" i="3"/>
  <c r="Y967" i="3"/>
  <c r="AA967" i="3"/>
  <c r="O107" i="4"/>
  <c r="P107" i="4"/>
  <c r="K107" i="4"/>
  <c r="I103" i="4"/>
  <c r="H434" i="3"/>
  <c r="S435" i="3"/>
  <c r="L435" i="3"/>
  <c r="Q435" i="3"/>
  <c r="J435" i="3"/>
  <c r="O435" i="3"/>
  <c r="Y435" i="3"/>
  <c r="AB435" i="3"/>
  <c r="AA435" i="3"/>
  <c r="L483" i="14"/>
  <c r="M483" i="14"/>
  <c r="L1084" i="14"/>
  <c r="G1082" i="14"/>
  <c r="M1084" i="14"/>
  <c r="O127" i="3"/>
  <c r="S127" i="3"/>
  <c r="J127" i="3"/>
  <c r="L127" i="3"/>
  <c r="Y127" i="3"/>
  <c r="Q127" i="3"/>
  <c r="AB127" i="3"/>
  <c r="AA127" i="3"/>
  <c r="O350" i="3"/>
  <c r="H349" i="3"/>
  <c r="J350" i="3"/>
  <c r="S350" i="3"/>
  <c r="Q350" i="3"/>
  <c r="AB350" i="3"/>
  <c r="L350" i="3"/>
  <c r="Y350" i="3"/>
  <c r="AA350" i="3"/>
  <c r="O652" i="3"/>
  <c r="S652" i="3"/>
  <c r="Y652" i="3"/>
  <c r="AB652" i="3"/>
  <c r="J652" i="3"/>
  <c r="L652" i="3"/>
  <c r="AA652" i="3"/>
  <c r="Q652" i="3"/>
  <c r="H650" i="3"/>
  <c r="M962" i="14"/>
  <c r="L962" i="14"/>
  <c r="Q290" i="3"/>
  <c r="Q893" i="3"/>
  <c r="L290" i="3"/>
  <c r="L893" i="3"/>
  <c r="J290" i="3"/>
  <c r="J893" i="3"/>
  <c r="S290" i="3"/>
  <c r="S893" i="3"/>
  <c r="H289" i="3"/>
  <c r="AB290" i="3"/>
  <c r="AB893" i="3"/>
  <c r="O290" i="3"/>
  <c r="O893" i="3"/>
  <c r="Y290" i="3"/>
  <c r="Y893" i="3"/>
  <c r="AA290" i="3"/>
  <c r="AA893" i="3"/>
  <c r="M540" i="14"/>
  <c r="L540" i="14"/>
  <c r="G305" i="14"/>
  <c r="M306" i="14"/>
  <c r="L306" i="14"/>
  <c r="M1375" i="14"/>
  <c r="L1375" i="14"/>
  <c r="L148" i="5"/>
  <c r="Q148" i="5"/>
  <c r="P148" i="5"/>
  <c r="I148" i="5"/>
  <c r="M239" i="14"/>
  <c r="L239" i="14"/>
  <c r="P529" i="5"/>
  <c r="Q490" i="3"/>
  <c r="Q829" i="3"/>
  <c r="Y490" i="3"/>
  <c r="Y829" i="3"/>
  <c r="L490" i="3"/>
  <c r="L829" i="3"/>
  <c r="S490" i="3"/>
  <c r="S829" i="3"/>
  <c r="O490" i="3"/>
  <c r="O829" i="3"/>
  <c r="AA490" i="3"/>
  <c r="AA829" i="3"/>
  <c r="J490" i="3"/>
  <c r="J829" i="3"/>
  <c r="AB490" i="3"/>
  <c r="AB829" i="3"/>
  <c r="G361" i="14"/>
  <c r="M362" i="14"/>
  <c r="L362" i="14"/>
  <c r="K185" i="4"/>
  <c r="O185" i="4"/>
  <c r="P185" i="4"/>
  <c r="M1556" i="14"/>
  <c r="M1689" i="14"/>
  <c r="L1556" i="14"/>
  <c r="L1689" i="14"/>
  <c r="L545" i="14"/>
  <c r="M545" i="14"/>
  <c r="G355" i="14"/>
  <c r="L356" i="14"/>
  <c r="L909" i="14"/>
  <c r="M356" i="14"/>
  <c r="M909" i="14"/>
  <c r="M387" i="14"/>
  <c r="L387" i="14"/>
  <c r="M194" i="14"/>
  <c r="L194" i="14"/>
  <c r="G318" i="14"/>
  <c r="L320" i="14"/>
  <c r="M320" i="14"/>
  <c r="L380" i="14"/>
  <c r="L834" i="14"/>
  <c r="M380" i="14"/>
  <c r="M834" i="14"/>
  <c r="G357" i="14"/>
  <c r="M358" i="14"/>
  <c r="M921" i="14"/>
  <c r="L358" i="14"/>
  <c r="L921" i="14"/>
  <c r="M296" i="14"/>
  <c r="G295" i="14"/>
  <c r="L296" i="14"/>
  <c r="L594" i="14"/>
  <c r="M594" i="14"/>
  <c r="M729" i="14"/>
  <c r="L729" i="14"/>
  <c r="G728" i="14"/>
  <c r="K18" i="4"/>
  <c r="P18" i="4"/>
  <c r="O18" i="4"/>
  <c r="O96" i="4"/>
  <c r="P96" i="4"/>
  <c r="K96" i="4"/>
  <c r="S433" i="3"/>
  <c r="Q433" i="3"/>
  <c r="L433" i="3"/>
  <c r="Y433" i="3"/>
  <c r="O433" i="3"/>
  <c r="J433" i="3"/>
  <c r="H432" i="3"/>
  <c r="AB433" i="3"/>
  <c r="AA433" i="3"/>
  <c r="L737" i="3"/>
  <c r="O737" i="3"/>
  <c r="Q737" i="3"/>
  <c r="J737" i="3"/>
  <c r="S737" i="3"/>
  <c r="AB737" i="3"/>
  <c r="Y737" i="3"/>
  <c r="AA737" i="3"/>
  <c r="H721" i="3"/>
  <c r="O220" i="3"/>
  <c r="H219" i="3"/>
  <c r="J220" i="3"/>
  <c r="S220" i="3"/>
  <c r="L220" i="3"/>
  <c r="Y220" i="3"/>
  <c r="AA220" i="3"/>
  <c r="Q220" i="3"/>
  <c r="AB220" i="3"/>
  <c r="Q25" i="3"/>
  <c r="Q822" i="3"/>
  <c r="J25" i="3"/>
  <c r="AA25" i="3"/>
  <c r="Y25" i="3"/>
  <c r="S25" i="3"/>
  <c r="O25" i="3"/>
  <c r="AB25" i="3"/>
  <c r="L25" i="3"/>
  <c r="AA592" i="3"/>
  <c r="S592" i="3"/>
  <c r="J592" i="3"/>
  <c r="L592" i="3"/>
  <c r="AB592" i="3"/>
  <c r="O592" i="3"/>
  <c r="Y592" i="3"/>
  <c r="Q592" i="3"/>
  <c r="L477" i="14"/>
  <c r="G472" i="14"/>
  <c r="M477" i="14"/>
  <c r="AB487" i="3"/>
  <c r="J487" i="3"/>
  <c r="S487" i="3"/>
  <c r="L487" i="3"/>
  <c r="Q487" i="3"/>
  <c r="AA487" i="3"/>
  <c r="O487" i="3"/>
  <c r="Y487" i="3"/>
  <c r="AB665" i="3"/>
  <c r="J665" i="3"/>
  <c r="Q665" i="3"/>
  <c r="S665" i="3"/>
  <c r="O665" i="3"/>
  <c r="AA665" i="3"/>
  <c r="Y665" i="3"/>
  <c r="L665" i="3"/>
  <c r="M489" i="14"/>
  <c r="L489" i="14"/>
  <c r="M1695" i="14"/>
  <c r="M1694" i="14"/>
  <c r="M140" i="14"/>
  <c r="L140" i="14"/>
  <c r="G570" i="14"/>
  <c r="M571" i="14"/>
  <c r="L571" i="14"/>
  <c r="Q312" i="5"/>
  <c r="L312" i="5"/>
  <c r="I312" i="5"/>
  <c r="P312" i="5"/>
  <c r="G306" i="5"/>
  <c r="L1609" i="14"/>
  <c r="M1609" i="14"/>
  <c r="G1607" i="14"/>
  <c r="L251" i="14"/>
  <c r="M251" i="14"/>
  <c r="Q943" i="3"/>
  <c r="AB943" i="3"/>
  <c r="O943" i="3"/>
  <c r="H941" i="3"/>
  <c r="J943" i="3"/>
  <c r="Y943" i="3"/>
  <c r="AA943" i="3"/>
  <c r="S943" i="3"/>
  <c r="L943" i="3"/>
  <c r="M102" i="14"/>
  <c r="L102" i="14"/>
  <c r="M1211" i="14"/>
  <c r="L1211" i="14"/>
  <c r="M799" i="14"/>
  <c r="L799" i="14"/>
  <c r="M352" i="14"/>
  <c r="L352" i="14"/>
  <c r="G351" i="14"/>
  <c r="L11" i="3"/>
  <c r="O11" i="3"/>
  <c r="J11" i="3"/>
  <c r="H10" i="3"/>
  <c r="Q11" i="3"/>
  <c r="S11" i="3"/>
  <c r="AB11" i="3"/>
  <c r="Y11" i="3"/>
  <c r="AA11" i="3"/>
  <c r="M181" i="14"/>
  <c r="G180" i="14"/>
  <c r="L181" i="14"/>
  <c r="M238" i="14"/>
  <c r="G231" i="14"/>
  <c r="L238" i="14"/>
  <c r="M407" i="14"/>
  <c r="L407" i="14"/>
  <c r="M259" i="14"/>
  <c r="L259" i="14"/>
  <c r="M418" i="14"/>
  <c r="G417" i="14"/>
  <c r="L418" i="14"/>
  <c r="AB142" i="3"/>
  <c r="J142" i="3"/>
  <c r="Q142" i="3"/>
  <c r="O142" i="3"/>
  <c r="S142" i="3"/>
  <c r="AA142" i="3"/>
  <c r="L142" i="3"/>
  <c r="Y142" i="3"/>
  <c r="P71" i="4"/>
  <c r="K71" i="4"/>
  <c r="O71" i="4"/>
  <c r="Q126" i="3"/>
  <c r="O126" i="3"/>
  <c r="L126" i="3"/>
  <c r="AB126" i="3"/>
  <c r="J126" i="3"/>
  <c r="Y126" i="3"/>
  <c r="S126" i="3"/>
  <c r="AA126" i="3"/>
  <c r="H124" i="3"/>
  <c r="M1555" i="14"/>
  <c r="L1555" i="14"/>
  <c r="L421" i="3"/>
  <c r="O421" i="3"/>
  <c r="S421" i="3"/>
  <c r="Y421" i="3"/>
  <c r="AA421" i="3"/>
  <c r="AB421" i="3"/>
  <c r="J421" i="3"/>
  <c r="Q421" i="3"/>
  <c r="L1202" i="14"/>
  <c r="L1636" i="14"/>
  <c r="G1197" i="14"/>
  <c r="M1202" i="14"/>
  <c r="M1636" i="14"/>
  <c r="O55" i="4"/>
  <c r="K55" i="4"/>
  <c r="P55" i="4"/>
  <c r="Q393" i="3"/>
  <c r="O393" i="3"/>
  <c r="J393" i="3"/>
  <c r="AB393" i="3"/>
  <c r="S393" i="3"/>
  <c r="AA393" i="3"/>
  <c r="L393" i="3"/>
  <c r="Y393" i="3"/>
  <c r="M1039" i="14"/>
  <c r="L1039" i="14"/>
  <c r="L1616" i="14"/>
  <c r="M1616" i="14"/>
  <c r="G1615" i="14"/>
  <c r="M257" i="14"/>
  <c r="L257" i="14"/>
  <c r="P243" i="4"/>
  <c r="K243" i="4"/>
  <c r="O243" i="4"/>
  <c r="I240" i="4"/>
  <c r="L1065" i="14"/>
  <c r="M1065" i="14"/>
  <c r="G1388" i="14"/>
  <c r="M1401" i="14"/>
  <c r="L1401" i="14"/>
  <c r="L704" i="3"/>
  <c r="H702" i="3"/>
  <c r="Y704" i="3"/>
  <c r="O704" i="3"/>
  <c r="S704" i="3"/>
  <c r="AA704" i="3"/>
  <c r="AB704" i="3"/>
  <c r="Q704" i="3"/>
  <c r="J704" i="3"/>
  <c r="G574" i="14"/>
  <c r="M575" i="14"/>
  <c r="L575" i="14"/>
  <c r="M70" i="14"/>
  <c r="L70" i="14"/>
  <c r="M372" i="14"/>
  <c r="M821" i="14"/>
  <c r="L372" i="14"/>
  <c r="L821" i="14"/>
  <c r="G369" i="14"/>
  <c r="M653" i="14"/>
  <c r="L653" i="14"/>
  <c r="G299" i="14"/>
  <c r="M300" i="14"/>
  <c r="L300" i="14"/>
  <c r="AA518" i="3"/>
  <c r="J518" i="3"/>
  <c r="AB518" i="3"/>
  <c r="Q518" i="3"/>
  <c r="S518" i="3"/>
  <c r="O518" i="3"/>
  <c r="L518" i="3"/>
  <c r="Y518" i="3"/>
  <c r="S295" i="3"/>
  <c r="Q295" i="3"/>
  <c r="Q768" i="3"/>
  <c r="H294" i="3"/>
  <c r="L295" i="3"/>
  <c r="Y295" i="3"/>
  <c r="AB295" i="3"/>
  <c r="AB768" i="3"/>
  <c r="J295" i="3"/>
  <c r="O295" i="3"/>
  <c r="AA295" i="3"/>
  <c r="M420" i="14"/>
  <c r="L420" i="14"/>
  <c r="Q478" i="5"/>
  <c r="P478" i="5"/>
  <c r="I478" i="5"/>
  <c r="L478" i="5"/>
  <c r="Q529" i="5"/>
  <c r="L512" i="14"/>
  <c r="L873" i="14"/>
  <c r="M512" i="14"/>
  <c r="M873" i="14"/>
  <c r="S940" i="3"/>
  <c r="Y940" i="3"/>
  <c r="H939" i="3"/>
  <c r="Q940" i="3"/>
  <c r="J940" i="3"/>
  <c r="L940" i="3"/>
  <c r="O940" i="3"/>
  <c r="AB940" i="3"/>
  <c r="AA940" i="3"/>
  <c r="M801" i="14"/>
  <c r="L801" i="14"/>
  <c r="I327" i="5"/>
  <c r="I452" i="5"/>
  <c r="Q327" i="5"/>
  <c r="Q452" i="5"/>
  <c r="P327" i="5"/>
  <c r="P452" i="5"/>
  <c r="L327" i="5"/>
  <c r="L452" i="5"/>
  <c r="O523" i="3"/>
  <c r="AB523" i="3"/>
  <c r="Q523" i="3"/>
  <c r="L523" i="3"/>
  <c r="AA523" i="3"/>
  <c r="Y523" i="3"/>
  <c r="S523" i="3"/>
  <c r="J523" i="3"/>
  <c r="Q342" i="3"/>
  <c r="Q865" i="3"/>
  <c r="H341" i="3"/>
  <c r="J342" i="3"/>
  <c r="J865" i="3"/>
  <c r="AA342" i="3"/>
  <c r="AA865" i="3"/>
  <c r="S342" i="3"/>
  <c r="S865" i="3"/>
  <c r="L342" i="3"/>
  <c r="L865" i="3"/>
  <c r="Y342" i="3"/>
  <c r="Y865" i="3"/>
  <c r="O342" i="3"/>
  <c r="O865" i="3"/>
  <c r="AB342" i="3"/>
  <c r="AB865" i="3"/>
  <c r="O371" i="3"/>
  <c r="AA371" i="3"/>
  <c r="AB371" i="3"/>
  <c r="J371" i="3"/>
  <c r="S371" i="3"/>
  <c r="L371" i="3"/>
  <c r="Q371" i="3"/>
  <c r="Y371" i="3"/>
  <c r="Q922" i="3"/>
  <c r="Q976" i="3"/>
  <c r="J922" i="3"/>
  <c r="J976" i="3"/>
  <c r="L922" i="3"/>
  <c r="L976" i="3"/>
  <c r="S922" i="3"/>
  <c r="S976" i="3"/>
  <c r="O922" i="3"/>
  <c r="O976" i="3"/>
  <c r="H919" i="3"/>
  <c r="Y922" i="3"/>
  <c r="Y976" i="3"/>
  <c r="AA922" i="3"/>
  <c r="AA976" i="3"/>
  <c r="AB922" i="3"/>
  <c r="AB976" i="3"/>
  <c r="O309" i="3"/>
  <c r="J309" i="3"/>
  <c r="S309" i="3"/>
  <c r="L309" i="3"/>
  <c r="Q309" i="3"/>
  <c r="Y309" i="3"/>
  <c r="AB309" i="3"/>
  <c r="AA309" i="3"/>
  <c r="H307" i="3"/>
  <c r="AB364" i="3"/>
  <c r="AB790" i="3"/>
  <c r="AA364" i="3"/>
  <c r="AA790" i="3"/>
  <c r="Q364" i="3"/>
  <c r="Q790" i="3"/>
  <c r="Y364" i="3"/>
  <c r="Y790" i="3"/>
  <c r="J364" i="3"/>
  <c r="J790" i="3"/>
  <c r="O364" i="3"/>
  <c r="O790" i="3"/>
  <c r="S364" i="3"/>
  <c r="S790" i="3"/>
  <c r="L364" i="3"/>
  <c r="L790" i="3"/>
  <c r="J344" i="3"/>
  <c r="J877" i="3"/>
  <c r="AB344" i="3"/>
  <c r="AB877" i="3"/>
  <c r="Y344" i="3"/>
  <c r="Y877" i="3"/>
  <c r="AA344" i="3"/>
  <c r="AA877" i="3"/>
  <c r="L344" i="3"/>
  <c r="L877" i="3"/>
  <c r="Q344" i="3"/>
  <c r="Q877" i="3"/>
  <c r="H343" i="3"/>
  <c r="S344" i="3"/>
  <c r="S877" i="3"/>
  <c r="O344" i="3"/>
  <c r="O877" i="3"/>
  <c r="H285" i="3"/>
  <c r="J286" i="3"/>
  <c r="S286" i="3"/>
  <c r="AB286" i="3"/>
  <c r="Q286" i="3"/>
  <c r="L286" i="3"/>
  <c r="Y286" i="3"/>
  <c r="O286" i="3"/>
  <c r="AA286" i="3"/>
  <c r="J561" i="3"/>
  <c r="O561" i="3"/>
  <c r="L561" i="3"/>
  <c r="Y561" i="3"/>
  <c r="S561" i="3"/>
  <c r="AB561" i="3"/>
  <c r="AA561" i="3"/>
  <c r="Q561" i="3"/>
  <c r="L685" i="3"/>
  <c r="O685" i="3"/>
  <c r="AA685" i="3"/>
  <c r="J685" i="3"/>
  <c r="S685" i="3"/>
  <c r="Q685" i="3"/>
  <c r="Y685" i="3"/>
  <c r="AB685" i="3"/>
  <c r="H684" i="3"/>
  <c r="M974" i="14"/>
  <c r="L974" i="14"/>
  <c r="M91" i="14"/>
  <c r="M933" i="14"/>
  <c r="L91" i="14"/>
  <c r="L933" i="14"/>
  <c r="M1443" i="14"/>
  <c r="G1438" i="14"/>
  <c r="L1443" i="14"/>
  <c r="K153" i="4"/>
  <c r="O153" i="4"/>
  <c r="P153" i="4"/>
  <c r="M104" i="14"/>
  <c r="M915" i="14"/>
  <c r="L104" i="14"/>
  <c r="L915" i="14"/>
  <c r="M652" i="14"/>
  <c r="L652" i="14"/>
  <c r="M23" i="14"/>
  <c r="M866" i="14"/>
  <c r="L23" i="14"/>
  <c r="L866" i="14"/>
  <c r="M1384" i="14"/>
  <c r="M1698" i="14"/>
  <c r="L1384" i="14"/>
  <c r="L1698" i="14"/>
  <c r="G1379" i="14"/>
  <c r="J637" i="3"/>
  <c r="AA637" i="3"/>
  <c r="L637" i="3"/>
  <c r="O637" i="3"/>
  <c r="Q637" i="3"/>
  <c r="AB637" i="3"/>
  <c r="S637" i="3"/>
  <c r="Y637" i="3"/>
  <c r="Q455" i="3"/>
  <c r="O455" i="3"/>
  <c r="Y455" i="3"/>
  <c r="L455" i="3"/>
  <c r="AB455" i="3"/>
  <c r="J455" i="3"/>
  <c r="S455" i="3"/>
  <c r="AA455" i="3"/>
  <c r="H450" i="3"/>
  <c r="H689" i="3"/>
  <c r="Q101" i="5"/>
  <c r="P101" i="5"/>
  <c r="I101" i="5"/>
  <c r="L101" i="5"/>
  <c r="L23" i="5"/>
  <c r="L408" i="5"/>
  <c r="Q23" i="5"/>
  <c r="Q408" i="5"/>
  <c r="I23" i="5"/>
  <c r="I408" i="5"/>
  <c r="P23" i="5"/>
  <c r="P408" i="5"/>
  <c r="I6" i="4"/>
  <c r="L162" i="5"/>
  <c r="I162" i="5"/>
  <c r="Q162" i="5"/>
  <c r="P162" i="5"/>
  <c r="I525" i="5"/>
  <c r="L525" i="5"/>
  <c r="P525" i="5"/>
  <c r="Q525" i="5"/>
  <c r="M1177" i="14"/>
  <c r="L1177" i="14"/>
  <c r="L187" i="14"/>
  <c r="L837" i="14"/>
  <c r="M187" i="14"/>
  <c r="Q261" i="5"/>
  <c r="I261" i="5"/>
  <c r="P261" i="5"/>
  <c r="L261" i="5"/>
  <c r="M677" i="14"/>
  <c r="L677" i="14"/>
  <c r="M1336" i="14"/>
  <c r="L1336" i="14"/>
  <c r="Q359" i="5"/>
  <c r="P359" i="5"/>
  <c r="I359" i="5"/>
  <c r="G358" i="5"/>
  <c r="L359" i="5"/>
  <c r="M1301" i="14"/>
  <c r="L1301" i="14"/>
  <c r="M709" i="14"/>
  <c r="L709" i="14"/>
  <c r="Q189" i="3"/>
  <c r="Q793" i="3"/>
  <c r="O189" i="3"/>
  <c r="AB189" i="3"/>
  <c r="S189" i="3"/>
  <c r="L189" i="3"/>
  <c r="Y189" i="3"/>
  <c r="J189" i="3"/>
  <c r="AA189" i="3"/>
  <c r="AA793" i="3"/>
  <c r="P492" i="5"/>
  <c r="Q492" i="5"/>
  <c r="I492" i="5"/>
  <c r="L492" i="5"/>
  <c r="L74" i="5"/>
  <c r="L465" i="5"/>
  <c r="Q74" i="5"/>
  <c r="Q465" i="5"/>
  <c r="P74" i="5"/>
  <c r="P465" i="5"/>
  <c r="I74" i="5"/>
  <c r="I465" i="5"/>
  <c r="I380" i="5"/>
  <c r="Q380" i="5"/>
  <c r="L380" i="5"/>
  <c r="P380" i="5"/>
  <c r="G378" i="5"/>
  <c r="S241" i="3"/>
  <c r="Y241" i="3"/>
  <c r="AB241" i="3"/>
  <c r="O241" i="3"/>
  <c r="Q241" i="3"/>
  <c r="AA241" i="3"/>
  <c r="L241" i="3"/>
  <c r="J241" i="3"/>
  <c r="M440" i="14"/>
  <c r="L440" i="14"/>
  <c r="J104" i="3"/>
  <c r="J798" i="3"/>
  <c r="Y104" i="3"/>
  <c r="Y798" i="3"/>
  <c r="L104" i="3"/>
  <c r="L798" i="3"/>
  <c r="O104" i="3"/>
  <c r="O798" i="3"/>
  <c r="AB104" i="3"/>
  <c r="AB798" i="3"/>
  <c r="S104" i="3"/>
  <c r="S798" i="3"/>
  <c r="Q104" i="3"/>
  <c r="Q798" i="3"/>
  <c r="AA104" i="3"/>
  <c r="AA798" i="3"/>
  <c r="I20" i="5"/>
  <c r="Q20" i="5"/>
  <c r="L20" i="5"/>
  <c r="P20" i="5"/>
  <c r="L755" i="3"/>
  <c r="Y755" i="3"/>
  <c r="AB755" i="3"/>
  <c r="S755" i="3"/>
  <c r="Q755" i="3"/>
  <c r="O755" i="3"/>
  <c r="AA755" i="3"/>
  <c r="J755" i="3"/>
  <c r="S338" i="3"/>
  <c r="L338" i="3"/>
  <c r="AA338" i="3"/>
  <c r="Y338" i="3"/>
  <c r="AB338" i="3"/>
  <c r="O338" i="3"/>
  <c r="Q338" i="3"/>
  <c r="J338" i="3"/>
  <c r="H337" i="3"/>
  <c r="L9" i="14"/>
  <c r="M9" i="14"/>
  <c r="G8" i="14"/>
  <c r="Q183" i="3"/>
  <c r="Y183" i="3"/>
  <c r="J183" i="3"/>
  <c r="S183" i="3"/>
  <c r="O183" i="3"/>
  <c r="L183" i="3"/>
  <c r="AB183" i="3"/>
  <c r="H182" i="3"/>
  <c r="AA183" i="3"/>
  <c r="J228" i="3"/>
  <c r="O228" i="3"/>
  <c r="Y228" i="3"/>
  <c r="AB228" i="3"/>
  <c r="L228" i="3"/>
  <c r="Q228" i="3"/>
  <c r="AA228" i="3"/>
  <c r="S228" i="3"/>
  <c r="H221" i="3"/>
  <c r="S391" i="3"/>
  <c r="O391" i="3"/>
  <c r="AA391" i="3"/>
  <c r="J391" i="3"/>
  <c r="Y391" i="3"/>
  <c r="AB391" i="3"/>
  <c r="L391" i="3"/>
  <c r="Q391" i="3"/>
  <c r="L249" i="3"/>
  <c r="Y249" i="3"/>
  <c r="J249" i="3"/>
  <c r="O249" i="3"/>
  <c r="Q249" i="3"/>
  <c r="S249" i="3"/>
  <c r="AB249" i="3"/>
  <c r="AA249" i="3"/>
  <c r="J402" i="3"/>
  <c r="O402" i="3"/>
  <c r="AB402" i="3"/>
  <c r="Q402" i="3"/>
  <c r="L402" i="3"/>
  <c r="Y402" i="3"/>
  <c r="S402" i="3"/>
  <c r="AA402" i="3"/>
  <c r="H401" i="3"/>
  <c r="M438" i="14"/>
  <c r="L438" i="14"/>
  <c r="G554" i="14"/>
  <c r="M555" i="14"/>
  <c r="L555" i="14"/>
  <c r="L89" i="14"/>
  <c r="L929" i="14"/>
  <c r="M89" i="14"/>
  <c r="M929" i="14"/>
  <c r="L273" i="14"/>
  <c r="M273" i="14"/>
  <c r="G272" i="14"/>
  <c r="M1261" i="14"/>
  <c r="M1699" i="14"/>
  <c r="L1261" i="14"/>
  <c r="L1699" i="14"/>
  <c r="I11" i="5"/>
  <c r="I399" i="5"/>
  <c r="Q11" i="5"/>
  <c r="Q399" i="5"/>
  <c r="P11" i="5"/>
  <c r="P399" i="5"/>
  <c r="L11" i="5"/>
  <c r="G6" i="5"/>
  <c r="L285" i="14"/>
  <c r="M285" i="14"/>
  <c r="G1502" i="14"/>
  <c r="L1489" i="14"/>
  <c r="M1489" i="14"/>
  <c r="G1486" i="14"/>
  <c r="M1473" i="14"/>
  <c r="L1473" i="14"/>
  <c r="M1097" i="14"/>
  <c r="L1097" i="14"/>
  <c r="M687" i="14"/>
  <c r="L687" i="14"/>
  <c r="G227" i="14"/>
  <c r="L228" i="14"/>
  <c r="L934" i="14"/>
  <c r="M228" i="14"/>
  <c r="M934" i="14"/>
  <c r="L576" i="14"/>
  <c r="M576" i="14"/>
  <c r="M1015" i="14"/>
  <c r="L1015" i="14"/>
  <c r="I524" i="5"/>
  <c r="L524" i="5"/>
  <c r="G523" i="5"/>
  <c r="Q524" i="5"/>
  <c r="P524" i="5"/>
  <c r="L247" i="3"/>
  <c r="J247" i="3"/>
  <c r="O247" i="3"/>
  <c r="AB247" i="3"/>
  <c r="Y247" i="3"/>
  <c r="Q247" i="3"/>
  <c r="S247" i="3"/>
  <c r="AA247" i="3"/>
  <c r="L1188" i="14"/>
  <c r="M1188" i="14"/>
  <c r="K109" i="4"/>
  <c r="P109" i="4"/>
  <c r="O109" i="4"/>
  <c r="I197" i="5"/>
  <c r="L197" i="5"/>
  <c r="Q197" i="5"/>
  <c r="P197" i="5"/>
  <c r="G184" i="5"/>
  <c r="M748" i="14"/>
  <c r="G746" i="14"/>
  <c r="L748" i="14"/>
  <c r="Q542" i="3"/>
  <c r="S542" i="3"/>
  <c r="J542" i="3"/>
  <c r="H541" i="3"/>
  <c r="O542" i="3"/>
  <c r="L542" i="3"/>
  <c r="Y542" i="3"/>
  <c r="AB542" i="3"/>
  <c r="AA542" i="3"/>
  <c r="L72" i="3"/>
  <c r="Y72" i="3"/>
  <c r="J72" i="3"/>
  <c r="Q72" i="3"/>
  <c r="S72" i="3"/>
  <c r="O72" i="3"/>
  <c r="AB72" i="3"/>
  <c r="AA72" i="3"/>
  <c r="AA356" i="3"/>
  <c r="AA777" i="3"/>
  <c r="AB356" i="3"/>
  <c r="AB777" i="3"/>
  <c r="L356" i="3"/>
  <c r="L777" i="3"/>
  <c r="Q356" i="3"/>
  <c r="Q777" i="3"/>
  <c r="Y356" i="3"/>
  <c r="Y777" i="3"/>
  <c r="J356" i="3"/>
  <c r="J777" i="3"/>
  <c r="S356" i="3"/>
  <c r="S777" i="3"/>
  <c r="O356" i="3"/>
  <c r="O777" i="3"/>
  <c r="H353" i="3"/>
  <c r="S612" i="3"/>
  <c r="O612" i="3"/>
  <c r="L612" i="3"/>
  <c r="Q612" i="3"/>
  <c r="Y612" i="3"/>
  <c r="J612" i="3"/>
  <c r="AA612" i="3"/>
  <c r="AB612" i="3"/>
  <c r="M1134" i="14"/>
  <c r="L1134" i="14"/>
  <c r="Q291" i="3"/>
  <c r="Q895" i="3"/>
  <c r="S291" i="3"/>
  <c r="S895" i="3"/>
  <c r="AB291" i="3"/>
  <c r="O291" i="3"/>
  <c r="O895" i="3"/>
  <c r="Y291" i="3"/>
  <c r="Y895" i="3"/>
  <c r="L291" i="3"/>
  <c r="L895" i="3"/>
  <c r="AA291" i="3"/>
  <c r="AA895" i="3"/>
  <c r="J291" i="3"/>
  <c r="J895" i="3"/>
  <c r="L281" i="5"/>
  <c r="Q281" i="5"/>
  <c r="I281" i="5"/>
  <c r="P281" i="5"/>
  <c r="AB404" i="3"/>
  <c r="Y404" i="3"/>
  <c r="AA404" i="3"/>
  <c r="S404" i="3"/>
  <c r="J404" i="3"/>
  <c r="Q404" i="3"/>
  <c r="O404" i="3"/>
  <c r="L404" i="3"/>
  <c r="I45" i="4"/>
  <c r="L529" i="5"/>
  <c r="M19" i="14"/>
  <c r="M853" i="14"/>
  <c r="G18" i="14"/>
  <c r="L19" i="14"/>
  <c r="L853" i="14"/>
  <c r="Q226" i="5"/>
  <c r="P226" i="5"/>
  <c r="I226" i="5"/>
  <c r="L226" i="5"/>
  <c r="Q497" i="5"/>
  <c r="I497" i="5"/>
  <c r="L497" i="5"/>
  <c r="P497" i="5"/>
  <c r="O757" i="3"/>
  <c r="L757" i="3"/>
  <c r="AB757" i="3"/>
  <c r="J757" i="3"/>
  <c r="S757" i="3"/>
  <c r="Q757" i="3"/>
  <c r="AA757" i="3"/>
  <c r="Y757" i="3"/>
  <c r="M572" i="14"/>
  <c r="L572" i="14"/>
  <c r="L924" i="14"/>
  <c r="M1042" i="14"/>
  <c r="L1042" i="14"/>
  <c r="M1593" i="14"/>
  <c r="L1593" i="14"/>
  <c r="G1307" i="14"/>
  <c r="M1308" i="14"/>
  <c r="M1710" i="14"/>
  <c r="L1308" i="14"/>
  <c r="L1710" i="14"/>
  <c r="M703" i="14"/>
  <c r="L703" i="14"/>
  <c r="L224" i="14"/>
  <c r="M224" i="14"/>
  <c r="M322" i="14"/>
  <c r="L322" i="14"/>
  <c r="M69" i="14"/>
  <c r="L69" i="14"/>
  <c r="G52" i="14"/>
  <c r="S166" i="3"/>
  <c r="L166" i="3"/>
  <c r="Y166" i="3"/>
  <c r="Q166" i="3"/>
  <c r="J166" i="3"/>
  <c r="O166" i="3"/>
  <c r="AB166" i="3"/>
  <c r="AA166" i="3"/>
  <c r="M292" i="14"/>
  <c r="M914" i="14"/>
  <c r="L292" i="14"/>
  <c r="L914" i="14"/>
  <c r="G291" i="14"/>
  <c r="AB504" i="3"/>
  <c r="O504" i="3"/>
  <c r="L504" i="3"/>
  <c r="Y504" i="3"/>
  <c r="J504" i="3"/>
  <c r="Q504" i="3"/>
  <c r="S504" i="3"/>
  <c r="AA504" i="3"/>
  <c r="L51" i="14"/>
  <c r="L828" i="14"/>
  <c r="G50" i="14"/>
  <c r="M51" i="14"/>
  <c r="M828" i="14"/>
  <c r="L185" i="14"/>
  <c r="M185" i="14"/>
  <c r="M819" i="14"/>
  <c r="G184" i="14"/>
  <c r="S93" i="3"/>
  <c r="S889" i="3"/>
  <c r="Y93" i="3"/>
  <c r="L93" i="3"/>
  <c r="L889" i="3"/>
  <c r="J93" i="3"/>
  <c r="J889" i="3"/>
  <c r="AB93" i="3"/>
  <c r="AB889" i="3"/>
  <c r="O93" i="3"/>
  <c r="O889" i="3"/>
  <c r="Q93" i="3"/>
  <c r="Q889" i="3"/>
  <c r="AA93" i="3"/>
  <c r="AA889" i="3"/>
  <c r="L237" i="5"/>
  <c r="Q237" i="5"/>
  <c r="I237" i="5"/>
  <c r="P237" i="5"/>
  <c r="G232" i="5"/>
  <c r="M1109" i="14"/>
  <c r="L1109" i="14"/>
  <c r="J106" i="3"/>
  <c r="J871" i="3"/>
  <c r="Y106" i="3"/>
  <c r="Y871" i="3"/>
  <c r="AB106" i="3"/>
  <c r="AB871" i="3"/>
  <c r="S106" i="3"/>
  <c r="S871" i="3"/>
  <c r="L106" i="3"/>
  <c r="L871" i="3"/>
  <c r="Q106" i="3"/>
  <c r="Q871" i="3"/>
  <c r="AA106" i="3"/>
  <c r="AA871" i="3"/>
  <c r="O106" i="3"/>
  <c r="O871" i="3"/>
  <c r="O611" i="3"/>
  <c r="L611" i="3"/>
  <c r="Q611" i="3"/>
  <c r="J611" i="3"/>
  <c r="Y611" i="3"/>
  <c r="S611" i="3"/>
  <c r="AA611" i="3"/>
  <c r="AB611" i="3"/>
  <c r="Q182" i="5"/>
  <c r="Q456" i="5"/>
  <c r="P182" i="5"/>
  <c r="P456" i="5"/>
  <c r="L182" i="5"/>
  <c r="L456" i="5"/>
  <c r="I182" i="5"/>
  <c r="I456" i="5"/>
  <c r="G177" i="5"/>
  <c r="M678" i="14"/>
  <c r="L678" i="14"/>
  <c r="AB533" i="3"/>
  <c r="AA533" i="3"/>
  <c r="J533" i="3"/>
  <c r="S533" i="3"/>
  <c r="Y533" i="3"/>
  <c r="O533" i="3"/>
  <c r="Q533" i="3"/>
  <c r="L533" i="3"/>
  <c r="O132" i="4"/>
  <c r="P132" i="4"/>
  <c r="K132" i="4"/>
  <c r="I130" i="4"/>
  <c r="P221" i="4"/>
  <c r="K221" i="4"/>
  <c r="O221" i="4"/>
  <c r="M1214" i="14"/>
  <c r="L1214" i="14"/>
  <c r="L1645" i="14"/>
  <c r="G1001" i="14"/>
  <c r="M1001" i="14"/>
  <c r="L1001" i="14"/>
  <c r="L177" i="5"/>
  <c r="I177" i="5"/>
  <c r="Q177" i="5"/>
  <c r="P177" i="5"/>
  <c r="L50" i="14"/>
  <c r="M50" i="14"/>
  <c r="M1307" i="14"/>
  <c r="L1307" i="14"/>
  <c r="J541" i="3"/>
  <c r="S541" i="3"/>
  <c r="L541" i="3"/>
  <c r="Q541" i="3"/>
  <c r="O541" i="3"/>
  <c r="AB541" i="3"/>
  <c r="AA541" i="3"/>
  <c r="Y541" i="3"/>
  <c r="M227" i="14"/>
  <c r="L227" i="14"/>
  <c r="S793" i="3"/>
  <c r="M1645" i="14"/>
  <c r="O130" i="4"/>
  <c r="K130" i="4"/>
  <c r="P130" i="4"/>
  <c r="Y889" i="3"/>
  <c r="L819" i="14"/>
  <c r="M291" i="14"/>
  <c r="L291" i="14"/>
  <c r="M924" i="14"/>
  <c r="O353" i="3"/>
  <c r="S353" i="3"/>
  <c r="L353" i="3"/>
  <c r="AB353" i="3"/>
  <c r="J353" i="3"/>
  <c r="Y353" i="3"/>
  <c r="Q353" i="3"/>
  <c r="AA353" i="3"/>
  <c r="L1502" i="14"/>
  <c r="M1502" i="14"/>
  <c r="L399" i="5"/>
  <c r="J401" i="3"/>
  <c r="AA401" i="3"/>
  <c r="Q401" i="3"/>
  <c r="O401" i="3"/>
  <c r="S401" i="3"/>
  <c r="AB401" i="3"/>
  <c r="L401" i="3"/>
  <c r="Y401" i="3"/>
  <c r="Y793" i="3"/>
  <c r="O793" i="3"/>
  <c r="Q689" i="3"/>
  <c r="Y689" i="3"/>
  <c r="L689" i="3"/>
  <c r="O689" i="3"/>
  <c r="AB689" i="3"/>
  <c r="J689" i="3"/>
  <c r="S689" i="3"/>
  <c r="AA689" i="3"/>
  <c r="AB307" i="3"/>
  <c r="Y307" i="3"/>
  <c r="Q307" i="3"/>
  <c r="J307" i="3"/>
  <c r="O307" i="3"/>
  <c r="AA307" i="3"/>
  <c r="L307" i="3"/>
  <c r="S307" i="3"/>
  <c r="Y919" i="3"/>
  <c r="J919" i="3"/>
  <c r="L919" i="3"/>
  <c r="AB919" i="3"/>
  <c r="S919" i="3"/>
  <c r="AA919" i="3"/>
  <c r="O919" i="3"/>
  <c r="Q919" i="3"/>
  <c r="O768" i="3"/>
  <c r="L768" i="3"/>
  <c r="L942" i="14"/>
  <c r="M574" i="14"/>
  <c r="L574" i="14"/>
  <c r="S702" i="3"/>
  <c r="Y702" i="3"/>
  <c r="AA702" i="3"/>
  <c r="O702" i="3"/>
  <c r="L702" i="3"/>
  <c r="AB702" i="3"/>
  <c r="J702" i="3"/>
  <c r="Q702" i="3"/>
  <c r="M1388" i="14"/>
  <c r="L1388" i="14"/>
  <c r="Q10" i="3"/>
  <c r="O10" i="3"/>
  <c r="L10" i="3"/>
  <c r="AB10" i="3"/>
  <c r="S10" i="3"/>
  <c r="Y10" i="3"/>
  <c r="J10" i="3"/>
  <c r="AA10" i="3"/>
  <c r="M351" i="14"/>
  <c r="L351" i="14"/>
  <c r="M842" i="14"/>
  <c r="M1607" i="14"/>
  <c r="L1607" i="14"/>
  <c r="L917" i="14"/>
  <c r="L822" i="3"/>
  <c r="Y822" i="3"/>
  <c r="Y432" i="3"/>
  <c r="J432" i="3"/>
  <c r="O432" i="3"/>
  <c r="Q432" i="3"/>
  <c r="S432" i="3"/>
  <c r="AA432" i="3"/>
  <c r="L432" i="3"/>
  <c r="AB432" i="3"/>
  <c r="M318" i="14"/>
  <c r="L318" i="14"/>
  <c r="M812" i="14"/>
  <c r="Q289" i="3"/>
  <c r="AA289" i="3"/>
  <c r="O289" i="3"/>
  <c r="AB289" i="3"/>
  <c r="J289" i="3"/>
  <c r="Y289" i="3"/>
  <c r="S289" i="3"/>
  <c r="L289" i="3"/>
  <c r="L650" i="3"/>
  <c r="O650" i="3"/>
  <c r="Y650" i="3"/>
  <c r="S650" i="3"/>
  <c r="AA650" i="3"/>
  <c r="Q650" i="3"/>
  <c r="AB650" i="3"/>
  <c r="J650" i="3"/>
  <c r="Q349" i="3"/>
  <c r="Y349" i="3"/>
  <c r="L349" i="3"/>
  <c r="O349" i="3"/>
  <c r="J349" i="3"/>
  <c r="S349" i="3"/>
  <c r="AB349" i="3"/>
  <c r="AA349" i="3"/>
  <c r="P103" i="4"/>
  <c r="O103" i="4"/>
  <c r="K103" i="4"/>
  <c r="Q786" i="3"/>
  <c r="S786" i="3"/>
  <c r="AB781" i="3"/>
  <c r="J781" i="3"/>
  <c r="AB172" i="3"/>
  <c r="L172" i="3"/>
  <c r="S172" i="3"/>
  <c r="Q172" i="3"/>
  <c r="O172" i="3"/>
  <c r="J172" i="3"/>
  <c r="Y172" i="3"/>
  <c r="AA172" i="3"/>
  <c r="J904" i="3"/>
  <c r="L8" i="3"/>
  <c r="O8" i="3"/>
  <c r="AB8" i="3"/>
  <c r="J8" i="3"/>
  <c r="S8" i="3"/>
  <c r="Q8" i="3"/>
  <c r="Y8" i="3"/>
  <c r="AA8" i="3"/>
  <c r="Y873" i="3"/>
  <c r="S873" i="3"/>
  <c r="L589" i="14"/>
  <c r="M589" i="14"/>
  <c r="Y775" i="3"/>
  <c r="O775" i="3"/>
  <c r="J52" i="3"/>
  <c r="Q52" i="3"/>
  <c r="S52" i="3"/>
  <c r="O52" i="3"/>
  <c r="AA52" i="3"/>
  <c r="AB52" i="3"/>
  <c r="Y52" i="3"/>
  <c r="L52" i="3"/>
  <c r="J870" i="3"/>
  <c r="AB870" i="3"/>
  <c r="Q534" i="5"/>
  <c r="M365" i="14"/>
  <c r="L365" i="14"/>
  <c r="AB974" i="3"/>
  <c r="AB973" i="3"/>
  <c r="Y974" i="3"/>
  <c r="Y973" i="3"/>
  <c r="J969" i="3"/>
  <c r="Y969" i="3"/>
  <c r="Q969" i="3"/>
  <c r="S969" i="3"/>
  <c r="O969" i="3"/>
  <c r="L969" i="3"/>
  <c r="AA969" i="3"/>
  <c r="AB969" i="3"/>
  <c r="P273" i="5"/>
  <c r="L273" i="5"/>
  <c r="Q273" i="5"/>
  <c r="I273" i="5"/>
  <c r="I457" i="5"/>
  <c r="L262" i="3"/>
  <c r="Y262" i="3"/>
  <c r="S262" i="3"/>
  <c r="AB262" i="3"/>
  <c r="AA262" i="3"/>
  <c r="J262" i="3"/>
  <c r="Q262" i="3"/>
  <c r="O262" i="3"/>
  <c r="AB885" i="3"/>
  <c r="S885" i="3"/>
  <c r="L43" i="14"/>
  <c r="M43" i="14"/>
  <c r="M830" i="14"/>
  <c r="L825" i="14"/>
  <c r="D68" i="6"/>
  <c r="H17" i="9"/>
  <c r="O45" i="4"/>
  <c r="P45" i="4"/>
  <c r="K45" i="4"/>
  <c r="L184" i="5"/>
  <c r="Q184" i="5"/>
  <c r="P184" i="5"/>
  <c r="I184" i="5"/>
  <c r="Q523" i="5"/>
  <c r="L523" i="5"/>
  <c r="I523" i="5"/>
  <c r="P523" i="5"/>
  <c r="L1486" i="14"/>
  <c r="M1486" i="14"/>
  <c r="M554" i="14"/>
  <c r="L554" i="14"/>
  <c r="Q221" i="3"/>
  <c r="O221" i="3"/>
  <c r="Y221" i="3"/>
  <c r="L221" i="3"/>
  <c r="AB221" i="3"/>
  <c r="J221" i="3"/>
  <c r="S221" i="3"/>
  <c r="AA221" i="3"/>
  <c r="L378" i="5"/>
  <c r="Q378" i="5"/>
  <c r="P378" i="5"/>
  <c r="I378" i="5"/>
  <c r="L793" i="3"/>
  <c r="S450" i="3"/>
  <c r="O450" i="3"/>
  <c r="AB450" i="3"/>
  <c r="L450" i="3"/>
  <c r="J450" i="3"/>
  <c r="Y450" i="3"/>
  <c r="AA450" i="3"/>
  <c r="Q450" i="3"/>
  <c r="L684" i="3"/>
  <c r="O684" i="3"/>
  <c r="S684" i="3"/>
  <c r="AB684" i="3"/>
  <c r="J684" i="3"/>
  <c r="Y684" i="3"/>
  <c r="AA684" i="3"/>
  <c r="Q684" i="3"/>
  <c r="S343" i="3"/>
  <c r="J343" i="3"/>
  <c r="Q343" i="3"/>
  <c r="AB343" i="3"/>
  <c r="AA343" i="3"/>
  <c r="O343" i="3"/>
  <c r="L343" i="3"/>
  <c r="Y343" i="3"/>
  <c r="Q341" i="3"/>
  <c r="S341" i="3"/>
  <c r="AB341" i="3"/>
  <c r="Y341" i="3"/>
  <c r="AA341" i="3"/>
  <c r="O341" i="3"/>
  <c r="L341" i="3"/>
  <c r="J341" i="3"/>
  <c r="J768" i="3"/>
  <c r="Y294" i="3"/>
  <c r="AB294" i="3"/>
  <c r="AA294" i="3"/>
  <c r="J294" i="3"/>
  <c r="O294" i="3"/>
  <c r="S294" i="3"/>
  <c r="L294" i="3"/>
  <c r="Q294" i="3"/>
  <c r="M942" i="14"/>
  <c r="M369" i="14"/>
  <c r="L369" i="14"/>
  <c r="M1615" i="14"/>
  <c r="L1615" i="14"/>
  <c r="M1635" i="14"/>
  <c r="L180" i="14"/>
  <c r="M180" i="14"/>
  <c r="M917" i="14"/>
  <c r="AB822" i="3"/>
  <c r="AA822" i="3"/>
  <c r="AA721" i="3"/>
  <c r="L721" i="3"/>
  <c r="S721" i="3"/>
  <c r="Y721" i="3"/>
  <c r="Q721" i="3"/>
  <c r="O721" i="3"/>
  <c r="AB721" i="3"/>
  <c r="J721" i="3"/>
  <c r="L728" i="14"/>
  <c r="M728" i="14"/>
  <c r="L936" i="14"/>
  <c r="L361" i="14"/>
  <c r="M361" i="14"/>
  <c r="M305" i="14"/>
  <c r="L305" i="14"/>
  <c r="O709" i="3"/>
  <c r="AA709" i="3"/>
  <c r="AB709" i="3"/>
  <c r="Q709" i="3"/>
  <c r="S709" i="3"/>
  <c r="J709" i="3"/>
  <c r="Y709" i="3"/>
  <c r="L709" i="3"/>
  <c r="AA786" i="3"/>
  <c r="L786" i="3"/>
  <c r="J101" i="3"/>
  <c r="O101" i="3"/>
  <c r="Q101" i="3"/>
  <c r="L101" i="3"/>
  <c r="S101" i="3"/>
  <c r="AB101" i="3"/>
  <c r="Y101" i="3"/>
  <c r="AA101" i="3"/>
  <c r="Y781" i="3"/>
  <c r="Q781" i="3"/>
  <c r="Y904" i="3"/>
  <c r="O904" i="3"/>
  <c r="L537" i="3"/>
  <c r="Y537" i="3"/>
  <c r="AB537" i="3"/>
  <c r="Q537" i="3"/>
  <c r="O537" i="3"/>
  <c r="S537" i="3"/>
  <c r="J537" i="3"/>
  <c r="AA537" i="3"/>
  <c r="J873" i="3"/>
  <c r="M229" i="14"/>
  <c r="L229" i="14"/>
  <c r="AA775" i="3"/>
  <c r="S775" i="3"/>
  <c r="O870" i="3"/>
  <c r="Q281" i="3"/>
  <c r="AB281" i="3"/>
  <c r="AA281" i="3"/>
  <c r="O281" i="3"/>
  <c r="L281" i="3"/>
  <c r="S281" i="3"/>
  <c r="J281" i="3"/>
  <c r="Y281" i="3"/>
  <c r="S54" i="3"/>
  <c r="J54" i="3"/>
  <c r="AA54" i="3"/>
  <c r="Q54" i="3"/>
  <c r="AB54" i="3"/>
  <c r="L54" i="3"/>
  <c r="O54" i="3"/>
  <c r="Y54" i="3"/>
  <c r="J926" i="3"/>
  <c r="S926" i="3"/>
  <c r="L926" i="3"/>
  <c r="Y926" i="3"/>
  <c r="O926" i="3"/>
  <c r="Q926" i="3"/>
  <c r="AB926" i="3"/>
  <c r="AA926" i="3"/>
  <c r="L534" i="5"/>
  <c r="L527" i="5"/>
  <c r="S20" i="3"/>
  <c r="AA20" i="3"/>
  <c r="O20" i="3"/>
  <c r="AB20" i="3"/>
  <c r="Y20" i="3"/>
  <c r="J20" i="3"/>
  <c r="L20" i="3"/>
  <c r="Q20" i="3"/>
  <c r="L944" i="14"/>
  <c r="M456" i="14"/>
  <c r="L456" i="14"/>
  <c r="L974" i="3"/>
  <c r="L973" i="3"/>
  <c r="O974" i="3"/>
  <c r="O973" i="3"/>
  <c r="P457" i="5"/>
  <c r="P398" i="5"/>
  <c r="AA885" i="3"/>
  <c r="L885" i="3"/>
  <c r="L952" i="3"/>
  <c r="Y952" i="3"/>
  <c r="S952" i="3"/>
  <c r="J952" i="3"/>
  <c r="O952" i="3"/>
  <c r="AA952" i="3"/>
  <c r="AB952" i="3"/>
  <c r="Q952" i="3"/>
  <c r="M825" i="14"/>
  <c r="M953" i="14"/>
  <c r="L1587" i="14"/>
  <c r="M1587" i="14"/>
  <c r="AB556" i="3"/>
  <c r="O556" i="3"/>
  <c r="AA556" i="3"/>
  <c r="S556" i="3"/>
  <c r="Q556" i="3"/>
  <c r="J556" i="3"/>
  <c r="Y556" i="3"/>
  <c r="L556" i="3"/>
  <c r="G11" i="9"/>
  <c r="H11" i="9"/>
  <c r="G15" i="11"/>
  <c r="L184" i="14"/>
  <c r="M184" i="14"/>
  <c r="L337" i="3"/>
  <c r="Y337" i="3"/>
  <c r="O337" i="3"/>
  <c r="Q337" i="3"/>
  <c r="AA337" i="3"/>
  <c r="S337" i="3"/>
  <c r="AB337" i="3"/>
  <c r="J337" i="3"/>
  <c r="L285" i="3"/>
  <c r="O285" i="3"/>
  <c r="J285" i="3"/>
  <c r="S285" i="3"/>
  <c r="Q285" i="3"/>
  <c r="Y285" i="3"/>
  <c r="AA285" i="3"/>
  <c r="AB285" i="3"/>
  <c r="L299" i="14"/>
  <c r="M299" i="14"/>
  <c r="L1197" i="14"/>
  <c r="M1197" i="14"/>
  <c r="Q124" i="3"/>
  <c r="AB124" i="3"/>
  <c r="S124" i="3"/>
  <c r="AA124" i="3"/>
  <c r="O124" i="3"/>
  <c r="Y124" i="3"/>
  <c r="L124" i="3"/>
  <c r="J124" i="3"/>
  <c r="M231" i="14"/>
  <c r="L231" i="14"/>
  <c r="O941" i="3"/>
  <c r="S941" i="3"/>
  <c r="Q941" i="3"/>
  <c r="L941" i="3"/>
  <c r="Y941" i="3"/>
  <c r="AA941" i="3"/>
  <c r="J941" i="3"/>
  <c r="AB941" i="3"/>
  <c r="M570" i="14"/>
  <c r="L570" i="14"/>
  <c r="L472" i="14"/>
  <c r="M472" i="14"/>
  <c r="O822" i="3"/>
  <c r="J822" i="3"/>
  <c r="M936" i="14"/>
  <c r="J966" i="3"/>
  <c r="Y966" i="3"/>
  <c r="Q966" i="3"/>
  <c r="S966" i="3"/>
  <c r="AB966" i="3"/>
  <c r="O966" i="3"/>
  <c r="L966" i="3"/>
  <c r="AA966" i="3"/>
  <c r="M647" i="14"/>
  <c r="L647" i="14"/>
  <c r="L122" i="14"/>
  <c r="M122" i="14"/>
  <c r="M204" i="14"/>
  <c r="L204" i="14"/>
  <c r="AB786" i="3"/>
  <c r="Y786" i="3"/>
  <c r="AA781" i="3"/>
  <c r="O781" i="3"/>
  <c r="AA904" i="3"/>
  <c r="Q904" i="3"/>
  <c r="L904" i="3"/>
  <c r="AB873" i="3"/>
  <c r="L873" i="3"/>
  <c r="Q873" i="3"/>
  <c r="L1086" i="14"/>
  <c r="M1086" i="14"/>
  <c r="M765" i="14"/>
  <c r="L765" i="14"/>
  <c r="M454" i="14"/>
  <c r="L454" i="14"/>
  <c r="AB186" i="3"/>
  <c r="AA186" i="3"/>
  <c r="J186" i="3"/>
  <c r="Y186" i="3"/>
  <c r="S186" i="3"/>
  <c r="O186" i="3"/>
  <c r="Q186" i="3"/>
  <c r="L186" i="3"/>
  <c r="AB775" i="3"/>
  <c r="AB766" i="3"/>
  <c r="Q775" i="3"/>
  <c r="Q766" i="3"/>
  <c r="Y870" i="3"/>
  <c r="L870" i="3"/>
  <c r="S870" i="3"/>
  <c r="L484" i="5"/>
  <c r="I484" i="5"/>
  <c r="Q484" i="5"/>
  <c r="Q535" i="5"/>
  <c r="P484" i="5"/>
  <c r="M944" i="14"/>
  <c r="M1059" i="14"/>
  <c r="L1059" i="14"/>
  <c r="L1195" i="14"/>
  <c r="J974" i="3"/>
  <c r="J973" i="3"/>
  <c r="Q931" i="3"/>
  <c r="J931" i="3"/>
  <c r="L931" i="3"/>
  <c r="O931" i="3"/>
  <c r="Y931" i="3"/>
  <c r="S931" i="3"/>
  <c r="AB931" i="3"/>
  <c r="AA931" i="3"/>
  <c r="Q457" i="5"/>
  <c r="Q398" i="5"/>
  <c r="Q885" i="3"/>
  <c r="J885" i="3"/>
  <c r="S200" i="3"/>
  <c r="L200" i="3"/>
  <c r="J200" i="3"/>
  <c r="AA200" i="3"/>
  <c r="Y200" i="3"/>
  <c r="AB200" i="3"/>
  <c r="O200" i="3"/>
  <c r="Q200" i="3"/>
  <c r="M170" i="14"/>
  <c r="L170" i="14"/>
  <c r="L953" i="14"/>
  <c r="J14" i="12"/>
  <c r="I14" i="12"/>
  <c r="G12" i="11"/>
  <c r="H12" i="11"/>
  <c r="I232" i="5"/>
  <c r="L232" i="5"/>
  <c r="P232" i="5"/>
  <c r="Q232" i="5"/>
  <c r="L18" i="14"/>
  <c r="M18" i="14"/>
  <c r="L272" i="14"/>
  <c r="M272" i="14"/>
  <c r="M1379" i="14"/>
  <c r="L1379" i="14"/>
  <c r="L52" i="14"/>
  <c r="M52" i="14"/>
  <c r="AB895" i="3"/>
  <c r="M746" i="14"/>
  <c r="L746" i="14"/>
  <c r="I6" i="5"/>
  <c r="L6" i="5"/>
  <c r="Q6" i="5"/>
  <c r="P6" i="5"/>
  <c r="I398" i="5"/>
  <c r="J182" i="3"/>
  <c r="S182" i="3"/>
  <c r="Y182" i="3"/>
  <c r="L182" i="3"/>
  <c r="AA182" i="3"/>
  <c r="O182" i="3"/>
  <c r="Q182" i="3"/>
  <c r="AB182" i="3"/>
  <c r="M8" i="14"/>
  <c r="L8" i="14"/>
  <c r="J793" i="3"/>
  <c r="AB793" i="3"/>
  <c r="L358" i="5"/>
  <c r="Q358" i="5"/>
  <c r="P358" i="5"/>
  <c r="I358" i="5"/>
  <c r="M837" i="14"/>
  <c r="P6" i="4"/>
  <c r="O6" i="4"/>
  <c r="O232" i="4"/>
  <c r="K6" i="4"/>
  <c r="M1438" i="14"/>
  <c r="L1438" i="14"/>
  <c r="L939" i="3"/>
  <c r="Q939" i="3"/>
  <c r="J939" i="3"/>
  <c r="AB939" i="3"/>
  <c r="O939" i="3"/>
  <c r="Y939" i="3"/>
  <c r="S939" i="3"/>
  <c r="AA939" i="3"/>
  <c r="AA768" i="3"/>
  <c r="Y768" i="3"/>
  <c r="S768" i="3"/>
  <c r="K240" i="4"/>
  <c r="K248" i="4"/>
  <c r="P240" i="4"/>
  <c r="P248" i="4"/>
  <c r="O240" i="4"/>
  <c r="O248" i="4"/>
  <c r="L1635" i="14"/>
  <c r="M417" i="14"/>
  <c r="L417" i="14"/>
  <c r="L842" i="14"/>
  <c r="I306" i="5"/>
  <c r="L306" i="5"/>
  <c r="P306" i="5"/>
  <c r="Q306" i="5"/>
  <c r="S822" i="3"/>
  <c r="L219" i="3"/>
  <c r="J219" i="3"/>
  <c r="Q219" i="3"/>
  <c r="Y219" i="3"/>
  <c r="O219" i="3"/>
  <c r="S219" i="3"/>
  <c r="AB219" i="3"/>
  <c r="AA219" i="3"/>
  <c r="M295" i="14"/>
  <c r="L295" i="14"/>
  <c r="M357" i="14"/>
  <c r="L357" i="14"/>
  <c r="M355" i="14"/>
  <c r="L355" i="14"/>
  <c r="L812" i="14"/>
  <c r="M1082" i="14"/>
  <c r="M1195" i="14"/>
  <c r="L1082" i="14"/>
  <c r="L434" i="3"/>
  <c r="Q434" i="3"/>
  <c r="J434" i="3"/>
  <c r="O434" i="3"/>
  <c r="S434" i="3"/>
  <c r="Y434" i="3"/>
  <c r="AA434" i="3"/>
  <c r="AB434" i="3"/>
  <c r="Q120" i="5"/>
  <c r="P120" i="5"/>
  <c r="L120" i="5"/>
  <c r="I120" i="5"/>
  <c r="L506" i="5"/>
  <c r="Q506" i="5"/>
  <c r="P506" i="5"/>
  <c r="I506" i="5"/>
  <c r="Q527" i="5"/>
  <c r="O45" i="3"/>
  <c r="L45" i="3"/>
  <c r="AA45" i="3"/>
  <c r="J45" i="3"/>
  <c r="AB45" i="3"/>
  <c r="Q45" i="3"/>
  <c r="S45" i="3"/>
  <c r="Y45" i="3"/>
  <c r="J786" i="3"/>
  <c r="O786" i="3"/>
  <c r="L781" i="3"/>
  <c r="S781" i="3"/>
  <c r="AB904" i="3"/>
  <c r="S904" i="3"/>
  <c r="L1535" i="14"/>
  <c r="M1535" i="14"/>
  <c r="AA873" i="3"/>
  <c r="O873" i="3"/>
  <c r="L948" i="3"/>
  <c r="S948" i="3"/>
  <c r="J948" i="3"/>
  <c r="AA948" i="3"/>
  <c r="Y948" i="3"/>
  <c r="AB948" i="3"/>
  <c r="O948" i="3"/>
  <c r="Q948" i="3"/>
  <c r="L775" i="3"/>
  <c r="J775" i="3"/>
  <c r="AA870" i="3"/>
  <c r="Q870" i="3"/>
  <c r="P534" i="5"/>
  <c r="P527" i="5"/>
  <c r="I534" i="5"/>
  <c r="I527" i="5"/>
  <c r="M694" i="14"/>
  <c r="L694" i="14"/>
  <c r="P126" i="4"/>
  <c r="O126" i="4"/>
  <c r="K126" i="4"/>
  <c r="M644" i="14"/>
  <c r="L644" i="14"/>
  <c r="AA974" i="3"/>
  <c r="AA973" i="3"/>
  <c r="Q974" i="3"/>
  <c r="Q973" i="3"/>
  <c r="S974" i="3"/>
  <c r="S973" i="3"/>
  <c r="S606" i="3"/>
  <c r="O606" i="3"/>
  <c r="J606" i="3"/>
  <c r="Y606" i="3"/>
  <c r="L606" i="3"/>
  <c r="AA606" i="3"/>
  <c r="AB606" i="3"/>
  <c r="Q606" i="3"/>
  <c r="L457" i="5"/>
  <c r="Y885" i="3"/>
  <c r="O885" i="3"/>
  <c r="L753" i="14"/>
  <c r="M753" i="14"/>
  <c r="L830" i="14"/>
  <c r="L99" i="14"/>
  <c r="M99" i="14"/>
  <c r="M6" i="14"/>
  <c r="L6" i="14"/>
  <c r="F6" i="7"/>
  <c r="G8" i="9"/>
  <c r="G8" i="11"/>
  <c r="P535" i="5"/>
  <c r="I535" i="5"/>
  <c r="L535" i="5"/>
  <c r="P470" i="5"/>
  <c r="S766" i="3"/>
  <c r="P232" i="4"/>
  <c r="Q470" i="5"/>
  <c r="M1714" i="14"/>
  <c r="AA909" i="3"/>
  <c r="Q981" i="3"/>
  <c r="AB981" i="3"/>
  <c r="D40" i="6"/>
  <c r="D39" i="6"/>
  <c r="D47" i="6"/>
  <c r="L960" i="14"/>
  <c r="L810" i="14"/>
  <c r="Y766" i="3"/>
  <c r="L1714" i="14"/>
  <c r="G68" i="6"/>
  <c r="Y909" i="3"/>
  <c r="AB909" i="3"/>
  <c r="M810" i="14"/>
  <c r="L766" i="3"/>
  <c r="O981" i="3"/>
  <c r="L981" i="3"/>
  <c r="H8" i="11"/>
  <c r="H8" i="9"/>
  <c r="M960" i="14"/>
  <c r="AA766" i="3"/>
  <c r="K232" i="4"/>
  <c r="I470" i="5"/>
  <c r="Q909" i="3"/>
  <c r="O909" i="3"/>
  <c r="O766" i="3"/>
  <c r="AA981" i="3"/>
  <c r="J981" i="3"/>
  <c r="L398" i="5"/>
  <c r="L470" i="5"/>
  <c r="H15" i="11"/>
  <c r="J766" i="3"/>
  <c r="J909" i="3"/>
  <c r="S909" i="3"/>
  <c r="L909" i="3"/>
  <c r="S981" i="3"/>
  <c r="Y981" i="3"/>
  <c r="F68" i="6"/>
  <c r="H68" i="6"/>
  <c r="D48" i="6"/>
  <c r="D49" i="6"/>
  <c r="D50" i="6"/>
  <c r="D13" i="11"/>
  <c r="F13" i="11"/>
  <c r="D7" i="7"/>
  <c r="D5" i="7"/>
  <c r="H15" i="12"/>
  <c r="D9" i="9"/>
  <c r="F9" i="9"/>
  <c r="D51" i="6"/>
  <c r="D52" i="6"/>
  <c r="D53" i="6"/>
  <c r="D54" i="6"/>
  <c r="D69" i="6"/>
  <c r="D16" i="11"/>
  <c r="F16" i="11"/>
  <c r="D9" i="11"/>
  <c r="F9" i="11"/>
  <c r="D12" i="9"/>
  <c r="F12" i="9"/>
  <c r="D70" i="6"/>
  <c r="E68" i="6"/>
  <c r="H9" i="11"/>
  <c r="H7" i="11"/>
  <c r="G9" i="11"/>
  <c r="G7" i="11"/>
  <c r="F7" i="11"/>
  <c r="I15" i="12"/>
  <c r="J15" i="12"/>
  <c r="H13" i="12"/>
  <c r="D8" i="7"/>
  <c r="D9" i="7"/>
  <c r="D10" i="7"/>
  <c r="D11" i="7"/>
  <c r="H16" i="11"/>
  <c r="H14" i="11"/>
  <c r="G16" i="11"/>
  <c r="G14" i="11"/>
  <c r="F14" i="11"/>
  <c r="G12" i="9"/>
  <c r="G10" i="9"/>
  <c r="F10" i="9"/>
  <c r="G9" i="9"/>
  <c r="G7" i="9"/>
  <c r="H9" i="9"/>
  <c r="F7" i="9"/>
  <c r="F15" i="9"/>
  <c r="H48" i="12"/>
  <c r="G13" i="11"/>
  <c r="G11" i="11"/>
  <c r="G10" i="11"/>
  <c r="H13" i="11"/>
  <c r="H11" i="11"/>
  <c r="F11" i="11"/>
  <c r="F10" i="11"/>
  <c r="H10" i="11"/>
  <c r="H18" i="11"/>
  <c r="F20" i="11"/>
  <c r="E69" i="6"/>
  <c r="F69" i="6"/>
  <c r="H7" i="9"/>
  <c r="H12" i="9"/>
  <c r="G15" i="9"/>
  <c r="I48" i="12"/>
  <c r="H12" i="12"/>
  <c r="I13" i="12"/>
  <c r="J13" i="12"/>
  <c r="G20" i="11"/>
  <c r="H44" i="12"/>
  <c r="H59" i="12"/>
  <c r="H40" i="12"/>
  <c r="H43" i="12"/>
  <c r="H32" i="12"/>
  <c r="H42" i="12"/>
  <c r="H41" i="12"/>
  <c r="H34" i="12"/>
  <c r="H60" i="12"/>
  <c r="H39" i="12"/>
  <c r="G69" i="6"/>
  <c r="H10" i="9"/>
  <c r="H15" i="9"/>
  <c r="H53" i="12"/>
  <c r="J53" i="12"/>
  <c r="H31" i="12"/>
  <c r="H25" i="12"/>
  <c r="H55" i="12"/>
  <c r="J55" i="12"/>
  <c r="H54" i="12"/>
  <c r="J54" i="12"/>
  <c r="H30" i="12"/>
  <c r="H23" i="12"/>
  <c r="H29" i="12"/>
  <c r="H56" i="12"/>
  <c r="J56" i="12"/>
  <c r="I12" i="12"/>
  <c r="H17" i="12"/>
  <c r="H24" i="12"/>
  <c r="J12" i="12"/>
  <c r="H26" i="12"/>
  <c r="H36" i="12"/>
  <c r="H28" i="12"/>
  <c r="H22" i="12"/>
  <c r="H47" i="12"/>
  <c r="H69" i="6"/>
  <c r="I30" i="12"/>
  <c r="J30" i="12"/>
  <c r="I31" i="12"/>
  <c r="J31" i="12"/>
  <c r="I41" i="12"/>
  <c r="J41" i="12"/>
  <c r="I40" i="12"/>
  <c r="J40" i="12"/>
  <c r="I39" i="12"/>
  <c r="J39" i="12"/>
  <c r="I42" i="12"/>
  <c r="J42" i="12"/>
  <c r="I59" i="12"/>
  <c r="J59" i="12"/>
  <c r="I24" i="12"/>
  <c r="J24" i="12"/>
  <c r="I36" i="12"/>
  <c r="J36" i="12"/>
  <c r="I29" i="12"/>
  <c r="J29" i="12"/>
  <c r="H18" i="9"/>
  <c r="J48" i="12"/>
  <c r="I60" i="12"/>
  <c r="J60" i="12"/>
  <c r="I32" i="12"/>
  <c r="J32" i="12"/>
  <c r="I44" i="12"/>
  <c r="J44" i="12"/>
  <c r="H18" i="12"/>
  <c r="I22" i="12"/>
  <c r="J22" i="12"/>
  <c r="I28" i="12"/>
  <c r="J28" i="12"/>
  <c r="H70" i="6"/>
  <c r="I68" i="6"/>
  <c r="I17" i="12"/>
  <c r="J17" i="12"/>
  <c r="H61" i="12"/>
  <c r="H45" i="12"/>
  <c r="I47" i="12"/>
  <c r="I26" i="12"/>
  <c r="J26" i="12"/>
  <c r="H65" i="12"/>
  <c r="I23" i="12"/>
  <c r="J23" i="12"/>
  <c r="I25" i="12"/>
  <c r="J25" i="12"/>
  <c r="I34" i="12"/>
  <c r="J34" i="12"/>
  <c r="I43" i="12"/>
  <c r="J43" i="12"/>
  <c r="J18" i="12"/>
  <c r="I18" i="12"/>
  <c r="I61" i="12"/>
  <c r="J61" i="12"/>
  <c r="I69" i="6"/>
  <c r="J47" i="12"/>
  <c r="J45" i="12"/>
  <c r="D11" i="10"/>
  <c r="I45" i="12"/>
  <c r="I65" i="12"/>
  <c r="F25" i="10"/>
  <c r="F27" i="10"/>
  <c r="F28" i="10"/>
  <c r="E25" i="10"/>
  <c r="E27" i="10"/>
  <c r="E28" i="10"/>
  <c r="D25" i="10"/>
  <c r="D27" i="10"/>
  <c r="D28" i="10"/>
  <c r="J63" i="12"/>
  <c r="D29" i="10"/>
  <c r="H19" i="11"/>
  <c r="H17" i="11"/>
  <c r="H20" i="11"/>
  <c r="H21" i="11"/>
  <c r="J64" i="12"/>
  <c r="J62" i="12"/>
  <c r="J65" i="12"/>
  <c r="J66" i="12"/>
</calcChain>
</file>

<file path=xl/comments1.xml><?xml version="1.0" encoding="utf-8"?>
<comments xmlns="http://schemas.openxmlformats.org/spreadsheetml/2006/main">
  <authors>
    <author/>
  </authors>
  <commentList>
    <comment ref="B12" authorId="0" shapeId="0">
      <text>
        <r>
          <rPr>
            <b/>
            <sz val="8"/>
            <rFont val="Tahoma"/>
            <family val="2"/>
          </rPr>
          <t>Tối thiểu 3 năm liền trước năm lập dự toán</t>
        </r>
      </text>
    </comment>
    <comment ref="C18" authorId="0" shapeId="0">
      <text>
        <r>
          <rPr>
            <b/>
            <sz val="8"/>
            <rFont val="Tahoma"/>
            <family val="2"/>
          </rPr>
          <t>Tham khảo bộ chỉ số giá xây dựng của Sở Xây dựng (chỉ số mặc định chỉ có giá trị tham khảo)</t>
        </r>
      </text>
    </comment>
  </commentList>
</comments>
</file>

<file path=xl/comments2.xml><?xml version="1.0" encoding="utf-8"?>
<comments xmlns="http://schemas.openxmlformats.org/spreadsheetml/2006/main">
  <authors>
    <author/>
  </authors>
  <commentList>
    <comment ref="B8" authorId="0" shapeId="0">
      <text>
        <r>
          <rPr>
            <b/>
            <sz val="8"/>
            <rFont val="Tahoma"/>
            <family val="2"/>
          </rPr>
          <t>Sử dụng cho Thông tư 210/2016/TT-BTC và Thông tư 75/2014/TT-BTC</t>
        </r>
      </text>
    </comment>
  </commentList>
</comments>
</file>

<file path=xl/sharedStrings.xml><?xml version="1.0" encoding="utf-8"?>
<sst xmlns="http://schemas.openxmlformats.org/spreadsheetml/2006/main" count="7476" uniqueCount="1233">
  <si>
    <t>AD.34130</t>
  </si>
  <si>
    <t>Ô tô tưới nước - dung tích: 5 m3</t>
  </si>
  <si>
    <t>Cấp II</t>
  </si>
  <si>
    <t>G</t>
  </si>
  <si>
    <t>Ghmc</t>
  </si>
  <si>
    <t>Thả rọ thép đá hộc, loai rọ 2x1x0.3 trên cạn</t>
  </si>
  <si>
    <t>Máy san tự hành - công suất: 108 cv</t>
  </si>
  <si>
    <t>Cọc tràm</t>
  </si>
  <si>
    <t>Bến bốc dỡ vật liệu</t>
  </si>
  <si>
    <t>AG.13121</t>
  </si>
  <si>
    <t>Mua đất chọn lọc để đắp (HS 1,14*1,07)</t>
  </si>
  <si>
    <t>Sản xuất, lắp dựng tháo dỡ ván khuôn kim loại các loại cấu kiện khác</t>
  </si>
  <si>
    <t>BẢNG TỔNG HỢP MÁY THI CÔNG VÀ CHÊNH LỆCH GIÁ</t>
  </si>
  <si>
    <t>Ống cao su cao áp f34</t>
  </si>
  <si>
    <t>5.4</t>
  </si>
  <si>
    <t>Mã hiệu công tác</t>
  </si>
  <si>
    <t>- Đơn giá nhân công</t>
  </si>
  <si>
    <t>N0006</t>
  </si>
  <si>
    <t>Phụ gia dẻo hoá bê tông PC40</t>
  </si>
  <si>
    <t>Que hàn thép không gỉ</t>
  </si>
  <si>
    <t>2,5262*(2%*1+7%*5) = 0,9347</t>
  </si>
  <si>
    <t>Trượt giá lũy tích</t>
  </si>
  <si>
    <t>V49107</t>
  </si>
  <si>
    <t>M9472</t>
  </si>
  <si>
    <t>Chi phí thẩm định dự toán (Thông tư 75/2014/TT- BTC)</t>
  </si>
  <si>
    <t>2.1.1</t>
  </si>
  <si>
    <t>Đóng cừ dừa bằng máy đào (TT theo MHĐM KH.0102  định mức 1751)</t>
  </si>
  <si>
    <t>Rải vải địa kỹ thuật làm móng công trình</t>
  </si>
  <si>
    <t>Cần cẩu 50T</t>
  </si>
  <si>
    <t>V08281</t>
  </si>
  <si>
    <t>TT</t>
  </si>
  <si>
    <t>Que hàn thép CT3</t>
  </si>
  <si>
    <t>M0087</t>
  </si>
  <si>
    <t>Đất bóc phong hóa</t>
  </si>
  <si>
    <t>V00404</t>
  </si>
  <si>
    <t>M9654</t>
  </si>
  <si>
    <t>2</t>
  </si>
  <si>
    <t>THI CÔNG CỌC BTCT</t>
  </si>
  <si>
    <t>Chi phí lập hồ sơ mời thầu, đánh giá hồ sơ dự thầu tư vấn</t>
  </si>
  <si>
    <t>Mức biến động chỉ số giá XD</t>
  </si>
  <si>
    <t>MỐ CẦU M1,M2</t>
  </si>
  <si>
    <t>Cấp phối đá dăm 0,075-50mm lớp trên</t>
  </si>
  <si>
    <t>Khung định vị đóng cọc Dự ứng lực</t>
  </si>
  <si>
    <t>Chi phí tư vấn đầu tư xây dựng</t>
  </si>
  <si>
    <t>ĐƯỜNG VÀO CẦU</t>
  </si>
  <si>
    <t>Hệ số giá TB</t>
  </si>
  <si>
    <t>Máy đầm bê tông, dầm dùi - công suất: 1,5 kW</t>
  </si>
  <si>
    <t>Sản xuất, lắp dựng, tháo dỡ ván khuôn thép bê tông đúc sẵn cọc, cột</t>
  </si>
  <si>
    <t>LBC79</t>
  </si>
  <si>
    <t>Tổng cước ôtô</t>
  </si>
  <si>
    <t>V10429</t>
  </si>
  <si>
    <t>5.3</t>
  </si>
  <si>
    <t>Chi phí đào tạo và chuyển giao công nghệ</t>
  </si>
  <si>
    <t>Vật liệu phụ</t>
  </si>
  <si>
    <t>AB.25112</t>
  </si>
  <si>
    <t>(năm sau / năm trước)</t>
  </si>
  <si>
    <t>- Hệ số điều chỉnh nhân công</t>
  </si>
  <si>
    <t>Nạo vét đất pha cát từ 15-20%, đất bùn lỏng ở kênh mương bằng máy đào gầu dây 0,65m3, chiều cao đổ đất &gt;3</t>
  </si>
  <si>
    <t>AB.21121</t>
  </si>
  <si>
    <t>Đất đèn</t>
  </si>
  <si>
    <t>NỘI DUNG CHI PHÍ</t>
  </si>
  <si>
    <t>Sà lan - trọng tải: 400 t</t>
  </si>
  <si>
    <t>AF.61521</t>
  </si>
  <si>
    <t>Nhân công bậc 3,5/7 - Nhóm 2</t>
  </si>
  <si>
    <t>Sản xuất, lắp dựng cốt thép đường kính &lt;=10mm</t>
  </si>
  <si>
    <t>M9471</t>
  </si>
  <si>
    <t>Máy trộn bê tông - dung tích: 250 lít</t>
  </si>
  <si>
    <t>hsBM</t>
  </si>
  <si>
    <t>Bulông M10</t>
  </si>
  <si>
    <t>Mốc đồng</t>
  </si>
  <si>
    <t>V76886</t>
  </si>
  <si>
    <t>Tên công tác</t>
  </si>
  <si>
    <t>cây</t>
  </si>
  <si>
    <t>AC.22112</t>
  </si>
  <si>
    <t>Sản xuất cấu kiện thép đặt sẵn trong bê tông, khối lượng &lt;=10kg/cấu kiện</t>
  </si>
  <si>
    <t>bộ</t>
  </si>
  <si>
    <t>ca</t>
  </si>
  <si>
    <t>5.12</t>
  </si>
  <si>
    <t>V00451</t>
  </si>
  <si>
    <t>M112.2001</t>
  </si>
  <si>
    <t>Bê tông bản dẫn đá 1x2, vữa BT mác 300</t>
  </si>
  <si>
    <t>Theo bảng tính toán, đo bóc khối lượng công trình</t>
  </si>
  <si>
    <t>HCM_2016_QD_3384_XD</t>
  </si>
  <si>
    <t>Đóng cọc âm BTCT 35x35 chiều dài &lt;=24m trên mặt nước bằng tàu đóng cọc búa 1,8T</t>
  </si>
  <si>
    <t>Chi phí thực hiện dự án theo tiến độ chưa có trượt giá</t>
  </si>
  <si>
    <t>1</t>
  </si>
  <si>
    <t>Đơn giá</t>
  </si>
  <si>
    <t>M9571</t>
  </si>
  <si>
    <t>Bulông D32</t>
  </si>
  <si>
    <t>V00681</t>
  </si>
  <si>
    <t>Sản xuất bê tông cọc cừ đúc sẵn đá 1x2, vữa BT mác 300</t>
  </si>
  <si>
    <t>V05605</t>
  </si>
  <si>
    <t>THUẾ GTGT</t>
  </si>
  <si>
    <t>M9441</t>
  </si>
  <si>
    <t>Dầm I650 DƯL bản 18M</t>
  </si>
  <si>
    <t>V00772</t>
  </si>
  <si>
    <t>AF.82311</t>
  </si>
  <si>
    <t>0,56*(1,17%*1+3,5%*5) = 0,1046</t>
  </si>
  <si>
    <t>5.2</t>
  </si>
  <si>
    <t>Cừ dừa</t>
  </si>
  <si>
    <t>Đệm U(160x160x5x310)mm</t>
  </si>
  <si>
    <t>Sơn lót Joton Altin nội thất</t>
  </si>
  <si>
    <t>AF.65420</t>
  </si>
  <si>
    <t>Gtb trước thuế x tỷ lệ</t>
  </si>
  <si>
    <t>Lắp đặt dải phân cách bằng tôn lượn sóng</t>
  </si>
  <si>
    <t>Tầu kéo và phục vụ thi công thuỷ (làm neo, cấp dầu,...) - công suất: 150 cv</t>
  </si>
  <si>
    <t>Sản xuất, lắp dựng cốt thép xà dầm, giằng đường kính &lt;=10mm, chiều cao &lt;=4m</t>
  </si>
  <si>
    <t>Đóng cọc thép hình H300 trên mặt đất, chiều dài cọc &gt;10m, đất cấp II, phần không ngập đất (NC, MTC * 0,75)</t>
  </si>
  <si>
    <t>Chi phí thẩm định thiết kế (Thông tư 75/2014/TT- BTC)</t>
  </si>
  <si>
    <t>V02269</t>
  </si>
  <si>
    <t>Cấp công trình:</t>
  </si>
  <si>
    <t>Sản xuất, lắp dựng cốt thép BT đúc sẵn cọc, đường kính &lt;=18mm</t>
  </si>
  <si>
    <t>Cần trục bánh xích - sức nâng: 50 t</t>
  </si>
  <si>
    <t>m</t>
  </si>
  <si>
    <t>Chi phí cho Hội đồng tư vấn giải quyết kiến nghị của nhà thầu về kết quả lựa chọn nhà thầu (Nghị định 63/2014/NĐ-CP)</t>
  </si>
  <si>
    <t>Nhân công bậc 3,5/7 - Nhóm 1</t>
  </si>
  <si>
    <t>M112.1101</t>
  </si>
  <si>
    <t>V03168</t>
  </si>
  <si>
    <t>Khấu hao hệ sàn đạo, sàn thao tác (Thi công trong vòng 1 tháng và 4 lần đóng nhổ)</t>
  </si>
  <si>
    <t>Thu nhập chịu thuế tính trước</t>
  </si>
  <si>
    <t>Cước sông</t>
  </si>
  <si>
    <t>6.2</t>
  </si>
  <si>
    <t>Lắp đặt kết cấu thép khe van, khe phai</t>
  </si>
  <si>
    <t>Gk</t>
  </si>
  <si>
    <t>hsTKBVTC</t>
  </si>
  <si>
    <t>Thành tiền giá thông báo</t>
  </si>
  <si>
    <t>N0013</t>
  </si>
  <si>
    <t>Tổng cộng vật liệu</t>
  </si>
  <si>
    <t>M2378</t>
  </si>
  <si>
    <t>V49002de</t>
  </si>
  <si>
    <t>Chi phí thiết kế kỹ thuật</t>
  </si>
  <si>
    <t>Chi phí công tác giám sát, đánh giá đầu tư (Nghị định 84/2015/NĐ-CP)</t>
  </si>
  <si>
    <t>V00671</t>
  </si>
  <si>
    <t>5.11</t>
  </si>
  <si>
    <t>Mã hiệu VL, NC, M</t>
  </si>
  <si>
    <t>Bê tông lát mái rộng &gt;250cm đá 1x2, vữa BT mác 200</t>
  </si>
  <si>
    <t>V00402</t>
  </si>
  <si>
    <t>AB.66114</t>
  </si>
  <si>
    <t>Cước ôtô</t>
  </si>
  <si>
    <t>Keo Epoxy</t>
  </si>
  <si>
    <t>(Căn cứ theo bảng 2.3 TT 06/2016/TT-BXD ngày 10 tháng 3 năm 2016)</t>
  </si>
  <si>
    <t>hsBCKTKT</t>
  </si>
  <si>
    <t>Gas</t>
  </si>
  <si>
    <t>Bộ</t>
  </si>
  <si>
    <t>Tổng chênh</t>
  </si>
  <si>
    <t>Neo dầm mang cống bằng thép D32 SUS304</t>
  </si>
  <si>
    <t>AF.61711</t>
  </si>
  <si>
    <t>GSTC79</t>
  </si>
  <si>
    <t>Đắp đê quây bằng bao tải cát (VD định mức đắp bao tải đất theo QĐ số 4416/QĐ-BGTVT)</t>
  </si>
  <si>
    <t>M9440</t>
  </si>
  <si>
    <t>V17879</t>
  </si>
  <si>
    <t>V08331</t>
  </si>
  <si>
    <t>Thép inox các loại</t>
  </si>
  <si>
    <t>5.1</t>
  </si>
  <si>
    <t>Lắp sàn thang sắt</t>
  </si>
  <si>
    <t>m3</t>
  </si>
  <si>
    <t>KHOẢN MỤC CHI PHÍ</t>
  </si>
  <si>
    <t>AC.23110</t>
  </si>
  <si>
    <t>TƯỜNG CHẮN SÓNG</t>
  </si>
  <si>
    <t>BẢNG TỔNG HỢP VẬT LIỆU</t>
  </si>
  <si>
    <t>V48171</t>
  </si>
  <si>
    <t>SW600A</t>
  </si>
  <si>
    <t>BẢNG TÍNH CHI PHÍ DỰ PHÒNG TRƯỢT GIÁ</t>
  </si>
  <si>
    <t>Gxd trước thuế x tỷ lệ</t>
  </si>
  <si>
    <t>Sản xuất kết cấu thép khe phai - thép SUS304</t>
  </si>
  <si>
    <t>V00641</t>
  </si>
  <si>
    <t>NCG</t>
  </si>
  <si>
    <t>Chi phí mua sắm thiết bị</t>
  </si>
  <si>
    <t>M0055</t>
  </si>
  <si>
    <t>Gtv</t>
  </si>
  <si>
    <t>M9622</t>
  </si>
  <si>
    <t>Định mức</t>
  </si>
  <si>
    <t>Hệ số cấu kiện</t>
  </si>
  <si>
    <t>BNC</t>
  </si>
  <si>
    <t>M3247</t>
  </si>
  <si>
    <t>M9469</t>
  </si>
  <si>
    <t>BM</t>
  </si>
  <si>
    <t>AC.29341</t>
  </si>
  <si>
    <t>Mã hiệu</t>
  </si>
  <si>
    <t>6.1</t>
  </si>
  <si>
    <t>Sản xuất, lắp dựng cốt thép bản dẫn đường kính &lt;=10mm</t>
  </si>
  <si>
    <t>N0012</t>
  </si>
  <si>
    <t>Búa đóng cọc nổi (cả sà lan và máy phụ trợ) - trọng lượng búa: ≤ 1,8 t</t>
  </si>
  <si>
    <t>Máy nén khí, động cơ diezel - năng suất: 360 m3/h</t>
  </si>
  <si>
    <t>Cao</t>
  </si>
  <si>
    <t>Lắp đặt ống thép tráng kẽm, đoạn ống dài 8m, đk=110mm</t>
  </si>
  <si>
    <t>Máy rải cấp phối đá dăm - năng suất 60 m3/h</t>
  </si>
  <si>
    <t>5.10</t>
  </si>
  <si>
    <t>Palang xích 5T</t>
  </si>
  <si>
    <t>GSKS79</t>
  </si>
  <si>
    <t>(Ggpmb+Gxd+Gtb+Gqlda+Gtv+ Gk) sau thuế x tỷ lệ</t>
  </si>
  <si>
    <t>Ống sắt tráng kẽm fi 89</t>
  </si>
  <si>
    <t>N0021</t>
  </si>
  <si>
    <t>Sản xuất thang sắt</t>
  </si>
  <si>
    <t>Bê tông móng rộng &lt;=250cm đá 1x2, vữa BT mác 150</t>
  </si>
  <si>
    <t>Chứng chỉ KS định giá XD hạng ..., số ...</t>
  </si>
  <si>
    <t>Số lượng</t>
  </si>
  <si>
    <t>Tiến độ thực hiện dự án</t>
  </si>
  <si>
    <t>40,1848*(2%*3+7%*1) = 5,224</t>
  </si>
  <si>
    <t>Chi phí thiết kế bản vẽ thi công</t>
  </si>
  <si>
    <t>Mặt bằng công trường</t>
  </si>
  <si>
    <t>V00770</t>
  </si>
  <si>
    <t>Nhân công</t>
  </si>
  <si>
    <t>AC.22522</t>
  </si>
  <si>
    <t>pn</t>
  </si>
  <si>
    <t>m2</t>
  </si>
  <si>
    <t>Hệ số riêng vật liệu</t>
  </si>
  <si>
    <t>Chi phí thẩm tra dự toán</t>
  </si>
  <si>
    <t>AC.29331</t>
  </si>
  <si>
    <t>V00640</t>
  </si>
  <si>
    <t>V00671su</t>
  </si>
  <si>
    <t>V00127</t>
  </si>
  <si>
    <t>M9598</t>
  </si>
  <si>
    <t>AB.13112</t>
  </si>
  <si>
    <t>Ống xói đường kính 50mm</t>
  </si>
  <si>
    <t>Chi phí dự phòng</t>
  </si>
  <si>
    <t>H(300x300x13x21)mm</t>
  </si>
  <si>
    <t>Bê tông lót móng rộng &gt;250cm đá 4x6, vữa BT mác 100</t>
  </si>
  <si>
    <t>M9468</t>
  </si>
  <si>
    <t>Sản xuất, lắp dựng, tháo dỡ ván khuôn cho bê tông đổ tại chổ, ván khuôn thép, ván khuôn móng</t>
  </si>
  <si>
    <t>Đóng cọc thép hình H300 trên mặt đất, chiều dài cọc &gt;10m, đất cấp II, phần ngập đất</t>
  </si>
  <si>
    <t>N0011</t>
  </si>
  <si>
    <t>Đá dăm 0,5x1</t>
  </si>
  <si>
    <t>Máy hàn 23kw</t>
  </si>
  <si>
    <t>Máy khoan đứng - công suất: 4,5 kW</t>
  </si>
  <si>
    <t xml:space="preserve">  - Nhân công bậc 4,5/7 - Nhóm 2</t>
  </si>
  <si>
    <t>Bê tông xà dầm, giằng nhà đá 1x2, vữa BT mác 250</t>
  </si>
  <si>
    <t>100m</t>
  </si>
  <si>
    <t>Chi phí thẩm duyệt về phòng cháy, chữa cháy (Thông tư 150/2014/TT- BTC)</t>
  </si>
  <si>
    <t>KLPS</t>
  </si>
  <si>
    <t>Lắp đặt cửa van bằng thép không gỉ, chiều rộng cống (B) &lt;= 8m</t>
  </si>
  <si>
    <t>Sản xuất, lắp dựng cốt thép móng, mố, trụ, mũ mố, mũ trụ cầu trên cạn đường kính &gt;18mm</t>
  </si>
  <si>
    <t>AI.21152</t>
  </si>
  <si>
    <t>AB.66112</t>
  </si>
  <si>
    <t>AF.14115</t>
  </si>
  <si>
    <t>V12675</t>
  </si>
  <si>
    <t>Chi phí trực tiếp</t>
  </si>
  <si>
    <t>N0020</t>
  </si>
  <si>
    <t>(Gxd+Gtb) trước thuế x tỷ lệ</t>
  </si>
  <si>
    <t>Giá hiện tại</t>
  </si>
  <si>
    <t>hsGbhtn</t>
  </si>
  <si>
    <t>Loại công trình:</t>
  </si>
  <si>
    <t>Chi phí xây dựng</t>
  </si>
  <si>
    <t>Thiết kế 2 bước</t>
  </si>
  <si>
    <t>hsBNC</t>
  </si>
  <si>
    <t>Màng phản quang</t>
  </si>
  <si>
    <t>Chi phí lập hồ sơ mời thầu, hồ sơ đánh giá hồ sơ dự thầu</t>
  </si>
  <si>
    <t>Mã chi phí</t>
  </si>
  <si>
    <t>V49002d</t>
  </si>
  <si>
    <t>Hệ số lán trại, nhà tạm</t>
  </si>
  <si>
    <t>BB.14306</t>
  </si>
  <si>
    <t>7</t>
  </si>
  <si>
    <t>Gỗ ván</t>
  </si>
  <si>
    <t>Mã hiệu đơn giá</t>
  </si>
  <si>
    <t>Chi phí thẩm tra dự toán công trình</t>
  </si>
  <si>
    <t>V35307</t>
  </si>
  <si>
    <t xml:space="preserve">  - Nhân công bậc 3,0/7 - Nhóm 1</t>
  </si>
  <si>
    <t>Sản xuất, lắp dựng cốt thép tường đường kính &lt;=18mm, chiều cao &lt;=4m</t>
  </si>
  <si>
    <t xml:space="preserve">GỜ LAN CAN </t>
  </si>
  <si>
    <t>Chi phí thẩm tra, phê duyệt quyết toán vốn đầu tư</t>
  </si>
  <si>
    <t>V49059</t>
  </si>
  <si>
    <t>Máy khác</t>
  </si>
  <si>
    <t>Vải địa kỹ thuật</t>
  </si>
  <si>
    <t>Chi phí bảo hiểm trách nhiệm nghề nghiệp</t>
  </si>
  <si>
    <t>Tháo dỡ kết cấu thép hệ khung dàn, sàn đạo trên cạn (60% Đg)</t>
  </si>
  <si>
    <t>Xi măng PC40</t>
  </si>
  <si>
    <t>Cách tính</t>
  </si>
  <si>
    <t>5.8</t>
  </si>
  <si>
    <t>hsCNC</t>
  </si>
  <si>
    <t>Máy đầm rung tự hành - trọng lượng: 25 t</t>
  </si>
  <si>
    <t>Hố móng</t>
  </si>
  <si>
    <t>Cần trục bánh xích - sức nâng: 25 t</t>
  </si>
  <si>
    <t>LBC</t>
  </si>
  <si>
    <t>Chi phí thẩm tra báo cáo nghiên cứu tiền khả thi</t>
  </si>
  <si>
    <t>Máy khoan đứng - công suất: 2,5 kW</t>
  </si>
  <si>
    <t xml:space="preserve">  - Nhân công bậc 4,5/7 - Nhóm 1</t>
  </si>
  <si>
    <t>M9558</t>
  </si>
  <si>
    <t>Nguồn mua</t>
  </si>
  <si>
    <t>Tiêu phản quang</t>
  </si>
  <si>
    <t>V00889</t>
  </si>
  <si>
    <t>AF.15225</t>
  </si>
  <si>
    <t>V00226</t>
  </si>
  <si>
    <t>Cấp phối đá 0x4</t>
  </si>
  <si>
    <t>V03174</t>
  </si>
  <si>
    <t>M9649</t>
  </si>
  <si>
    <t>TDDA209</t>
  </si>
  <si>
    <t>AI.52211</t>
  </si>
  <si>
    <t>CƠ QUAN LẬP</t>
  </si>
  <si>
    <t>V00830</t>
  </si>
  <si>
    <t>V00759</t>
  </si>
  <si>
    <t>AL.16210</t>
  </si>
  <si>
    <t>M9567</t>
  </si>
  <si>
    <t>Búa diezel chạy trên ray - trọng lượng đầu búa: 1,2 t</t>
  </si>
  <si>
    <t>- Đơn giá máy thi công</t>
  </si>
  <si>
    <t>Chi phí xây dựng sau thuế</t>
  </si>
  <si>
    <t>Lệ phí thẩm định dự án đầu tư xây dựng (Thông tư 209/2016/TT-BTC)</t>
  </si>
  <si>
    <t>.... , ngày .… tháng …. năm …...</t>
  </si>
  <si>
    <t>Đầm bánh thép tự hành - trọng lượng: 10 t</t>
  </si>
  <si>
    <t>V49002c</t>
  </si>
  <si>
    <t>6</t>
  </si>
  <si>
    <t>Xi măng PC30</t>
  </si>
  <si>
    <t>AK.41115</t>
  </si>
  <si>
    <t>- Căn cứ Quyết định số 432/QĐ-SXD-QLKTXD ngày 09/4/2015 của Sở xây dựng thành phố Hồ Chí Minh về việc Công bố Chỉ số giá xây dựng từ tháng 1 đến tháng 12; Quý I, II, III, IV/2014 và năm 2014.</t>
  </si>
  <si>
    <t>Máy bơm áp lực xói nước đầu cọc (300 cv)</t>
  </si>
  <si>
    <t>Bu long các loại</t>
  </si>
  <si>
    <t>Làm móng lớp trên cấp phối đá dăm, đường làm mới</t>
  </si>
  <si>
    <t>Nhổ cọc thép hình làm tường chắn đất, sàn thao tác trên cạn</t>
  </si>
  <si>
    <t>Sản xuất, lắp dựng tháo dỡ ván khuôn thép, cây chống gỗ mặt cầu, chiều cao &lt;=16m</t>
  </si>
  <si>
    <t>V00638</t>
  </si>
  <si>
    <t>AB.11412</t>
  </si>
  <si>
    <t>Bê tông móng rộng &lt;=250cm đá 1x2, vữa BT mác 200</t>
  </si>
  <si>
    <t>(Theo giá thông báo quý .. năm 20..)</t>
  </si>
  <si>
    <t>NCTKT79</t>
  </si>
  <si>
    <t>Bao bải 0,025m3/bao</t>
  </si>
  <si>
    <t>5.7</t>
  </si>
  <si>
    <t>AC.17111</t>
  </si>
  <si>
    <t>Cột ẩn</t>
  </si>
  <si>
    <t>- Căn cứ Quyết định số 82/QĐ-SXD-KTXD ngày 20/01/2016 của Sở Xây dựng Thành phố Hồ Chí Minh về việc Công bố Chỉ số giá xây dựng từ tháng 10 đến tháng 12; Quý IV và năm 2015.</t>
  </si>
  <si>
    <t>Chi phí giám sát công tác khảo sát xây dựng</t>
  </si>
  <si>
    <t>Máy cắt uốn cốt thép - công suất: 5 kW</t>
  </si>
  <si>
    <t>Máy mài - công suất: 2,7 kW</t>
  </si>
  <si>
    <t>1776/1091/1172/588</t>
  </si>
  <si>
    <t>BB.26119</t>
  </si>
  <si>
    <t>N0009</t>
  </si>
  <si>
    <t>Dự toán gói thầu trước thuế x tỷ lệ</t>
  </si>
  <si>
    <t>V00494</t>
  </si>
  <si>
    <t>rọ</t>
  </si>
  <si>
    <t>Sơn trắng đỏ</t>
  </si>
  <si>
    <t>TTTKKT</t>
  </si>
  <si>
    <t>Đinh</t>
  </si>
  <si>
    <t>Thép tròn đường kính &lt;=10 mm</t>
  </si>
  <si>
    <t>Pa lăng xích - sức nâng: 5 t</t>
  </si>
  <si>
    <t>Đóng cừ Larsen IV trên mặt đất chiều dài cọc &lt;=12m đất cấp II, không ngập đất (NC, MTC * 0,75)</t>
  </si>
  <si>
    <t>AC.12412</t>
  </si>
  <si>
    <t>Chi phí khác</t>
  </si>
  <si>
    <t>5.16</t>
  </si>
  <si>
    <t>M9657</t>
  </si>
  <si>
    <t>5</t>
  </si>
  <si>
    <t>Sản xuất kết cấu thép khe cửa- thép SUS304</t>
  </si>
  <si>
    <t>Chai</t>
  </si>
  <si>
    <t>CPKT</t>
  </si>
  <si>
    <t>Đào móng chiều rộng &lt;=6m bằng máy đào 0,8m3, đất cấp II</t>
  </si>
  <si>
    <t>Cát đen</t>
  </si>
  <si>
    <t>Dây thép</t>
  </si>
  <si>
    <t>AG.11113</t>
  </si>
  <si>
    <t>Đắp cát công trình bằng máy đầm 9T, độ chặt K=0,90</t>
  </si>
  <si>
    <t>AF.11333</t>
  </si>
  <si>
    <t>Dây thép bọc PVC dây đan 2,7x3,7mm, dây viền 3,4x4,4mm</t>
  </si>
  <si>
    <t>Hệ số vật liệu phụ</t>
  </si>
  <si>
    <t>I</t>
  </si>
  <si>
    <t>PHÀN THÂN CỐNG</t>
  </si>
  <si>
    <t>V17198</t>
  </si>
  <si>
    <t>Rộng</t>
  </si>
  <si>
    <t>Gỗ ván cầu công tác</t>
  </si>
  <si>
    <t>Sản xuất cầu công tác</t>
  </si>
  <si>
    <t>5.6</t>
  </si>
  <si>
    <t>BẢNG TỔNG HỢP NHÂN CÔNG VÀ CHÊNH LỆCH GIÁ</t>
  </si>
  <si>
    <t>Ống thép D80mm, dày 2.9mm, mạ kẽm</t>
  </si>
  <si>
    <t>Ống thép không rỉ đường kính 125mm</t>
  </si>
  <si>
    <t>hsTTDT</t>
  </si>
  <si>
    <t>M9536</t>
  </si>
  <si>
    <t>AF.11121</t>
  </si>
  <si>
    <t>Cộng vật liệu:</t>
  </si>
  <si>
    <t>QLDA</t>
  </si>
  <si>
    <t>Máy đầm đất cầm tay - trọng lượng : 60 kg</t>
  </si>
  <si>
    <t>Sản xuất, lắp dựng cốt thép móng đường kính &lt;=18mm</t>
  </si>
  <si>
    <t>Công trình dân dụng</t>
  </si>
  <si>
    <t>lit</t>
  </si>
  <si>
    <t>(7803,28 + 2528,09 )/1000 = 10,3314</t>
  </si>
  <si>
    <t>AF.61130</t>
  </si>
  <si>
    <t>AF.11212</t>
  </si>
  <si>
    <t>V08518</t>
  </si>
  <si>
    <t>- Thời gian thực hiện công trình theo kế hoạch vốn là 3 năm (thời điểm năm 2017 ÷ 2019)</t>
  </si>
  <si>
    <t>V49109</t>
  </si>
  <si>
    <t>Cần trục bánh xích - sức nâng: 80</t>
  </si>
  <si>
    <t>Công tác sản xuất lắp dựng cốt thép bê tông tại chỗ, cốt thép dầm cầu trên cạn, D ≤10mm</t>
  </si>
  <si>
    <t>BẢNG TỔNG HỢP DỰ TOÁN HẠNG MỤC</t>
  </si>
  <si>
    <t>6.6</t>
  </si>
  <si>
    <t>Máy thi công</t>
  </si>
  <si>
    <t>M0021</t>
  </si>
  <si>
    <t>Măng sông thép tráng kẽm đường kính 80mm</t>
  </si>
  <si>
    <t>THƯỚC ĐO NƯỚC VÀ MỐC QUAN TRẮC LÚN</t>
  </si>
  <si>
    <t>TỶ LỆ</t>
  </si>
  <si>
    <t>5.15</t>
  </si>
  <si>
    <t xml:space="preserve">CỌC BTCT </t>
  </si>
  <si>
    <t>M9656</t>
  </si>
  <si>
    <t>Đá dăm 1x2</t>
  </si>
  <si>
    <t>1.2</t>
  </si>
  <si>
    <t>V12704</t>
  </si>
  <si>
    <t>AI.61171</t>
  </si>
  <si>
    <t>Tôn lượn sóng dày 3mm</t>
  </si>
  <si>
    <t>HẠNG MỤC CHUNG</t>
  </si>
  <si>
    <t>Vật liệu khác</t>
  </si>
  <si>
    <t>Đá 1x2</t>
  </si>
  <si>
    <t>CỌC BTCT (30x30x1800)CM MANG CỐNG</t>
  </si>
  <si>
    <t>Vữa xi măng M100 độ dốc 10%</t>
  </si>
  <si>
    <t>Thành tiền trước thuế</t>
  </si>
  <si>
    <t>M9444</t>
  </si>
  <si>
    <t>hsVLP</t>
  </si>
  <si>
    <t>AF.61120</t>
  </si>
  <si>
    <t>5.5</t>
  </si>
  <si>
    <t>Chênh lệch</t>
  </si>
  <si>
    <t>Bê tông tường dày &gt;45cm, chiều cao &lt;=16m đá 1x2, vữa BT mác 250</t>
  </si>
  <si>
    <t>% hao hụt bảo quản</t>
  </si>
  <si>
    <t>Chi phí khảo sát địa chất</t>
  </si>
  <si>
    <t>Ô xy</t>
  </si>
  <si>
    <t>Thép tấm 20mm</t>
  </si>
  <si>
    <t>2.2</t>
  </si>
  <si>
    <t>AF.65120</t>
  </si>
  <si>
    <t>3025/QĐ-UBND ngày 13/3/2016</t>
  </si>
  <si>
    <t>Sản xuất bê tông lục giác, đá 1x2, vữa BT mác 200</t>
  </si>
  <si>
    <t>Loại thiết kế:</t>
  </si>
  <si>
    <t>AG.13131</t>
  </si>
  <si>
    <t>Khấu hao hệ sàn đạo, sàn thao tác (Thi công trong vòng 1 tháng và 5 lần đóng nhổ)</t>
  </si>
  <si>
    <t>lít</t>
  </si>
  <si>
    <t>V49108</t>
  </si>
  <si>
    <t>Chỉ số trượt giá từng năm tiếp theo</t>
  </si>
  <si>
    <t>Theo bảng tổng hợp chi phí hạng mục chung</t>
  </si>
  <si>
    <t>Chi phí thẩm tra báo cáo nghiên cứu khả thi</t>
  </si>
  <si>
    <t>Chi phí lập hồ sơ mời quan tâm, hồ sơ mời sơ tuyển (Nghị định 63/2014/NĐ-CP)</t>
  </si>
  <si>
    <t>2.1.2</t>
  </si>
  <si>
    <t>CÔNG TRÌNH: ĐÊ BAO VEN SÔNG SÀI GÒN ĐOẠN TỪ RẠCH NÀNG ÂM ĐẾN RẠCH LÁNG THE</t>
  </si>
  <si>
    <t>hsC</t>
  </si>
  <si>
    <t>- Căn cứ Quyết định số 1047/QĐ-SXD-QLKTXD ngày 23/9/2014 của Sở xây dựng thành phố Hồ Chí Minh về việc Công bố Chỉ số giá xây dựng từ tháng 4 đến tháng 12; Quý II, III, IV/2013 và năm 2013</t>
  </si>
  <si>
    <t>Sản xuất, lắp dựng cốt thép tường đường kính &gt;18mm, chiều cao &lt;=4m</t>
  </si>
  <si>
    <t>6.5</t>
  </si>
  <si>
    <t>Chi phí một số công tác không xác định được khối lượng từ thiết kế</t>
  </si>
  <si>
    <t>Khấu hao cừ Larsen (Thi công trong vòng 3 tháng và 1 lần đóng nhổ)</t>
  </si>
  <si>
    <t>5.14</t>
  </si>
  <si>
    <t>V36581</t>
  </si>
  <si>
    <t>AF.61311</t>
  </si>
  <si>
    <t>LTB</t>
  </si>
  <si>
    <t>V08617</t>
  </si>
  <si>
    <t>1.1</t>
  </si>
  <si>
    <t>Nước</t>
  </si>
  <si>
    <t>NCHT</t>
  </si>
  <si>
    <t>Đầm bánh hơi tự hành - trọng lượng: 16 t</t>
  </si>
  <si>
    <t>Mức hao phí</t>
  </si>
  <si>
    <t>2.2.2</t>
  </si>
  <si>
    <t>Vữa xi măng dày 7cm, vữa XM mác 400</t>
  </si>
  <si>
    <t>...</t>
  </si>
  <si>
    <t>5.23</t>
  </si>
  <si>
    <t>RPBM</t>
  </si>
  <si>
    <t>Sà lan - trọng tải: 250 t</t>
  </si>
  <si>
    <t>AL.25121</t>
  </si>
  <si>
    <t>M4250</t>
  </si>
  <si>
    <t>mdong</t>
  </si>
  <si>
    <t>V12689</t>
  </si>
  <si>
    <t>Cách thẩm định:</t>
  </si>
  <si>
    <t>TTTK210</t>
  </si>
  <si>
    <t>công</t>
  </si>
  <si>
    <t>Sơn dầm, trần, cột, tường 1 nước lót + 2 nước phủ bằng sơn ICI Dulux</t>
  </si>
  <si>
    <t>AD.32441</t>
  </si>
  <si>
    <t>2.1</t>
  </si>
  <si>
    <t>Chi phí thẩm tra, phê duyệt quyết toán (Thông tư 09/2016/TT-BTC)</t>
  </si>
  <si>
    <t>AI.11131</t>
  </si>
  <si>
    <t>Nhân công bậc 4,3/7</t>
  </si>
  <si>
    <t>V00049</t>
  </si>
  <si>
    <t>TL_2013_QD_1751</t>
  </si>
  <si>
    <t>Sản xuất, lắp dựng tháo dỡ ván khuôn lát mái</t>
  </si>
  <si>
    <t>Chi phí lập báo cáo nghiên cứu khả thi</t>
  </si>
  <si>
    <t>HẠNG MỤC: CỐNG NÀNG ÂM (B=10M)</t>
  </si>
  <si>
    <t>V04270</t>
  </si>
  <si>
    <t>6.4</t>
  </si>
  <si>
    <t>N0015</t>
  </si>
  <si>
    <t>V48495</t>
  </si>
  <si>
    <t>5.13</t>
  </si>
  <si>
    <t>Xi măng PCB40</t>
  </si>
  <si>
    <t>TTQT09</t>
  </si>
  <si>
    <t>Búa diezel chạy trên ray - trọng lượng đầu búa: 1,8 t</t>
  </si>
  <si>
    <t>THI CÔNG CỐNG</t>
  </si>
  <si>
    <t>Bê tông bịt đáy đá 4x6, vữa BT mác 200</t>
  </si>
  <si>
    <t>Bu lông M20x80</t>
  </si>
  <si>
    <t>2.2.1</t>
  </si>
  <si>
    <t>Thép tròn đường kính &lt;=18mm</t>
  </si>
  <si>
    <t>5.22</t>
  </si>
  <si>
    <t>Khấu hao hệ sàn đạo, sàn thao tác (Thi công trong vòng 3 tháng và 1 lần đóng nhổ)</t>
  </si>
  <si>
    <t>Chi phí nhân công</t>
  </si>
  <si>
    <t>Đất chọn lọc</t>
  </si>
  <si>
    <t>Vật liệu</t>
  </si>
  <si>
    <t>M9663</t>
  </si>
  <si>
    <t>Nối cọc BTCT 30x30cm</t>
  </si>
  <si>
    <t xml:space="preserve">  - Hệ số điều chỉnh máy thi công</t>
  </si>
  <si>
    <t>Gxdct</t>
  </si>
  <si>
    <t>BIỂN BÁO GIAO THÔNG THỦY &amp; TÍN HIỆU THÔNG THUYỀN</t>
  </si>
  <si>
    <t>Thả rọ thép đá hộc, loai rọ 2x1x0.5 trên cạn</t>
  </si>
  <si>
    <t>AI.13111</t>
  </si>
  <si>
    <t>Làm tầng lọc đá dăm 1x2 (Tính theo QĐ65/2003/029)</t>
  </si>
  <si>
    <t>V00552</t>
  </si>
  <si>
    <t>TỔNG HẠNG MỤC</t>
  </si>
  <si>
    <t>1 tấn</t>
  </si>
  <si>
    <t>Nhân công bậc 4,5/7 - Nhóm 2</t>
  </si>
  <si>
    <t>V00039</t>
  </si>
  <si>
    <t>Đèn tín hiệu thông thuyền</t>
  </si>
  <si>
    <t xml:space="preserve">  - Nhân công bậc 4,3/7 - Nhóm 1</t>
  </si>
  <si>
    <t>Lập báo cáo kết quả khảo sát xây dựng</t>
  </si>
  <si>
    <t>6.12</t>
  </si>
  <si>
    <t>V74434</t>
  </si>
  <si>
    <t>AI.63211</t>
  </si>
  <si>
    <t>ĐẤT ĐÀO + ĐẤT ĐẮP</t>
  </si>
  <si>
    <t>BẢN MẶT CẦU</t>
  </si>
  <si>
    <t>V00269</t>
  </si>
  <si>
    <t>AF.65430</t>
  </si>
  <si>
    <t>Sản xuất, lắp dựng cốt thép tường đường kính &lt;=10mm, chiều cao &lt;=4m</t>
  </si>
  <si>
    <t>TDDA</t>
  </si>
  <si>
    <t>LÁT MÁI THƯỢNG HẠ LƯU VÀ 2 BÊN MANG CỐNG</t>
  </si>
  <si>
    <t>AF.87211</t>
  </si>
  <si>
    <t>Sản xuất kết cấu thép khe cửa - thép CT3</t>
  </si>
  <si>
    <t>THUẾ GIÁ TRỊ GIA TĂNG</t>
  </si>
  <si>
    <t>6.3</t>
  </si>
  <si>
    <t>Nhân công bậc 3,0/7</t>
  </si>
  <si>
    <t>HS điều chỉnh nhân công</t>
  </si>
  <si>
    <t>CPKT09</t>
  </si>
  <si>
    <t>Cộng Máy:</t>
  </si>
  <si>
    <t>M5551</t>
  </si>
  <si>
    <t>hsHSMT</t>
  </si>
  <si>
    <t>Chênh lệch giá thông báo</t>
  </si>
  <si>
    <t>(năm trước * năm đầu tiên)</t>
  </si>
  <si>
    <t>Ống thép tráng kẽm đường kính 80mm</t>
  </si>
  <si>
    <t>Mặt đèn tín hiệu giao thông Ø100</t>
  </si>
  <si>
    <t>Sản xuất kết cấu thép khe phai - thép CT3</t>
  </si>
  <si>
    <t>V48494</t>
  </si>
  <si>
    <t>Chỉ số giá XD bình quân</t>
  </si>
  <si>
    <t>Bê tông lan can, gờ chắn đá 1x2, vữa BT mác 300</t>
  </si>
  <si>
    <t>Làm tròn</t>
  </si>
  <si>
    <t>Nhân công bậc 3,0/7 - Nhóm 1</t>
  </si>
  <si>
    <t>Búa rung - công suất: 170 kW</t>
  </si>
  <si>
    <t>Cần trục ô tô - sức nâng: 10 t</t>
  </si>
  <si>
    <t>Bê tông dầm chặn chân, đá 1x2, vữa BT mác 200</t>
  </si>
  <si>
    <t>Chi phí thẩm định dự toán xây dựng (Thông tư 210/2016/TT- BTC)</t>
  </si>
  <si>
    <t>I400</t>
  </si>
  <si>
    <t>V11034</t>
  </si>
  <si>
    <t>Tỷ lệ %</t>
  </si>
  <si>
    <t>hsGxdnt</t>
  </si>
  <si>
    <t>V49033</t>
  </si>
  <si>
    <t>Phạm Thị Thu Hiền</t>
  </si>
  <si>
    <t>Tổng hợp chi phí</t>
  </si>
  <si>
    <t>Gtv trước thuế x tỷ lệ</t>
  </si>
  <si>
    <t>(619,88+484,82)/1000 = 1,1047</t>
  </si>
  <si>
    <t>IV</t>
  </si>
  <si>
    <t>(dòng 7 - dòng 5)</t>
  </si>
  <si>
    <t>Thép ống mã kẽm Ø90</t>
  </si>
  <si>
    <t>dòng 5 * (dòng 6 +/- mức biến động chỉ số giá XD)</t>
  </si>
  <si>
    <t>5.21</t>
  </si>
  <si>
    <t>Máy trộn vữa - dung tích: 80 lít</t>
  </si>
  <si>
    <t>BB.14309</t>
  </si>
  <si>
    <t>Bộ Xây dựng hoặc Sở Xây dựng ban hành</t>
  </si>
  <si>
    <t>Chỉ số trượt giá liên hoàn</t>
  </si>
  <si>
    <t>LTB79</t>
  </si>
  <si>
    <t>Nhân công bậc 4,5/7 - Nhóm 1</t>
  </si>
  <si>
    <t>Chi phí quản lý dự án x tỷ lệ</t>
  </si>
  <si>
    <t>AF.61721</t>
  </si>
  <si>
    <t>NGƯỜI CHỦ TRÌ</t>
  </si>
  <si>
    <t>Bê tông dầm cầu đá 1x2, vữa BT mác 300</t>
  </si>
  <si>
    <t>Máy cắt sắt cầm tay - công suất: 1,7 kW</t>
  </si>
  <si>
    <t>kg</t>
  </si>
  <si>
    <t>Đóng cừ Larsen IV trên mặt đất chiều dài cọc &lt;=12m đất cấp II, ngập đất 15,5m</t>
  </si>
  <si>
    <t>6.11</t>
  </si>
  <si>
    <t>Chi phí lập phương án kỹ thuật khảo sát xây dựng</t>
  </si>
  <si>
    <t>Chi phí thẩm tra thiết kế bản vẽ thi công</t>
  </si>
  <si>
    <t>Chi phí kiểm toán</t>
  </si>
  <si>
    <t>chai</t>
  </si>
  <si>
    <t>Lắp các loại cấu kiện BT đúc sẵn bằng thủ công trọng lượng &gt;250kg, vữa XM mác 100</t>
  </si>
  <si>
    <t>Thành tiền</t>
  </si>
  <si>
    <t>AG.32321</t>
  </si>
  <si>
    <t>Trượt giá từng năm</t>
  </si>
  <si>
    <t>V37377</t>
  </si>
  <si>
    <t>AA.22310</t>
  </si>
  <si>
    <t>Dung môi PUH3519</t>
  </si>
  <si>
    <t>HAO PHÍ VẬT LIỆU, NHÂN CÔNG, MÁY THI CÔNG CHO CÁC CÔNG TÁC XÂY DỰNG</t>
  </si>
  <si>
    <t>V00824</t>
  </si>
  <si>
    <t>GTGT</t>
  </si>
  <si>
    <t>H(400x400x13x21)mm</t>
  </si>
  <si>
    <t>Sản xuất, lắp dựng tháo dỡ ván khuôn thép, cây chống gỗ dầm ngang, chiều cao &lt;=16m</t>
  </si>
  <si>
    <t>M9632</t>
  </si>
  <si>
    <t>Chi phí lập báo cáo kinh tế - kỹ thuật</t>
  </si>
  <si>
    <t>AL.16122</t>
  </si>
  <si>
    <t>M9479</t>
  </si>
  <si>
    <t>Chi phí vật liệu</t>
  </si>
  <si>
    <t>Chi phí dự phòng cho yếu tố trượt giá</t>
  </si>
  <si>
    <t>hsTTQT</t>
  </si>
  <si>
    <t>V00515In</t>
  </si>
  <si>
    <t>V00833</t>
  </si>
  <si>
    <t>Ckkl</t>
  </si>
  <si>
    <t>%</t>
  </si>
  <si>
    <t>HCM_2017_QD_1001_CS</t>
  </si>
  <si>
    <t>AC.14114</t>
  </si>
  <si>
    <t>5.20</t>
  </si>
  <si>
    <t>Chi phí giám sát thi công xây dựng</t>
  </si>
  <si>
    <t>AF.82511</t>
  </si>
  <si>
    <t>Vữa lót M75-3cm</t>
  </si>
  <si>
    <t>7.2</t>
  </si>
  <si>
    <t>Chi phí đánh giá hồ sơ quan tâm, hồ sơ dự sơ tuyển (Nghị định 63/2014/NĐ-CP)</t>
  </si>
  <si>
    <t>Sản xuất, lắp dựng, tháo dỡ ván khuôn thép bê tông đúc sẵn cọc</t>
  </si>
  <si>
    <t>HẠNG MỤC: CỬA VAN B=7,5M</t>
  </si>
  <si>
    <t>Sản xuất, lắp dựng tháo dỡ ván khuôn thép lan can</t>
  </si>
  <si>
    <t>Que hàn Inox</t>
  </si>
  <si>
    <t>3,92*(1,17%*3+3,5%*1) = 0,2748</t>
  </si>
  <si>
    <t>AI.11411</t>
  </si>
  <si>
    <t>Sản xuất, lắp dựng, tháo dỡ ván khuôn thép bê tông đúc sẵn nắp đan, tấm chớp</t>
  </si>
  <si>
    <t>Chi phí thẩm tra thiết kế xây dựng</t>
  </si>
  <si>
    <t>N0031</t>
  </si>
  <si>
    <t>AI.65411</t>
  </si>
  <si>
    <t>TKKT79</t>
  </si>
  <si>
    <t>YTTG</t>
  </si>
  <si>
    <t>Cần trục bánh hơi - sức nâng: 16 t</t>
  </si>
  <si>
    <t>Cnt</t>
  </si>
  <si>
    <t>Lệ phí thẩm định dự án đầu tư (Thông tư 176/2011/TT-BTC)</t>
  </si>
  <si>
    <t>Chi phí bảo hiểm công trình</t>
  </si>
  <si>
    <t>M</t>
  </si>
  <si>
    <t>Gối cao su (56x20.3x5)cm</t>
  </si>
  <si>
    <t>6.10</t>
  </si>
  <si>
    <t>(209,01 + 69,11)/1000 = 0,2781</t>
  </si>
  <si>
    <t>V00511</t>
  </si>
  <si>
    <t>Thuế giá trị gia tăng</t>
  </si>
  <si>
    <t>BHCT</t>
  </si>
  <si>
    <t>Que hàn không rỉ</t>
  </si>
  <si>
    <t>GSTC</t>
  </si>
  <si>
    <t>Chi phí thẩm định kết quả lựa chọn nhà thầu (Nghị định 63/2014/NĐ-CP)</t>
  </si>
  <si>
    <t>AC.23210</t>
  </si>
  <si>
    <t>- Đơn giá vật liệu</t>
  </si>
  <si>
    <t>CẦU GIAO THÔNG</t>
  </si>
  <si>
    <t>M9478</t>
  </si>
  <si>
    <t>Chi phí giám sát lắp đặt thiết bị</t>
  </si>
  <si>
    <t>AB.64112</t>
  </si>
  <si>
    <t xml:space="preserve">  - Nhân công bậc 4,0/7 - Nhóm 2</t>
  </si>
  <si>
    <t>Dây buộc</t>
  </si>
  <si>
    <t>Chỉ số giá của từng năm (%)</t>
  </si>
  <si>
    <t>Thép ống</t>
  </si>
  <si>
    <t>V00750</t>
  </si>
  <si>
    <t>Dầu bôi</t>
  </si>
  <si>
    <t>5.19</t>
  </si>
  <si>
    <t>7.1</t>
  </si>
  <si>
    <t>II</t>
  </si>
  <si>
    <t>V05209</t>
  </si>
  <si>
    <t>AG.32511</t>
  </si>
  <si>
    <t>Chi phí thẩm định thiết kế kỹ thuật (Thông tư 210/2016/TT- BTC)</t>
  </si>
  <si>
    <t>III</t>
  </si>
  <si>
    <t>M9439</t>
  </si>
  <si>
    <t>Hệ số</t>
  </si>
  <si>
    <t>Sản xuất, lắp dựng cốt thép BT đúc sẵn cọc, đường kính &gt;18mm</t>
  </si>
  <si>
    <t>Chụp nhựa chắn nước</t>
  </si>
  <si>
    <t>Thành tiền sau thuế</t>
  </si>
  <si>
    <t>M9578</t>
  </si>
  <si>
    <t>Đập đầu cọc trên cạn</t>
  </si>
  <si>
    <t>CỬA VAN B=7,5M</t>
  </si>
  <si>
    <t>NGUYỄN VĂN A</t>
  </si>
  <si>
    <t>V00688</t>
  </si>
  <si>
    <t>AF.12144</t>
  </si>
  <si>
    <t>KHE LIÊN TỤC NHIỆT</t>
  </si>
  <si>
    <t>Ca nô - công suất: 150 cv</t>
  </si>
  <si>
    <t>CHI PHÍ TRỰC TIẾP</t>
  </si>
  <si>
    <t>Trụ đỡ tôn lượn sóng</t>
  </si>
  <si>
    <t>Sản xuất bê tông tấm BT tự chèn đúc sẵn đá 1x2, vữa BT mác 150</t>
  </si>
  <si>
    <t>Sika</t>
  </si>
  <si>
    <t>5.9</t>
  </si>
  <si>
    <t>Lắp dựng lan can sắt, vữa XM mác 75</t>
  </si>
  <si>
    <t>V08770</t>
  </si>
  <si>
    <t>AG.11125</t>
  </si>
  <si>
    <t>Bê tông mặt cầu đá 1x2, vữa BT mác 300</t>
  </si>
  <si>
    <t>V00649</t>
  </si>
  <si>
    <t>MG</t>
  </si>
  <si>
    <t>AF.11215</t>
  </si>
  <si>
    <t>HẠNG MỤC: CỐNG CẦU LƯỢNG (B=7,5M)</t>
  </si>
  <si>
    <t>1777/1173/587</t>
  </si>
  <si>
    <t>Bulông M16</t>
  </si>
  <si>
    <t>cộng dồn dòng 8</t>
  </si>
  <si>
    <t>AK.84422</t>
  </si>
  <si>
    <t>Công</t>
  </si>
  <si>
    <t>6.9</t>
  </si>
  <si>
    <t>Sản xuất, lắp dựng tháo dỡ ván khuôn thép, cây chống gỗ dầm, giằng, chiều cao &lt;=16m</t>
  </si>
  <si>
    <t xml:space="preserve">  - Nhân công bậc 4,0/7 - Nhóm 1</t>
  </si>
  <si>
    <t>Thép hình</t>
  </si>
  <si>
    <t>Sản xuất, lắp dựng tháo dỡ ván khuôn thép tường, chiều cao &lt;=16m</t>
  </si>
  <si>
    <t>sk</t>
  </si>
  <si>
    <t>hsRVL</t>
  </si>
  <si>
    <t>TTDT</t>
  </si>
  <si>
    <t>Chi phí khảo sát địa hình</t>
  </si>
  <si>
    <t>5.18</t>
  </si>
  <si>
    <t>Cước bộ</t>
  </si>
  <si>
    <t>Đắp đất công trình bằng đầm cóc, độ chặt K=0,90</t>
  </si>
  <si>
    <t>hsTL</t>
  </si>
  <si>
    <t>Sản xuất, lắp dựng cốt thép BT đúc sẵn cọc, đường kính &lt;=10mm</t>
  </si>
  <si>
    <t>Đắp đất nền móng công trình, độ chặt K=0,90</t>
  </si>
  <si>
    <t>M9438</t>
  </si>
  <si>
    <t>Máy vận thăng - sức nâng: 0,8 t - H nâng 80 m</t>
  </si>
  <si>
    <t>V32325</t>
  </si>
  <si>
    <t>M9577</t>
  </si>
  <si>
    <t>GSLD</t>
  </si>
  <si>
    <t>2,2371*(1,17%*1+3,5%*40) = 3,1581</t>
  </si>
  <si>
    <t>Nhân công bậc 3,5/7</t>
  </si>
  <si>
    <t>hsGdp</t>
  </si>
  <si>
    <t>TKKT</t>
  </si>
  <si>
    <t>Máy ủi - công suất: 108,0 CV (110CV)</t>
  </si>
  <si>
    <t>M9447</t>
  </si>
  <si>
    <t>AG.42141</t>
  </si>
  <si>
    <t>Gỗ đà nẹp</t>
  </si>
  <si>
    <t>AK.41125</t>
  </si>
  <si>
    <t>Máy bơm nước 200m3/h</t>
  </si>
  <si>
    <t>TL_2003_QD_65</t>
  </si>
  <si>
    <t>Chi phí xây dựng công trình chính</t>
  </si>
  <si>
    <t>AC.17112</t>
  </si>
  <si>
    <t>Máy nén khí, động cơ diezel - năng suất: 1200 m3/h</t>
  </si>
  <si>
    <t>V00509</t>
  </si>
  <si>
    <t>Mực in cao cấp</t>
  </si>
  <si>
    <t>Chi phí thẩm định hồ sơ mời thầu, hồ sơ yêu cầu (Nghị định 63/2014/NĐ-CP)</t>
  </si>
  <si>
    <t>M9538</t>
  </si>
  <si>
    <t>TRỤ CẦU T1,T2</t>
  </si>
  <si>
    <t>65/2003/QĐ-BNN</t>
  </si>
  <si>
    <t>AF.14315</t>
  </si>
  <si>
    <t>CHI PHÍ XÂY DỰNG CỦA GÓI THẦU</t>
  </si>
  <si>
    <t>Acêtylen</t>
  </si>
  <si>
    <t>CHI PHÍ HẠNG MỤC CHUNG</t>
  </si>
  <si>
    <t>Chi phí kiểm toán độc lập (Thông tư 09/2016/TT-BTC)</t>
  </si>
  <si>
    <t>- Đơn giá nhân công gốc</t>
  </si>
  <si>
    <t>AD.11212</t>
  </si>
  <si>
    <t>Chi phí thẩm tra dự toán gói thầu</t>
  </si>
  <si>
    <t>Khấu hao cọc thép hình (Thi công trong vòng 3 tháng và 1 lần đóng nhổ)</t>
  </si>
  <si>
    <t>TH.01.05.20</t>
  </si>
  <si>
    <t>AI.11912</t>
  </si>
  <si>
    <t>Công tác sản xuất lắp dựng cốt thép bê tông tại chỗ, cốt thép dầm cầu trên cạn, D &gt;18mm</t>
  </si>
  <si>
    <t>6.8</t>
  </si>
  <si>
    <t>Ống xói đường kính 150mm</t>
  </si>
  <si>
    <t>Cần trục ô tô - sức nâng: 16 t</t>
  </si>
  <si>
    <t>AF.12113</t>
  </si>
  <si>
    <t>Gỗ chống</t>
  </si>
  <si>
    <t xml:space="preserve">  - Hệ số điều chỉnh nhân công</t>
  </si>
  <si>
    <t>AF.11223</t>
  </si>
  <si>
    <t>5.17</t>
  </si>
  <si>
    <t>V36584</t>
  </si>
  <si>
    <t>Sản xuất, lắp dựng tháo dỡ ván khuôn thép, cây chống gỗ tường, cột vuông (chữ nhật), xà dầm, giằng, chiều cao &lt;=16m</t>
  </si>
  <si>
    <t>Giá thông báo</t>
  </si>
  <si>
    <t>V00014</t>
  </si>
  <si>
    <t>V05207</t>
  </si>
  <si>
    <t>TTDT210</t>
  </si>
  <si>
    <t>Tổng cộng máy thi công</t>
  </si>
  <si>
    <t>Cầu công tác</t>
  </si>
  <si>
    <t>Đóng cọc âm chiều dài &lt;=24m trên mặt đất, trọng lượng đầu búa 1,8T, đất cấp I</t>
  </si>
  <si>
    <t>Đóng cọc tràm chiều dài cọc ngập đất &gt;2,5m đất cấp I</t>
  </si>
  <si>
    <t>M9576</t>
  </si>
  <si>
    <t>Chứng chỉ KS định giá XD hạng 2, số: 058-0190</t>
  </si>
  <si>
    <t>BT M300 đổ sau có phụ gia</t>
  </si>
  <si>
    <t>Nối cọc BTCT 35x35cm</t>
  </si>
  <si>
    <t>5.26</t>
  </si>
  <si>
    <t>KÝ HIỆU</t>
  </si>
  <si>
    <t>Chi phí thiết bị</t>
  </si>
  <si>
    <t>M0171</t>
  </si>
  <si>
    <t>Máy đào một gầu, bánh xích - dung tích gầu: 0,80 m3</t>
  </si>
  <si>
    <t>Sơn lót ICI Dulux Sealer-2000, chống kiềm</t>
  </si>
  <si>
    <t>M9446</t>
  </si>
  <si>
    <t>CỌC BTCT (35x35x1970)CM THÂN CỐNG</t>
  </si>
  <si>
    <t>Lắp dựng kết cấu thép hệ khung dàn, sàn đạo trên cạn</t>
  </si>
  <si>
    <t>AK.41124</t>
  </si>
  <si>
    <t>MHT</t>
  </si>
  <si>
    <t>Cọc tiêu (15x15x100)cm</t>
  </si>
  <si>
    <t>Sản xuất, lắp dựng cốt thép đường kính &lt;=18mm</t>
  </si>
  <si>
    <t>V00508</t>
  </si>
  <si>
    <t>Chi phí máy thi công</t>
  </si>
  <si>
    <t>V49067</t>
  </si>
  <si>
    <t>M9537</t>
  </si>
  <si>
    <t>Nhóm TT05</t>
  </si>
  <si>
    <t>STT</t>
  </si>
  <si>
    <t>Tời điện - sức kéo: 5,0 t</t>
  </si>
  <si>
    <t>(Căn cứ theo bảng 1.1 TT 06/2016/TT-BXD ngày 10 tháng 3 năm 2016)</t>
  </si>
  <si>
    <t>Sơn phủ Joton Jony nội thất</t>
  </si>
  <si>
    <t>M9455</t>
  </si>
  <si>
    <t>Măng sông thép tráng kẽm đường kính 110mm</t>
  </si>
  <si>
    <t>BẢNG TỔNG HỢP DỰ TOÁN XÂY DỰNG CÔNG TRÌNH</t>
  </si>
  <si>
    <t>Chi phí chung theo chi phí trực tiếp</t>
  </si>
  <si>
    <t>AF.11213</t>
  </si>
  <si>
    <t>Bu long M22</t>
  </si>
  <si>
    <t>BẢNG TỔNG HỢP TỔNG MỨC ĐẦU TƯ XÂY DỰNG</t>
  </si>
  <si>
    <t>BẢNG TỔNG HỢP VẬT LIỆU VÀ CHÊNH LỆCH GIÁ</t>
  </si>
  <si>
    <t>TKBV</t>
  </si>
  <si>
    <t>M1113</t>
  </si>
  <si>
    <t>Sản xuất kết cấu thép hộp nối cọc</t>
  </si>
  <si>
    <t>Nhân công bậc 4,0/7</t>
  </si>
  <si>
    <t>Lắp các loại cấu kiện BT đúc sẵn bằng thủ công trọng lượng &lt;=50kg, vữa XM mác 100</t>
  </si>
  <si>
    <t>V00656</t>
  </si>
  <si>
    <t>6.7</t>
  </si>
  <si>
    <t>Theo bảng tổng hợp dự toán chi phí XD</t>
  </si>
  <si>
    <t>Mỡ các loại</t>
  </si>
  <si>
    <t>M9637</t>
  </si>
  <si>
    <t>Chi phí xây dựng trước thuế</t>
  </si>
  <si>
    <t>V48498</t>
  </si>
  <si>
    <t>Bê tông dầm, giằng đá 1x2, vữa BT mác 200</t>
  </si>
  <si>
    <t>Ván khuôn móng</t>
  </si>
  <si>
    <t>TỔNG CỘNG</t>
  </si>
  <si>
    <t>TL</t>
  </si>
  <si>
    <t>Nhân công bậc 4,3/7 - Nhóm 1</t>
  </si>
  <si>
    <t>V48368</t>
  </si>
  <si>
    <t>V12675d32</t>
  </si>
  <si>
    <t>V12705</t>
  </si>
  <si>
    <t>100m3</t>
  </si>
  <si>
    <t>Máy cắt thép Flaxma</t>
  </si>
  <si>
    <t>Đóng cọc BTCT 35x35 chiều dài &lt;=24m trên mặt đất, trọng lượng đầu búa 1,8T, đất cấp I</t>
  </si>
  <si>
    <t>M7900</t>
  </si>
  <si>
    <t>VLHT</t>
  </si>
  <si>
    <t>5.25</t>
  </si>
  <si>
    <t>Sản xuất, lắp dựng, tháo dỡ ván khuôn thép, ván khuôn móng</t>
  </si>
  <si>
    <t>AB.36120</t>
  </si>
  <si>
    <t xml:space="preserve">GIA CỐ THẢM VÀ RỌ ĐÁ THƯỢNG HẠ LƯU </t>
  </si>
  <si>
    <t>Cát mịn ML=1,5-2,0</t>
  </si>
  <si>
    <t>Chi phí hạng mục chung</t>
  </si>
  <si>
    <t>KHE CO GIÃN</t>
  </si>
  <si>
    <t>HS điều chỉnh máy thi công</t>
  </si>
  <si>
    <t>Đào móng băng, rộng &lt;=3m, sâu &lt;=1m, đất cấp II</t>
  </si>
  <si>
    <t>V00113</t>
  </si>
  <si>
    <t>hsGlbc</t>
  </si>
  <si>
    <t>CPXD</t>
  </si>
  <si>
    <t>V00473</t>
  </si>
  <si>
    <t>Cút thép đầu cọc D34/15</t>
  </si>
  <si>
    <t>- Đơn giá máy thi công gốc</t>
  </si>
  <si>
    <t>Nhổ cọc cừ Larsen 3, larsen 4 trên cạn bằng búa rung, cần cẩu 25T</t>
  </si>
  <si>
    <t>Tổng chi phí thực hiện dự án (chưa bao gồm lãi vay)</t>
  </si>
  <si>
    <t xml:space="preserve">Lắp dựng dầm cầu I DƯL bản  (TT theo MHĐM ĐQ.30010 Quyết định số 2204/QĐ-BGTVT ngày 29/07/2013) </t>
  </si>
  <si>
    <t>Phần đầu</t>
  </si>
  <si>
    <t xml:space="preserve">  - Nhân công bậc 3,7/7 - Nhóm 2</t>
  </si>
  <si>
    <t>1 dầm</t>
  </si>
  <si>
    <t>Danh mục công tác đo bóc</t>
  </si>
  <si>
    <t>Cần trục bánh hơi sức nâng 6T</t>
  </si>
  <si>
    <t>Thuế VAT</t>
  </si>
  <si>
    <t>Biển hình chữ nhật (40x60) (biển 439)</t>
  </si>
  <si>
    <t>Đóng cọc thép hình I350x150, dài 14m đóng ngập đất 11m trên mặt đất, đất cấp II, phần ngập đất</t>
  </si>
  <si>
    <t>Bulong D32</t>
  </si>
  <si>
    <t>AF.65130</t>
  </si>
  <si>
    <t>M5554</t>
  </si>
  <si>
    <t>Sà lan - trọng tải: 200 t</t>
  </si>
  <si>
    <t>Sơn ICI Dulux Supreme cao cấp trong nhà</t>
  </si>
  <si>
    <t>Hệ số chi phí hạng mục chung</t>
  </si>
  <si>
    <t>NC</t>
  </si>
  <si>
    <t>V48497</t>
  </si>
  <si>
    <t>Tổng cộng</t>
  </si>
  <si>
    <t>hsCPKT</t>
  </si>
  <si>
    <t>Cây chống</t>
  </si>
  <si>
    <t>Sản xuất, lắp dựng cốt thép móng đường kính &gt;18mm</t>
  </si>
  <si>
    <t>100m2</t>
  </si>
  <si>
    <t>5.24</t>
  </si>
  <si>
    <t>AF.61321</t>
  </si>
  <si>
    <t>Chi phí lắp đặt, thí nghiệm, hiệu chỉnh</t>
  </si>
  <si>
    <t>Sản xuất, lắp dựng, tháo dỡ ván khuôn thép bê tông đúc sẵn tấm tự chèn</t>
  </si>
  <si>
    <t>Cút tráng kẽm đường kính 89mm</t>
  </si>
  <si>
    <t>Tổng mức đầu tư x tỷ lệ</t>
  </si>
  <si>
    <t>V00112</t>
  </si>
  <si>
    <t>hsQLDA</t>
  </si>
  <si>
    <t>AG.11413</t>
  </si>
  <si>
    <t>HỘ LAN &amp; BIỂN BÁO GT BỘ</t>
  </si>
  <si>
    <t>AG.13111</t>
  </si>
  <si>
    <t>Đắp cát công trình bằng máy đầm 9T, độ chặt K=0,98</t>
  </si>
  <si>
    <t>Cút nối 90 độ thép mạ kẽm</t>
  </si>
  <si>
    <t>Tên vật tư</t>
  </si>
  <si>
    <t>THU NHẬP CHỊU THUẾ TÍNH TRƯỚC</t>
  </si>
  <si>
    <t>Sản xuất, lắp dựng cốt thép bản dẫn đường kính &lt;=18mm</t>
  </si>
  <si>
    <t>Đóng cọc thép hình I350x150, dài 14m đóng không ngập đất 3m, đất cấp II, phần không ngập đất (NC, MTC * 0,75)</t>
  </si>
  <si>
    <t>V00390</t>
  </si>
  <si>
    <t>THM</t>
  </si>
  <si>
    <t>V00784</t>
  </si>
  <si>
    <t>Thép góc 100x100mm</t>
  </si>
  <si>
    <t>TTDT75</t>
  </si>
  <si>
    <t>1mối nối</t>
  </si>
  <si>
    <t>V00515</t>
  </si>
  <si>
    <t>Thép tròn đường kính &gt;18mm</t>
  </si>
  <si>
    <t>Chi phí chuyển máy, thiết bị khảo sát</t>
  </si>
  <si>
    <t>Xe thang chiều dài thang: tới 9m</t>
  </si>
  <si>
    <t>- Căn cứ Quyết định số 1278/QĐ-SXD-QLKTXD ngày 06/08/2013 của Sở xây dựng thành phố Hồ Chí Minh về việc Công bố Chỉ số giá xây dựng tháng 01, 02, 03, 04, 05, 06, 07, 08, 09, 10, 11, 12, quý I, II, III, IV và năm 2012.</t>
  </si>
  <si>
    <t>035.41</t>
  </si>
  <si>
    <t>Tổng cước bộ</t>
  </si>
  <si>
    <t>Máy phay bào 7 KW</t>
  </si>
  <si>
    <t>Số cấu kiện</t>
  </si>
  <si>
    <t>AF.82111</t>
  </si>
  <si>
    <t>V48496</t>
  </si>
  <si>
    <t>viên</t>
  </si>
  <si>
    <t>3.2</t>
  </si>
  <si>
    <t>Máy đầm bê tông, đầm bàn - công suất: 1,0 kW</t>
  </si>
  <si>
    <t>M9553</t>
  </si>
  <si>
    <t>NCKT79</t>
  </si>
  <si>
    <t>KSDC</t>
  </si>
  <si>
    <t>1 tấn sản phẩm</t>
  </si>
  <si>
    <t>Đinh đỉa</t>
  </si>
  <si>
    <t>Biển báo (1.2 x 1.2)m</t>
  </si>
  <si>
    <t>Bảng chi phí</t>
  </si>
  <si>
    <t>Sản xuất kết cấu thép lan can cầu đường bộ</t>
  </si>
  <si>
    <t>Thép hình định vị cọc</t>
  </si>
  <si>
    <t>CỌC BTCT</t>
  </si>
  <si>
    <t>Búa diezel tự hành, bánh xích - trọng lượng đầu búa: 1,8 t</t>
  </si>
  <si>
    <t>Cát thô</t>
  </si>
  <si>
    <t>Sản xuất hệ sàn đạo, sàn thao tác</t>
  </si>
  <si>
    <t>Sản xuất bê tông cọc, cột đúc sẵn đá 1x2, vữa BT mác 200</t>
  </si>
  <si>
    <t>Đóng cọc xiên BTCT 35x35 chiều dài &lt;=24m trên mặt đất, trọng lượng đầu búa 1,8T, đất cấp I (HS NC, MTC x 1,22)</t>
  </si>
  <si>
    <t>Cột U(160x160x5x1750)mm</t>
  </si>
  <si>
    <t>(35,51+ 50,08)/1000 = 0,0856</t>
  </si>
  <si>
    <t>AD.32421</t>
  </si>
  <si>
    <t>Chi phí lập nhiệm vụ khảo sát xây dựng</t>
  </si>
  <si>
    <t>Bù giá</t>
  </si>
  <si>
    <t>Máy bơm xói 4MC (75 kW)</t>
  </si>
  <si>
    <t>QLDA79</t>
  </si>
  <si>
    <t>AG.11412</t>
  </si>
  <si>
    <t>Phân bổ chi phí theo %</t>
  </si>
  <si>
    <t>TTQT</t>
  </si>
  <si>
    <t>Sản xuất, lắp dựng tháo dỡ ván khuôn thép dầm, giằng, chiều cao &lt;=16m</t>
  </si>
  <si>
    <t>baodua</t>
  </si>
  <si>
    <t>V12698</t>
  </si>
  <si>
    <t>Đá hộc 30x30</t>
  </si>
  <si>
    <t>GIÁ TRỊ</t>
  </si>
  <si>
    <t>Nhân công bậc 4,0/7 - Nhóm 2</t>
  </si>
  <si>
    <t>LXL79</t>
  </si>
  <si>
    <t>Tổng cộng nhân công</t>
  </si>
  <si>
    <t>Nhóm 2</t>
  </si>
  <si>
    <t>I650</t>
  </si>
  <si>
    <t>Bê tông móng rộng &gt;250cm đá 1x2, vữa BT mác 250</t>
  </si>
  <si>
    <t>AF.61511</t>
  </si>
  <si>
    <t>3,6*(1,17%*3+3,5%*1) = 0,2524</t>
  </si>
  <si>
    <t>Que hàn</t>
  </si>
  <si>
    <t>Tổng cước sông</t>
  </si>
  <si>
    <t>3.1</t>
  </si>
  <si>
    <t>Chi phí lập hồ sơ mời thầu, đánh giá hồ sơ dự thầu mua sắm vật tư, thiết bị</t>
  </si>
  <si>
    <t>AD.32411</t>
  </si>
  <si>
    <t>Khấu hao cọc dẫn bằng thép hình (đóng nhổ 40 lần trong 1 tháng)</t>
  </si>
  <si>
    <t>Cọc H300, L=14m</t>
  </si>
  <si>
    <t>Đơn vị: đồng</t>
  </si>
  <si>
    <t>PCCC258</t>
  </si>
  <si>
    <t>hsGhmc</t>
  </si>
  <si>
    <t>Tôn (206x700x0.1)cm</t>
  </si>
  <si>
    <t>Sản xuất, lắp dựng cốt thép móng đường kính &lt;=10mm</t>
  </si>
  <si>
    <t>TTTKXD79</t>
  </si>
  <si>
    <t>Ggpmb</t>
  </si>
  <si>
    <t>AG.32211</t>
  </si>
  <si>
    <t>Cái</t>
  </si>
  <si>
    <t>V32329</t>
  </si>
  <si>
    <t>Bu lông M20</t>
  </si>
  <si>
    <t>Nhân công bậc 4,5/7</t>
  </si>
  <si>
    <t>AF.65410</t>
  </si>
  <si>
    <t>Thép góc 80x80mm</t>
  </si>
  <si>
    <t>Máy đào gầu ngoạm (gầu dây) - dung tích gầu: 0,65 m3</t>
  </si>
  <si>
    <t>Nhân công bậc 4,0/7 - Nhóm 1</t>
  </si>
  <si>
    <t>Sản xuất cửa van bằng thép không gỉ, chiều rộng cống (B) &lt;= 8m</t>
  </si>
  <si>
    <t>Chi phí bồi thường, hỗ trợ và tái định cư</t>
  </si>
  <si>
    <t>Chi phí lập hồ sơ mời thầu, đánh giá hồ sơ dự thầu thi công xây dựng</t>
  </si>
  <si>
    <t>Chi phí đánh giá hồ sơ dự thầu, hồ sơ đề xuất (Nghị định 63/2014/NĐ-CP)</t>
  </si>
  <si>
    <t>Nhóm 1</t>
  </si>
  <si>
    <t>BẢNG TỔNG HỢP DỰ TOÁN CÔNG TRÌNH</t>
  </si>
  <si>
    <t>GSLD79</t>
  </si>
  <si>
    <t>Cát vàng</t>
  </si>
  <si>
    <t>Gtb</t>
  </si>
  <si>
    <t>Giá gốc</t>
  </si>
  <si>
    <t>Sản xuất, lắp dựng cốt thép móng, mố, trụ, mũ mố, mũ trụ cầu trên cạn đường kính &lt;=18mm</t>
  </si>
  <si>
    <t xml:space="preserve"> 212,71 /1000 = 0,2127</t>
  </si>
  <si>
    <t>Thép tròn đường kính &gt; 10 mm</t>
  </si>
  <si>
    <t>V36579</t>
  </si>
  <si>
    <t>(954,76+1205,00)/1000 = 2,1598</t>
  </si>
  <si>
    <t>M9551</t>
  </si>
  <si>
    <t>Chi phí lập báo cáo kinh tế-kỹ thuật</t>
  </si>
  <si>
    <t>Ống xói đường kính 250mm</t>
  </si>
  <si>
    <t>Máy khoan 4,5 KW</t>
  </si>
  <si>
    <t>AI.63311</t>
  </si>
  <si>
    <t>M9690</t>
  </si>
  <si>
    <t>M5560</t>
  </si>
  <si>
    <t>Ống cao su cao áp f60</t>
  </si>
  <si>
    <t>AB.81144</t>
  </si>
  <si>
    <t>31,86*(1,17%*3+3,5%*1) = 2,2334</t>
  </si>
  <si>
    <t>CV.0102</t>
  </si>
  <si>
    <t>M9560</t>
  </si>
  <si>
    <t>Theo bảng tổng hợp chi phí TB</t>
  </si>
  <si>
    <t>M9512</t>
  </si>
  <si>
    <t>BẢNG TÍNH TOÁN, ĐO BÓC KHỐI LƯỢNG CÔNG TRÌNH</t>
  </si>
  <si>
    <t>Thép hình hộp nối cọc</t>
  </si>
  <si>
    <t>Thép tròn đường kính &gt;14</t>
  </si>
  <si>
    <t>Nội dung</t>
  </si>
  <si>
    <t>Sản xuất, lắp dựng cốt thép mặt cầu đường kính &lt;=10mm, chiều cao &lt;=16m</t>
  </si>
  <si>
    <t>Ống thép tráng kẽm đường kính 110mm</t>
  </si>
  <si>
    <t>Đá mài</t>
  </si>
  <si>
    <t>Đơn vị</t>
  </si>
  <si>
    <t>V00761</t>
  </si>
  <si>
    <t>Xói hút bùn trong khung vây phòng nước, các trụ dưới nước</t>
  </si>
  <si>
    <t>Dài</t>
  </si>
  <si>
    <t>M9521</t>
  </si>
  <si>
    <t>Theo bảng tổng hợp vật liệu</t>
  </si>
  <si>
    <t>CV.0202</t>
  </si>
  <si>
    <t>C</t>
  </si>
  <si>
    <t>V14859</t>
  </si>
  <si>
    <t>Cần trục bánh hơi - sức nâng: 25 t</t>
  </si>
  <si>
    <t>- Đơn giá vật liệu gốc</t>
  </si>
  <si>
    <t>- Căn cứ Quyết định số 91/QĐ-SXD-QLKTXD  ngày 25/02/2013 của Sở Xây dựng thành phố Hồ Chí Minh về việc Công bố Chỉ số giá xây dựng tháng 10, 11, 12, quý 4/2011, và năm 2011.</t>
  </si>
  <si>
    <t>đến</t>
  </si>
  <si>
    <t>Phụ gia siêu dẻo bê tông PC40</t>
  </si>
  <si>
    <t>TTTK2</t>
  </si>
  <si>
    <t>Thép SUS304 các loại</t>
  </si>
  <si>
    <t>Máy khoan 2,5 KW</t>
  </si>
  <si>
    <t>Kích thước</t>
  </si>
  <si>
    <t>Hệ số đảm bảo an toàn giao thông</t>
  </si>
  <si>
    <t>Chi phí chung theo chi phí nhân công</t>
  </si>
  <si>
    <t>Hệ số công tác</t>
  </si>
  <si>
    <t>Dự phòng cho yếu tố khối lượng phát sinh</t>
  </si>
  <si>
    <t>TT Vật tư</t>
  </si>
  <si>
    <t>M5559</t>
  </si>
  <si>
    <t>BẢNG TỔNG HỢP CHI PHÍ THIẾT BỊ</t>
  </si>
  <si>
    <t>Dung môi PUV</t>
  </si>
  <si>
    <t>Chi phí rà phá bom mìn, vật nổ</t>
  </si>
  <si>
    <t>Máy mài 2,7 KW</t>
  </si>
  <si>
    <t>KẾT CẤU MANG CỐNG</t>
  </si>
  <si>
    <t>Tăng đơ M10</t>
  </si>
  <si>
    <t>Búa căn khí nén (chưa tính khí nén) - tiêu hao khí nén: 1,5 m3/ph</t>
  </si>
  <si>
    <t>CỐNG CẦU LƯỢNG (B=7,5M)</t>
  </si>
  <si>
    <t>Thép tấm</t>
  </si>
  <si>
    <t>Chi phí thi tuyển thiết kế kiến trúc</t>
  </si>
  <si>
    <t>HCM_2016_QD_3384_XD_SuDung235</t>
  </si>
  <si>
    <t>HS điều chỉnh</t>
  </si>
  <si>
    <t>LHSTV79</t>
  </si>
  <si>
    <t>V00108</t>
  </si>
  <si>
    <t>V32106</t>
  </si>
  <si>
    <t>M112.1502</t>
  </si>
  <si>
    <t>Tự thẩm định toàn bộ</t>
  </si>
  <si>
    <t>NGUYỄN VĂN B</t>
  </si>
  <si>
    <t>Búa rung - công suất: 40 kW</t>
  </si>
  <si>
    <t xml:space="preserve">  - Nhân công bậc 3,5/7 - Nhóm 2</t>
  </si>
  <si>
    <t>Thành tiền giá gốc</t>
  </si>
  <si>
    <t>M9449</t>
  </si>
  <si>
    <t>V49002</t>
  </si>
  <si>
    <t>Tôn tráng kẽm</t>
  </si>
  <si>
    <t>Gqlda</t>
  </si>
  <si>
    <t>Bê tông xà dầm, giằng đá 1x2, vữa BT mác 200</t>
  </si>
  <si>
    <t>CHI PHÍ CHUNG</t>
  </si>
  <si>
    <t>Cọc bê tông 35cmx35cm</t>
  </si>
  <si>
    <t>Công tác sản xuất lắp dựng cốt thép bê tông tại chỗ, cốt thép dầm cầu trên cạn, D ≤18mm</t>
  </si>
  <si>
    <t>hsGTGT</t>
  </si>
  <si>
    <t>Bê tông tấm đan đúc sẵn đá 1x2, vữa BT mác 200</t>
  </si>
  <si>
    <t>235/QĐ-BXD ngày 04/4/2017</t>
  </si>
  <si>
    <t>Sản xuất, lắp dựng cốt thép mặt cầu đường kính &gt;10mm, chiều cao &lt;=16m</t>
  </si>
  <si>
    <t>1751/QĐ-BNN-XD</t>
  </si>
  <si>
    <t>Gdp</t>
  </si>
  <si>
    <t>Sản xuất, lắp dựng, tháo dỡ ván khuôn cho bê tông đổ tại chổ, ván khuôn thép, ván khuôn bản dẫn</t>
  </si>
  <si>
    <t>Chi phí thẩm định phê duyệt thiết kế về phòng cháy và chữa cháy (Thông tư 258/2016/TT-BTC)</t>
  </si>
  <si>
    <t>Vữa lót M75 dày 3cm</t>
  </si>
  <si>
    <t>NVKS</t>
  </si>
  <si>
    <t>AF.11225</t>
  </si>
  <si>
    <t>Palăng xích sức nâng 15T</t>
  </si>
  <si>
    <t>Giấy dầu</t>
  </si>
  <si>
    <t>Lắp đặt khe co giãn dầm liên tục</t>
  </si>
  <si>
    <t>V00014pq</t>
  </si>
  <si>
    <t>AB.62111</t>
  </si>
  <si>
    <t>TTTK75</t>
  </si>
  <si>
    <t>Năm cơ sở tính toán</t>
  </si>
  <si>
    <t>hsGlpa</t>
  </si>
  <si>
    <t>KSDH</t>
  </si>
  <si>
    <t>- Hệ số điều chỉnh máy thi công</t>
  </si>
  <si>
    <t>HCM_2016_QD_3384_LD</t>
  </si>
  <si>
    <t>Nhân công bậc 3,7/7 - Nhóm 2</t>
  </si>
  <si>
    <t>M112.1501</t>
  </si>
  <si>
    <t>Máy cưa 2,7 KW</t>
  </si>
  <si>
    <t>Chi phí lập hồ sơ mời thầu, hồ sơ yêu cầu (Nghị định 63/2014/NĐ-CP)</t>
  </si>
  <si>
    <t>V00025</t>
  </si>
  <si>
    <t>AB.11312</t>
  </si>
  <si>
    <t xml:space="preserve">  - Nhân công bậc 3,5/7 - Nhóm 1</t>
  </si>
  <si>
    <t>Sản xuất, lắp dựng cốt thép xà dầm, giằng đường kính &lt;=18mm, chiều cao &lt;=4m</t>
  </si>
  <si>
    <t>0,48*(1,17%*1+3,5%*4) = 0,0728</t>
  </si>
  <si>
    <t>V00116</t>
  </si>
  <si>
    <t>M9587</t>
  </si>
  <si>
    <t>(Ký, họ tên)</t>
  </si>
  <si>
    <t>hsBHCT</t>
  </si>
  <si>
    <t>V05496</t>
  </si>
  <si>
    <t>hsDBATGT</t>
  </si>
  <si>
    <t>Sản xuất cọc dẫn bằng thép hình</t>
  </si>
  <si>
    <t>Vữa xi măng dày 3cm, vữa XM mác 100</t>
  </si>
  <si>
    <t>hsGSTC</t>
  </si>
  <si>
    <t>Khối lượng hao phí</t>
  </si>
  <si>
    <t>V00255</t>
  </si>
  <si>
    <t>Vữa xi măng M100</t>
  </si>
  <si>
    <t>Đào móng cột trụ, hố kiểm tra, rộng &lt;=1m,sâu &lt;=1m, đất cấp II</t>
  </si>
  <si>
    <t>Chi phí thực hiện dự án theo tiến độ đã có trượt giá</t>
  </si>
  <si>
    <t>TTTKT79</t>
  </si>
  <si>
    <t>Theo bảng chi phí dự phòng trượt giá</t>
  </si>
  <si>
    <t>AC.11121</t>
  </si>
  <si>
    <t>Ống thép Þ120 dày 2 mm</t>
  </si>
  <si>
    <t>Cần trục bánh xích - sức nâng: 16 t</t>
  </si>
  <si>
    <t>M9596</t>
  </si>
  <si>
    <t>V00811</t>
  </si>
  <si>
    <t>TTDT79</t>
  </si>
  <si>
    <t>AB.65120</t>
  </si>
  <si>
    <t>epx</t>
  </si>
  <si>
    <t>Thép tròn</t>
  </si>
  <si>
    <t>Đóng cọc BTCT 30x30 chiều dài &lt;=24m trên mặt nước bằng tàu đóng cọc búa 1,8T</t>
  </si>
  <si>
    <t>V00216</t>
  </si>
  <si>
    <t>Chi phí thẩm định hồ sơ mời quan tâm, hồ sơ mời sơ tuyển (Nghị định 63/2014/NĐ-CP)</t>
  </si>
  <si>
    <t>M9466</t>
  </si>
  <si>
    <t>AF.14325</t>
  </si>
  <si>
    <t>M112.3702</t>
  </si>
  <si>
    <t>Đóng cọc cừ máng bê tông dự ứng lực trên cạn bằng búa rung kết hợp tách mũi nước áp lực SW600A, chiều cao máng cọc 60-84cm, L=18M</t>
  </si>
  <si>
    <t>Phụ gia dẻo hoá bê tông</t>
  </si>
  <si>
    <t>Chi phí quản lý dự án</t>
  </si>
  <si>
    <t>(Căn cứ theo bảng 2.5 TT 06/2016/TT-BXD ngày 10 tháng 3 năm 2016)</t>
  </si>
  <si>
    <t>AF.11224</t>
  </si>
  <si>
    <t>GIA CỐ TẤM BT TỰ CHÈN</t>
  </si>
  <si>
    <t>V00749</t>
  </si>
  <si>
    <t>AD.11222</t>
  </si>
  <si>
    <t>Máy tiện 10 KW</t>
  </si>
  <si>
    <t>V48197</t>
  </si>
  <si>
    <t>NGƯỜI LẬP</t>
  </si>
  <si>
    <t>Biển báo giao thông bộ</t>
  </si>
  <si>
    <t>5,2025*(2%*1+7%*4) = 1,5608</t>
  </si>
  <si>
    <t>CÁCH TÍNH</t>
  </si>
  <si>
    <t>Biến thế hàn xoay chiều - công suất: 23 kW</t>
  </si>
  <si>
    <t>1 Bộ</t>
  </si>
  <si>
    <t>Chi phí hao hụt</t>
  </si>
  <si>
    <t>V00384</t>
  </si>
  <si>
    <t>GIÁ TRỊ SAU THUẾ</t>
  </si>
  <si>
    <t>V48379</t>
  </si>
  <si>
    <t>TTKT79</t>
  </si>
  <si>
    <t>Hệ số trực tiếp phí khác</t>
  </si>
  <si>
    <t>Đá 4x6</t>
  </si>
  <si>
    <t>Khối lượng cấu kiện</t>
  </si>
  <si>
    <t>V00475</t>
  </si>
  <si>
    <t>Nhóm gốc</t>
  </si>
  <si>
    <t>Cọc bê tông 30cmx30cm</t>
  </si>
  <si>
    <t>San đầm đất mặt bằng bằng máy đầm 9T, độ chặt K=0,85</t>
  </si>
  <si>
    <t>VL</t>
  </si>
  <si>
    <t>T</t>
  </si>
  <si>
    <t>Cừ Larsen IV</t>
  </si>
  <si>
    <t>Gks trước thuế x tỷ lệ</t>
  </si>
  <si>
    <t>V00124</t>
  </si>
  <si>
    <t>% hao hụt vận chuyển</t>
  </si>
  <si>
    <t>M9595</t>
  </si>
  <si>
    <t>Bê tông tường dày &lt;=45cm, chiều cao &lt;=4m đá 1x2, vữa BT mác 200</t>
  </si>
  <si>
    <t>AF.12314</t>
  </si>
  <si>
    <t>cái</t>
  </si>
  <si>
    <t>BẢNG ĐƠN GIÁ CHI TIẾT</t>
  </si>
  <si>
    <t>Cần cẩu nổi: Kéo theo - sức nâng 30 t</t>
  </si>
  <si>
    <t>Đơn vị tính: đồng</t>
  </si>
  <si>
    <t>V00215</t>
  </si>
  <si>
    <t>Đắp nền đường bằng máy đầm 9T, độ chặt K=0,90</t>
  </si>
  <si>
    <t>Bu lông các loại</t>
  </si>
  <si>
    <t>M9465</t>
  </si>
  <si>
    <t>Thép D32 SUS304</t>
  </si>
  <si>
    <t>Đầm bánh hơi tự hành - trọng lượng: 9 t</t>
  </si>
  <si>
    <t>AG.42111</t>
  </si>
  <si>
    <t>Chi phí xây dựng nhà tạm tại hiện trường để ở và điều hành thi công</t>
  </si>
  <si>
    <t>Khung định vị đóng cọc BTCT (Đóng nhổ 5 lần)</t>
  </si>
  <si>
    <t>Nhân công bậc 3,7/7</t>
  </si>
  <si>
    <t>Gối cầu cao su</t>
  </si>
  <si>
    <t>Khe co giãn</t>
  </si>
  <si>
    <t>M8978</t>
  </si>
  <si>
    <t>CHI PHÍ DỰ PHÒNG</t>
  </si>
  <si>
    <t>TTDT2</t>
  </si>
  <si>
    <t xml:space="preserve"> </t>
  </si>
  <si>
    <t>hsTT</t>
  </si>
  <si>
    <t>V48498d32sus</t>
  </si>
  <si>
    <t>Đắp cát nền móng công trình</t>
  </si>
  <si>
    <t>Bê tông M100 đá 4x6</t>
  </si>
  <si>
    <t>Máy đào 0,5m3</t>
  </si>
  <si>
    <t>Ô tô vận tải thùng - trọng tải: 2,5 t</t>
  </si>
  <si>
    <t>Bê tông móng, mố trụ cầu trên cạn đá 1x2, vữa BT mác 300</t>
  </si>
  <si>
    <t>GIÁ TRỊ TRƯỚC THUẾ</t>
  </si>
  <si>
    <t>82,4264*(2%*3+7%*1) = 10,7154</t>
  </si>
  <si>
    <t>4</t>
  </si>
  <si>
    <t>54*18/100 = 9,72</t>
  </si>
  <si>
    <t>AB.13411</t>
  </si>
  <si>
    <t>m²</t>
  </si>
  <si>
    <t>LAN CAN CẦU</t>
  </si>
  <si>
    <t xml:space="preserve">Mốc đồng </t>
  </si>
  <si>
    <t>AF.12313</t>
  </si>
  <si>
    <t>BẢNG TỔNG HỢP DỰ TOÁN CHI PHÍ HẠNG MỤC CHUNG</t>
  </si>
  <si>
    <t>M9464</t>
  </si>
  <si>
    <t>Đóng cọc BTCT 35x35 chiều dài &lt;=24m trên mặt nước bằng tàu đóng cọc búa 1,8T</t>
  </si>
  <si>
    <t>BẢNG TỔNG HỢP VẬT LIỆU, NHÂN CÔNG, MÁY THI CÔNG</t>
  </si>
  <si>
    <t>KH.0102</t>
  </si>
  <si>
    <t>Lớp phòng nước dày 4mm</t>
  </si>
  <si>
    <t>Chi phí lập báo cáo nghiên cứu tiền khả thi</t>
  </si>
  <si>
    <t>AK.90122</t>
  </si>
  <si>
    <t>M9555</t>
  </si>
  <si>
    <t>Đơn giá trước thuế</t>
  </si>
  <si>
    <t>LXL</t>
  </si>
  <si>
    <t>Cộng nhân công:</t>
  </si>
  <si>
    <t>Phạm Cao Hà</t>
  </si>
  <si>
    <t>tấn</t>
  </si>
  <si>
    <t>V74456</t>
  </si>
  <si>
    <t>Bu lông M14</t>
  </si>
  <si>
    <t>Tổng chênh giá thông báo</t>
  </si>
  <si>
    <t>cn</t>
  </si>
  <si>
    <t>V08282</t>
  </si>
  <si>
    <t>Dầm I400 DƯL bản 8,65M</t>
  </si>
  <si>
    <t>PCCC</t>
  </si>
  <si>
    <t>V00708</t>
  </si>
  <si>
    <t>BB.14211</t>
  </si>
  <si>
    <t>Sản xuất, lắp dựng, tháo dỡ ván khuôn mố, trụ cầu trên cạn</t>
  </si>
  <si>
    <t>Bulong M10</t>
  </si>
  <si>
    <t>M5573</t>
  </si>
  <si>
    <t>Bulông M22x350</t>
  </si>
  <si>
    <t>Biển báo bằng tôn hình tròn D70cm, dày 1.2mm, sơn phản quang (Biển 115)</t>
  </si>
  <si>
    <t>hsGdc</t>
  </si>
  <si>
    <t>AL.25112</t>
  </si>
  <si>
    <t>M0111</t>
  </si>
  <si>
    <t>3</t>
  </si>
  <si>
    <t>Gxd</t>
  </si>
  <si>
    <t>Khối lượng</t>
  </si>
  <si>
    <t>122,02/1000 = 0,122</t>
  </si>
  <si>
    <t>Máy nén khí, động cơ diezel - năng suất: 240 m3/h</t>
  </si>
  <si>
    <t>AF.61331</t>
  </si>
  <si>
    <t>Chmc</t>
  </si>
  <si>
    <t>AF.61110</t>
  </si>
  <si>
    <t>Các chi phí hạng mục chung khác: chi phí thuê đất tạm thời</t>
  </si>
  <si>
    <t>CỐNG CẦU LƯỢNG: 1,5%*78000đ/m2*1,4*1458,37m2</t>
  </si>
  <si>
    <t>CỌC BTCT CHỐNG VA</t>
  </si>
  <si>
    <t>Đập đầu cọc dưới nước</t>
  </si>
  <si>
    <t>Trụ chống va</t>
  </si>
  <si>
    <t>Bê tông dầm đầu cọc chống va M300</t>
  </si>
  <si>
    <t>Cốt thép dầm đầu cọc chống va đk ≤10mm</t>
  </si>
  <si>
    <t>Cốt thép dầm đầu cọc chống va đk ≤18mm</t>
  </si>
  <si>
    <t>Sơn trụ chống va</t>
  </si>
  <si>
    <t>AA.22320</t>
  </si>
  <si>
    <t>AF.14225</t>
  </si>
  <si>
    <t>AF.82211</t>
  </si>
  <si>
    <t>Ván khuôn dầm đầu cọc chống va</t>
  </si>
  <si>
    <t>AK.91111</t>
  </si>
  <si>
    <t>Khối lượng
DT</t>
  </si>
  <si>
    <t>Khối lượng
KTRA</t>
  </si>
  <si>
    <t>DT</t>
  </si>
  <si>
    <t>BẢNG TIÊN LƯỢNG DỰ TOÁN</t>
  </si>
  <si>
    <r>
      <t>Công trình</t>
    </r>
    <r>
      <rPr>
        <b/>
        <sz val="11"/>
        <rFont val="Arial"/>
        <family val="2"/>
      </rPr>
      <t>:     ABC</t>
    </r>
  </si>
  <si>
    <r>
      <t>Hạng mục</t>
    </r>
    <r>
      <rPr>
        <b/>
        <sz val="11"/>
        <rFont val="Arial"/>
        <family val="2"/>
      </rPr>
      <t>:     DEF</t>
    </r>
  </si>
  <si>
    <t>Mã Định Mức</t>
  </si>
  <si>
    <t>Tên Công Việc &amp; Diễn Giải</t>
  </si>
  <si>
    <t>ĐVT</t>
  </si>
  <si>
    <t>Diễn giải khối lượng</t>
  </si>
  <si>
    <t>Số</t>
  </si>
  <si>
    <t>K.Lượng</t>
  </si>
  <si>
    <t>Ghi</t>
  </si>
  <si>
    <t>PGN</t>
  </si>
  <si>
    <t>phụ</t>
  </si>
  <si>
    <t>T.phần</t>
  </si>
  <si>
    <t>T.cộng</t>
  </si>
  <si>
    <t>chú</t>
  </si>
  <si>
    <r>
      <t xml:space="preserve"> (619,88+484,82)/1000 =</t>
    </r>
    <r>
      <rPr>
        <b/>
        <i/>
        <sz val="11"/>
        <color indexed="12"/>
        <rFont val="Times New Roman"/>
        <family val="2"/>
      </rPr>
      <t xml:space="preserve"> 1,105</t>
    </r>
  </si>
  <si>
    <r>
      <t xml:space="preserve"> (954,76+1205,00)/1000 =</t>
    </r>
    <r>
      <rPr>
        <b/>
        <i/>
        <sz val="11"/>
        <color indexed="12"/>
        <rFont val="Times New Roman"/>
        <family val="2"/>
      </rPr>
      <t xml:space="preserve"> 2,160</t>
    </r>
  </si>
  <si>
    <r>
      <t xml:space="preserve"> 54*18/100 =</t>
    </r>
    <r>
      <rPr>
        <b/>
        <i/>
        <sz val="11"/>
        <color indexed="12"/>
        <rFont val="Times New Roman"/>
        <family val="2"/>
      </rPr>
      <t xml:space="preserve"> 9,720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</si>
</sst>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 _₫_-;\-* #,##0.00\ _₫_-;_-* &quot;-&quot;??\ _₫_-;_-@_-"/>
    <numFmt numFmtId="164" formatCode="_(* #,##0.00_);_(* \(#,##0.00\);_(* &quot;-&quot;??_);_(@_)"/>
    <numFmt numFmtId="165" formatCode="#,##0.0000"/>
    <numFmt numFmtId="166" formatCode="#,##0.000"/>
    <numFmt numFmtId="167" formatCode="#,###"/>
    <numFmt numFmtId="168" formatCode="#,##0.000%"/>
    <numFmt numFmtId="169" formatCode="0.000%"/>
    <numFmt numFmtId="170" formatCode="0.0%"/>
    <numFmt numFmtId="171" formatCode="_(* #,##0_);_(* \(#,##0\);_(* &quot;-&quot;&quot;?&quot;&quot;?&quot;_);_(@_)"/>
    <numFmt numFmtId="172" formatCode="#,##0;\-#,##0"/>
    <numFmt numFmtId="173" formatCode="_(* #,##0_);_(* \(#,##0\);_(* &quot;-&quot;??_);_(@_)"/>
  </numFmts>
  <fonts count="38" x14ac:knownFonts="1">
    <font>
      <sz val="11"/>
      <color theme="1"/>
      <name val="Calibri"/>
      <family val="2"/>
      <scheme val="minor"/>
    </font>
    <font>
      <sz val="11"/>
      <color theme="1"/>
      <name val="Times New Roman"/>
      <family val="2"/>
    </font>
    <font>
      <b/>
      <sz val="8"/>
      <name val="Tahoma"/>
      <family val="2"/>
    </font>
    <font>
      <sz val="10"/>
      <name val="VNI-Times"/>
    </font>
    <font>
      <b/>
      <sz val="12"/>
      <name val="Times New Roman"/>
      <family val="1"/>
    </font>
    <font>
      <sz val="8.25"/>
      <name val="Microsoft Sans Serif"/>
      <family val="2"/>
    </font>
    <font>
      <sz val="11"/>
      <name val="Times New Roman"/>
      <family val="1"/>
    </font>
    <font>
      <b/>
      <sz val="11"/>
      <color rgb="FF000000"/>
      <name val="Times New Roman"/>
      <family val="2"/>
    </font>
    <font>
      <sz val="11"/>
      <color rgb="FF000000"/>
      <name val="Times New Roman"/>
      <family val="2"/>
    </font>
    <font>
      <b/>
      <sz val="11"/>
      <color rgb="FF0000FF"/>
      <name val="Times New Roman"/>
      <family val="2"/>
    </font>
    <font>
      <sz val="11"/>
      <color rgb="FF0000FF"/>
      <name val="Times New Roman"/>
      <family val="2"/>
    </font>
    <font>
      <b/>
      <i/>
      <sz val="11"/>
      <color rgb="FF000000"/>
      <name val="Times New Roman"/>
      <family val="2"/>
    </font>
    <font>
      <sz val="11"/>
      <color rgb="FF808080"/>
      <name val="Times New Roman"/>
      <family val="2"/>
    </font>
    <font>
      <sz val="11"/>
      <color theme="1"/>
      <name val="Times New Roman"/>
      <family val="2"/>
    </font>
    <font>
      <b/>
      <i/>
      <sz val="11"/>
      <color rgb="FF0000FF"/>
      <name val="Times New Roman"/>
      <family val="2"/>
    </font>
    <font>
      <sz val="11"/>
      <color rgb="FFA52A2A"/>
      <name val="Times New Roman"/>
      <family val="2"/>
    </font>
    <font>
      <sz val="11"/>
      <color rgb="FFFF0000"/>
      <name val="Times New Roman"/>
      <family val="2"/>
    </font>
    <font>
      <b/>
      <sz val="12"/>
      <color theme="1"/>
      <name val="Times New Roman"/>
      <family val="2"/>
    </font>
    <font>
      <b/>
      <sz val="15"/>
      <color rgb="FF000000"/>
      <name val="Times New Roman"/>
      <family val="2"/>
    </font>
    <font>
      <b/>
      <sz val="12"/>
      <color rgb="FF000000"/>
      <name val="Times New Roman"/>
      <family val="2"/>
    </font>
    <font>
      <b/>
      <sz val="11"/>
      <color rgb="FF808080"/>
      <name val="Times New Roman"/>
      <family val="2"/>
    </font>
    <font>
      <i/>
      <sz val="11"/>
      <color rgb="FF000000"/>
      <name val="Times New Roman"/>
      <family val="2"/>
    </font>
    <font>
      <sz val="11"/>
      <color theme="1"/>
      <name val="Calibri"/>
      <family val="2"/>
      <scheme val="minor"/>
    </font>
    <font>
      <b/>
      <sz val="11"/>
      <color theme="1"/>
      <name val="Times New Roman"/>
      <family val="1"/>
    </font>
    <font>
      <b/>
      <u/>
      <sz val="11"/>
      <color theme="1"/>
      <name val="Times New Roman"/>
      <family val="1"/>
    </font>
    <font>
      <sz val="13"/>
      <color theme="1"/>
      <name val="Times New Roman"/>
      <family val="2"/>
      <charset val="163"/>
    </font>
    <font>
      <b/>
      <sz val="11"/>
      <color rgb="FFFF0000"/>
      <name val="Times New Roman"/>
      <family val="1"/>
    </font>
    <font>
      <b/>
      <u/>
      <sz val="14"/>
      <color indexed="12"/>
      <name val="Arial"/>
      <family val="2"/>
    </font>
    <font>
      <sz val="14"/>
      <name val="Arial"/>
      <family val="2"/>
    </font>
    <font>
      <sz val="10"/>
      <name val="Arial"/>
      <family val="2"/>
    </font>
    <font>
      <b/>
      <u/>
      <sz val="11"/>
      <name val="Arial"/>
      <family val="2"/>
    </font>
    <font>
      <b/>
      <sz val="11"/>
      <name val="Arial"/>
      <family val="2"/>
    </font>
    <font>
      <b/>
      <sz val="10"/>
      <color indexed="12"/>
      <name val="Arial"/>
      <family val="2"/>
    </font>
    <font>
      <b/>
      <sz val="9"/>
      <name val="Arial"/>
      <family val="2"/>
    </font>
    <font>
      <sz val="11"/>
      <name val="VNtimes New Roman"/>
    </font>
    <font>
      <sz val="10"/>
      <name val="Arial"/>
    </font>
    <font>
      <sz val="11"/>
      <color indexed="8"/>
      <name val="Times New Roman"/>
      <family val="2"/>
    </font>
    <font>
      <b/>
      <i/>
      <sz val="11"/>
      <color indexed="12"/>
      <name val="Times New Roman"/>
      <family val="2"/>
    </font>
  </fonts>
  <fills count="13">
    <fill>
      <patternFill patternType="none"/>
    </fill>
    <fill>
      <patternFill patternType="gray125"/>
    </fill>
    <fill>
      <patternFill patternType="solid">
        <fgColor rgb="FFFFFFFF"/>
        <bgColor indexed="64"/>
      </patternFill>
    </fill>
    <fill>
      <patternFill patternType="solid">
        <fgColor rgb="FFE2E2E2"/>
        <bgColor indexed="64"/>
      </patternFill>
    </fill>
    <fill>
      <patternFill patternType="solid">
        <fgColor rgb="FFDEFFE4"/>
        <bgColor indexed="64"/>
      </patternFill>
    </fill>
    <fill>
      <patternFill patternType="solid">
        <fgColor rgb="FFEFEFF2"/>
        <bgColor indexed="64"/>
      </patternFill>
    </fill>
    <fill>
      <patternFill patternType="solid">
        <fgColor rgb="FFFFFFB4"/>
        <bgColor indexed="64"/>
      </patternFill>
    </fill>
    <fill>
      <patternFill patternType="solid">
        <fgColor rgb="FFFFFF00"/>
        <bgColor indexed="64"/>
      </patternFill>
    </fill>
    <fill>
      <patternFill patternType="solid">
        <fgColor rgb="FFDCFFDC"/>
        <bgColor indexed="64"/>
      </patternFill>
    </fill>
    <fill>
      <patternFill patternType="solid">
        <fgColor rgb="FFFFFF80"/>
        <bgColor indexed="64"/>
      </patternFill>
    </fill>
    <fill>
      <patternFill patternType="solid">
        <fgColor rgb="FFFFC000"/>
        <bgColor indexed="64"/>
      </patternFill>
    </fill>
    <fill>
      <patternFill patternType="solid">
        <fgColor rgb="FFFF0000"/>
        <bgColor indexed="64"/>
      </patternFill>
    </fill>
    <fill>
      <patternFill patternType="solid">
        <fgColor indexed="41"/>
        <bgColor indexed="64"/>
      </patternFill>
    </fill>
  </fills>
  <borders count="15">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8"/>
      </left>
      <right style="thin">
        <color indexed="8"/>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0">
    <xf numFmtId="0" fontId="0" fillId="0" borderId="0"/>
    <xf numFmtId="0" fontId="5" fillId="0" borderId="0">
      <protection locked="0"/>
    </xf>
    <xf numFmtId="0" fontId="3" fillId="0" borderId="0"/>
    <xf numFmtId="164" fontId="22" fillId="0" borderId="0" applyFont="0" applyFill="0" applyBorder="0" applyAlignment="0" applyProtection="0"/>
    <xf numFmtId="9" fontId="22" fillId="0" borderId="0" applyFont="0" applyFill="0" applyBorder="0" applyAlignment="0" applyProtection="0"/>
    <xf numFmtId="0" fontId="25" fillId="0" borderId="0"/>
    <xf numFmtId="43" fontId="25" fillId="0" borderId="0" applyFont="0" applyFill="0" applyBorder="0" applyAlignment="0" applyProtection="0"/>
    <xf numFmtId="0" fontId="29" fillId="0" borderId="0"/>
    <xf numFmtId="0" fontId="34" fillId="0" borderId="0"/>
    <xf numFmtId="0" fontId="35" fillId="0" borderId="0"/>
  </cellStyleXfs>
  <cellXfs count="331">
    <xf numFmtId="0" fontId="0" fillId="0" borderId="0" xfId="0"/>
    <xf numFmtId="168" fontId="7" fillId="2" borderId="1" xfId="0" applyNumberFormat="1" applyFont="1" applyFill="1" applyBorder="1" applyAlignment="1">
      <alignment horizontal="right" vertical="top" wrapText="1"/>
    </xf>
    <xf numFmtId="0" fontId="8" fillId="2" borderId="0" xfId="0" applyFont="1" applyFill="1" applyAlignment="1">
      <alignment horizontal="center" vertical="top" wrapText="1"/>
    </xf>
    <xf numFmtId="49" fontId="8" fillId="2" borderId="2" xfId="0" applyNumberFormat="1" applyFont="1" applyFill="1" applyBorder="1" applyAlignment="1">
      <alignment horizontal="center" vertical="top" wrapText="1"/>
    </xf>
    <xf numFmtId="165" fontId="8"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xf numFmtId="49" fontId="8" fillId="2" borderId="1" xfId="0" applyNumberFormat="1" applyFont="1" applyFill="1" applyBorder="1" applyAlignment="1">
      <alignment horizontal="center" vertical="top" wrapText="1"/>
    </xf>
    <xf numFmtId="9" fontId="8" fillId="2" borderId="4" xfId="0" applyNumberFormat="1" applyFont="1" applyFill="1" applyBorder="1" applyAlignment="1">
      <alignment horizontal="center" vertical="top" wrapText="1"/>
    </xf>
    <xf numFmtId="170" fontId="8" fillId="2" borderId="4" xfId="0" applyNumberFormat="1" applyFont="1" applyFill="1" applyBorder="1" applyAlignment="1">
      <alignment horizontal="right" vertical="top" wrapText="1"/>
    </xf>
    <xf numFmtId="168" fontId="8" fillId="2" borderId="2" xfId="0" applyNumberFormat="1" applyFont="1" applyFill="1" applyBorder="1" applyAlignment="1">
      <alignment horizontal="right" vertical="top" wrapText="1"/>
    </xf>
    <xf numFmtId="0" fontId="7" fillId="2" borderId="2" xfId="0" applyFont="1" applyFill="1" applyBorder="1" applyAlignment="1">
      <alignment horizontal="left" vertical="top" wrapText="1"/>
    </xf>
    <xf numFmtId="166" fontId="8" fillId="3" borderId="4" xfId="0" applyNumberFormat="1" applyFont="1" applyFill="1" applyBorder="1" applyAlignment="1">
      <alignment horizontal="right" vertical="top" wrapText="1"/>
    </xf>
    <xf numFmtId="0" fontId="10" fillId="2" borderId="2" xfId="0" applyFont="1" applyFill="1" applyBorder="1" applyAlignment="1">
      <alignment horizontal="left" vertical="top" wrapText="1"/>
    </xf>
    <xf numFmtId="0" fontId="8" fillId="2" borderId="3" xfId="0" applyFont="1" applyFill="1" applyBorder="1" applyAlignment="1">
      <alignment horizontal="right" vertical="center" wrapText="1"/>
    </xf>
    <xf numFmtId="0" fontId="7" fillId="2" borderId="1" xfId="0" applyFont="1" applyFill="1" applyBorder="1" applyAlignment="1">
      <alignment horizontal="left" vertical="top" wrapText="1"/>
    </xf>
    <xf numFmtId="3" fontId="11" fillId="2" borderId="4" xfId="0" applyNumberFormat="1" applyFont="1" applyFill="1" applyBorder="1" applyAlignment="1">
      <alignment horizontal="right" vertical="top" wrapText="1"/>
    </xf>
    <xf numFmtId="0" fontId="7" fillId="2" borderId="4" xfId="0" applyFont="1" applyFill="1" applyBorder="1" applyAlignment="1">
      <alignment horizontal="right" vertical="top" wrapText="1"/>
    </xf>
    <xf numFmtId="0" fontId="12" fillId="2" borderId="4" xfId="0" applyFont="1" applyFill="1" applyBorder="1" applyAlignment="1">
      <alignment horizontal="left" vertical="top" wrapText="1"/>
    </xf>
    <xf numFmtId="3" fontId="8" fillId="0" borderId="1" xfId="0" applyNumberFormat="1" applyFont="1" applyBorder="1" applyAlignment="1">
      <alignment horizontal="right" vertical="top" wrapText="1"/>
    </xf>
    <xf numFmtId="9" fontId="13" fillId="0" borderId="0" xfId="0" applyNumberFormat="1" applyFont="1"/>
    <xf numFmtId="0" fontId="10" fillId="2" borderId="4" xfId="0" applyFont="1" applyFill="1" applyBorder="1" applyAlignment="1">
      <alignment horizontal="right" vertical="top" wrapText="1"/>
    </xf>
    <xf numFmtId="49" fontId="8" fillId="4" borderId="1" xfId="0" applyNumberFormat="1" applyFont="1" applyFill="1" applyBorder="1" applyAlignment="1">
      <alignment horizontal="left" vertical="top" wrapText="1"/>
    </xf>
    <xf numFmtId="0" fontId="7" fillId="2" borderId="0" xfId="0" applyFont="1" applyFill="1" applyAlignment="1">
      <alignment horizontal="center" vertical="center" wrapText="1"/>
    </xf>
    <xf numFmtId="0" fontId="14" fillId="2" borderId="4" xfId="0" applyFont="1" applyFill="1" applyBorder="1" applyAlignment="1">
      <alignment horizontal="left" vertical="top" wrapText="1"/>
    </xf>
    <xf numFmtId="0" fontId="8" fillId="2" borderId="2" xfId="0" applyFont="1" applyFill="1" applyBorder="1" applyAlignment="1">
      <alignment horizontal="left" vertical="top" wrapText="1"/>
    </xf>
    <xf numFmtId="0" fontId="11" fillId="2" borderId="4" xfId="0" applyFont="1" applyFill="1" applyBorder="1" applyAlignment="1">
      <alignment wrapText="1"/>
    </xf>
    <xf numFmtId="0" fontId="11" fillId="2" borderId="4" xfId="0" applyFont="1" applyFill="1" applyBorder="1" applyAlignment="1">
      <alignment horizontal="center" vertical="top" wrapText="1"/>
    </xf>
    <xf numFmtId="166" fontId="10" fillId="2" borderId="4" xfId="0" applyNumberFormat="1" applyFont="1" applyFill="1" applyBorder="1" applyAlignment="1">
      <alignment horizontal="right" vertical="top" wrapText="1"/>
    </xf>
    <xf numFmtId="3" fontId="8" fillId="3" borderId="1" xfId="0" applyNumberFormat="1" applyFont="1" applyFill="1" applyBorder="1" applyAlignment="1">
      <alignment horizontal="right" vertical="top" wrapText="1"/>
    </xf>
    <xf numFmtId="49" fontId="15" fillId="2" borderId="4" xfId="0" applyNumberFormat="1" applyFont="1" applyFill="1" applyBorder="1" applyAlignment="1">
      <alignment horizontal="left" vertical="top" wrapText="1"/>
    </xf>
    <xf numFmtId="165" fontId="16" fillId="2" borderId="4" xfId="0" applyNumberFormat="1" applyFont="1" applyFill="1" applyBorder="1" applyAlignment="1">
      <alignment horizontal="right" vertical="top" wrapText="1"/>
    </xf>
    <xf numFmtId="0" fontId="8" fillId="2" borderId="1" xfId="0" applyFont="1" applyFill="1" applyBorder="1" applyAlignment="1">
      <alignment horizontal="left" vertical="top" wrapText="1"/>
    </xf>
    <xf numFmtId="165" fontId="8" fillId="3" borderId="4" xfId="0" applyNumberFormat="1" applyFont="1" applyFill="1" applyBorder="1" applyAlignment="1">
      <alignment horizontal="right" vertical="top" wrapText="1"/>
    </xf>
    <xf numFmtId="3" fontId="9" fillId="2" borderId="3" xfId="0" applyNumberFormat="1" applyFont="1" applyFill="1" applyBorder="1" applyAlignment="1">
      <alignment horizontal="right" vertical="top" wrapText="1"/>
    </xf>
    <xf numFmtId="0" fontId="8" fillId="2" borderId="4" xfId="0" applyFont="1" applyFill="1" applyBorder="1" applyAlignment="1">
      <alignment horizontal="right" vertical="top" wrapText="1"/>
    </xf>
    <xf numFmtId="3" fontId="7" fillId="2" borderId="2" xfId="0" applyNumberFormat="1" applyFont="1" applyFill="1" applyBorder="1" applyAlignment="1">
      <alignment horizontal="right" vertical="top" wrapText="1"/>
    </xf>
    <xf numFmtId="0" fontId="8" fillId="2" borderId="0" xfId="0" applyFont="1" applyFill="1" applyAlignment="1">
      <alignment horizontal="right" vertical="top" wrapText="1"/>
    </xf>
    <xf numFmtId="166" fontId="8" fillId="2" borderId="4" xfId="0" applyNumberFormat="1" applyFont="1" applyFill="1" applyBorder="1" applyAlignment="1">
      <alignment horizontal="right" vertical="top" wrapText="1"/>
    </xf>
    <xf numFmtId="3" fontId="10" fillId="2" borderId="2" xfId="0" applyNumberFormat="1" applyFont="1" applyFill="1" applyBorder="1" applyAlignment="1">
      <alignment horizontal="right" vertical="top" wrapText="1"/>
    </xf>
    <xf numFmtId="3" fontId="7" fillId="2" borderId="1" xfId="0" applyNumberFormat="1" applyFont="1" applyFill="1" applyBorder="1" applyAlignment="1">
      <alignment horizontal="right" vertical="top" wrapText="1"/>
    </xf>
    <xf numFmtId="0" fontId="9" fillId="2" borderId="3" xfId="0" applyFont="1" applyFill="1" applyBorder="1" applyAlignment="1">
      <alignment horizontal="center" vertical="top" wrapText="1"/>
    </xf>
    <xf numFmtId="9" fontId="8" fillId="2" borderId="4" xfId="0" applyNumberFormat="1" applyFont="1" applyFill="1" applyBorder="1" applyAlignment="1">
      <alignment horizontal="right" vertical="top" wrapText="1"/>
    </xf>
    <xf numFmtId="0" fontId="7" fillId="2" borderId="2" xfId="0" applyFont="1" applyFill="1" applyBorder="1" applyAlignment="1">
      <alignment horizontal="center" vertical="top" wrapText="1"/>
    </xf>
    <xf numFmtId="165"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left" vertical="top" wrapText="1"/>
    </xf>
    <xf numFmtId="165" fontId="10" fillId="2" borderId="4" xfId="0" applyNumberFormat="1"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wrapText="1"/>
    </xf>
    <xf numFmtId="3" fontId="14" fillId="2" borderId="4" xfId="0" applyNumberFormat="1" applyFont="1" applyFill="1" applyBorder="1" applyAlignment="1">
      <alignment horizontal="right" vertical="top" wrapText="1"/>
    </xf>
    <xf numFmtId="167" fontId="8" fillId="2" borderId="4" xfId="0" applyNumberFormat="1" applyFont="1" applyFill="1" applyBorder="1" applyAlignment="1">
      <alignment horizontal="right" vertical="top" wrapText="1"/>
    </xf>
    <xf numFmtId="49" fontId="7" fillId="5" borderId="3" xfId="0" applyNumberFormat="1" applyFont="1" applyFill="1" applyBorder="1" applyAlignment="1">
      <alignment horizontal="center" vertical="top" wrapText="1"/>
    </xf>
    <xf numFmtId="3" fontId="8" fillId="2" borderId="2" xfId="0" applyNumberFormat="1" applyFont="1" applyFill="1" applyBorder="1" applyAlignment="1">
      <alignment horizontal="right" vertical="top" wrapText="1"/>
    </xf>
    <xf numFmtId="49" fontId="8" fillId="0" borderId="4" xfId="0" applyNumberFormat="1" applyFont="1" applyBorder="1" applyAlignment="1">
      <alignment horizontal="left" vertical="top" wrapText="1"/>
    </xf>
    <xf numFmtId="0" fontId="8" fillId="6" borderId="3" xfId="0" applyFont="1" applyFill="1" applyBorder="1" applyAlignment="1">
      <alignment horizontal="right" vertical="top" wrapText="1"/>
    </xf>
    <xf numFmtId="3" fontId="8" fillId="2" borderId="1" xfId="0" applyNumberFormat="1" applyFont="1" applyFill="1" applyBorder="1" applyAlignment="1">
      <alignment horizontal="right" vertical="top" wrapText="1"/>
    </xf>
    <xf numFmtId="0" fontId="10" fillId="2" borderId="4" xfId="0" applyFont="1" applyFill="1" applyBorder="1" applyAlignment="1">
      <alignment horizontal="right" vertical="center" wrapText="1"/>
    </xf>
    <xf numFmtId="0" fontId="14" fillId="2" borderId="4" xfId="0" applyFont="1" applyFill="1" applyBorder="1" applyAlignment="1">
      <alignment horizontal="center" vertical="top" wrapText="1"/>
    </xf>
    <xf numFmtId="0" fontId="8" fillId="2" borderId="2" xfId="0" applyFont="1" applyFill="1" applyBorder="1" applyAlignment="1">
      <alignment horizontal="center" vertical="top" wrapText="1"/>
    </xf>
    <xf numFmtId="0" fontId="8" fillId="2" borderId="2" xfId="0" applyFont="1" applyFill="1" applyBorder="1" applyAlignment="1">
      <alignment wrapText="1"/>
    </xf>
    <xf numFmtId="165" fontId="16" fillId="7" borderId="4" xfId="0" applyNumberFormat="1" applyFont="1" applyFill="1" applyBorder="1" applyAlignment="1">
      <alignment horizontal="right" vertical="top" wrapText="1"/>
    </xf>
    <xf numFmtId="165" fontId="8" fillId="2" borderId="4" xfId="0" applyNumberFormat="1" applyFont="1" applyFill="1" applyBorder="1" applyAlignment="1">
      <alignment horizontal="right" vertical="top" wrapText="1"/>
    </xf>
    <xf numFmtId="0" fontId="11" fillId="2" borderId="4" xfId="0" applyFont="1" applyFill="1" applyBorder="1" applyAlignment="1">
      <alignment horizontal="right" vertical="top" wrapText="1"/>
    </xf>
    <xf numFmtId="0" fontId="9" fillId="2" borderId="4" xfId="0" applyFont="1" applyFill="1" applyBorder="1" applyAlignment="1">
      <alignment horizontal="left" vertical="top" wrapText="1"/>
    </xf>
    <xf numFmtId="49" fontId="15" fillId="2" borderId="4" xfId="0" applyNumberFormat="1" applyFont="1" applyFill="1" applyBorder="1" applyAlignment="1">
      <alignment horizontal="center" vertical="top" wrapText="1"/>
    </xf>
    <xf numFmtId="9" fontId="8" fillId="6" borderId="3" xfId="0" applyNumberFormat="1" applyFont="1" applyFill="1" applyBorder="1" applyAlignment="1">
      <alignment horizontal="right" vertical="top" wrapText="1"/>
    </xf>
    <xf numFmtId="0" fontId="8" fillId="2" borderId="1" xfId="0" applyFont="1" applyFill="1" applyBorder="1" applyAlignment="1">
      <alignment horizontal="center" vertical="top" wrapText="1"/>
    </xf>
    <xf numFmtId="0" fontId="8" fillId="2" borderId="1" xfId="0" applyFont="1" applyFill="1" applyBorder="1" applyAlignment="1">
      <alignment wrapText="1"/>
    </xf>
    <xf numFmtId="3" fontId="7" fillId="5" borderId="3" xfId="0" applyNumberFormat="1" applyFont="1" applyFill="1" applyBorder="1" applyAlignment="1">
      <alignment horizontal="center" vertical="top" wrapText="1"/>
    </xf>
    <xf numFmtId="3" fontId="8" fillId="6" borderId="4" xfId="0" applyNumberFormat="1" applyFont="1" applyFill="1" applyBorder="1" applyAlignment="1">
      <alignment horizontal="right" vertical="top" wrapText="1"/>
    </xf>
    <xf numFmtId="0" fontId="8" fillId="2" borderId="4" xfId="0" applyFont="1" applyFill="1" applyBorder="1" applyAlignment="1">
      <alignment horizontal="right" vertical="center" wrapText="1"/>
    </xf>
    <xf numFmtId="0" fontId="8" fillId="2" borderId="0" xfId="0" applyFont="1" applyFill="1" applyAlignment="1">
      <alignment horizontal="right" vertical="center" wrapText="1"/>
    </xf>
    <xf numFmtId="3" fontId="15" fillId="0" borderId="4" xfId="0" applyNumberFormat="1" applyFont="1" applyBorder="1" applyAlignment="1">
      <alignment horizontal="right" vertical="top" wrapText="1"/>
    </xf>
    <xf numFmtId="166" fontId="8" fillId="3" borderId="1" xfId="0" applyNumberFormat="1" applyFont="1" applyFill="1" applyBorder="1" applyAlignment="1">
      <alignment horizontal="right" vertical="top" wrapText="1"/>
    </xf>
    <xf numFmtId="49" fontId="15" fillId="4" borderId="4" xfId="0" applyNumberFormat="1" applyFont="1" applyFill="1" applyBorder="1" applyAlignment="1">
      <alignment horizontal="left" vertical="top" wrapText="1"/>
    </xf>
    <xf numFmtId="0" fontId="9" fillId="2" borderId="3" xfId="0" applyFont="1" applyFill="1" applyBorder="1" applyAlignment="1">
      <alignment horizontal="right" vertical="top" wrapText="1"/>
    </xf>
    <xf numFmtId="0" fontId="7" fillId="2" borderId="3" xfId="0" applyFont="1" applyFill="1" applyBorder="1" applyAlignment="1">
      <alignment horizontal="left" vertical="top" wrapText="1"/>
    </xf>
    <xf numFmtId="0" fontId="10" fillId="2" borderId="3" xfId="0" applyFont="1" applyFill="1" applyBorder="1" applyAlignment="1">
      <alignment horizontal="left" vertical="top" wrapText="1"/>
    </xf>
    <xf numFmtId="0" fontId="7" fillId="2" borderId="2" xfId="0" applyFont="1" applyFill="1" applyBorder="1" applyAlignment="1">
      <alignment horizontal="right" vertical="top" wrapText="1"/>
    </xf>
    <xf numFmtId="0" fontId="12" fillId="2" borderId="2" xfId="0" applyFont="1" applyFill="1" applyBorder="1" applyAlignment="1">
      <alignment horizontal="left" vertical="top" wrapText="1"/>
    </xf>
    <xf numFmtId="0" fontId="10" fillId="2" borderId="2" xfId="0" applyFont="1" applyFill="1" applyBorder="1" applyAlignment="1">
      <alignment horizontal="right" vertical="top" wrapText="1"/>
    </xf>
    <xf numFmtId="0" fontId="15" fillId="2" borderId="4" xfId="0" applyFont="1" applyFill="1" applyBorder="1" applyAlignment="1">
      <alignment horizontal="left" vertical="top" wrapText="1"/>
    </xf>
    <xf numFmtId="0" fontId="12"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49" fontId="7" fillId="5" borderId="3" xfId="0" applyNumberFormat="1" applyFont="1" applyFill="1" applyBorder="1" applyAlignment="1">
      <alignment horizontal="center" vertical="center" wrapText="1"/>
    </xf>
    <xf numFmtId="49" fontId="8" fillId="2" borderId="4" xfId="0" applyNumberFormat="1" applyFont="1" applyFill="1" applyBorder="1" applyAlignment="1">
      <alignment horizontal="left" vertical="top" wrapText="1"/>
    </xf>
    <xf numFmtId="3" fontId="9" fillId="2" borderId="4" xfId="0" applyNumberFormat="1" applyFont="1" applyFill="1" applyBorder="1" applyAlignment="1">
      <alignment horizontal="right" vertical="top" wrapText="1"/>
    </xf>
    <xf numFmtId="0" fontId="8" fillId="2" borderId="3" xfId="0" applyFont="1" applyFill="1" applyBorder="1" applyAlignment="1">
      <alignment horizontal="left" vertical="top" wrapText="1"/>
    </xf>
    <xf numFmtId="10" fontId="13" fillId="0" borderId="0" xfId="0" applyNumberFormat="1" applyFont="1"/>
    <xf numFmtId="0" fontId="14" fillId="2" borderId="4" xfId="0" applyFont="1" applyFill="1" applyBorder="1" applyAlignment="1">
      <alignment horizontal="right" vertical="top" wrapText="1"/>
    </xf>
    <xf numFmtId="0" fontId="8" fillId="2" borderId="2" xfId="0" applyFont="1" applyFill="1" applyBorder="1" applyAlignment="1">
      <alignment horizontal="right" vertical="top" wrapText="1"/>
    </xf>
    <xf numFmtId="166" fontId="14" fillId="2" borderId="4" xfId="0" applyNumberFormat="1" applyFont="1" applyFill="1" applyBorder="1" applyAlignment="1">
      <alignment horizontal="right" vertical="top" wrapText="1"/>
    </xf>
    <xf numFmtId="165" fontId="8" fillId="3" borderId="1" xfId="0" applyNumberFormat="1" applyFont="1" applyFill="1" applyBorder="1" applyAlignment="1">
      <alignment horizontal="right" vertical="top" wrapText="1"/>
    </xf>
    <xf numFmtId="3" fontId="7" fillId="5" borderId="3" xfId="0" applyNumberFormat="1" applyFont="1" applyFill="1" applyBorder="1" applyAlignment="1">
      <alignment horizontal="center" vertical="center" wrapText="1"/>
    </xf>
    <xf numFmtId="166" fontId="8" fillId="2" borderId="2" xfId="0" applyNumberFormat="1" applyFont="1" applyFill="1" applyBorder="1" applyAlignment="1">
      <alignment horizontal="right" vertical="top" wrapText="1"/>
    </xf>
    <xf numFmtId="0" fontId="8" fillId="2" borderId="1" xfId="0" applyFont="1" applyFill="1" applyBorder="1" applyAlignment="1">
      <alignment horizontal="right" vertical="top" wrapText="1"/>
    </xf>
    <xf numFmtId="9" fontId="8" fillId="2" borderId="3" xfId="0" applyNumberFormat="1" applyFont="1" applyFill="1" applyBorder="1" applyAlignment="1">
      <alignment horizontal="left" vertical="top" wrapText="1"/>
    </xf>
    <xf numFmtId="9" fontId="8" fillId="2" borderId="2" xfId="0" applyNumberFormat="1" applyFont="1" applyFill="1" applyBorder="1" applyAlignment="1">
      <alignment horizontal="right" vertical="top" wrapText="1"/>
    </xf>
    <xf numFmtId="3" fontId="7" fillId="2" borderId="3" xfId="0" applyNumberFormat="1" applyFont="1" applyFill="1" applyBorder="1" applyAlignment="1">
      <alignment horizontal="right" vertical="top" wrapText="1"/>
    </xf>
    <xf numFmtId="166" fontId="8" fillId="2" borderId="1" xfId="0" applyNumberFormat="1" applyFont="1" applyFill="1" applyBorder="1" applyAlignment="1">
      <alignment horizontal="right" vertical="top" wrapText="1"/>
    </xf>
    <xf numFmtId="165" fontId="9" fillId="2" borderId="3" xfId="0" applyNumberFormat="1" applyFont="1" applyFill="1" applyBorder="1" applyAlignment="1">
      <alignment horizontal="right" vertical="top" wrapText="1"/>
    </xf>
    <xf numFmtId="3" fontId="16" fillId="0" borderId="4" xfId="0" applyNumberFormat="1" applyFont="1" applyBorder="1" applyAlignment="1">
      <alignment horizontal="right" vertical="top" wrapText="1"/>
    </xf>
    <xf numFmtId="165" fontId="7" fillId="2" borderId="2" xfId="0" applyNumberFormat="1" applyFont="1" applyFill="1" applyBorder="1" applyAlignment="1">
      <alignment horizontal="right" vertical="top" wrapText="1"/>
    </xf>
    <xf numFmtId="49" fontId="7" fillId="2" borderId="4" xfId="0" applyNumberFormat="1" applyFont="1" applyFill="1" applyBorder="1" applyAlignment="1">
      <alignment horizontal="center" vertical="top" wrapText="1"/>
    </xf>
    <xf numFmtId="165" fontId="10" fillId="2" borderId="2" xfId="0" applyNumberFormat="1" applyFont="1" applyFill="1" applyBorder="1" applyAlignment="1">
      <alignment horizontal="right" vertical="top" wrapText="1"/>
    </xf>
    <xf numFmtId="3" fontId="8" fillId="8" borderId="4" xfId="0" applyNumberFormat="1" applyFont="1" applyFill="1" applyBorder="1" applyAlignment="1">
      <alignment horizontal="right" vertical="top" wrapText="1"/>
    </xf>
    <xf numFmtId="0" fontId="7" fillId="5" borderId="3" xfId="0" applyFont="1" applyFill="1" applyBorder="1" applyAlignment="1">
      <alignment horizontal="center" vertical="top" wrapText="1"/>
    </xf>
    <xf numFmtId="165" fontId="7" fillId="2" borderId="1" xfId="0" applyNumberFormat="1" applyFont="1" applyFill="1" applyBorder="1" applyAlignment="1">
      <alignment horizontal="right" vertical="top" wrapText="1"/>
    </xf>
    <xf numFmtId="0" fontId="7" fillId="2" borderId="3" xfId="0" applyFont="1" applyFill="1" applyBorder="1" applyAlignment="1">
      <alignment horizontal="center" vertical="top" wrapText="1"/>
    </xf>
    <xf numFmtId="167" fontId="8" fillId="2" borderId="2" xfId="0" applyNumberFormat="1" applyFont="1" applyFill="1" applyBorder="1" applyAlignment="1">
      <alignment horizontal="right" vertical="top" wrapText="1"/>
    </xf>
    <xf numFmtId="3" fontId="15" fillId="2" borderId="4" xfId="0" applyNumberFormat="1" applyFont="1" applyFill="1" applyBorder="1" applyAlignment="1">
      <alignment horizontal="right" vertical="top" wrapText="1"/>
    </xf>
    <xf numFmtId="165" fontId="10" fillId="2" borderId="1" xfId="0" applyNumberFormat="1" applyFont="1" applyFill="1" applyBorder="1" applyAlignment="1">
      <alignment horizontal="right" vertical="top" wrapText="1"/>
    </xf>
    <xf numFmtId="0" fontId="15" fillId="7" borderId="4" xfId="0" applyFont="1" applyFill="1" applyBorder="1" applyAlignment="1">
      <alignment horizontal="left" vertical="top" wrapText="1"/>
    </xf>
    <xf numFmtId="10" fontId="8" fillId="2" borderId="4" xfId="0" applyNumberFormat="1" applyFont="1" applyFill="1" applyBorder="1" applyAlignment="1">
      <alignment horizontal="right" vertical="top" wrapText="1"/>
    </xf>
    <xf numFmtId="0" fontId="16" fillId="2" borderId="4" xfId="0" applyFont="1" applyFill="1" applyBorder="1" applyAlignment="1">
      <alignment horizontal="left" vertical="top" wrapText="1"/>
    </xf>
    <xf numFmtId="168" fontId="7" fillId="2" borderId="4" xfId="0" applyNumberFormat="1" applyFont="1" applyFill="1" applyBorder="1" applyAlignment="1">
      <alignment horizontal="right" vertical="top" wrapText="1"/>
    </xf>
    <xf numFmtId="3" fontId="8" fillId="2" borderId="3" xfId="0" applyNumberFormat="1" applyFont="1" applyFill="1" applyBorder="1" applyAlignment="1">
      <alignment horizontal="right" vertical="top" wrapText="1"/>
    </xf>
    <xf numFmtId="0" fontId="10" fillId="2" borderId="2" xfId="0" applyFont="1" applyFill="1" applyBorder="1" applyAlignment="1">
      <alignment horizontal="right" vertical="center" wrapText="1"/>
    </xf>
    <xf numFmtId="9" fontId="7" fillId="5" borderId="3" xfId="0" applyNumberFormat="1" applyFont="1" applyFill="1" applyBorder="1" applyAlignment="1">
      <alignment horizontal="center" vertical="top" wrapText="1"/>
    </xf>
    <xf numFmtId="165" fontId="14" fillId="2" borderId="4" xfId="0" applyNumberFormat="1" applyFont="1" applyFill="1" applyBorder="1" applyAlignment="1">
      <alignment horizontal="right" vertical="top" wrapText="1"/>
    </xf>
    <xf numFmtId="0" fontId="15" fillId="2" borderId="4" xfId="0" applyFont="1" applyFill="1" applyBorder="1" applyAlignment="1">
      <alignment horizontal="center" vertical="top" wrapText="1"/>
    </xf>
    <xf numFmtId="0" fontId="8" fillId="9" borderId="4" xfId="0" applyFont="1" applyFill="1" applyBorder="1" applyAlignment="1">
      <alignment horizontal="left" vertical="top" wrapText="1"/>
    </xf>
    <xf numFmtId="165" fontId="8" fillId="2" borderId="2" xfId="0" applyNumberFormat="1" applyFont="1" applyFill="1" applyBorder="1" applyAlignment="1">
      <alignment horizontal="right" vertical="top" wrapText="1"/>
    </xf>
    <xf numFmtId="0" fontId="17" fillId="0" borderId="0" xfId="0" applyFont="1"/>
    <xf numFmtId="0" fontId="9" fillId="2" borderId="2" xfId="0" applyFont="1" applyFill="1" applyBorder="1" applyAlignment="1">
      <alignment horizontal="left" vertical="top" wrapText="1"/>
    </xf>
    <xf numFmtId="49" fontId="8" fillId="2" borderId="4" xfId="0" applyNumberFormat="1" applyFont="1" applyFill="1" applyBorder="1" applyAlignment="1">
      <alignment horizontal="center" vertical="top" wrapText="1"/>
    </xf>
    <xf numFmtId="169" fontId="7" fillId="2" borderId="4" xfId="0" applyNumberFormat="1" applyFont="1" applyFill="1" applyBorder="1" applyAlignment="1">
      <alignment horizontal="right" vertical="top" wrapText="1"/>
    </xf>
    <xf numFmtId="165" fontId="8" fillId="2" borderId="1" xfId="0" applyNumberFormat="1" applyFont="1" applyFill="1" applyBorder="1" applyAlignment="1">
      <alignment horizontal="right" vertical="top" wrapText="1"/>
    </xf>
    <xf numFmtId="3" fontId="8" fillId="6" borderId="2" xfId="0" applyNumberFormat="1" applyFont="1" applyFill="1" applyBorder="1" applyAlignment="1">
      <alignment horizontal="right" vertical="top" wrapText="1"/>
    </xf>
    <xf numFmtId="0" fontId="8" fillId="2" borderId="3" xfId="0" applyFont="1" applyFill="1" applyBorder="1" applyAlignment="1">
      <alignment horizontal="center" vertical="top" wrapText="1"/>
    </xf>
    <xf numFmtId="0" fontId="9" fillId="2" borderId="1" xfId="0" applyFont="1" applyFill="1" applyBorder="1" applyAlignment="1">
      <alignment horizontal="left" vertical="top" wrapText="1"/>
    </xf>
    <xf numFmtId="0" fontId="7" fillId="2" borderId="4" xfId="0" applyFont="1" applyFill="1" applyBorder="1" applyAlignment="1">
      <alignment horizontal="left" vertical="top" wrapText="1"/>
    </xf>
    <xf numFmtId="168" fontId="8" fillId="2" borderId="4" xfId="0" applyNumberFormat="1" applyFont="1" applyFill="1" applyBorder="1" applyAlignment="1">
      <alignment horizontal="right" vertical="top" wrapText="1"/>
    </xf>
    <xf numFmtId="49" fontId="9" fillId="2" borderId="3" xfId="0" applyNumberFormat="1" applyFont="1" applyFill="1" applyBorder="1" applyAlignment="1">
      <alignment horizontal="left" vertical="top" wrapText="1"/>
    </xf>
    <xf numFmtId="0" fontId="10" fillId="2" borderId="4" xfId="0" applyFont="1" applyFill="1" applyBorder="1" applyAlignment="1">
      <alignment horizontal="left" vertical="top" wrapText="1"/>
    </xf>
    <xf numFmtId="165" fontId="7" fillId="5" borderId="3" xfId="0" applyNumberFormat="1" applyFont="1" applyFill="1" applyBorder="1" applyAlignment="1">
      <alignment horizontal="center" vertical="top" wrapText="1"/>
    </xf>
    <xf numFmtId="0" fontId="8" fillId="2" borderId="1" xfId="0" applyFont="1" applyFill="1" applyBorder="1" applyAlignment="1">
      <alignment horizontal="right" vertical="center" wrapText="1"/>
    </xf>
    <xf numFmtId="3" fontId="8" fillId="0" borderId="4" xfId="0" applyNumberFormat="1" applyFont="1" applyBorder="1" applyAlignment="1">
      <alignment horizontal="right" vertical="top" wrapText="1"/>
    </xf>
    <xf numFmtId="169" fontId="8" fillId="2" borderId="4" xfId="0" applyNumberFormat="1" applyFont="1" applyFill="1" applyBorder="1" applyAlignment="1">
      <alignment horizontal="right" vertical="top" wrapText="1"/>
    </xf>
    <xf numFmtId="49" fontId="8" fillId="4" borderId="4" xfId="0" applyNumberFormat="1" applyFont="1" applyFill="1" applyBorder="1" applyAlignment="1">
      <alignment horizontal="left" vertical="top" wrapText="1"/>
    </xf>
    <xf numFmtId="3" fontId="16" fillId="2" borderId="4" xfId="0" applyNumberFormat="1" applyFont="1" applyFill="1" applyBorder="1" applyAlignment="1">
      <alignment horizontal="right" vertical="top" wrapText="1"/>
    </xf>
    <xf numFmtId="0" fontId="7" fillId="5" borderId="3" xfId="0" applyFont="1" applyFill="1" applyBorder="1" applyAlignment="1">
      <alignment horizontal="center" vertical="center" wrapText="1"/>
    </xf>
    <xf numFmtId="0" fontId="7" fillId="5" borderId="3" xfId="0" applyFont="1" applyFill="1" applyBorder="1" applyAlignment="1">
      <alignment horizontal="right" vertical="top" wrapText="1"/>
    </xf>
    <xf numFmtId="3" fontId="8" fillId="3" borderId="4" xfId="0" applyNumberFormat="1" applyFont="1" applyFill="1" applyBorder="1" applyAlignment="1">
      <alignment horizontal="right" vertical="top" wrapText="1"/>
    </xf>
    <xf numFmtId="0" fontId="13" fillId="0" borderId="0" xfId="0" applyFont="1"/>
    <xf numFmtId="0" fontId="8" fillId="2"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7" fillId="2" borderId="3" xfId="0" applyFont="1" applyFill="1" applyBorder="1" applyAlignment="1">
      <alignment horizontal="right" vertical="top" wrapText="1"/>
    </xf>
    <xf numFmtId="3" fontId="9" fillId="2" borderId="2" xfId="0" applyNumberFormat="1" applyFont="1" applyFill="1" applyBorder="1" applyAlignment="1">
      <alignment horizontal="right" vertical="top" wrapText="1"/>
    </xf>
    <xf numFmtId="49" fontId="11" fillId="2" borderId="4" xfId="0" applyNumberFormat="1" applyFont="1" applyFill="1" applyBorder="1" applyAlignment="1">
      <alignment horizontal="center" vertical="top" wrapText="1"/>
    </xf>
    <xf numFmtId="9" fontId="7" fillId="5" borderId="3" xfId="0" applyNumberFormat="1" applyFont="1" applyFill="1" applyBorder="1" applyAlignment="1">
      <alignment horizontal="center" vertical="center" wrapText="1"/>
    </xf>
    <xf numFmtId="0" fontId="9" fillId="6" borderId="3" xfId="0" applyFont="1" applyFill="1" applyBorder="1" applyAlignment="1">
      <alignment horizontal="right" vertical="top" wrapText="1"/>
    </xf>
    <xf numFmtId="0" fontId="15" fillId="2" borderId="4" xfId="0" applyFont="1" applyFill="1" applyBorder="1" applyAlignment="1">
      <alignment horizontal="right" vertical="top" wrapText="1"/>
    </xf>
    <xf numFmtId="9" fontId="8" fillId="2" borderId="4"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3" fontId="7" fillId="2" borderId="4" xfId="0" applyNumberFormat="1" applyFont="1" applyFill="1" applyBorder="1" applyAlignment="1">
      <alignment horizontal="right" vertical="top" wrapText="1"/>
    </xf>
    <xf numFmtId="3" fontId="10" fillId="2" borderId="4" xfId="0" applyNumberFormat="1" applyFont="1" applyFill="1" applyBorder="1" applyAlignment="1">
      <alignment horizontal="right" vertical="top" wrapText="1"/>
    </xf>
    <xf numFmtId="0" fontId="8" fillId="2" borderId="3" xfId="0" applyFont="1" applyFill="1" applyBorder="1" applyAlignment="1">
      <alignment horizontal="right" vertical="top" wrapText="1"/>
    </xf>
    <xf numFmtId="166" fontId="8" fillId="2" borderId="3" xfId="0" applyNumberFormat="1" applyFont="1" applyFill="1" applyBorder="1" applyAlignment="1">
      <alignment horizontal="right" vertical="top" wrapText="1"/>
    </xf>
    <xf numFmtId="0" fontId="7" fillId="2" borderId="4" xfId="0" applyFont="1" applyFill="1" applyBorder="1" applyAlignment="1">
      <alignment horizontal="center" vertical="top" wrapText="1"/>
    </xf>
    <xf numFmtId="0" fontId="7" fillId="2" borderId="4" xfId="0" applyFont="1" applyFill="1" applyBorder="1" applyAlignment="1">
      <alignment wrapText="1"/>
    </xf>
    <xf numFmtId="0" fontId="10" fillId="2" borderId="4" xfId="0" applyFont="1" applyFill="1" applyBorder="1" applyAlignment="1">
      <alignment horizontal="center" vertical="top" wrapText="1"/>
    </xf>
    <xf numFmtId="0" fontId="7" fillId="2" borderId="0" xfId="0" applyFont="1" applyFill="1" applyAlignment="1">
      <alignment horizontal="center" vertical="top" wrapText="1"/>
    </xf>
    <xf numFmtId="49" fontId="7" fillId="2" borderId="2" xfId="0" applyNumberFormat="1" applyFont="1" applyFill="1" applyBorder="1" applyAlignment="1">
      <alignment horizontal="center" vertical="top" wrapText="1"/>
    </xf>
    <xf numFmtId="165" fontId="7" fillId="5" borderId="3" xfId="0" applyNumberFormat="1" applyFont="1" applyFill="1" applyBorder="1" applyAlignment="1">
      <alignment horizontal="center" vertical="center" wrapText="1"/>
    </xf>
    <xf numFmtId="0" fontId="11" fillId="2" borderId="4" xfId="0" applyFont="1" applyFill="1" applyBorder="1" applyAlignment="1">
      <alignment horizontal="left" vertical="top" wrapText="1"/>
    </xf>
    <xf numFmtId="3" fontId="8" fillId="2" borderId="4" xfId="0" applyNumberFormat="1" applyFont="1" applyFill="1" applyBorder="1" applyAlignment="1">
      <alignment horizontal="right" vertical="top" wrapText="1"/>
    </xf>
    <xf numFmtId="49" fontId="7" fillId="2" borderId="1" xfId="0" applyNumberFormat="1" applyFont="1" applyFill="1" applyBorder="1" applyAlignment="1">
      <alignment horizontal="center" vertical="top" wrapText="1"/>
    </xf>
    <xf numFmtId="0" fontId="8" fillId="2" borderId="4" xfId="0" applyFont="1" applyFill="1" applyBorder="1" applyAlignment="1">
      <alignment horizontal="center" vertical="top" wrapText="1"/>
    </xf>
    <xf numFmtId="0" fontId="8" fillId="2" borderId="4" xfId="0" applyFont="1" applyFill="1" applyBorder="1" applyAlignment="1">
      <alignment wrapText="1"/>
    </xf>
    <xf numFmtId="0" fontId="4" fillId="0" borderId="5" xfId="2" applyFont="1" applyFill="1" applyBorder="1" applyAlignment="1">
      <alignment vertical="center" wrapText="1"/>
    </xf>
    <xf numFmtId="171" fontId="4" fillId="0" borderId="6" xfId="2" applyNumberFormat="1" applyFont="1" applyFill="1" applyBorder="1" applyAlignment="1">
      <alignment horizontal="center" vertical="center" wrapText="1"/>
    </xf>
    <xf numFmtId="171" fontId="4" fillId="0" borderId="7" xfId="2" applyNumberFormat="1" applyFont="1" applyFill="1" applyBorder="1" applyAlignment="1">
      <alignment horizontal="center" vertical="center" wrapText="1"/>
    </xf>
    <xf numFmtId="171" fontId="4" fillId="0" borderId="8" xfId="2" applyNumberFormat="1" applyFont="1" applyFill="1" applyBorder="1" applyAlignment="1">
      <alignment horizontal="center" vertical="center" wrapText="1"/>
    </xf>
    <xf numFmtId="172" fontId="6" fillId="0" borderId="9" xfId="1" applyNumberFormat="1" applyFont="1" applyFill="1" applyBorder="1" applyAlignment="1">
      <alignment vertical="center" wrapText="1"/>
      <protection locked="0"/>
    </xf>
    <xf numFmtId="3" fontId="13" fillId="0" borderId="0" xfId="0" applyNumberFormat="1" applyFont="1"/>
    <xf numFmtId="173" fontId="13" fillId="0" borderId="0" xfId="3" applyNumberFormat="1" applyFont="1"/>
    <xf numFmtId="9" fontId="13" fillId="0" borderId="0" xfId="4" applyFont="1"/>
    <xf numFmtId="3" fontId="23" fillId="0" borderId="0" xfId="0" applyNumberFormat="1" applyFont="1"/>
    <xf numFmtId="3" fontId="24" fillId="7" borderId="0" xfId="0" applyNumberFormat="1" applyFont="1" applyFill="1"/>
    <xf numFmtId="0" fontId="13" fillId="0" borderId="0" xfId="0" applyFont="1" applyAlignment="1">
      <alignment wrapText="1"/>
    </xf>
    <xf numFmtId="3" fontId="7" fillId="10" borderId="3" xfId="0" applyNumberFormat="1" applyFont="1" applyFill="1" applyBorder="1" applyAlignment="1">
      <alignment horizontal="right" vertical="top" wrapText="1"/>
    </xf>
    <xf numFmtId="0" fontId="1" fillId="0" borderId="0" xfId="0" applyFont="1"/>
    <xf numFmtId="0" fontId="7" fillId="10" borderId="4" xfId="0" applyFont="1" applyFill="1" applyBorder="1" applyAlignment="1">
      <alignment horizontal="left" vertical="top" wrapText="1"/>
    </xf>
    <xf numFmtId="166" fontId="7" fillId="5" borderId="3" xfId="0" applyNumberFormat="1"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0" fontId="8" fillId="2" borderId="0" xfId="0" applyFont="1" applyFill="1" applyAlignment="1">
      <alignment horizontal="center" vertical="top" wrapText="1"/>
    </xf>
    <xf numFmtId="0" fontId="8" fillId="2" borderId="0" xfId="0" applyFont="1" applyFill="1" applyAlignment="1">
      <alignment horizontal="right" vertical="top" wrapText="1"/>
    </xf>
    <xf numFmtId="0" fontId="8" fillId="2" borderId="0" xfId="0" applyFont="1" applyFill="1" applyAlignment="1">
      <alignment horizontal="left" vertical="top" wrapText="1"/>
    </xf>
    <xf numFmtId="0" fontId="9" fillId="2" borderId="3" xfId="0" applyFont="1" applyFill="1" applyBorder="1" applyAlignment="1">
      <alignment horizontal="left" vertical="top" wrapText="1"/>
    </xf>
    <xf numFmtId="173" fontId="7" fillId="5" borderId="3" xfId="3" applyNumberFormat="1" applyFont="1" applyFill="1" applyBorder="1" applyAlignment="1">
      <alignment horizontal="center" vertical="center" wrapText="1"/>
    </xf>
    <xf numFmtId="173" fontId="8" fillId="2" borderId="1" xfId="3" applyNumberFormat="1" applyFont="1" applyFill="1" applyBorder="1" applyAlignment="1">
      <alignment horizontal="right" vertical="top" wrapText="1"/>
    </xf>
    <xf numFmtId="173" fontId="10" fillId="2" borderId="4" xfId="3" applyNumberFormat="1" applyFont="1" applyFill="1" applyBorder="1" applyAlignment="1">
      <alignment horizontal="right" vertical="top" wrapText="1"/>
    </xf>
    <xf numFmtId="173" fontId="8" fillId="2" borderId="2" xfId="3" applyNumberFormat="1" applyFont="1" applyFill="1" applyBorder="1" applyAlignment="1">
      <alignment horizontal="right" vertical="top" wrapText="1"/>
    </xf>
    <xf numFmtId="173" fontId="8" fillId="2" borderId="3" xfId="3" applyNumberFormat="1" applyFont="1" applyFill="1" applyBorder="1" applyAlignment="1">
      <alignment horizontal="right" vertical="top" wrapText="1"/>
    </xf>
    <xf numFmtId="173" fontId="8" fillId="2" borderId="0" xfId="3" applyNumberFormat="1" applyFont="1" applyFill="1" applyAlignment="1">
      <alignment horizontal="right" vertical="top" wrapText="1"/>
    </xf>
    <xf numFmtId="173" fontId="10" fillId="2" borderId="1" xfId="3" applyNumberFormat="1" applyFont="1" applyFill="1" applyBorder="1" applyAlignment="1">
      <alignment horizontal="right" vertical="top" wrapText="1"/>
    </xf>
    <xf numFmtId="3" fontId="7" fillId="10" borderId="3"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wrapText="1"/>
    </xf>
    <xf numFmtId="49" fontId="8" fillId="4" borderId="4" xfId="0" applyNumberFormat="1"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4" xfId="0" applyFont="1" applyFill="1" applyBorder="1" applyAlignment="1">
      <alignment horizontal="center" vertical="center" wrapText="1"/>
    </xf>
    <xf numFmtId="3" fontId="8" fillId="3" borderId="4" xfId="0" applyNumberFormat="1" applyFont="1" applyFill="1" applyBorder="1" applyAlignment="1">
      <alignment horizontal="right" vertical="center" wrapText="1"/>
    </xf>
    <xf numFmtId="166" fontId="8" fillId="3" borderId="4" xfId="0" applyNumberFormat="1" applyFont="1" applyFill="1" applyBorder="1" applyAlignment="1">
      <alignment horizontal="right" vertical="center" wrapText="1"/>
    </xf>
    <xf numFmtId="165" fontId="10" fillId="2" borderId="4" xfId="0" applyNumberFormat="1" applyFont="1" applyFill="1" applyBorder="1" applyAlignment="1">
      <alignment horizontal="right" vertical="center" wrapText="1"/>
    </xf>
    <xf numFmtId="3" fontId="8" fillId="0" borderId="4" xfId="0" applyNumberFormat="1" applyFont="1" applyBorder="1" applyAlignment="1">
      <alignment horizontal="right" vertical="center" wrapText="1"/>
    </xf>
    <xf numFmtId="3" fontId="8" fillId="2" borderId="4" xfId="0" applyNumberFormat="1" applyFont="1" applyFill="1" applyBorder="1" applyAlignment="1">
      <alignment horizontal="right" vertical="center" wrapText="1"/>
    </xf>
    <xf numFmtId="0" fontId="12" fillId="2" borderId="4" xfId="0" applyFont="1" applyFill="1" applyBorder="1" applyAlignment="1">
      <alignment horizontal="left" vertical="center" wrapText="1"/>
    </xf>
    <xf numFmtId="0" fontId="1" fillId="0" borderId="0" xfId="0" applyFont="1" applyAlignment="1">
      <alignment vertical="center"/>
    </xf>
    <xf numFmtId="3" fontId="1" fillId="0" borderId="0" xfId="0" applyNumberFormat="1" applyFont="1" applyAlignment="1">
      <alignment vertical="center"/>
    </xf>
    <xf numFmtId="166" fontId="7" fillId="5" borderId="3" xfId="0" applyNumberFormat="1" applyFont="1" applyFill="1" applyBorder="1" applyAlignment="1">
      <alignment horizontal="center" vertical="center" wrapText="1"/>
    </xf>
    <xf numFmtId="0" fontId="8" fillId="2" borderId="0" xfId="0" applyFont="1" applyFill="1" applyAlignment="1">
      <alignment horizontal="right" vertical="top" wrapText="1"/>
    </xf>
    <xf numFmtId="165" fontId="26" fillId="2" borderId="1"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top" wrapText="1"/>
    </xf>
    <xf numFmtId="165" fontId="26" fillId="2" borderId="4" xfId="0" applyNumberFormat="1" applyFont="1" applyFill="1" applyBorder="1" applyAlignment="1">
      <alignment horizontal="right" vertical="top" wrapText="1"/>
    </xf>
    <xf numFmtId="165" fontId="26" fillId="3" borderId="4" xfId="0" applyNumberFormat="1" applyFont="1" applyFill="1" applyBorder="1" applyAlignment="1">
      <alignment horizontal="right" vertical="center" wrapText="1"/>
    </xf>
    <xf numFmtId="165" fontId="26" fillId="2" borderId="2" xfId="0" applyNumberFormat="1" applyFont="1" applyFill="1" applyBorder="1" applyAlignment="1">
      <alignment horizontal="right" vertical="top" wrapText="1"/>
    </xf>
    <xf numFmtId="165" fontId="26" fillId="2" borderId="3" xfId="0" applyNumberFormat="1" applyFont="1" applyFill="1" applyBorder="1" applyAlignment="1">
      <alignment horizontal="right" vertical="top" wrapText="1"/>
    </xf>
    <xf numFmtId="0" fontId="26" fillId="2" borderId="0" xfId="0" applyFont="1" applyFill="1" applyAlignment="1">
      <alignment horizontal="right" vertical="top" wrapText="1"/>
    </xf>
    <xf numFmtId="165" fontId="26" fillId="5" borderId="3" xfId="0" applyNumberFormat="1" applyFont="1" applyFill="1" applyBorder="1" applyAlignment="1">
      <alignment horizontal="center" vertical="center" wrapText="1"/>
    </xf>
    <xf numFmtId="165" fontId="26" fillId="3" borderId="1" xfId="0" applyNumberFormat="1" applyFont="1" applyFill="1" applyBorder="1" applyAlignment="1">
      <alignment horizontal="right" vertical="top" wrapText="1"/>
    </xf>
    <xf numFmtId="0" fontId="26" fillId="0" borderId="0" xfId="0" applyFont="1"/>
    <xf numFmtId="165" fontId="8"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top" wrapText="1"/>
    </xf>
    <xf numFmtId="165" fontId="10" fillId="2" borderId="0" xfId="0" applyNumberFormat="1" applyFont="1" applyFill="1" applyBorder="1" applyAlignment="1">
      <alignment horizontal="right" vertical="top" wrapText="1"/>
    </xf>
    <xf numFmtId="165" fontId="8" fillId="3" borderId="0" xfId="0" applyNumberFormat="1" applyFont="1" applyFill="1" applyBorder="1" applyAlignment="1">
      <alignment horizontal="right" vertical="center" wrapText="1"/>
    </xf>
    <xf numFmtId="0" fontId="8" fillId="2" borderId="0" xfId="0" applyFont="1" applyFill="1" applyBorder="1" applyAlignment="1">
      <alignment horizontal="right" vertical="top" wrapText="1"/>
    </xf>
    <xf numFmtId="0" fontId="1" fillId="0" borderId="0" xfId="0" applyFont="1" applyBorder="1"/>
    <xf numFmtId="0" fontId="8" fillId="11" borderId="4" xfId="0" applyFont="1" applyFill="1" applyBorder="1" applyAlignment="1">
      <alignment horizontal="center" vertical="top" wrapText="1"/>
    </xf>
    <xf numFmtId="0" fontId="8" fillId="11" borderId="4" xfId="0" applyFont="1" applyFill="1" applyBorder="1" applyAlignment="1">
      <alignment horizontal="left" vertical="top" wrapText="1"/>
    </xf>
    <xf numFmtId="0" fontId="7" fillId="11" borderId="4" xfId="0" applyFont="1" applyFill="1" applyBorder="1" applyAlignment="1">
      <alignment horizontal="left" vertical="top" wrapText="1"/>
    </xf>
    <xf numFmtId="3" fontId="8" fillId="11" borderId="4" xfId="0" applyNumberFormat="1" applyFont="1" applyFill="1" applyBorder="1" applyAlignment="1">
      <alignment horizontal="right" vertical="top" wrapText="1"/>
    </xf>
    <xf numFmtId="166" fontId="8" fillId="11" borderId="4" xfId="0" applyNumberFormat="1" applyFont="1" applyFill="1" applyBorder="1" applyAlignment="1">
      <alignment horizontal="right" vertical="top" wrapText="1"/>
    </xf>
    <xf numFmtId="165" fontId="26" fillId="11" borderId="4" xfId="0" applyNumberFormat="1" applyFont="1" applyFill="1" applyBorder="1" applyAlignment="1">
      <alignment horizontal="right" vertical="top" wrapText="1"/>
    </xf>
    <xf numFmtId="165" fontId="8" fillId="11" borderId="0" xfId="0" applyNumberFormat="1" applyFont="1" applyFill="1" applyBorder="1" applyAlignment="1">
      <alignment horizontal="right" vertical="top" wrapText="1"/>
    </xf>
    <xf numFmtId="165" fontId="8" fillId="11" borderId="4" xfId="0" applyNumberFormat="1" applyFont="1" applyFill="1" applyBorder="1" applyAlignment="1">
      <alignment horizontal="right" vertical="top" wrapText="1"/>
    </xf>
    <xf numFmtId="0" fontId="27" fillId="0" borderId="0" xfId="8" applyFont="1" applyFill="1" applyAlignment="1" applyProtection="1">
      <alignment horizontal="centerContinuous" vertical="center" wrapText="1"/>
      <protection locked="0"/>
    </xf>
    <xf numFmtId="0" fontId="27" fillId="0" borderId="0" xfId="8" applyFont="1" applyFill="1" applyAlignment="1" applyProtection="1">
      <alignment horizontal="centerContinuous" vertical="center" wrapText="1"/>
    </xf>
    <xf numFmtId="49" fontId="27" fillId="0" borderId="0" xfId="8" applyNumberFormat="1" applyFont="1" applyFill="1" applyAlignment="1" applyProtection="1">
      <alignment horizontal="centerContinuous" vertical="center" wrapText="1"/>
    </xf>
    <xf numFmtId="0" fontId="27" fillId="0" borderId="0" xfId="8" applyNumberFormat="1" applyFont="1" applyFill="1" applyAlignment="1" applyProtection="1">
      <alignment horizontal="centerContinuous" vertical="center" wrapText="1"/>
    </xf>
    <xf numFmtId="1" fontId="27" fillId="0" borderId="0" xfId="8" applyNumberFormat="1" applyFont="1" applyFill="1" applyAlignment="1" applyProtection="1">
      <alignment horizontal="centerContinuous" vertical="center" wrapText="1"/>
    </xf>
    <xf numFmtId="4" fontId="27" fillId="0" borderId="0" xfId="8" applyNumberFormat="1" applyFont="1" applyFill="1" applyAlignment="1" applyProtection="1">
      <alignment horizontal="centerContinuous" vertical="center" wrapText="1"/>
    </xf>
    <xf numFmtId="166" fontId="28" fillId="0" borderId="0" xfId="8" applyNumberFormat="1" applyFont="1" applyFill="1" applyAlignment="1" applyProtection="1">
      <alignment horizontal="centerContinuous" vertical="center" wrapText="1"/>
    </xf>
    <xf numFmtId="166" fontId="27" fillId="0" borderId="0" xfId="8" applyNumberFormat="1" applyFont="1" applyFill="1" applyAlignment="1" applyProtection="1">
      <alignment horizontal="centerContinuous" vertical="center" wrapText="1"/>
    </xf>
    <xf numFmtId="0" fontId="35" fillId="0" borderId="0" xfId="9" applyAlignment="1">
      <alignment horizontal="centerContinuous"/>
    </xf>
    <xf numFmtId="0" fontId="35" fillId="0" borderId="0" xfId="9"/>
    <xf numFmtId="0" fontId="30" fillId="0" borderId="0" xfId="8" applyFont="1" applyAlignment="1" applyProtection="1">
      <alignment horizontal="centerContinuous" vertical="center" wrapText="1"/>
      <protection locked="0"/>
    </xf>
    <xf numFmtId="0" fontId="30" fillId="0" borderId="0" xfId="8" applyFont="1" applyAlignment="1" applyProtection="1">
      <alignment horizontal="centerContinuous" vertical="center" wrapText="1"/>
    </xf>
    <xf numFmtId="49" fontId="32" fillId="0" borderId="0" xfId="9" applyNumberFormat="1" applyFont="1" applyFill="1" applyAlignment="1" applyProtection="1">
      <alignment horizontal="centerContinuous" vertical="center"/>
      <protection locked="0"/>
    </xf>
    <xf numFmtId="0" fontId="32" fillId="0" borderId="0" xfId="9" applyNumberFormat="1" applyFont="1" applyFill="1" applyAlignment="1" applyProtection="1">
      <alignment horizontal="centerContinuous" vertical="center"/>
      <protection locked="0"/>
    </xf>
    <xf numFmtId="1" fontId="32" fillId="0" borderId="0" xfId="9" applyNumberFormat="1" applyFont="1" applyFill="1" applyAlignment="1" applyProtection="1">
      <alignment horizontal="centerContinuous" vertical="center"/>
      <protection locked="0"/>
    </xf>
    <xf numFmtId="4" fontId="32" fillId="0" borderId="0" xfId="9" applyNumberFormat="1" applyFont="1" applyFill="1" applyAlignment="1" applyProtection="1">
      <alignment horizontal="centerContinuous" vertical="center"/>
      <protection locked="0"/>
    </xf>
    <xf numFmtId="0" fontId="30" fillId="0" borderId="13" xfId="8" applyFont="1" applyBorder="1" applyAlignment="1" applyProtection="1">
      <alignment horizontal="centerContinuous" vertical="center" wrapText="1"/>
      <protection locked="0"/>
    </xf>
    <xf numFmtId="0" fontId="30" fillId="0" borderId="13" xfId="8" applyFont="1" applyBorder="1" applyAlignment="1" applyProtection="1">
      <alignment horizontal="centerContinuous" vertical="center" wrapText="1"/>
    </xf>
    <xf numFmtId="49" fontId="32" fillId="0" borderId="13" xfId="9" applyNumberFormat="1" applyFont="1" applyFill="1" applyBorder="1" applyAlignment="1" applyProtection="1">
      <alignment horizontal="centerContinuous" vertical="center"/>
      <protection locked="0"/>
    </xf>
    <xf numFmtId="0" fontId="32" fillId="0" borderId="13" xfId="9" applyNumberFormat="1" applyFont="1" applyFill="1" applyBorder="1" applyAlignment="1" applyProtection="1">
      <alignment horizontal="centerContinuous" vertical="center"/>
      <protection locked="0"/>
    </xf>
    <xf numFmtId="1" fontId="32" fillId="0" borderId="13" xfId="9" applyNumberFormat="1" applyFont="1" applyFill="1" applyBorder="1" applyAlignment="1" applyProtection="1">
      <alignment horizontal="centerContinuous" vertical="center"/>
      <protection locked="0"/>
    </xf>
    <xf numFmtId="4" fontId="32" fillId="0" borderId="13" xfId="9" applyNumberFormat="1" applyFont="1" applyFill="1" applyBorder="1" applyAlignment="1" applyProtection="1">
      <alignment horizontal="centerContinuous" vertical="center"/>
      <protection locked="0"/>
    </xf>
    <xf numFmtId="1" fontId="33" fillId="12" borderId="10" xfId="8" applyNumberFormat="1" applyFont="1" applyFill="1" applyBorder="1" applyAlignment="1" applyProtection="1">
      <alignment horizontal="centerContinuous" vertical="center"/>
    </xf>
    <xf numFmtId="4" fontId="33" fillId="12" borderId="11" xfId="8" applyNumberFormat="1" applyFont="1" applyFill="1" applyBorder="1" applyAlignment="1" applyProtection="1">
      <alignment horizontal="centerContinuous" vertical="center"/>
    </xf>
    <xf numFmtId="4" fontId="33" fillId="12" borderId="12" xfId="8" applyNumberFormat="1" applyFont="1" applyFill="1" applyBorder="1" applyAlignment="1" applyProtection="1">
      <alignment horizontal="centerContinuous" vertical="center"/>
    </xf>
    <xf numFmtId="4" fontId="33" fillId="12" borderId="8" xfId="8" applyNumberFormat="1" applyFont="1" applyFill="1" applyBorder="1" applyAlignment="1" applyProtection="1">
      <alignment horizontal="center" vertical="center" wrapText="1"/>
    </xf>
    <xf numFmtId="166" fontId="33" fillId="12" borderId="8" xfId="8" applyNumberFormat="1" applyFont="1" applyFill="1" applyBorder="1" applyAlignment="1" applyProtection="1">
      <alignment horizontal="center" vertical="center"/>
    </xf>
    <xf numFmtId="0" fontId="33" fillId="12" borderId="8" xfId="8" applyFont="1" applyFill="1" applyBorder="1" applyAlignment="1" applyProtection="1">
      <alignment horizontal="center" vertical="center" wrapText="1"/>
    </xf>
    <xf numFmtId="1" fontId="33" fillId="12" borderId="14" xfId="8" applyNumberFormat="1" applyFont="1" applyFill="1" applyBorder="1" applyAlignment="1" applyProtection="1">
      <alignment horizontal="center" vertical="center" wrapText="1"/>
    </xf>
    <xf numFmtId="4" fontId="33" fillId="12" borderId="14" xfId="8" applyNumberFormat="1" applyFont="1" applyFill="1" applyBorder="1" applyAlignment="1" applyProtection="1">
      <alignment horizontal="center" vertical="center" wrapText="1"/>
    </xf>
    <xf numFmtId="166" fontId="33" fillId="12" borderId="14" xfId="8" applyNumberFormat="1" applyFont="1" applyFill="1" applyBorder="1" applyAlignment="1" applyProtection="1">
      <alignment horizontal="center" vertical="center"/>
    </xf>
    <xf numFmtId="0" fontId="33" fillId="12" borderId="14" xfId="8" applyFont="1" applyFill="1" applyBorder="1" applyAlignment="1" applyProtection="1">
      <alignment horizontal="center" vertical="center" wrapText="1"/>
    </xf>
    <xf numFmtId="3" fontId="29" fillId="0" borderId="1" xfId="9" applyNumberFormat="1" applyFont="1" applyBorder="1" applyAlignment="1" applyProtection="1">
      <alignment wrapText="1"/>
    </xf>
    <xf numFmtId="1" fontId="29" fillId="0" borderId="1" xfId="9" applyNumberFormat="1" applyFont="1" applyFill="1" applyBorder="1" applyAlignment="1" applyProtection="1">
      <alignment horizontal="center" wrapText="1"/>
    </xf>
    <xf numFmtId="4" fontId="29" fillId="0" borderId="1" xfId="9" applyNumberFormat="1" applyFont="1" applyFill="1" applyBorder="1" applyAlignment="1" applyProtection="1">
      <alignment wrapText="1"/>
    </xf>
    <xf numFmtId="166" fontId="29" fillId="0" borderId="1" xfId="9" applyNumberFormat="1" applyFont="1" applyFill="1" applyBorder="1" applyAlignment="1" applyProtection="1">
      <alignment wrapText="1"/>
    </xf>
    <xf numFmtId="0" fontId="35" fillId="0" borderId="1" xfId="9" applyBorder="1"/>
    <xf numFmtId="0" fontId="29" fillId="0" borderId="4" xfId="9" applyFont="1" applyBorder="1" applyAlignment="1" applyProtection="1">
      <alignment wrapText="1"/>
    </xf>
    <xf numFmtId="1" fontId="29" fillId="0" borderId="4" xfId="9" applyNumberFormat="1" applyFont="1" applyFill="1" applyBorder="1" applyAlignment="1" applyProtection="1">
      <alignment horizontal="center" wrapText="1"/>
    </xf>
    <xf numFmtId="4" fontId="29" fillId="0" borderId="4" xfId="9" applyNumberFormat="1" applyFont="1" applyFill="1" applyBorder="1" applyAlignment="1" applyProtection="1">
      <alignment wrapText="1"/>
    </xf>
    <xf numFmtId="166" fontId="29" fillId="0" borderId="4" xfId="9" applyNumberFormat="1" applyFont="1" applyFill="1" applyBorder="1" applyAlignment="1" applyProtection="1">
      <alignment wrapText="1"/>
    </xf>
    <xf numFmtId="0" fontId="35" fillId="0" borderId="4" xfId="9" applyBorder="1"/>
    <xf numFmtId="0" fontId="35" fillId="0" borderId="4" xfId="9" applyBorder="1" applyAlignment="1"/>
    <xf numFmtId="1" fontId="35" fillId="0" borderId="4" xfId="9" applyNumberFormat="1" applyBorder="1" applyAlignment="1">
      <alignment horizontal="center"/>
    </xf>
    <xf numFmtId="4" fontId="35" fillId="0" borderId="4" xfId="9" applyNumberFormat="1" applyBorder="1" applyAlignment="1"/>
    <xf numFmtId="166" fontId="29" fillId="0" borderId="4" xfId="9" applyNumberFormat="1" applyFont="1" applyBorder="1" applyAlignment="1"/>
    <xf numFmtId="166" fontId="35" fillId="0" borderId="4" xfId="9" applyNumberFormat="1" applyBorder="1" applyAlignment="1"/>
    <xf numFmtId="3" fontId="35" fillId="0" borderId="4" xfId="9" applyNumberFormat="1" applyBorder="1" applyAlignment="1"/>
    <xf numFmtId="0" fontId="35" fillId="0" borderId="2" xfId="9" applyBorder="1" applyAlignment="1"/>
    <xf numFmtId="1" fontId="35" fillId="0" borderId="2" xfId="9" applyNumberFormat="1" applyBorder="1" applyAlignment="1">
      <alignment horizontal="center"/>
    </xf>
    <xf numFmtId="166" fontId="29" fillId="0" borderId="2" xfId="9" applyNumberFormat="1" applyFont="1" applyBorder="1" applyAlignment="1"/>
    <xf numFmtId="166" fontId="35" fillId="0" borderId="2" xfId="9" applyNumberFormat="1" applyBorder="1" applyAlignment="1"/>
    <xf numFmtId="0" fontId="35" fillId="0" borderId="2" xfId="9" applyBorder="1"/>
    <xf numFmtId="0" fontId="35" fillId="0" borderId="0" xfId="9" applyAlignment="1"/>
    <xf numFmtId="0" fontId="35" fillId="0" borderId="0" xfId="9" applyAlignment="1">
      <alignment horizontal="center"/>
    </xf>
    <xf numFmtId="49" fontId="35" fillId="0" borderId="0" xfId="9" applyNumberFormat="1"/>
    <xf numFmtId="1" fontId="35" fillId="0" borderId="0" xfId="9" applyNumberFormat="1" applyAlignment="1">
      <alignment horizontal="center"/>
    </xf>
    <xf numFmtId="4" fontId="35" fillId="0" borderId="0" xfId="9" applyNumberFormat="1"/>
    <xf numFmtId="166" fontId="29" fillId="0" borderId="0" xfId="9" applyNumberFormat="1" applyFont="1" applyAlignment="1"/>
    <xf numFmtId="166" fontId="35" fillId="0" borderId="0" xfId="9" applyNumberFormat="1" applyAlignment="1"/>
    <xf numFmtId="0" fontId="36" fillId="2" borderId="4" xfId="0" applyFont="1" applyFill="1" applyBorder="1" applyAlignment="1">
      <alignment horizontal="left" vertical="top" wrapText="1" indent="1"/>
    </xf>
    <xf numFmtId="4" fontId="35" fillId="0" borderId="4" xfId="9" applyNumberFormat="1" applyBorder="1"/>
    <xf numFmtId="4" fontId="35" fillId="0" borderId="2" xfId="9" applyNumberFormat="1" applyBorder="1"/>
    <xf numFmtId="49" fontId="18" fillId="2" borderId="0" xfId="0" applyNumberFormat="1" applyFont="1" applyFill="1" applyAlignment="1">
      <alignment horizontal="center" vertical="top" wrapText="1"/>
    </xf>
    <xf numFmtId="49" fontId="19" fillId="2" borderId="0" xfId="0" applyNumberFormat="1" applyFont="1" applyFill="1" applyAlignment="1">
      <alignment horizontal="center" vertical="top" wrapText="1"/>
    </xf>
    <xf numFmtId="49" fontId="7" fillId="2" borderId="0" xfId="0" applyNumberFormat="1" applyFont="1" applyFill="1" applyAlignment="1">
      <alignment horizontal="center" vertical="top" wrapText="1"/>
    </xf>
    <xf numFmtId="49" fontId="7" fillId="5" borderId="3" xfId="0" applyNumberFormat="1" applyFont="1" applyFill="1" applyBorder="1" applyAlignment="1">
      <alignment horizontal="center" vertical="center" wrapText="1"/>
    </xf>
    <xf numFmtId="0" fontId="7" fillId="5" borderId="3" xfId="0" applyFont="1" applyFill="1" applyBorder="1" applyAlignment="1">
      <alignment horizontal="center" vertical="center" wrapText="1"/>
    </xf>
    <xf numFmtId="3" fontId="7" fillId="5" borderId="3" xfId="0" applyNumberFormat="1" applyFont="1" applyFill="1" applyBorder="1" applyAlignment="1">
      <alignment horizontal="center" vertical="center" wrapText="1"/>
    </xf>
    <xf numFmtId="166" fontId="7" fillId="5" borderId="3" xfId="0" applyNumberFormat="1" applyFont="1" applyFill="1" applyBorder="1" applyAlignment="1">
      <alignment horizontal="center" vertical="center" wrapText="1"/>
    </xf>
    <xf numFmtId="165" fontId="7" fillId="5" borderId="3" xfId="0" applyNumberFormat="1" applyFont="1" applyFill="1" applyBorder="1" applyAlignment="1">
      <alignment horizontal="center" vertical="center" wrapText="1"/>
    </xf>
    <xf numFmtId="0" fontId="20" fillId="5" borderId="3" xfId="0" applyFont="1" applyFill="1" applyBorder="1" applyAlignment="1">
      <alignment horizontal="center" vertical="center" wrapText="1"/>
    </xf>
    <xf numFmtId="0" fontId="19" fillId="2" borderId="0" xfId="0" applyFont="1" applyFill="1" applyAlignment="1">
      <alignment horizontal="center" vertical="top" wrapText="1"/>
    </xf>
    <xf numFmtId="0" fontId="18" fillId="2" borderId="0" xfId="0" applyFont="1" applyFill="1" applyAlignment="1">
      <alignment horizontal="center" vertical="top" wrapText="1"/>
    </xf>
    <xf numFmtId="0" fontId="7" fillId="2" borderId="0" xfId="0" applyFont="1" applyFill="1" applyAlignment="1">
      <alignment horizontal="center" vertical="top" wrapText="1"/>
    </xf>
    <xf numFmtId="0" fontId="21" fillId="2" borderId="0" xfId="0" applyFont="1" applyFill="1" applyAlignment="1">
      <alignment horizontal="center" vertical="top" wrapText="1"/>
    </xf>
    <xf numFmtId="0" fontId="21" fillId="2" borderId="0" xfId="0" applyFont="1" applyFill="1" applyAlignment="1">
      <alignment horizontal="right" vertical="top" wrapText="1"/>
    </xf>
    <xf numFmtId="0" fontId="11" fillId="2" borderId="3" xfId="0" applyFont="1" applyFill="1" applyBorder="1" applyAlignment="1">
      <alignment horizontal="center" vertical="top" wrapText="1"/>
    </xf>
    <xf numFmtId="0" fontId="8" fillId="2" borderId="0" xfId="0" applyFont="1" applyFill="1" applyAlignment="1">
      <alignment horizontal="right" vertical="top" wrapText="1"/>
    </xf>
    <xf numFmtId="0" fontId="8" fillId="2" borderId="0" xfId="0" applyFont="1" applyFill="1" applyAlignment="1">
      <alignment horizontal="center" vertical="top" wrapText="1"/>
    </xf>
    <xf numFmtId="3" fontId="33" fillId="12" borderId="3" xfId="8" applyNumberFormat="1" applyFont="1" applyFill="1" applyBorder="1" applyAlignment="1" applyProtection="1">
      <alignment vertical="center" wrapText="1"/>
    </xf>
    <xf numFmtId="3" fontId="33" fillId="12" borderId="8" xfId="8" applyNumberFormat="1" applyFont="1" applyFill="1" applyBorder="1" applyAlignment="1" applyProtection="1">
      <alignment vertical="center" wrapText="1"/>
    </xf>
    <xf numFmtId="3" fontId="33" fillId="12" borderId="8" xfId="8" applyNumberFormat="1" applyFont="1" applyFill="1" applyBorder="1" applyAlignment="1" applyProtection="1">
      <alignment horizontal="center" vertical="center" wrapText="1"/>
    </xf>
    <xf numFmtId="3" fontId="33" fillId="12" borderId="14" xfId="8" applyNumberFormat="1" applyFont="1" applyFill="1" applyBorder="1" applyAlignment="1" applyProtection="1">
      <alignment horizontal="center" vertical="center" wrapText="1"/>
    </xf>
    <xf numFmtId="49" fontId="33" fillId="12" borderId="3" xfId="8" applyNumberFormat="1" applyFont="1" applyFill="1" applyBorder="1" applyAlignment="1" applyProtection="1">
      <alignment horizontal="center" vertical="center" wrapText="1"/>
    </xf>
    <xf numFmtId="49" fontId="33" fillId="12" borderId="8" xfId="8" applyNumberFormat="1" applyFont="1" applyFill="1" applyBorder="1" applyAlignment="1" applyProtection="1">
      <alignment horizontal="center" vertical="center" wrapText="1"/>
    </xf>
    <xf numFmtId="0" fontId="33" fillId="12" borderId="3" xfId="8" applyFont="1" applyFill="1" applyBorder="1" applyAlignment="1" applyProtection="1">
      <alignment horizontal="center" vertical="center" wrapText="1"/>
    </xf>
    <xf numFmtId="0" fontId="33" fillId="12" borderId="8" xfId="8" applyFont="1" applyFill="1" applyBorder="1" applyAlignment="1" applyProtection="1">
      <alignment horizontal="center" vertical="center" wrapText="1"/>
    </xf>
    <xf numFmtId="165" fontId="26" fillId="5" borderId="3" xfId="0" applyNumberFormat="1" applyFont="1" applyFill="1" applyBorder="1" applyAlignment="1">
      <alignment horizontal="center" vertical="center" wrapText="1"/>
    </xf>
    <xf numFmtId="165" fontId="7" fillId="5" borderId="0" xfId="0" applyNumberFormat="1" applyFont="1" applyFill="1" applyBorder="1" applyAlignment="1">
      <alignment horizontal="center" vertical="center" wrapText="1"/>
    </xf>
    <xf numFmtId="0" fontId="8" fillId="2" borderId="0" xfId="0" applyFont="1" applyFill="1" applyAlignment="1">
      <alignment horizontal="left" vertical="top" wrapText="1"/>
    </xf>
    <xf numFmtId="0" fontId="7" fillId="2" borderId="3" xfId="0" applyFont="1" applyFill="1" applyBorder="1" applyAlignment="1">
      <alignment horizontal="right" vertical="top" wrapText="1"/>
    </xf>
    <xf numFmtId="167" fontId="9" fillId="2" borderId="3" xfId="0" applyNumberFormat="1" applyFont="1" applyFill="1" applyBorder="1" applyAlignment="1">
      <alignment horizontal="right" vertical="top" wrapText="1"/>
    </xf>
    <xf numFmtId="0" fontId="9" fillId="2" borderId="3" xfId="0" applyFont="1" applyFill="1" applyBorder="1" applyAlignment="1">
      <alignment horizontal="left" vertical="top" wrapText="1"/>
    </xf>
  </cellXfs>
  <cellStyles count="10">
    <cellStyle name="Comma" xfId="3" builtinId="3"/>
    <cellStyle name="Comma 2" xfId="6"/>
    <cellStyle name="Normal" xfId="0" builtinId="0"/>
    <cellStyle name="Normal 2" xfId="5"/>
    <cellStyle name="Normal 2 4" xfId="1"/>
    <cellStyle name="Normal 3" xfId="7"/>
    <cellStyle name="Normal 4" xfId="9"/>
    <cellStyle name="Normal_Khao sat" xfId="2"/>
    <cellStyle name="Normal_MauDuToanthang9_2008_Gia24 2" xfId="8"/>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47625</xdr:colOff>
          <xdr:row>0</xdr:row>
          <xdr:rowOff>28575</xdr:rowOff>
        </xdr:from>
        <xdr:to>
          <xdr:col>12</xdr:col>
          <xdr:colOff>228600</xdr:colOff>
          <xdr:row>1</xdr:row>
          <xdr:rowOff>66675</xdr:rowOff>
        </xdr:to>
        <xdr:sp macro="" textlink="">
          <xdr:nvSpPr>
            <xdr:cNvPr id="9217" name="CmdTinhLaiKhoiLuong" hidden="1">
              <a:extLst>
                <a:ext uri="{63B3BB69-23CF-44E3-9099-C40C66FF867C}">
                  <a14:compatExt spid="_x0000_s9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Y325"/>
  <sheetViews>
    <sheetView showZeros="0" topLeftCell="A103" workbookViewId="0">
      <selection activeCell="L109" sqref="L109"/>
    </sheetView>
  </sheetViews>
  <sheetFormatPr defaultColWidth="9.140625" defaultRowHeight="15" x14ac:dyDescent="0.25"/>
  <cols>
    <col min="1" max="1" width="6.5703125" style="143" customWidth="1"/>
    <col min="2" max="2" width="12" style="143" customWidth="1"/>
    <col min="3" max="3" width="40.140625" style="143" customWidth="1"/>
    <col min="4" max="4" width="7.85546875" style="143" customWidth="1"/>
    <col min="5" max="5" width="8" style="143" hidden="1" customWidth="1"/>
    <col min="6" max="6" width="5.140625" style="143" hidden="1" customWidth="1"/>
    <col min="7" max="7" width="7" style="143" hidden="1" customWidth="1"/>
    <col min="8" max="8" width="5.7109375" style="143" hidden="1" customWidth="1"/>
    <col min="9" max="9" width="9.85546875" style="143" hidden="1" customWidth="1"/>
    <col min="10" max="10" width="12.42578125" style="143" hidden="1" customWidth="1"/>
    <col min="11" max="11" width="12.140625" style="143" customWidth="1"/>
    <col min="12" max="12" width="12.140625" style="176" customWidth="1"/>
    <col min="13" max="13" width="11.85546875" style="143" customWidth="1"/>
    <col min="14" max="14" width="13.140625" style="143" hidden="1" customWidth="1"/>
    <col min="15" max="15" width="11.85546875" style="143" customWidth="1"/>
    <col min="16" max="16" width="14.140625" style="143" customWidth="1"/>
    <col min="17" max="17" width="16.85546875" style="143" customWidth="1"/>
    <col min="18" max="18" width="13.140625" style="143" hidden="1" customWidth="1"/>
    <col min="19" max="19" width="14.42578125" style="143" customWidth="1"/>
    <col min="20" max="20" width="14.140625" style="143" customWidth="1"/>
    <col min="21" max="21" width="5.85546875" style="143" hidden="1" customWidth="1"/>
    <col min="22" max="22" width="5.42578125" style="143" hidden="1" customWidth="1"/>
    <col min="23" max="23" width="5.140625" style="143" hidden="1" customWidth="1"/>
    <col min="24" max="25" width="17.7109375" style="143" hidden="1" customWidth="1"/>
    <col min="26" max="16384" width="9.140625" style="143"/>
  </cols>
  <sheetData>
    <row r="1" spans="1:25" ht="22.5" customHeight="1" x14ac:dyDescent="0.25">
      <c r="A1" s="300" t="s">
        <v>964</v>
      </c>
      <c r="B1" s="300"/>
      <c r="C1" s="300"/>
      <c r="D1" s="300"/>
      <c r="E1" s="300"/>
      <c r="F1" s="300"/>
      <c r="G1" s="300"/>
      <c r="H1" s="300"/>
      <c r="I1" s="300"/>
      <c r="J1" s="300"/>
      <c r="K1" s="300"/>
      <c r="L1" s="300"/>
      <c r="M1" s="300"/>
      <c r="N1" s="300"/>
      <c r="O1" s="300"/>
      <c r="P1" s="300"/>
      <c r="Q1" s="300"/>
      <c r="R1" s="300"/>
      <c r="S1" s="300"/>
      <c r="T1" s="300"/>
      <c r="U1" s="146"/>
      <c r="V1" s="146"/>
      <c r="W1" s="146"/>
      <c r="X1" s="146"/>
      <c r="Y1" s="36"/>
    </row>
    <row r="2" spans="1:25" ht="19.5" customHeight="1" x14ac:dyDescent="0.25">
      <c r="A2" s="301" t="s">
        <v>421</v>
      </c>
      <c r="B2" s="301"/>
      <c r="C2" s="301"/>
      <c r="D2" s="301"/>
      <c r="E2" s="301"/>
      <c r="F2" s="301"/>
      <c r="G2" s="301"/>
      <c r="H2" s="301"/>
      <c r="I2" s="301"/>
      <c r="J2" s="301"/>
      <c r="K2" s="301"/>
      <c r="L2" s="301"/>
      <c r="M2" s="301"/>
      <c r="N2" s="301"/>
      <c r="O2" s="301"/>
      <c r="P2" s="301"/>
      <c r="Q2" s="301"/>
      <c r="R2" s="301"/>
      <c r="S2" s="301"/>
      <c r="T2" s="301"/>
      <c r="U2" s="146"/>
      <c r="V2" s="146"/>
      <c r="W2" s="146"/>
      <c r="X2" s="146"/>
      <c r="Y2" s="36"/>
    </row>
    <row r="3" spans="1:25" ht="18" customHeight="1" x14ac:dyDescent="0.25">
      <c r="A3" s="302" t="s">
        <v>663</v>
      </c>
      <c r="B3" s="302"/>
      <c r="C3" s="302"/>
      <c r="D3" s="302"/>
      <c r="E3" s="302"/>
      <c r="F3" s="302"/>
      <c r="G3" s="302"/>
      <c r="H3" s="302"/>
      <c r="I3" s="302"/>
      <c r="J3" s="302"/>
      <c r="K3" s="302"/>
      <c r="L3" s="302"/>
      <c r="M3" s="302"/>
      <c r="N3" s="302"/>
      <c r="O3" s="302"/>
      <c r="P3" s="302"/>
      <c r="Q3" s="302"/>
      <c r="R3" s="302"/>
      <c r="S3" s="302"/>
      <c r="T3" s="302"/>
      <c r="U3" s="146"/>
      <c r="V3" s="146"/>
      <c r="W3" s="146"/>
      <c r="X3" s="146"/>
      <c r="Y3" s="36"/>
    </row>
    <row r="4" spans="1:25" ht="18.75" customHeight="1" x14ac:dyDescent="0.25">
      <c r="A4" s="303" t="s">
        <v>761</v>
      </c>
      <c r="B4" s="303" t="s">
        <v>15</v>
      </c>
      <c r="C4" s="304" t="s">
        <v>819</v>
      </c>
      <c r="D4" s="304" t="s">
        <v>971</v>
      </c>
      <c r="E4" s="305" t="s">
        <v>868</v>
      </c>
      <c r="F4" s="306" t="s">
        <v>988</v>
      </c>
      <c r="G4" s="306"/>
      <c r="H4" s="306"/>
      <c r="I4" s="306" t="s">
        <v>172</v>
      </c>
      <c r="J4" s="307" t="s">
        <v>1109</v>
      </c>
      <c r="K4" s="307" t="s">
        <v>1192</v>
      </c>
      <c r="L4" s="191"/>
      <c r="M4" s="305" t="s">
        <v>86</v>
      </c>
      <c r="N4" s="305"/>
      <c r="O4" s="305"/>
      <c r="P4" s="305"/>
      <c r="Q4" s="305" t="s">
        <v>563</v>
      </c>
      <c r="R4" s="305"/>
      <c r="S4" s="305"/>
      <c r="T4" s="305"/>
      <c r="U4" s="304" t="s">
        <v>991</v>
      </c>
      <c r="V4" s="304"/>
      <c r="W4" s="304"/>
      <c r="X4" s="308" t="s">
        <v>86</v>
      </c>
      <c r="Y4" s="308" t="s">
        <v>171</v>
      </c>
    </row>
    <row r="5" spans="1:25" ht="18" customHeight="1" x14ac:dyDescent="0.25">
      <c r="A5" s="303"/>
      <c r="B5" s="303"/>
      <c r="C5" s="304"/>
      <c r="D5" s="304"/>
      <c r="E5" s="305"/>
      <c r="F5" s="145" t="s">
        <v>974</v>
      </c>
      <c r="G5" s="145" t="s">
        <v>352</v>
      </c>
      <c r="H5" s="145" t="s">
        <v>184</v>
      </c>
      <c r="I5" s="306"/>
      <c r="J5" s="307"/>
      <c r="K5" s="307"/>
      <c r="L5" s="191"/>
      <c r="M5" s="92" t="s">
        <v>479</v>
      </c>
      <c r="N5" s="92" t="s">
        <v>53</v>
      </c>
      <c r="O5" s="92" t="s">
        <v>202</v>
      </c>
      <c r="P5" s="92" t="s">
        <v>378</v>
      </c>
      <c r="Q5" s="92" t="s">
        <v>479</v>
      </c>
      <c r="R5" s="92" t="s">
        <v>53</v>
      </c>
      <c r="S5" s="92" t="s">
        <v>202</v>
      </c>
      <c r="T5" s="92" t="s">
        <v>378</v>
      </c>
      <c r="U5" s="140" t="s">
        <v>1114</v>
      </c>
      <c r="V5" s="140" t="s">
        <v>830</v>
      </c>
      <c r="W5" s="140" t="s">
        <v>609</v>
      </c>
      <c r="X5" s="308"/>
      <c r="Y5" s="308"/>
    </row>
    <row r="6" spans="1:25" x14ac:dyDescent="0.25">
      <c r="A6" s="65"/>
      <c r="B6" s="31"/>
      <c r="C6" s="14" t="s">
        <v>350</v>
      </c>
      <c r="D6" s="65"/>
      <c r="E6" s="54"/>
      <c r="F6" s="98"/>
      <c r="G6" s="98"/>
      <c r="H6" s="98"/>
      <c r="I6" s="98"/>
      <c r="J6" s="126"/>
      <c r="K6" s="126"/>
      <c r="L6" s="192"/>
      <c r="M6" s="54"/>
      <c r="N6" s="54"/>
      <c r="O6" s="54"/>
      <c r="P6" s="54"/>
      <c r="Q6" s="54"/>
      <c r="R6" s="54"/>
      <c r="S6" s="54"/>
      <c r="T6" s="54"/>
      <c r="U6" s="94"/>
      <c r="V6" s="94"/>
      <c r="W6" s="94"/>
      <c r="X6" s="81"/>
      <c r="Y6" s="81"/>
    </row>
    <row r="7" spans="1:25" ht="30" x14ac:dyDescent="0.25">
      <c r="A7" s="124">
        <v>1</v>
      </c>
      <c r="B7" s="138" t="s">
        <v>1090</v>
      </c>
      <c r="C7" s="144" t="s">
        <v>909</v>
      </c>
      <c r="D7" s="168" t="s">
        <v>155</v>
      </c>
      <c r="E7" s="142"/>
      <c r="F7" s="11"/>
      <c r="G7" s="11"/>
      <c r="H7" s="11"/>
      <c r="I7" s="11"/>
      <c r="J7" s="32"/>
      <c r="K7" s="45">
        <v>164.34</v>
      </c>
      <c r="L7" s="193">
        <f>SUM(M7:P7)</f>
        <v>1534239</v>
      </c>
      <c r="M7" s="136">
        <f>'Đơn giá chi tiết'!J7</f>
        <v>1102139</v>
      </c>
      <c r="N7" s="136"/>
      <c r="O7" s="136">
        <f>'Đơn giá chi tiết'!J16</f>
        <v>384605</v>
      </c>
      <c r="P7" s="136">
        <f>'Đơn giá chi tiết'!J18</f>
        <v>47495</v>
      </c>
      <c r="Q7" s="166">
        <f t="shared" ref="Q7:Q16" si="0">ROUND(K7*M7,0)</f>
        <v>181125523</v>
      </c>
      <c r="R7" s="166">
        <f t="shared" ref="R7:R16" si="1">ROUND(K7*N7,0)</f>
        <v>0</v>
      </c>
      <c r="S7" s="166">
        <f t="shared" ref="S7:S16" si="2">ROUND(K7*O7,0)</f>
        <v>63205986</v>
      </c>
      <c r="T7" s="166">
        <f t="shared" ref="T7:T16" si="3">ROUND(K7*P7,0)</f>
        <v>7805328</v>
      </c>
      <c r="U7" s="34"/>
      <c r="V7" s="34"/>
      <c r="W7" s="34"/>
      <c r="X7" s="17" t="s">
        <v>82</v>
      </c>
      <c r="Y7" s="17" t="s">
        <v>321</v>
      </c>
    </row>
    <row r="8" spans="1:25" ht="30" x14ac:dyDescent="0.25">
      <c r="A8" s="124">
        <v>2</v>
      </c>
      <c r="B8" s="138" t="s">
        <v>648</v>
      </c>
      <c r="C8" s="144" t="s">
        <v>402</v>
      </c>
      <c r="D8" s="168" t="s">
        <v>155</v>
      </c>
      <c r="E8" s="142"/>
      <c r="F8" s="11"/>
      <c r="G8" s="11"/>
      <c r="H8" s="11"/>
      <c r="I8" s="11"/>
      <c r="J8" s="32"/>
      <c r="K8" s="45">
        <v>160.66999999999999</v>
      </c>
      <c r="L8" s="193">
        <f t="shared" ref="L8:L71" si="4">SUM(M8:P8)</f>
        <v>2078530</v>
      </c>
      <c r="M8" s="136">
        <f>'Đơn giá chi tiết'!J22</f>
        <v>1128105</v>
      </c>
      <c r="N8" s="136"/>
      <c r="O8" s="136">
        <f>'Đơn giá chi tiết'!J31</f>
        <v>840781</v>
      </c>
      <c r="P8" s="136">
        <f>'Đơn giá chi tiết'!J33</f>
        <v>109644</v>
      </c>
      <c r="Q8" s="166">
        <f t="shared" si="0"/>
        <v>181252630</v>
      </c>
      <c r="R8" s="166">
        <f t="shared" si="1"/>
        <v>0</v>
      </c>
      <c r="S8" s="166">
        <f t="shared" si="2"/>
        <v>135088283</v>
      </c>
      <c r="T8" s="166">
        <f t="shared" si="3"/>
        <v>17616501</v>
      </c>
      <c r="U8" s="34"/>
      <c r="V8" s="34"/>
      <c r="W8" s="34"/>
      <c r="X8" s="17" t="s">
        <v>82</v>
      </c>
      <c r="Y8" s="17" t="s">
        <v>321</v>
      </c>
    </row>
    <row r="9" spans="1:25" ht="30" x14ac:dyDescent="0.25">
      <c r="A9" s="124">
        <v>3</v>
      </c>
      <c r="B9" s="138" t="s">
        <v>346</v>
      </c>
      <c r="C9" s="144" t="s">
        <v>471</v>
      </c>
      <c r="D9" s="168" t="s">
        <v>155</v>
      </c>
      <c r="E9" s="142"/>
      <c r="F9" s="11"/>
      <c r="G9" s="11"/>
      <c r="H9" s="11"/>
      <c r="I9" s="11"/>
      <c r="J9" s="32"/>
      <c r="K9" s="30">
        <v>260</v>
      </c>
      <c r="L9" s="193">
        <f t="shared" si="4"/>
        <v>1258163</v>
      </c>
      <c r="M9" s="136">
        <f>'Đơn giá chi tiết'!J38</f>
        <v>902489</v>
      </c>
      <c r="N9" s="136"/>
      <c r="O9" s="136">
        <f>'Đơn giá chi tiết'!J44</f>
        <v>308465</v>
      </c>
      <c r="P9" s="136">
        <f>'Đơn giá chi tiết'!J46</f>
        <v>47209</v>
      </c>
      <c r="Q9" s="166">
        <f t="shared" si="0"/>
        <v>234647140</v>
      </c>
      <c r="R9" s="166">
        <f t="shared" si="1"/>
        <v>0</v>
      </c>
      <c r="S9" s="166">
        <f t="shared" si="2"/>
        <v>80200900</v>
      </c>
      <c r="T9" s="166">
        <f t="shared" si="3"/>
        <v>12274340</v>
      </c>
      <c r="U9" s="34"/>
      <c r="V9" s="34"/>
      <c r="W9" s="34"/>
      <c r="X9" s="17" t="s">
        <v>82</v>
      </c>
      <c r="Y9" s="17" t="s">
        <v>321</v>
      </c>
    </row>
    <row r="10" spans="1:25" ht="30" x14ac:dyDescent="0.25">
      <c r="A10" s="124">
        <v>4</v>
      </c>
      <c r="B10" s="138" t="s">
        <v>361</v>
      </c>
      <c r="C10" s="144" t="s">
        <v>217</v>
      </c>
      <c r="D10" s="168" t="s">
        <v>155</v>
      </c>
      <c r="E10" s="142"/>
      <c r="F10" s="11"/>
      <c r="G10" s="11"/>
      <c r="H10" s="11"/>
      <c r="I10" s="11"/>
      <c r="J10" s="32"/>
      <c r="K10" s="45">
        <v>54.6</v>
      </c>
      <c r="L10" s="193">
        <f t="shared" si="4"/>
        <v>1097246</v>
      </c>
      <c r="M10" s="136">
        <f>'Đơn giá chi tiết'!J50</f>
        <v>819664</v>
      </c>
      <c r="N10" s="136"/>
      <c r="O10" s="136">
        <f>'Đơn giá chi tiết'!J55</f>
        <v>230373</v>
      </c>
      <c r="P10" s="136">
        <f>'Đơn giá chi tiết'!J57</f>
        <v>47209</v>
      </c>
      <c r="Q10" s="166">
        <f t="shared" si="0"/>
        <v>44753654</v>
      </c>
      <c r="R10" s="166">
        <f t="shared" si="1"/>
        <v>0</v>
      </c>
      <c r="S10" s="166">
        <f t="shared" si="2"/>
        <v>12578366</v>
      </c>
      <c r="T10" s="166">
        <f t="shared" si="3"/>
        <v>2577611</v>
      </c>
      <c r="U10" s="34"/>
      <c r="V10" s="34"/>
      <c r="W10" s="34"/>
      <c r="X10" s="17" t="s">
        <v>82</v>
      </c>
      <c r="Y10" s="17" t="s">
        <v>321</v>
      </c>
    </row>
    <row r="11" spans="1:25" ht="30" x14ac:dyDescent="0.25">
      <c r="A11" s="124">
        <v>5</v>
      </c>
      <c r="B11" s="138" t="s">
        <v>399</v>
      </c>
      <c r="C11" s="144" t="s">
        <v>365</v>
      </c>
      <c r="D11" s="168" t="s">
        <v>1172</v>
      </c>
      <c r="E11" s="142"/>
      <c r="F11" s="11"/>
      <c r="G11" s="11"/>
      <c r="H11" s="11"/>
      <c r="I11" s="11"/>
      <c r="J11" s="32"/>
      <c r="K11" s="30">
        <f>ROUND(9045.86/1000,4)</f>
        <v>9.0458999999999996</v>
      </c>
      <c r="L11" s="193">
        <f t="shared" si="4"/>
        <v>16904417</v>
      </c>
      <c r="M11" s="136">
        <f>'Đơn giá chi tiết'!J61</f>
        <v>14677642</v>
      </c>
      <c r="N11" s="136"/>
      <c r="O11" s="136">
        <f>'Đơn giá chi tiết'!J65</f>
        <v>1775219</v>
      </c>
      <c r="P11" s="136">
        <f>'Đơn giá chi tiết'!J67</f>
        <v>451556</v>
      </c>
      <c r="Q11" s="166">
        <f t="shared" si="0"/>
        <v>132772482</v>
      </c>
      <c r="R11" s="166">
        <f t="shared" si="1"/>
        <v>0</v>
      </c>
      <c r="S11" s="166">
        <f t="shared" si="2"/>
        <v>16058454</v>
      </c>
      <c r="T11" s="166">
        <f t="shared" si="3"/>
        <v>4084730</v>
      </c>
      <c r="U11" s="34"/>
      <c r="V11" s="34"/>
      <c r="W11" s="34"/>
      <c r="X11" s="17" t="s">
        <v>82</v>
      </c>
      <c r="Y11" s="17" t="s">
        <v>321</v>
      </c>
    </row>
    <row r="12" spans="1:25" ht="30" x14ac:dyDescent="0.25">
      <c r="A12" s="124">
        <v>6</v>
      </c>
      <c r="B12" s="138" t="s">
        <v>369</v>
      </c>
      <c r="C12" s="144" t="s">
        <v>835</v>
      </c>
      <c r="D12" s="168" t="s">
        <v>1172</v>
      </c>
      <c r="E12" s="142"/>
      <c r="F12" s="11"/>
      <c r="G12" s="11"/>
      <c r="H12" s="11"/>
      <c r="I12" s="11"/>
      <c r="J12" s="32"/>
      <c r="K12" s="45">
        <f>ROUND(2625.22/1000,4)</f>
        <v>2.6252</v>
      </c>
      <c r="L12" s="193">
        <f t="shared" si="4"/>
        <v>16507650</v>
      </c>
      <c r="M12" s="136">
        <f>'Đơn giá chi tiết'!J71</f>
        <v>14690242</v>
      </c>
      <c r="N12" s="136"/>
      <c r="O12" s="136">
        <f>'Đơn giá chi tiết'!J75</f>
        <v>1351636</v>
      </c>
      <c r="P12" s="136">
        <f>'Đơn giá chi tiết'!J77</f>
        <v>465772</v>
      </c>
      <c r="Q12" s="166">
        <f t="shared" si="0"/>
        <v>38564823</v>
      </c>
      <c r="R12" s="166">
        <f t="shared" si="1"/>
        <v>0</v>
      </c>
      <c r="S12" s="166">
        <f t="shared" si="2"/>
        <v>3548315</v>
      </c>
      <c r="T12" s="166">
        <f t="shared" si="3"/>
        <v>1222745</v>
      </c>
      <c r="U12" s="34"/>
      <c r="V12" s="34"/>
      <c r="W12" s="34"/>
      <c r="X12" s="17" t="s">
        <v>82</v>
      </c>
      <c r="Y12" s="17" t="s">
        <v>321</v>
      </c>
    </row>
    <row r="13" spans="1:25" ht="30" x14ac:dyDescent="0.25">
      <c r="A13" s="124">
        <v>7</v>
      </c>
      <c r="B13" s="138" t="s">
        <v>838</v>
      </c>
      <c r="C13" s="144" t="s">
        <v>257</v>
      </c>
      <c r="D13" s="168" t="s">
        <v>1172</v>
      </c>
      <c r="E13" s="142"/>
      <c r="F13" s="11"/>
      <c r="G13" s="11"/>
      <c r="H13" s="11"/>
      <c r="I13" s="11"/>
      <c r="J13" s="32"/>
      <c r="K13" s="45">
        <f>ROUND(7625.42/1000,4)</f>
        <v>7.6254</v>
      </c>
      <c r="L13" s="193">
        <f t="shared" si="4"/>
        <v>17506800</v>
      </c>
      <c r="M13" s="136">
        <f>'Đơn giá chi tiết'!J81</f>
        <v>14677642</v>
      </c>
      <c r="N13" s="136"/>
      <c r="O13" s="136">
        <f>'Đơn giá chi tiết'!J85</f>
        <v>2377602</v>
      </c>
      <c r="P13" s="136">
        <f>'Đơn giá chi tiết'!J87</f>
        <v>451556</v>
      </c>
      <c r="Q13" s="166">
        <f t="shared" si="0"/>
        <v>111922891</v>
      </c>
      <c r="R13" s="166">
        <f t="shared" si="1"/>
        <v>0</v>
      </c>
      <c r="S13" s="166">
        <f t="shared" si="2"/>
        <v>18130166</v>
      </c>
      <c r="T13" s="166">
        <f t="shared" si="3"/>
        <v>3443295</v>
      </c>
      <c r="U13" s="34"/>
      <c r="V13" s="34"/>
      <c r="W13" s="34"/>
      <c r="X13" s="17" t="s">
        <v>82</v>
      </c>
      <c r="Y13" s="17" t="s">
        <v>321</v>
      </c>
    </row>
    <row r="14" spans="1:25" ht="30" x14ac:dyDescent="0.25">
      <c r="A14" s="124">
        <v>8</v>
      </c>
      <c r="B14" s="138" t="s">
        <v>1195</v>
      </c>
      <c r="C14" s="144" t="s">
        <v>424</v>
      </c>
      <c r="D14" s="168" t="s">
        <v>1172</v>
      </c>
      <c r="E14" s="142"/>
      <c r="F14" s="11"/>
      <c r="G14" s="11"/>
      <c r="H14" s="11"/>
      <c r="I14" s="11"/>
      <c r="J14" s="32"/>
      <c r="K14" s="45">
        <f>ROUND(2951.99/1000,4)</f>
        <v>2.952</v>
      </c>
      <c r="L14" s="193">
        <f t="shared" si="4"/>
        <v>17093004</v>
      </c>
      <c r="M14" s="136">
        <f>'Đơn giá chi tiết'!J91</f>
        <v>14690242</v>
      </c>
      <c r="N14" s="136"/>
      <c r="O14" s="136">
        <f>'Đơn giá chi tiết'!J95</f>
        <v>1936990</v>
      </c>
      <c r="P14" s="136">
        <f>'Đơn giá chi tiết'!J97</f>
        <v>465772</v>
      </c>
      <c r="Q14" s="166">
        <f t="shared" si="0"/>
        <v>43365594</v>
      </c>
      <c r="R14" s="166">
        <f t="shared" si="1"/>
        <v>0</v>
      </c>
      <c r="S14" s="166">
        <f t="shared" si="2"/>
        <v>5717994</v>
      </c>
      <c r="T14" s="166">
        <f t="shared" si="3"/>
        <v>1374959</v>
      </c>
      <c r="U14" s="34"/>
      <c r="V14" s="34"/>
      <c r="W14" s="34"/>
      <c r="X14" s="17" t="s">
        <v>82</v>
      </c>
      <c r="Y14" s="17" t="s">
        <v>321</v>
      </c>
    </row>
    <row r="15" spans="1:25" ht="30" x14ac:dyDescent="0.25">
      <c r="A15" s="124">
        <v>9</v>
      </c>
      <c r="B15" s="138" t="s">
        <v>589</v>
      </c>
      <c r="C15" s="144" t="s">
        <v>799</v>
      </c>
      <c r="D15" s="168" t="s">
        <v>836</v>
      </c>
      <c r="E15" s="142"/>
      <c r="F15" s="11"/>
      <c r="G15" s="11"/>
      <c r="H15" s="11"/>
      <c r="I15" s="11"/>
      <c r="J15" s="32"/>
      <c r="K15" s="30">
        <f>ROUND(43.2/100,4)</f>
        <v>0.432</v>
      </c>
      <c r="L15" s="193">
        <f t="shared" si="4"/>
        <v>4078577</v>
      </c>
      <c r="M15" s="136">
        <f>'Đơn giá chi tiết'!J101</f>
        <v>1255185</v>
      </c>
      <c r="N15" s="136"/>
      <c r="O15" s="136">
        <f>'Đơn giá chi tiết'!J105</f>
        <v>2823392</v>
      </c>
      <c r="P15" s="136"/>
      <c r="Q15" s="166">
        <f t="shared" si="0"/>
        <v>542240</v>
      </c>
      <c r="R15" s="166">
        <f t="shared" si="1"/>
        <v>0</v>
      </c>
      <c r="S15" s="166">
        <f t="shared" si="2"/>
        <v>1219705</v>
      </c>
      <c r="T15" s="166">
        <f t="shared" si="3"/>
        <v>0</v>
      </c>
      <c r="U15" s="34"/>
      <c r="V15" s="34"/>
      <c r="W15" s="34"/>
      <c r="X15" s="17" t="s">
        <v>82</v>
      </c>
      <c r="Y15" s="17" t="s">
        <v>321</v>
      </c>
    </row>
    <row r="16" spans="1:25" ht="30" x14ac:dyDescent="0.25">
      <c r="A16" s="124">
        <v>10</v>
      </c>
      <c r="B16" s="138" t="s">
        <v>869</v>
      </c>
      <c r="C16" s="144" t="s">
        <v>673</v>
      </c>
      <c r="D16" s="168" t="s">
        <v>836</v>
      </c>
      <c r="E16" s="142"/>
      <c r="F16" s="11"/>
      <c r="G16" s="11"/>
      <c r="H16" s="11"/>
      <c r="I16" s="11"/>
      <c r="J16" s="32"/>
      <c r="K16" s="45">
        <f>ROUND(357.92/100,4)</f>
        <v>3.5792000000000002</v>
      </c>
      <c r="L16" s="193">
        <f t="shared" si="4"/>
        <v>12624861</v>
      </c>
      <c r="M16" s="136">
        <f>'Đơn giá chi tiết'!J108</f>
        <v>3284877</v>
      </c>
      <c r="N16" s="136"/>
      <c r="O16" s="136">
        <f>'Đơn giá chi tiết'!J114</f>
        <v>8822813</v>
      </c>
      <c r="P16" s="100">
        <f>'Đơn giá chi tiết'!J116</f>
        <v>517171</v>
      </c>
      <c r="Q16" s="166">
        <f t="shared" si="0"/>
        <v>11757232</v>
      </c>
      <c r="R16" s="166">
        <f t="shared" si="1"/>
        <v>0</v>
      </c>
      <c r="S16" s="166">
        <f t="shared" si="2"/>
        <v>31578612</v>
      </c>
      <c r="T16" s="166">
        <f t="shared" si="3"/>
        <v>1851058</v>
      </c>
      <c r="U16" s="34"/>
      <c r="V16" s="34"/>
      <c r="W16" s="34"/>
      <c r="X16" s="17" t="s">
        <v>82</v>
      </c>
      <c r="Y16" s="17" t="s">
        <v>321</v>
      </c>
    </row>
    <row r="17" spans="1:25" x14ac:dyDescent="0.25">
      <c r="A17" s="168"/>
      <c r="B17" s="144"/>
      <c r="C17" s="130" t="s">
        <v>999</v>
      </c>
      <c r="D17" s="168"/>
      <c r="E17" s="166"/>
      <c r="F17" s="37"/>
      <c r="G17" s="37"/>
      <c r="H17" s="37"/>
      <c r="I17" s="37"/>
      <c r="J17" s="60"/>
      <c r="K17" s="60"/>
      <c r="L17" s="193">
        <f t="shared" si="4"/>
        <v>0</v>
      </c>
      <c r="M17" s="166"/>
      <c r="N17" s="166"/>
      <c r="O17" s="166"/>
      <c r="P17" s="166"/>
      <c r="Q17" s="166"/>
      <c r="R17" s="166"/>
      <c r="S17" s="166"/>
      <c r="T17" s="166"/>
      <c r="U17" s="34"/>
      <c r="V17" s="34"/>
      <c r="W17" s="34"/>
      <c r="X17" s="17"/>
      <c r="Y17" s="17"/>
    </row>
    <row r="18" spans="1:25" ht="30" x14ac:dyDescent="0.25">
      <c r="A18" s="124">
        <v>11</v>
      </c>
      <c r="B18" s="138" t="s">
        <v>1122</v>
      </c>
      <c r="C18" s="113" t="s">
        <v>226</v>
      </c>
      <c r="D18" s="168" t="s">
        <v>155</v>
      </c>
      <c r="E18" s="142"/>
      <c r="F18" s="11"/>
      <c r="G18" s="11"/>
      <c r="H18" s="11"/>
      <c r="I18" s="11"/>
      <c r="J18" s="32"/>
      <c r="K18" s="45">
        <v>64.81</v>
      </c>
      <c r="L18" s="193">
        <f t="shared" si="4"/>
        <v>1875595</v>
      </c>
      <c r="M18" s="136">
        <f>'Đơn giá chi tiết'!J121</f>
        <v>1049788</v>
      </c>
      <c r="N18" s="136"/>
      <c r="O18" s="136">
        <f>'Đơn giá chi tiết'!J127</f>
        <v>757767</v>
      </c>
      <c r="P18" s="100">
        <f>'Đơn giá chi tiết'!J129</f>
        <v>68040</v>
      </c>
      <c r="Q18" s="166">
        <f>ROUND(K18*M18,0)</f>
        <v>68036760</v>
      </c>
      <c r="R18" s="166">
        <f>ROUND(K18*N18,0)</f>
        <v>0</v>
      </c>
      <c r="S18" s="166">
        <f>ROUND(K18*O18,0)</f>
        <v>49110879</v>
      </c>
      <c r="T18" s="166">
        <f>ROUND(K18*P18,0)</f>
        <v>4409672</v>
      </c>
      <c r="U18" s="34"/>
      <c r="V18" s="34"/>
      <c r="W18" s="34"/>
      <c r="X18" s="17" t="s">
        <v>82</v>
      </c>
      <c r="Y18" s="17" t="s">
        <v>321</v>
      </c>
    </row>
    <row r="19" spans="1:25" ht="30" x14ac:dyDescent="0.25">
      <c r="A19" s="124">
        <v>12</v>
      </c>
      <c r="B19" s="138" t="s">
        <v>869</v>
      </c>
      <c r="C19" s="113" t="s">
        <v>899</v>
      </c>
      <c r="D19" s="168" t="s">
        <v>836</v>
      </c>
      <c r="E19" s="142"/>
      <c r="F19" s="11"/>
      <c r="G19" s="11"/>
      <c r="H19" s="11"/>
      <c r="I19" s="11"/>
      <c r="J19" s="32"/>
      <c r="K19" s="45">
        <f>ROUND(325.91/100,4)</f>
        <v>3.2591000000000001</v>
      </c>
      <c r="L19" s="193">
        <f t="shared" si="4"/>
        <v>12624861</v>
      </c>
      <c r="M19" s="136">
        <f>'Đơn giá chi tiết'!J134</f>
        <v>3284877</v>
      </c>
      <c r="N19" s="136"/>
      <c r="O19" s="136">
        <f>'Đơn giá chi tiết'!J140</f>
        <v>8822813</v>
      </c>
      <c r="P19" s="100">
        <f>'Đơn giá chi tiết'!J142</f>
        <v>517171</v>
      </c>
      <c r="Q19" s="166">
        <f>ROUND(K19*M19,0)</f>
        <v>10705743</v>
      </c>
      <c r="R19" s="166">
        <f>ROUND(K19*N19,0)</f>
        <v>0</v>
      </c>
      <c r="S19" s="166">
        <f>ROUND(K19*O19,0)</f>
        <v>28754430</v>
      </c>
      <c r="T19" s="166">
        <f>ROUND(K19*P19,0)</f>
        <v>1685512</v>
      </c>
      <c r="U19" s="34"/>
      <c r="V19" s="34"/>
      <c r="W19" s="34"/>
      <c r="X19" s="17" t="s">
        <v>82</v>
      </c>
      <c r="Y19" s="17" t="s">
        <v>321</v>
      </c>
    </row>
    <row r="20" spans="1:25" ht="30" x14ac:dyDescent="0.25">
      <c r="A20" s="124">
        <v>13</v>
      </c>
      <c r="B20" s="138" t="s">
        <v>910</v>
      </c>
      <c r="C20" s="144" t="s">
        <v>106</v>
      </c>
      <c r="D20" s="168" t="s">
        <v>1172</v>
      </c>
      <c r="E20" s="142"/>
      <c r="F20" s="11"/>
      <c r="G20" s="11"/>
      <c r="H20" s="11"/>
      <c r="I20" s="11"/>
      <c r="J20" s="32"/>
      <c r="K20" s="45">
        <f>ROUND(SUM(J21:J21),4)</f>
        <v>1.1047</v>
      </c>
      <c r="L20" s="193">
        <f t="shared" si="4"/>
        <v>18143125</v>
      </c>
      <c r="M20" s="136">
        <f>'Đơn giá chi tiết'!J147</f>
        <v>14603640</v>
      </c>
      <c r="N20" s="136"/>
      <c r="O20" s="136">
        <f>'Đơn giá chi tiết'!J150</f>
        <v>3448267</v>
      </c>
      <c r="P20" s="136">
        <f>'Đơn giá chi tiết'!J152</f>
        <v>91218</v>
      </c>
      <c r="Q20" s="166">
        <f>ROUND(K20*M20,0)</f>
        <v>16132641</v>
      </c>
      <c r="R20" s="166">
        <f>ROUND(K20*N20,0)</f>
        <v>0</v>
      </c>
      <c r="S20" s="166">
        <f>ROUND(K20*O20,0)</f>
        <v>3809301</v>
      </c>
      <c r="T20" s="166">
        <f>ROUND(K20*P20,0)</f>
        <v>100769</v>
      </c>
      <c r="U20" s="34"/>
      <c r="V20" s="34"/>
      <c r="W20" s="34"/>
      <c r="X20" s="17" t="s">
        <v>82</v>
      </c>
      <c r="Y20" s="17" t="s">
        <v>321</v>
      </c>
    </row>
    <row r="21" spans="1:25" x14ac:dyDescent="0.25">
      <c r="A21" s="161"/>
      <c r="B21" s="133"/>
      <c r="C21" s="133" t="s">
        <v>538</v>
      </c>
      <c r="D21" s="161"/>
      <c r="E21" s="156"/>
      <c r="F21" s="27"/>
      <c r="G21" s="27"/>
      <c r="H21" s="27"/>
      <c r="I21" s="27"/>
      <c r="J21" s="45">
        <v>1.1047</v>
      </c>
      <c r="K21" s="45"/>
      <c r="L21" s="193">
        <f t="shared" si="4"/>
        <v>0</v>
      </c>
      <c r="M21" s="156"/>
      <c r="N21" s="156"/>
      <c r="O21" s="156"/>
      <c r="P21" s="156"/>
      <c r="Q21" s="156"/>
      <c r="R21" s="156"/>
      <c r="S21" s="156"/>
      <c r="T21" s="156"/>
      <c r="U21" s="20"/>
      <c r="V21" s="20"/>
      <c r="W21" s="20"/>
      <c r="X21" s="17"/>
      <c r="Y21" s="17"/>
    </row>
    <row r="22" spans="1:25" ht="30" x14ac:dyDescent="0.25">
      <c r="A22" s="124">
        <v>14</v>
      </c>
      <c r="B22" s="138" t="s">
        <v>62</v>
      </c>
      <c r="C22" s="144" t="s">
        <v>1053</v>
      </c>
      <c r="D22" s="168" t="s">
        <v>1172</v>
      </c>
      <c r="E22" s="142"/>
      <c r="F22" s="11"/>
      <c r="G22" s="11"/>
      <c r="H22" s="11"/>
      <c r="I22" s="11"/>
      <c r="J22" s="32"/>
      <c r="K22" s="45">
        <f>ROUND(SUM(J23:J23),4)</f>
        <v>2.1598000000000002</v>
      </c>
      <c r="L22" s="193">
        <f t="shared" si="4"/>
        <v>17271813</v>
      </c>
      <c r="M22" s="136">
        <f>'Đơn giá chi tiết'!J155</f>
        <v>14678788</v>
      </c>
      <c r="N22" s="136"/>
      <c r="O22" s="136">
        <f>'Đơn giá chi tiết'!J159</f>
        <v>2137074</v>
      </c>
      <c r="P22" s="136">
        <f>'Đơn giá chi tiết'!J161</f>
        <v>455951</v>
      </c>
      <c r="Q22" s="166">
        <f>ROUND(K22*M22,0)</f>
        <v>31703246</v>
      </c>
      <c r="R22" s="166">
        <f>ROUND(K22*N22,0)</f>
        <v>0</v>
      </c>
      <c r="S22" s="166">
        <f>ROUND(K22*O22,0)</f>
        <v>4615652</v>
      </c>
      <c r="T22" s="166">
        <f>ROUND(K22*P22,0)</f>
        <v>984763</v>
      </c>
      <c r="U22" s="34"/>
      <c r="V22" s="34"/>
      <c r="W22" s="34"/>
      <c r="X22" s="17" t="s">
        <v>82</v>
      </c>
      <c r="Y22" s="17" t="s">
        <v>321</v>
      </c>
    </row>
    <row r="23" spans="1:25" x14ac:dyDescent="0.25">
      <c r="A23" s="161"/>
      <c r="B23" s="133"/>
      <c r="C23" s="133" t="s">
        <v>949</v>
      </c>
      <c r="D23" s="161"/>
      <c r="E23" s="156"/>
      <c r="F23" s="27"/>
      <c r="G23" s="27"/>
      <c r="H23" s="27"/>
      <c r="I23" s="27"/>
      <c r="J23" s="45">
        <v>2.1598000000000002</v>
      </c>
      <c r="K23" s="45"/>
      <c r="L23" s="193">
        <f t="shared" si="4"/>
        <v>0</v>
      </c>
      <c r="M23" s="156"/>
      <c r="N23" s="156"/>
      <c r="O23" s="156"/>
      <c r="P23" s="156"/>
      <c r="Q23" s="156"/>
      <c r="R23" s="156"/>
      <c r="S23" s="156"/>
      <c r="T23" s="156"/>
      <c r="U23" s="20"/>
      <c r="V23" s="20"/>
      <c r="W23" s="20"/>
      <c r="X23" s="17"/>
      <c r="Y23" s="17"/>
    </row>
    <row r="24" spans="1:25" ht="30" x14ac:dyDescent="0.25">
      <c r="A24" s="124">
        <v>15</v>
      </c>
      <c r="B24" s="138" t="s">
        <v>369</v>
      </c>
      <c r="C24" s="113" t="s">
        <v>145</v>
      </c>
      <c r="D24" s="168" t="s">
        <v>1172</v>
      </c>
      <c r="E24" s="142"/>
      <c r="F24" s="11"/>
      <c r="G24" s="11"/>
      <c r="H24" s="11"/>
      <c r="I24" s="11"/>
      <c r="J24" s="32"/>
      <c r="K24" s="45">
        <v>0.62080000000000002</v>
      </c>
      <c r="L24" s="193">
        <f t="shared" si="4"/>
        <v>61997408</v>
      </c>
      <c r="M24" s="136">
        <f>'Đơn giá chi tiết'!J165</f>
        <v>60180000</v>
      </c>
      <c r="N24" s="136"/>
      <c r="O24" s="136">
        <f>'Đơn giá chi tiết'!J169</f>
        <v>1351636</v>
      </c>
      <c r="P24" s="136">
        <f>'Đơn giá chi tiết'!J171</f>
        <v>465772</v>
      </c>
      <c r="Q24" s="166">
        <f>ROUND(K24*M24,0)</f>
        <v>37359744</v>
      </c>
      <c r="R24" s="166">
        <f>ROUND(K24*N24,0)</f>
        <v>0</v>
      </c>
      <c r="S24" s="166">
        <f>ROUND(K24*O24,0)</f>
        <v>839096</v>
      </c>
      <c r="T24" s="166">
        <f>ROUND(K24*P24,0)</f>
        <v>289151</v>
      </c>
      <c r="U24" s="34"/>
      <c r="V24" s="34"/>
      <c r="W24" s="34"/>
      <c r="X24" s="17" t="s">
        <v>82</v>
      </c>
      <c r="Y24" s="17" t="s">
        <v>321</v>
      </c>
    </row>
    <row r="25" spans="1:25" x14ac:dyDescent="0.25">
      <c r="A25" s="63">
        <v>16</v>
      </c>
      <c r="B25" s="29" t="s">
        <v>30</v>
      </c>
      <c r="C25" s="80" t="s">
        <v>824</v>
      </c>
      <c r="D25" s="119" t="s">
        <v>75</v>
      </c>
      <c r="E25" s="142"/>
      <c r="F25" s="11"/>
      <c r="G25" s="11"/>
      <c r="H25" s="11"/>
      <c r="I25" s="11"/>
      <c r="J25" s="32"/>
      <c r="K25" s="45">
        <v>8</v>
      </c>
      <c r="L25" s="193">
        <f t="shared" si="4"/>
        <v>25000</v>
      </c>
      <c r="M25" s="71">
        <f>'Đơn giá chi tiết'!J175</f>
        <v>25000</v>
      </c>
      <c r="N25" s="71"/>
      <c r="O25" s="71"/>
      <c r="P25" s="71"/>
      <c r="Q25" s="166">
        <f>ROUND(K25*M25,0)</f>
        <v>200000</v>
      </c>
      <c r="R25" s="166">
        <f>ROUND(K25*N25,0)</f>
        <v>0</v>
      </c>
      <c r="S25" s="166">
        <f>ROUND(K25*O25,0)</f>
        <v>0</v>
      </c>
      <c r="T25" s="166">
        <f>ROUND(K25*P25,0)</f>
        <v>0</v>
      </c>
      <c r="U25" s="152"/>
      <c r="V25" s="152"/>
      <c r="W25" s="152"/>
      <c r="X25" s="17"/>
      <c r="Y25" s="17"/>
    </row>
    <row r="26" spans="1:25" ht="60" x14ac:dyDescent="0.25">
      <c r="A26" s="124">
        <v>17</v>
      </c>
      <c r="B26" s="138" t="s">
        <v>333</v>
      </c>
      <c r="C26" s="144" t="s">
        <v>1086</v>
      </c>
      <c r="D26" s="168" t="s">
        <v>227</v>
      </c>
      <c r="E26" s="142"/>
      <c r="F26" s="11"/>
      <c r="G26" s="11"/>
      <c r="H26" s="11"/>
      <c r="I26" s="11"/>
      <c r="J26" s="32"/>
      <c r="K26" s="45">
        <f>ROUND(SUM(J27:J27),4)</f>
        <v>9.7200000000000006</v>
      </c>
      <c r="L26" s="193">
        <f t="shared" si="4"/>
        <v>219412274</v>
      </c>
      <c r="M26" s="100">
        <f>'Đơn giá chi tiết'!J178</f>
        <v>171224597</v>
      </c>
      <c r="N26" s="136"/>
      <c r="O26" s="136">
        <f>'Đơn giá chi tiết'!J185</f>
        <v>5299250</v>
      </c>
      <c r="P26" s="136">
        <f>'Đơn giá chi tiết'!J187</f>
        <v>42888427</v>
      </c>
      <c r="Q26" s="166">
        <f>ROUND(K26*M26,0)</f>
        <v>1664303083</v>
      </c>
      <c r="R26" s="166">
        <f>ROUND(K26*N26,0)</f>
        <v>0</v>
      </c>
      <c r="S26" s="166">
        <f>ROUND(K26*O26,0)</f>
        <v>51508710</v>
      </c>
      <c r="T26" s="166">
        <f>ROUND(K26*P26,0)</f>
        <v>416875510</v>
      </c>
      <c r="U26" s="34"/>
      <c r="V26" s="34"/>
      <c r="W26" s="34"/>
      <c r="X26" s="17" t="s">
        <v>82</v>
      </c>
      <c r="Y26" s="17" t="s">
        <v>321</v>
      </c>
    </row>
    <row r="27" spans="1:25" x14ac:dyDescent="0.25">
      <c r="A27" s="161"/>
      <c r="B27" s="133"/>
      <c r="C27" s="133" t="s">
        <v>1153</v>
      </c>
      <c r="D27" s="161"/>
      <c r="E27" s="156"/>
      <c r="F27" s="27"/>
      <c r="G27" s="27"/>
      <c r="H27" s="27"/>
      <c r="I27" s="27"/>
      <c r="J27" s="45">
        <v>9.7200000000000006</v>
      </c>
      <c r="K27" s="45"/>
      <c r="L27" s="193">
        <f t="shared" si="4"/>
        <v>0</v>
      </c>
      <c r="M27" s="156"/>
      <c r="N27" s="156"/>
      <c r="O27" s="156"/>
      <c r="P27" s="156"/>
      <c r="Q27" s="156"/>
      <c r="R27" s="156"/>
      <c r="S27" s="156"/>
      <c r="T27" s="156"/>
      <c r="U27" s="20"/>
      <c r="V27" s="20"/>
      <c r="W27" s="20"/>
      <c r="X27" s="17"/>
      <c r="Y27" s="17"/>
    </row>
    <row r="28" spans="1:25" ht="30" x14ac:dyDescent="0.25">
      <c r="A28" s="124">
        <v>18</v>
      </c>
      <c r="B28" s="138" t="s">
        <v>576</v>
      </c>
      <c r="C28" s="144" t="s">
        <v>27</v>
      </c>
      <c r="D28" s="168" t="s">
        <v>836</v>
      </c>
      <c r="E28" s="142"/>
      <c r="F28" s="11"/>
      <c r="G28" s="11"/>
      <c r="H28" s="11"/>
      <c r="I28" s="11"/>
      <c r="J28" s="32"/>
      <c r="K28" s="45">
        <f>ROUND(810/100,4)</f>
        <v>8.1</v>
      </c>
      <c r="L28" s="193">
        <f t="shared" si="4"/>
        <v>2850725</v>
      </c>
      <c r="M28" s="136">
        <f>'Đơn giá chi tiết'!J193</f>
        <v>2592044</v>
      </c>
      <c r="N28" s="136"/>
      <c r="O28" s="136">
        <f>'Đơn giá chi tiết'!J196</f>
        <v>258681</v>
      </c>
      <c r="P28" s="136"/>
      <c r="Q28" s="166">
        <f>ROUND(K28*M28,0)</f>
        <v>20995556</v>
      </c>
      <c r="R28" s="166">
        <f>ROUND(K28*N28,0)</f>
        <v>0</v>
      </c>
      <c r="S28" s="166">
        <f>ROUND(K28*O28,0)</f>
        <v>2095316</v>
      </c>
      <c r="T28" s="166">
        <f>ROUND(K28*P28,0)</f>
        <v>0</v>
      </c>
      <c r="U28" s="34"/>
      <c r="V28" s="34"/>
      <c r="W28" s="34"/>
      <c r="X28" s="17" t="s">
        <v>82</v>
      </c>
      <c r="Y28" s="17" t="s">
        <v>321</v>
      </c>
    </row>
    <row r="29" spans="1:25" x14ac:dyDescent="0.25">
      <c r="A29" s="168"/>
      <c r="B29" s="144"/>
      <c r="C29" s="130" t="s">
        <v>158</v>
      </c>
      <c r="D29" s="168"/>
      <c r="E29" s="166"/>
      <c r="F29" s="37"/>
      <c r="G29" s="37"/>
      <c r="H29" s="37"/>
      <c r="I29" s="37"/>
      <c r="J29" s="60"/>
      <c r="K29" s="60"/>
      <c r="L29" s="193">
        <f t="shared" si="4"/>
        <v>0</v>
      </c>
      <c r="M29" s="166"/>
      <c r="N29" s="166"/>
      <c r="O29" s="166"/>
      <c r="P29" s="166"/>
      <c r="Q29" s="166"/>
      <c r="R29" s="166"/>
      <c r="S29" s="166"/>
      <c r="T29" s="166"/>
      <c r="U29" s="34"/>
      <c r="V29" s="34"/>
      <c r="W29" s="34"/>
      <c r="X29" s="17"/>
      <c r="Y29" s="17"/>
    </row>
    <row r="30" spans="1:25" ht="30" x14ac:dyDescent="0.25">
      <c r="A30" s="124">
        <v>19</v>
      </c>
      <c r="B30" s="138" t="s">
        <v>724</v>
      </c>
      <c r="C30" s="144" t="s">
        <v>1121</v>
      </c>
      <c r="D30" s="168" t="s">
        <v>155</v>
      </c>
      <c r="E30" s="142"/>
      <c r="F30" s="11"/>
      <c r="G30" s="11"/>
      <c r="H30" s="11"/>
      <c r="I30" s="11"/>
      <c r="J30" s="32"/>
      <c r="K30" s="45">
        <v>26.18</v>
      </c>
      <c r="L30" s="193">
        <f t="shared" si="4"/>
        <v>1992974</v>
      </c>
      <c r="M30" s="136">
        <f>'Đơn giá chi tiết'!J199</f>
        <v>1167167</v>
      </c>
      <c r="N30" s="136"/>
      <c r="O30" s="136">
        <f>'Đơn giá chi tiết'!J208</f>
        <v>757767</v>
      </c>
      <c r="P30" s="136">
        <f>'Đơn giá chi tiết'!J210</f>
        <v>68040</v>
      </c>
      <c r="Q30" s="166">
        <f t="shared" ref="Q30:Q37" si="5">ROUND(K30*M30,0)</f>
        <v>30556432</v>
      </c>
      <c r="R30" s="166">
        <f t="shared" ref="R30:R37" si="6">ROUND(K30*N30,0)</f>
        <v>0</v>
      </c>
      <c r="S30" s="166">
        <f t="shared" ref="S30:S37" si="7">ROUND(K30*O30,0)</f>
        <v>19838340</v>
      </c>
      <c r="T30" s="166">
        <f t="shared" ref="T30:T37" si="8">ROUND(K30*P30,0)</f>
        <v>1781287</v>
      </c>
      <c r="U30" s="34"/>
      <c r="V30" s="34"/>
      <c r="W30" s="34"/>
      <c r="X30" s="17" t="s">
        <v>82</v>
      </c>
      <c r="Y30" s="17" t="s">
        <v>321</v>
      </c>
    </row>
    <row r="31" spans="1:25" ht="30" x14ac:dyDescent="0.25">
      <c r="A31" s="124">
        <v>20</v>
      </c>
      <c r="B31" s="138" t="s">
        <v>869</v>
      </c>
      <c r="C31" s="144" t="s">
        <v>673</v>
      </c>
      <c r="D31" s="168" t="s">
        <v>836</v>
      </c>
      <c r="E31" s="142"/>
      <c r="F31" s="11"/>
      <c r="G31" s="11"/>
      <c r="H31" s="11"/>
      <c r="I31" s="11"/>
      <c r="J31" s="32"/>
      <c r="K31" s="45">
        <f>ROUND(116.36/100,4)</f>
        <v>1.1636</v>
      </c>
      <c r="L31" s="193">
        <f t="shared" si="4"/>
        <v>12624861</v>
      </c>
      <c r="M31" s="136">
        <f>'Đơn giá chi tiết'!J214</f>
        <v>3284877</v>
      </c>
      <c r="N31" s="136"/>
      <c r="O31" s="136">
        <f>'Đơn giá chi tiết'!J220</f>
        <v>8822813</v>
      </c>
      <c r="P31" s="100">
        <f>'Đơn giá chi tiết'!J222</f>
        <v>517171</v>
      </c>
      <c r="Q31" s="166">
        <f t="shared" si="5"/>
        <v>3822283</v>
      </c>
      <c r="R31" s="166">
        <f t="shared" si="6"/>
        <v>0</v>
      </c>
      <c r="S31" s="166">
        <f t="shared" si="7"/>
        <v>10266225</v>
      </c>
      <c r="T31" s="166">
        <f t="shared" si="8"/>
        <v>601780</v>
      </c>
      <c r="U31" s="34"/>
      <c r="V31" s="34"/>
      <c r="W31" s="34"/>
      <c r="X31" s="17" t="s">
        <v>82</v>
      </c>
      <c r="Y31" s="17" t="s">
        <v>321</v>
      </c>
    </row>
    <row r="32" spans="1:25" ht="30" x14ac:dyDescent="0.25">
      <c r="A32" s="124">
        <v>21</v>
      </c>
      <c r="B32" s="138" t="s">
        <v>430</v>
      </c>
      <c r="C32" s="144" t="s">
        <v>503</v>
      </c>
      <c r="D32" s="168" t="s">
        <v>1172</v>
      </c>
      <c r="E32" s="142"/>
      <c r="F32" s="11"/>
      <c r="G32" s="11"/>
      <c r="H32" s="11"/>
      <c r="I32" s="11"/>
      <c r="J32" s="32"/>
      <c r="K32" s="45">
        <f>ROUND(875.21/1000,4)</f>
        <v>0.87519999999999998</v>
      </c>
      <c r="L32" s="193">
        <f t="shared" si="4"/>
        <v>17596085</v>
      </c>
      <c r="M32" s="136">
        <f>'Đơn giá chi tiết'!J227</f>
        <v>14603640</v>
      </c>
      <c r="N32" s="136"/>
      <c r="O32" s="136">
        <f>'Đơn giá chi tiết'!J230</f>
        <v>2901227</v>
      </c>
      <c r="P32" s="136">
        <f>'Đơn giá chi tiết'!J232</f>
        <v>91218</v>
      </c>
      <c r="Q32" s="166">
        <f t="shared" si="5"/>
        <v>12781106</v>
      </c>
      <c r="R32" s="166">
        <f t="shared" si="6"/>
        <v>0</v>
      </c>
      <c r="S32" s="166">
        <f t="shared" si="7"/>
        <v>2539154</v>
      </c>
      <c r="T32" s="166">
        <f t="shared" si="8"/>
        <v>79834</v>
      </c>
      <c r="U32" s="34"/>
      <c r="V32" s="34"/>
      <c r="W32" s="34"/>
      <c r="X32" s="17" t="s">
        <v>82</v>
      </c>
      <c r="Y32" s="17" t="s">
        <v>321</v>
      </c>
    </row>
    <row r="33" spans="1:25" ht="30" x14ac:dyDescent="0.25">
      <c r="A33" s="124">
        <v>22</v>
      </c>
      <c r="B33" s="138" t="s">
        <v>838</v>
      </c>
      <c r="C33" s="144" t="s">
        <v>257</v>
      </c>
      <c r="D33" s="168" t="s">
        <v>1172</v>
      </c>
      <c r="E33" s="142"/>
      <c r="F33" s="11"/>
      <c r="G33" s="11"/>
      <c r="H33" s="11"/>
      <c r="I33" s="11"/>
      <c r="J33" s="32"/>
      <c r="K33" s="45">
        <f>ROUND(845.17/1000,4)</f>
        <v>0.84519999999999995</v>
      </c>
      <c r="L33" s="193">
        <f t="shared" si="4"/>
        <v>17506800</v>
      </c>
      <c r="M33" s="136">
        <f>'Đơn giá chi tiết'!J235</f>
        <v>14677642</v>
      </c>
      <c r="N33" s="136"/>
      <c r="O33" s="136">
        <f>'Đơn giá chi tiết'!J239</f>
        <v>2377602</v>
      </c>
      <c r="P33" s="136">
        <f>'Đơn giá chi tiết'!J241</f>
        <v>451556</v>
      </c>
      <c r="Q33" s="166">
        <f t="shared" si="5"/>
        <v>12405543</v>
      </c>
      <c r="R33" s="166">
        <f t="shared" si="6"/>
        <v>0</v>
      </c>
      <c r="S33" s="166">
        <f t="shared" si="7"/>
        <v>2009549</v>
      </c>
      <c r="T33" s="166">
        <f t="shared" si="8"/>
        <v>381655</v>
      </c>
      <c r="U33" s="34"/>
      <c r="V33" s="34"/>
      <c r="W33" s="34"/>
      <c r="X33" s="17" t="s">
        <v>82</v>
      </c>
      <c r="Y33" s="17" t="s">
        <v>321</v>
      </c>
    </row>
    <row r="34" spans="1:25" ht="30" x14ac:dyDescent="0.25">
      <c r="A34" s="124">
        <v>23</v>
      </c>
      <c r="B34" s="138" t="s">
        <v>1158</v>
      </c>
      <c r="C34" s="144" t="s">
        <v>785</v>
      </c>
      <c r="D34" s="168" t="s">
        <v>155</v>
      </c>
      <c r="E34" s="142"/>
      <c r="F34" s="11"/>
      <c r="G34" s="11"/>
      <c r="H34" s="11"/>
      <c r="I34" s="11"/>
      <c r="J34" s="32"/>
      <c r="K34" s="45">
        <v>10.32</v>
      </c>
      <c r="L34" s="193">
        <f t="shared" si="4"/>
        <v>1815103</v>
      </c>
      <c r="M34" s="136">
        <f>'Đơn giá chi tiết'!J245</f>
        <v>989296</v>
      </c>
      <c r="N34" s="136"/>
      <c r="O34" s="136">
        <f>'Đơn giá chi tiết'!J251</f>
        <v>757767</v>
      </c>
      <c r="P34" s="100">
        <f>'Đơn giá chi tiết'!J253</f>
        <v>68040</v>
      </c>
      <c r="Q34" s="166">
        <f t="shared" si="5"/>
        <v>10209535</v>
      </c>
      <c r="R34" s="166">
        <f t="shared" si="6"/>
        <v>0</v>
      </c>
      <c r="S34" s="166">
        <f t="shared" si="7"/>
        <v>7820155</v>
      </c>
      <c r="T34" s="166">
        <f t="shared" si="8"/>
        <v>702173</v>
      </c>
      <c r="U34" s="34"/>
      <c r="V34" s="34"/>
      <c r="W34" s="34"/>
      <c r="X34" s="17" t="s">
        <v>82</v>
      </c>
      <c r="Y34" s="17" t="s">
        <v>321</v>
      </c>
    </row>
    <row r="35" spans="1:25" ht="45" x14ac:dyDescent="0.25">
      <c r="A35" s="124">
        <v>24</v>
      </c>
      <c r="B35" s="138" t="s">
        <v>869</v>
      </c>
      <c r="C35" s="144" t="s">
        <v>730</v>
      </c>
      <c r="D35" s="168" t="s">
        <v>836</v>
      </c>
      <c r="E35" s="142"/>
      <c r="F35" s="11"/>
      <c r="G35" s="11"/>
      <c r="H35" s="11"/>
      <c r="I35" s="11"/>
      <c r="J35" s="32"/>
      <c r="K35" s="45">
        <f>ROUND(58.16/100,4)</f>
        <v>0.58160000000000001</v>
      </c>
      <c r="L35" s="193">
        <f t="shared" si="4"/>
        <v>12624861</v>
      </c>
      <c r="M35" s="136">
        <f>'Đơn giá chi tiết'!J258</f>
        <v>3284877</v>
      </c>
      <c r="N35" s="136"/>
      <c r="O35" s="136">
        <f>'Đơn giá chi tiết'!J264</f>
        <v>8822813</v>
      </c>
      <c r="P35" s="100">
        <f>'Đơn giá chi tiết'!J266</f>
        <v>517171</v>
      </c>
      <c r="Q35" s="166">
        <f t="shared" si="5"/>
        <v>1910484</v>
      </c>
      <c r="R35" s="166">
        <f t="shared" si="6"/>
        <v>0</v>
      </c>
      <c r="S35" s="166">
        <f t="shared" si="7"/>
        <v>5131348</v>
      </c>
      <c r="T35" s="166">
        <f t="shared" si="8"/>
        <v>300787</v>
      </c>
      <c r="U35" s="34"/>
      <c r="V35" s="34"/>
      <c r="W35" s="34"/>
      <c r="X35" s="17" t="s">
        <v>82</v>
      </c>
      <c r="Y35" s="17" t="s">
        <v>321</v>
      </c>
    </row>
    <row r="36" spans="1:25" ht="30" x14ac:dyDescent="0.25">
      <c r="A36" s="124">
        <v>25</v>
      </c>
      <c r="B36" s="138" t="s">
        <v>910</v>
      </c>
      <c r="C36" s="144" t="s">
        <v>106</v>
      </c>
      <c r="D36" s="168" t="s">
        <v>1172</v>
      </c>
      <c r="E36" s="142"/>
      <c r="F36" s="11"/>
      <c r="G36" s="11"/>
      <c r="H36" s="11"/>
      <c r="I36" s="11"/>
      <c r="J36" s="32"/>
      <c r="K36" s="45">
        <f>ROUND(375.8/1000,4)</f>
        <v>0.37580000000000002</v>
      </c>
      <c r="L36" s="193">
        <f t="shared" si="4"/>
        <v>18143125</v>
      </c>
      <c r="M36" s="136">
        <f>'Đơn giá chi tiết'!J271</f>
        <v>14603640</v>
      </c>
      <c r="N36" s="136"/>
      <c r="O36" s="136">
        <f>'Đơn giá chi tiết'!J274</f>
        <v>3448267</v>
      </c>
      <c r="P36" s="100">
        <f>'Đơn giá chi tiết'!J276</f>
        <v>91218</v>
      </c>
      <c r="Q36" s="166">
        <f t="shared" si="5"/>
        <v>5488048</v>
      </c>
      <c r="R36" s="166">
        <f t="shared" si="6"/>
        <v>0</v>
      </c>
      <c r="S36" s="166">
        <f t="shared" si="7"/>
        <v>1295859</v>
      </c>
      <c r="T36" s="166">
        <f t="shared" si="8"/>
        <v>34280</v>
      </c>
      <c r="U36" s="34"/>
      <c r="V36" s="34"/>
      <c r="W36" s="34"/>
      <c r="X36" s="17" t="s">
        <v>82</v>
      </c>
      <c r="Y36" s="17" t="s">
        <v>321</v>
      </c>
    </row>
    <row r="37" spans="1:25" ht="30" x14ac:dyDescent="0.25">
      <c r="A37" s="124">
        <v>26</v>
      </c>
      <c r="B37" s="138" t="s">
        <v>62</v>
      </c>
      <c r="C37" s="144" t="s">
        <v>1053</v>
      </c>
      <c r="D37" s="168" t="s">
        <v>1172</v>
      </c>
      <c r="E37" s="142"/>
      <c r="F37" s="11"/>
      <c r="G37" s="11"/>
      <c r="H37" s="11"/>
      <c r="I37" s="11"/>
      <c r="J37" s="32"/>
      <c r="K37" s="45">
        <f>ROUND(272.4/1000,4)</f>
        <v>0.27239999999999998</v>
      </c>
      <c r="L37" s="193">
        <f t="shared" si="4"/>
        <v>17271813</v>
      </c>
      <c r="M37" s="136">
        <f>'Đơn giá chi tiết'!J279</f>
        <v>14678788</v>
      </c>
      <c r="N37" s="136"/>
      <c r="O37" s="136">
        <f>'Đơn giá chi tiết'!J283</f>
        <v>2137074</v>
      </c>
      <c r="P37" s="136">
        <f>'Đơn giá chi tiết'!J285</f>
        <v>455951</v>
      </c>
      <c r="Q37" s="166">
        <f t="shared" si="5"/>
        <v>3998502</v>
      </c>
      <c r="R37" s="166">
        <f t="shared" si="6"/>
        <v>0</v>
      </c>
      <c r="S37" s="166">
        <f t="shared" si="7"/>
        <v>582139</v>
      </c>
      <c r="T37" s="166">
        <f t="shared" si="8"/>
        <v>124201</v>
      </c>
      <c r="U37" s="34"/>
      <c r="V37" s="34"/>
      <c r="W37" s="34"/>
      <c r="X37" s="17" t="s">
        <v>82</v>
      </c>
      <c r="Y37" s="17" t="s">
        <v>321</v>
      </c>
    </row>
    <row r="38" spans="1:25" ht="28.5" x14ac:dyDescent="0.25">
      <c r="A38" s="168"/>
      <c r="B38" s="144"/>
      <c r="C38" s="130" t="s">
        <v>381</v>
      </c>
      <c r="D38" s="168"/>
      <c r="E38" s="166"/>
      <c r="F38" s="37"/>
      <c r="G38" s="37"/>
      <c r="H38" s="37"/>
      <c r="I38" s="37"/>
      <c r="J38" s="60"/>
      <c r="K38" s="60"/>
      <c r="L38" s="193">
        <f t="shared" si="4"/>
        <v>0</v>
      </c>
      <c r="M38" s="166"/>
      <c r="N38" s="166"/>
      <c r="O38" s="166"/>
      <c r="P38" s="166"/>
      <c r="Q38" s="166"/>
      <c r="R38" s="166"/>
      <c r="S38" s="166"/>
      <c r="T38" s="166"/>
      <c r="U38" s="34"/>
      <c r="V38" s="34"/>
      <c r="W38" s="34"/>
      <c r="X38" s="17"/>
      <c r="Y38" s="17"/>
    </row>
    <row r="39" spans="1:25" ht="30" x14ac:dyDescent="0.25">
      <c r="A39" s="124">
        <v>27</v>
      </c>
      <c r="B39" s="52" t="s">
        <v>486</v>
      </c>
      <c r="C39" s="144" t="s">
        <v>74</v>
      </c>
      <c r="D39" s="168" t="s">
        <v>1172</v>
      </c>
      <c r="E39" s="142"/>
      <c r="F39" s="11"/>
      <c r="G39" s="11"/>
      <c r="H39" s="11"/>
      <c r="I39" s="11"/>
      <c r="J39" s="32"/>
      <c r="K39" s="45">
        <f>ROUND(10.37/1000,4)</f>
        <v>1.04E-2</v>
      </c>
      <c r="L39" s="193">
        <f t="shared" si="4"/>
        <v>26059170</v>
      </c>
      <c r="M39" s="136">
        <f>'Đơn giá chi tiết'!J289</f>
        <v>15447317</v>
      </c>
      <c r="N39" s="136"/>
      <c r="O39" s="136">
        <f>'Đơn giá chi tiết'!J297</f>
        <v>8769288</v>
      </c>
      <c r="P39" s="136">
        <f>'Đơn giá chi tiết'!J299</f>
        <v>1842565</v>
      </c>
      <c r="Q39" s="166">
        <f t="shared" ref="Q39:Q45" si="9">ROUND(K39*M39,0)</f>
        <v>160652</v>
      </c>
      <c r="R39" s="166">
        <f t="shared" ref="R39:R45" si="10">ROUND(K39*N39,0)</f>
        <v>0</v>
      </c>
      <c r="S39" s="166">
        <f t="shared" ref="S39:S45" si="11">ROUND(K39*O39,0)</f>
        <v>91201</v>
      </c>
      <c r="T39" s="166">
        <f t="shared" ref="T39:T45" si="12">ROUND(K39*P39,0)</f>
        <v>19163</v>
      </c>
      <c r="U39" s="34"/>
      <c r="V39" s="34"/>
      <c r="W39" s="34"/>
      <c r="X39" s="17" t="s">
        <v>82</v>
      </c>
      <c r="Y39" s="17" t="s">
        <v>321</v>
      </c>
    </row>
    <row r="40" spans="1:25" x14ac:dyDescent="0.25">
      <c r="A40" s="63">
        <v>28</v>
      </c>
      <c r="B40" s="29" t="s">
        <v>30</v>
      </c>
      <c r="C40" s="80" t="s">
        <v>1183</v>
      </c>
      <c r="D40" s="119" t="s">
        <v>75</v>
      </c>
      <c r="E40" s="142"/>
      <c r="F40" s="11"/>
      <c r="G40" s="11"/>
      <c r="H40" s="11"/>
      <c r="I40" s="11"/>
      <c r="J40" s="32"/>
      <c r="K40" s="45">
        <v>28</v>
      </c>
      <c r="L40" s="193">
        <f t="shared" si="4"/>
        <v>12000</v>
      </c>
      <c r="M40" s="71">
        <f>'Đơn giá chi tiết'!J305</f>
        <v>12000</v>
      </c>
      <c r="N40" s="71"/>
      <c r="O40" s="71"/>
      <c r="P40" s="71"/>
      <c r="Q40" s="166">
        <f t="shared" si="9"/>
        <v>336000</v>
      </c>
      <c r="R40" s="166">
        <f t="shared" si="10"/>
        <v>0</v>
      </c>
      <c r="S40" s="166">
        <f t="shared" si="11"/>
        <v>0</v>
      </c>
      <c r="T40" s="166">
        <f t="shared" si="12"/>
        <v>0</v>
      </c>
      <c r="U40" s="152"/>
      <c r="V40" s="152"/>
      <c r="W40" s="152"/>
      <c r="X40" s="17"/>
      <c r="Y40" s="17"/>
    </row>
    <row r="41" spans="1:25" x14ac:dyDescent="0.25">
      <c r="A41" s="63">
        <v>29</v>
      </c>
      <c r="B41" s="29" t="s">
        <v>30</v>
      </c>
      <c r="C41" s="80" t="s">
        <v>1157</v>
      </c>
      <c r="D41" s="119" t="s">
        <v>555</v>
      </c>
      <c r="E41" s="142"/>
      <c r="F41" s="11"/>
      <c r="G41" s="11"/>
      <c r="H41" s="11"/>
      <c r="I41" s="11"/>
      <c r="J41" s="32"/>
      <c r="K41" s="45">
        <v>11.75</v>
      </c>
      <c r="L41" s="193">
        <f t="shared" si="4"/>
        <v>222600</v>
      </c>
      <c r="M41" s="71">
        <f>'Đơn giá chi tiết'!J308</f>
        <v>222600</v>
      </c>
      <c r="N41" s="71"/>
      <c r="O41" s="71"/>
      <c r="P41" s="71"/>
      <c r="Q41" s="166">
        <f t="shared" si="9"/>
        <v>2615550</v>
      </c>
      <c r="R41" s="166">
        <f t="shared" si="10"/>
        <v>0</v>
      </c>
      <c r="S41" s="166">
        <f t="shared" si="11"/>
        <v>0</v>
      </c>
      <c r="T41" s="166">
        <f t="shared" si="12"/>
        <v>0</v>
      </c>
      <c r="U41" s="152"/>
      <c r="V41" s="152"/>
      <c r="W41" s="152"/>
      <c r="X41" s="17"/>
      <c r="Y41" s="17"/>
    </row>
    <row r="42" spans="1:25" ht="30" x14ac:dyDescent="0.25">
      <c r="A42" s="124">
        <v>30</v>
      </c>
      <c r="B42" s="138" t="s">
        <v>1071</v>
      </c>
      <c r="C42" s="144" t="s">
        <v>738</v>
      </c>
      <c r="D42" s="168" t="s">
        <v>227</v>
      </c>
      <c r="E42" s="142"/>
      <c r="F42" s="11"/>
      <c r="G42" s="11"/>
      <c r="H42" s="11"/>
      <c r="I42" s="11"/>
      <c r="J42" s="32"/>
      <c r="K42" s="45">
        <f>ROUND(9*3/100,4)</f>
        <v>0.27</v>
      </c>
      <c r="L42" s="193">
        <f t="shared" si="4"/>
        <v>1373477</v>
      </c>
      <c r="M42" s="136">
        <f>'Đơn giá chi tiết'!J311</f>
        <v>767494</v>
      </c>
      <c r="N42" s="136"/>
      <c r="O42" s="136">
        <f>'Đơn giá chi tiết'!J316</f>
        <v>605983</v>
      </c>
      <c r="P42" s="136"/>
      <c r="Q42" s="166">
        <f t="shared" si="9"/>
        <v>207223</v>
      </c>
      <c r="R42" s="166">
        <f t="shared" si="10"/>
        <v>0</v>
      </c>
      <c r="S42" s="166">
        <f t="shared" si="11"/>
        <v>163615</v>
      </c>
      <c r="T42" s="166">
        <f t="shared" si="12"/>
        <v>0</v>
      </c>
      <c r="U42" s="34"/>
      <c r="V42" s="34"/>
      <c r="W42" s="34"/>
      <c r="X42" s="17" t="s">
        <v>82</v>
      </c>
      <c r="Y42" s="17" t="s">
        <v>321</v>
      </c>
    </row>
    <row r="43" spans="1:25" ht="30" x14ac:dyDescent="0.25">
      <c r="A43" s="124">
        <v>31</v>
      </c>
      <c r="B43" s="138" t="s">
        <v>370</v>
      </c>
      <c r="C43" s="144" t="s">
        <v>194</v>
      </c>
      <c r="D43" s="168" t="s">
        <v>155</v>
      </c>
      <c r="E43" s="142"/>
      <c r="F43" s="11"/>
      <c r="G43" s="11"/>
      <c r="H43" s="11"/>
      <c r="I43" s="11"/>
      <c r="J43" s="32"/>
      <c r="K43" s="45">
        <v>0.06</v>
      </c>
      <c r="L43" s="193">
        <f t="shared" si="4"/>
        <v>1293693</v>
      </c>
      <c r="M43" s="136">
        <f>'Đơn giá chi tiết'!J319</f>
        <v>926019</v>
      </c>
      <c r="N43" s="136"/>
      <c r="O43" s="136">
        <f>'Đơn giá chi tiết'!J325</f>
        <v>320179</v>
      </c>
      <c r="P43" s="136">
        <f>'Đơn giá chi tiết'!J327</f>
        <v>47495</v>
      </c>
      <c r="Q43" s="166">
        <f t="shared" si="9"/>
        <v>55561</v>
      </c>
      <c r="R43" s="166">
        <f t="shared" si="10"/>
        <v>0</v>
      </c>
      <c r="S43" s="166">
        <f t="shared" si="11"/>
        <v>19211</v>
      </c>
      <c r="T43" s="166">
        <f t="shared" si="12"/>
        <v>2850</v>
      </c>
      <c r="U43" s="34"/>
      <c r="V43" s="34"/>
      <c r="W43" s="34"/>
      <c r="X43" s="17" t="s">
        <v>82</v>
      </c>
      <c r="Y43" s="17" t="s">
        <v>321</v>
      </c>
    </row>
    <row r="44" spans="1:25" ht="30" x14ac:dyDescent="0.25">
      <c r="A44" s="124">
        <v>32</v>
      </c>
      <c r="B44" s="138" t="s">
        <v>769</v>
      </c>
      <c r="C44" s="144" t="s">
        <v>310</v>
      </c>
      <c r="D44" s="168" t="s">
        <v>155</v>
      </c>
      <c r="E44" s="142"/>
      <c r="F44" s="11"/>
      <c r="G44" s="11"/>
      <c r="H44" s="11"/>
      <c r="I44" s="11"/>
      <c r="J44" s="32"/>
      <c r="K44" s="45">
        <v>0.2</v>
      </c>
      <c r="L44" s="193">
        <f t="shared" si="4"/>
        <v>1356970</v>
      </c>
      <c r="M44" s="136">
        <f>'Đơn giá chi tiết'!J331</f>
        <v>989296</v>
      </c>
      <c r="N44" s="136"/>
      <c r="O44" s="136">
        <f>'Đơn giá chi tiết'!J337</f>
        <v>320179</v>
      </c>
      <c r="P44" s="136">
        <f>'Đơn giá chi tiết'!J339</f>
        <v>47495</v>
      </c>
      <c r="Q44" s="166">
        <f t="shared" si="9"/>
        <v>197859</v>
      </c>
      <c r="R44" s="166">
        <f t="shared" si="10"/>
        <v>0</v>
      </c>
      <c r="S44" s="166">
        <f t="shared" si="11"/>
        <v>64036</v>
      </c>
      <c r="T44" s="166">
        <f t="shared" si="12"/>
        <v>9499</v>
      </c>
      <c r="U44" s="34"/>
      <c r="V44" s="34"/>
      <c r="W44" s="34"/>
      <c r="X44" s="17" t="s">
        <v>82</v>
      </c>
      <c r="Y44" s="17" t="s">
        <v>321</v>
      </c>
    </row>
    <row r="45" spans="1:25" ht="30" x14ac:dyDescent="0.25">
      <c r="A45" s="124">
        <v>33</v>
      </c>
      <c r="B45" s="138" t="s">
        <v>667</v>
      </c>
      <c r="C45" s="144" t="s">
        <v>451</v>
      </c>
      <c r="D45" s="168" t="s">
        <v>205</v>
      </c>
      <c r="E45" s="142"/>
      <c r="F45" s="11"/>
      <c r="G45" s="11"/>
      <c r="H45" s="11"/>
      <c r="I45" s="11"/>
      <c r="J45" s="32"/>
      <c r="K45" s="45">
        <v>4</v>
      </c>
      <c r="L45" s="193">
        <f t="shared" si="4"/>
        <v>30063</v>
      </c>
      <c r="M45" s="136">
        <f>'Đơn giá chi tiết'!J343</f>
        <v>16015</v>
      </c>
      <c r="N45" s="136"/>
      <c r="O45" s="136">
        <f>'Đơn giá chi tiết'!J347</f>
        <v>14048</v>
      </c>
      <c r="P45" s="136"/>
      <c r="Q45" s="166">
        <f t="shared" si="9"/>
        <v>64060</v>
      </c>
      <c r="R45" s="166">
        <f t="shared" si="10"/>
        <v>0</v>
      </c>
      <c r="S45" s="166">
        <f t="shared" si="11"/>
        <v>56192</v>
      </c>
      <c r="T45" s="166">
        <f t="shared" si="12"/>
        <v>0</v>
      </c>
      <c r="U45" s="34"/>
      <c r="V45" s="34"/>
      <c r="W45" s="34"/>
      <c r="X45" s="17" t="s">
        <v>82</v>
      </c>
      <c r="Y45" s="17" t="s">
        <v>321</v>
      </c>
    </row>
    <row r="46" spans="1:25" ht="28.5" x14ac:dyDescent="0.25">
      <c r="A46" s="168"/>
      <c r="B46" s="144"/>
      <c r="C46" s="130" t="s">
        <v>801</v>
      </c>
      <c r="D46" s="168"/>
      <c r="E46" s="166"/>
      <c r="F46" s="37"/>
      <c r="G46" s="37"/>
      <c r="H46" s="37"/>
      <c r="I46" s="37"/>
      <c r="J46" s="60"/>
      <c r="K46" s="60"/>
      <c r="L46" s="193">
        <f t="shared" si="4"/>
        <v>0</v>
      </c>
      <c r="M46" s="166"/>
      <c r="N46" s="166"/>
      <c r="O46" s="166"/>
      <c r="P46" s="166"/>
      <c r="Q46" s="166"/>
      <c r="R46" s="166"/>
      <c r="S46" s="166"/>
      <c r="T46" s="166"/>
      <c r="U46" s="34"/>
      <c r="V46" s="34"/>
      <c r="W46" s="34"/>
      <c r="X46" s="17"/>
      <c r="Y46" s="17"/>
    </row>
    <row r="47" spans="1:25" x14ac:dyDescent="0.25">
      <c r="A47" s="124">
        <v>34</v>
      </c>
      <c r="B47" s="52" t="s">
        <v>865</v>
      </c>
      <c r="C47" s="113" t="s">
        <v>485</v>
      </c>
      <c r="D47" s="168" t="s">
        <v>326</v>
      </c>
      <c r="E47" s="142"/>
      <c r="F47" s="11"/>
      <c r="G47" s="11"/>
      <c r="H47" s="11"/>
      <c r="I47" s="11"/>
      <c r="J47" s="32"/>
      <c r="K47" s="30">
        <v>200</v>
      </c>
      <c r="L47" s="193">
        <f t="shared" si="4"/>
        <v>1187862</v>
      </c>
      <c r="M47" s="136">
        <f>'Đơn giá chi tiết'!J350</f>
        <v>843355</v>
      </c>
      <c r="N47" s="136"/>
      <c r="O47" s="100">
        <f>'Đơn giá chi tiết'!J353</f>
        <v>344507</v>
      </c>
      <c r="P47" s="136"/>
      <c r="Q47" s="166">
        <f>ROUND(K47*M47,0)</f>
        <v>168671000</v>
      </c>
      <c r="R47" s="166">
        <f>ROUND(K47*N47,0)</f>
        <v>0</v>
      </c>
      <c r="S47" s="166">
        <f>ROUND(K47*O47,0)</f>
        <v>68901400</v>
      </c>
      <c r="T47" s="166">
        <f>ROUND(K47*P47,0)</f>
        <v>0</v>
      </c>
      <c r="U47" s="34"/>
      <c r="V47" s="34"/>
      <c r="W47" s="34"/>
      <c r="X47" s="17" t="s">
        <v>699</v>
      </c>
      <c r="Y47" s="17" t="s">
        <v>708</v>
      </c>
    </row>
    <row r="48" spans="1:25" x14ac:dyDescent="0.25">
      <c r="A48" s="124">
        <v>35</v>
      </c>
      <c r="B48" s="52" t="s">
        <v>865</v>
      </c>
      <c r="C48" s="113" t="s">
        <v>5</v>
      </c>
      <c r="D48" s="168" t="s">
        <v>326</v>
      </c>
      <c r="E48" s="142"/>
      <c r="F48" s="11"/>
      <c r="G48" s="11"/>
      <c r="H48" s="11"/>
      <c r="I48" s="11"/>
      <c r="J48" s="32"/>
      <c r="K48" s="30">
        <f>ROUND(1979.17/2,4)</f>
        <v>989.58500000000004</v>
      </c>
      <c r="L48" s="193">
        <f t="shared" si="4"/>
        <v>810691</v>
      </c>
      <c r="M48" s="136">
        <f>'Đơn giá chi tiết'!J356</f>
        <v>603987</v>
      </c>
      <c r="N48" s="136"/>
      <c r="O48" s="100">
        <f>'Đơn giá chi tiết'!J359</f>
        <v>206704</v>
      </c>
      <c r="P48" s="136"/>
      <c r="Q48" s="166">
        <f>ROUND(K48*M48,0)</f>
        <v>597696475</v>
      </c>
      <c r="R48" s="166">
        <f>ROUND(K48*N48,0)</f>
        <v>0</v>
      </c>
      <c r="S48" s="166">
        <f>ROUND(K48*O48,0)</f>
        <v>204551178</v>
      </c>
      <c r="T48" s="166">
        <f>ROUND(K48*P48,0)</f>
        <v>0</v>
      </c>
      <c r="U48" s="34"/>
      <c r="V48" s="34"/>
      <c r="W48" s="34"/>
      <c r="X48" s="17" t="s">
        <v>699</v>
      </c>
      <c r="Y48" s="17" t="s">
        <v>708</v>
      </c>
    </row>
    <row r="49" spans="1:25" ht="30" x14ac:dyDescent="0.25">
      <c r="A49" s="124">
        <v>36</v>
      </c>
      <c r="B49" s="138" t="s">
        <v>576</v>
      </c>
      <c r="C49" s="144" t="s">
        <v>27</v>
      </c>
      <c r="D49" s="168" t="s">
        <v>836</v>
      </c>
      <c r="E49" s="142"/>
      <c r="F49" s="11"/>
      <c r="G49" s="11"/>
      <c r="H49" s="11"/>
      <c r="I49" s="11"/>
      <c r="J49" s="32"/>
      <c r="K49" s="45">
        <f>ROUND(2379.17/100,4)</f>
        <v>23.791699999999999</v>
      </c>
      <c r="L49" s="193">
        <f t="shared" si="4"/>
        <v>2850725</v>
      </c>
      <c r="M49" s="136">
        <f>'Đơn giá chi tiết'!J362</f>
        <v>2592044</v>
      </c>
      <c r="N49" s="136"/>
      <c r="O49" s="136">
        <f>'Đơn giá chi tiết'!J365</f>
        <v>258681</v>
      </c>
      <c r="P49" s="136"/>
      <c r="Q49" s="166">
        <f>ROUND(K49*M49,0)</f>
        <v>61669133</v>
      </c>
      <c r="R49" s="166">
        <f>ROUND(K49*N49,0)</f>
        <v>0</v>
      </c>
      <c r="S49" s="166">
        <f>ROUND(K49*O49,0)</f>
        <v>6154461</v>
      </c>
      <c r="T49" s="166">
        <f>ROUND(K49*P49,0)</f>
        <v>0</v>
      </c>
      <c r="U49" s="34"/>
      <c r="V49" s="34"/>
      <c r="W49" s="34"/>
      <c r="X49" s="17" t="s">
        <v>82</v>
      </c>
      <c r="Y49" s="17" t="s">
        <v>321</v>
      </c>
    </row>
    <row r="50" spans="1:25" ht="30" x14ac:dyDescent="0.25">
      <c r="A50" s="124">
        <v>37</v>
      </c>
      <c r="B50" s="138" t="s">
        <v>1071</v>
      </c>
      <c r="C50" s="144" t="s">
        <v>738</v>
      </c>
      <c r="D50" s="168" t="s">
        <v>227</v>
      </c>
      <c r="E50" s="142"/>
      <c r="F50" s="11"/>
      <c r="G50" s="11"/>
      <c r="H50" s="11"/>
      <c r="I50" s="11"/>
      <c r="J50" s="32"/>
      <c r="K50" s="45">
        <f>ROUND(2973*4.5/100,4)</f>
        <v>133.785</v>
      </c>
      <c r="L50" s="193">
        <f t="shared" si="4"/>
        <v>1373477</v>
      </c>
      <c r="M50" s="136">
        <f>'Đơn giá chi tiết'!J368</f>
        <v>767494</v>
      </c>
      <c r="N50" s="136"/>
      <c r="O50" s="136">
        <f>'Đơn giá chi tiết'!J373</f>
        <v>605983</v>
      </c>
      <c r="P50" s="136"/>
      <c r="Q50" s="166">
        <f>ROUND(K50*M50,0)</f>
        <v>102679185</v>
      </c>
      <c r="R50" s="166">
        <f>ROUND(K50*N50,0)</f>
        <v>0</v>
      </c>
      <c r="S50" s="166">
        <f>ROUND(K50*O50,0)</f>
        <v>81071436</v>
      </c>
      <c r="T50" s="166">
        <f>ROUND(K50*P50,0)</f>
        <v>0</v>
      </c>
      <c r="U50" s="34"/>
      <c r="V50" s="34"/>
      <c r="W50" s="34"/>
      <c r="X50" s="17" t="s">
        <v>82</v>
      </c>
      <c r="Y50" s="17" t="s">
        <v>321</v>
      </c>
    </row>
    <row r="51" spans="1:25" x14ac:dyDescent="0.25">
      <c r="A51" s="168"/>
      <c r="B51" s="144"/>
      <c r="C51" s="130" t="s">
        <v>1091</v>
      </c>
      <c r="D51" s="168"/>
      <c r="E51" s="166"/>
      <c r="F51" s="37"/>
      <c r="G51" s="37"/>
      <c r="H51" s="37"/>
      <c r="I51" s="37"/>
      <c r="J51" s="60"/>
      <c r="K51" s="60"/>
      <c r="L51" s="193">
        <f t="shared" si="4"/>
        <v>0</v>
      </c>
      <c r="M51" s="166"/>
      <c r="N51" s="166"/>
      <c r="O51" s="166"/>
      <c r="P51" s="166"/>
      <c r="Q51" s="166"/>
      <c r="R51" s="166"/>
      <c r="S51" s="166"/>
      <c r="T51" s="166"/>
      <c r="U51" s="34"/>
      <c r="V51" s="34"/>
      <c r="W51" s="34"/>
      <c r="X51" s="17"/>
      <c r="Y51" s="17"/>
    </row>
    <row r="52" spans="1:25" ht="30" x14ac:dyDescent="0.25">
      <c r="A52" s="124">
        <v>38</v>
      </c>
      <c r="B52" s="138" t="s">
        <v>896</v>
      </c>
      <c r="C52" s="144" t="s">
        <v>653</v>
      </c>
      <c r="D52" s="168" t="s">
        <v>155</v>
      </c>
      <c r="E52" s="142"/>
      <c r="F52" s="11"/>
      <c r="G52" s="11"/>
      <c r="H52" s="11"/>
      <c r="I52" s="11"/>
      <c r="J52" s="32"/>
      <c r="K52" s="45">
        <f>ROUND(765.13*0.12,4)</f>
        <v>91.815600000000003</v>
      </c>
      <c r="L52" s="193">
        <f t="shared" si="4"/>
        <v>1441566</v>
      </c>
      <c r="M52" s="136">
        <f>'Đơn giá chi tiết'!J376</f>
        <v>912420</v>
      </c>
      <c r="N52" s="136"/>
      <c r="O52" s="136">
        <f>'Đơn giá chi tiết'!J382</f>
        <v>501744</v>
      </c>
      <c r="P52" s="136">
        <f>'Đơn giá chi tiết'!J384</f>
        <v>27402</v>
      </c>
      <c r="Q52" s="166">
        <f t="shared" ref="Q52:Q61" si="13">ROUND(K52*M52,0)</f>
        <v>83774390</v>
      </c>
      <c r="R52" s="166">
        <f t="shared" ref="R52:R61" si="14">ROUND(K52*N52,0)</f>
        <v>0</v>
      </c>
      <c r="S52" s="166">
        <f t="shared" ref="S52:S61" si="15">ROUND(K52*O52,0)</f>
        <v>46067926</v>
      </c>
      <c r="T52" s="166">
        <f t="shared" ref="T52:T61" si="16">ROUND(K52*P52,0)</f>
        <v>2515931</v>
      </c>
      <c r="U52" s="34"/>
      <c r="V52" s="34"/>
      <c r="W52" s="34"/>
      <c r="X52" s="17" t="s">
        <v>82</v>
      </c>
      <c r="Y52" s="17" t="s">
        <v>321</v>
      </c>
    </row>
    <row r="53" spans="1:25" ht="30" x14ac:dyDescent="0.25">
      <c r="A53" s="124">
        <v>39</v>
      </c>
      <c r="B53" s="138" t="s">
        <v>576</v>
      </c>
      <c r="C53" s="144" t="s">
        <v>27</v>
      </c>
      <c r="D53" s="168" t="s">
        <v>836</v>
      </c>
      <c r="E53" s="142"/>
      <c r="F53" s="11"/>
      <c r="G53" s="11"/>
      <c r="H53" s="11"/>
      <c r="I53" s="11"/>
      <c r="J53" s="32"/>
      <c r="K53" s="45">
        <f>ROUND(765.13/100,4)</f>
        <v>7.6513</v>
      </c>
      <c r="L53" s="193">
        <f t="shared" si="4"/>
        <v>2850725</v>
      </c>
      <c r="M53" s="136">
        <f>'Đơn giá chi tiết'!J387</f>
        <v>2592044</v>
      </c>
      <c r="N53" s="136"/>
      <c r="O53" s="136">
        <f>'Đơn giá chi tiết'!J390</f>
        <v>258681</v>
      </c>
      <c r="P53" s="136"/>
      <c r="Q53" s="166">
        <f t="shared" si="13"/>
        <v>19832506</v>
      </c>
      <c r="R53" s="166">
        <f t="shared" si="14"/>
        <v>0</v>
      </c>
      <c r="S53" s="166">
        <f t="shared" si="15"/>
        <v>1979246</v>
      </c>
      <c r="T53" s="166">
        <f t="shared" si="16"/>
        <v>0</v>
      </c>
      <c r="U53" s="34"/>
      <c r="V53" s="34"/>
      <c r="W53" s="34"/>
      <c r="X53" s="17" t="s">
        <v>82</v>
      </c>
      <c r="Y53" s="17" t="s">
        <v>321</v>
      </c>
    </row>
    <row r="54" spans="1:25" ht="30" x14ac:dyDescent="0.25">
      <c r="A54" s="124">
        <v>40</v>
      </c>
      <c r="B54" s="138" t="s">
        <v>1154</v>
      </c>
      <c r="C54" s="144" t="s">
        <v>1145</v>
      </c>
      <c r="D54" s="168" t="s">
        <v>155</v>
      </c>
      <c r="E54" s="142"/>
      <c r="F54" s="11"/>
      <c r="G54" s="11"/>
      <c r="H54" s="11"/>
      <c r="I54" s="11"/>
      <c r="J54" s="32"/>
      <c r="K54" s="45">
        <v>38.26</v>
      </c>
      <c r="L54" s="193">
        <f t="shared" si="4"/>
        <v>610502</v>
      </c>
      <c r="M54" s="136">
        <f>'Đơn giá chi tiết'!J393</f>
        <v>522648</v>
      </c>
      <c r="N54" s="136"/>
      <c r="O54" s="136">
        <f>'Đơn giá chi tiết'!J396</f>
        <v>87854</v>
      </c>
      <c r="P54" s="136"/>
      <c r="Q54" s="166">
        <f t="shared" si="13"/>
        <v>19996512</v>
      </c>
      <c r="R54" s="166">
        <f t="shared" si="14"/>
        <v>0</v>
      </c>
      <c r="S54" s="166">
        <f t="shared" si="15"/>
        <v>3361294</v>
      </c>
      <c r="T54" s="166">
        <f t="shared" si="16"/>
        <v>0</v>
      </c>
      <c r="U54" s="34"/>
      <c r="V54" s="34"/>
      <c r="W54" s="34"/>
      <c r="X54" s="17" t="s">
        <v>82</v>
      </c>
      <c r="Y54" s="17" t="s">
        <v>321</v>
      </c>
    </row>
    <row r="55" spans="1:25" ht="30" x14ac:dyDescent="0.25">
      <c r="A55" s="124">
        <v>41</v>
      </c>
      <c r="B55" s="138" t="s">
        <v>1133</v>
      </c>
      <c r="C55" s="144" t="s">
        <v>777</v>
      </c>
      <c r="D55" s="168" t="s">
        <v>1123</v>
      </c>
      <c r="E55" s="142"/>
      <c r="F55" s="11"/>
      <c r="G55" s="11"/>
      <c r="H55" s="11"/>
      <c r="I55" s="11"/>
      <c r="J55" s="32"/>
      <c r="K55" s="45">
        <f>ROUND(765.13/0.1584,4)</f>
        <v>4830.3662000000004</v>
      </c>
      <c r="L55" s="193">
        <f t="shared" si="4"/>
        <v>41791</v>
      </c>
      <c r="M55" s="136">
        <f>'Đơn giá chi tiết'!J399</f>
        <v>3016</v>
      </c>
      <c r="N55" s="136"/>
      <c r="O55" s="136">
        <f>'Đơn giá chi tiết'!J404</f>
        <v>38775</v>
      </c>
      <c r="P55" s="136"/>
      <c r="Q55" s="166">
        <f t="shared" si="13"/>
        <v>14568384</v>
      </c>
      <c r="R55" s="166">
        <f t="shared" si="14"/>
        <v>0</v>
      </c>
      <c r="S55" s="166">
        <f t="shared" si="15"/>
        <v>187297449</v>
      </c>
      <c r="T55" s="166">
        <f t="shared" si="16"/>
        <v>0</v>
      </c>
      <c r="U55" s="34"/>
      <c r="V55" s="34"/>
      <c r="W55" s="34"/>
      <c r="X55" s="17" t="s">
        <v>82</v>
      </c>
      <c r="Y55" s="17" t="s">
        <v>321</v>
      </c>
    </row>
    <row r="56" spans="1:25" ht="30" x14ac:dyDescent="0.25">
      <c r="A56" s="124">
        <v>42</v>
      </c>
      <c r="B56" s="138" t="s">
        <v>635</v>
      </c>
      <c r="C56" s="144" t="s">
        <v>840</v>
      </c>
      <c r="D56" s="168" t="s">
        <v>836</v>
      </c>
      <c r="E56" s="142"/>
      <c r="F56" s="11"/>
      <c r="G56" s="11"/>
      <c r="H56" s="11"/>
      <c r="I56" s="11"/>
      <c r="J56" s="32"/>
      <c r="K56" s="45">
        <f>ROUND(K55*(0.25*4+0.36*2)*0.12/100,4)</f>
        <v>9.9699000000000009</v>
      </c>
      <c r="L56" s="193">
        <f t="shared" si="4"/>
        <v>5616095</v>
      </c>
      <c r="M56" s="136">
        <f>'Đơn giá chi tiết'!J407</f>
        <v>547752</v>
      </c>
      <c r="N56" s="136"/>
      <c r="O56" s="136">
        <f>'Đơn giá chi tiết'!J412</f>
        <v>4908459</v>
      </c>
      <c r="P56" s="136">
        <f>'Đơn giá chi tiết'!J414</f>
        <v>159884</v>
      </c>
      <c r="Q56" s="166">
        <f t="shared" si="13"/>
        <v>5461033</v>
      </c>
      <c r="R56" s="166">
        <f t="shared" si="14"/>
        <v>0</v>
      </c>
      <c r="S56" s="166">
        <f t="shared" si="15"/>
        <v>48936845</v>
      </c>
      <c r="T56" s="166">
        <f t="shared" si="16"/>
        <v>1594027</v>
      </c>
      <c r="U56" s="34"/>
      <c r="V56" s="34"/>
      <c r="W56" s="34"/>
      <c r="X56" s="17" t="s">
        <v>82</v>
      </c>
      <c r="Y56" s="17" t="s">
        <v>321</v>
      </c>
    </row>
    <row r="57" spans="1:25" ht="30" x14ac:dyDescent="0.25">
      <c r="A57" s="124">
        <v>43</v>
      </c>
      <c r="B57" s="138" t="s">
        <v>1158</v>
      </c>
      <c r="C57" s="144" t="s">
        <v>1020</v>
      </c>
      <c r="D57" s="168" t="s">
        <v>155</v>
      </c>
      <c r="E57" s="142"/>
      <c r="F57" s="11"/>
      <c r="G57" s="11"/>
      <c r="H57" s="11"/>
      <c r="I57" s="11"/>
      <c r="J57" s="32"/>
      <c r="K57" s="30">
        <v>34.869999999999997</v>
      </c>
      <c r="L57" s="193">
        <f t="shared" si="4"/>
        <v>1815103</v>
      </c>
      <c r="M57" s="136">
        <f>'Đơn giá chi tiết'!J418</f>
        <v>989296</v>
      </c>
      <c r="N57" s="136"/>
      <c r="O57" s="136">
        <f>'Đơn giá chi tiết'!J424</f>
        <v>757767</v>
      </c>
      <c r="P57" s="100">
        <f>'Đơn giá chi tiết'!J426</f>
        <v>68040</v>
      </c>
      <c r="Q57" s="166">
        <f t="shared" si="13"/>
        <v>34496752</v>
      </c>
      <c r="R57" s="166">
        <f t="shared" si="14"/>
        <v>0</v>
      </c>
      <c r="S57" s="166">
        <f t="shared" si="15"/>
        <v>26423335</v>
      </c>
      <c r="T57" s="166">
        <f t="shared" si="16"/>
        <v>2372555</v>
      </c>
      <c r="U57" s="34"/>
      <c r="V57" s="34"/>
      <c r="W57" s="34"/>
      <c r="X57" s="17" t="s">
        <v>82</v>
      </c>
      <c r="Y57" s="17" t="s">
        <v>321</v>
      </c>
    </row>
    <row r="58" spans="1:25" ht="30" x14ac:dyDescent="0.25">
      <c r="A58" s="124">
        <v>44</v>
      </c>
      <c r="B58" s="138" t="s">
        <v>752</v>
      </c>
      <c r="C58" s="144" t="s">
        <v>1032</v>
      </c>
      <c r="D58" s="168" t="s">
        <v>205</v>
      </c>
      <c r="E58" s="142"/>
      <c r="F58" s="11"/>
      <c r="G58" s="11"/>
      <c r="H58" s="11"/>
      <c r="I58" s="11"/>
      <c r="J58" s="32"/>
      <c r="K58" s="30">
        <f>ROUND(2.61513/0.03,4)</f>
        <v>87.171000000000006</v>
      </c>
      <c r="L58" s="193">
        <f t="shared" si="4"/>
        <v>54108</v>
      </c>
      <c r="M58" s="136">
        <f>'Đơn giá chi tiết'!J431</f>
        <v>28745</v>
      </c>
      <c r="N58" s="136"/>
      <c r="O58" s="136">
        <f>'Đơn giá chi tiết'!J435</f>
        <v>24431</v>
      </c>
      <c r="P58" s="136">
        <f>'Đơn giá chi tiết'!J437</f>
        <v>932</v>
      </c>
      <c r="Q58" s="166">
        <f t="shared" si="13"/>
        <v>2505730</v>
      </c>
      <c r="R58" s="166">
        <f t="shared" si="14"/>
        <v>0</v>
      </c>
      <c r="S58" s="166">
        <f t="shared" si="15"/>
        <v>2129675</v>
      </c>
      <c r="T58" s="166">
        <f t="shared" si="16"/>
        <v>81243</v>
      </c>
      <c r="U58" s="34"/>
      <c r="V58" s="34"/>
      <c r="W58" s="34"/>
      <c r="X58" s="17" t="s">
        <v>82</v>
      </c>
      <c r="Y58" s="17" t="s">
        <v>321</v>
      </c>
    </row>
    <row r="59" spans="1:25" ht="30" x14ac:dyDescent="0.25">
      <c r="A59" s="124">
        <v>45</v>
      </c>
      <c r="B59" s="138" t="s">
        <v>869</v>
      </c>
      <c r="C59" s="144" t="s">
        <v>899</v>
      </c>
      <c r="D59" s="168" t="s">
        <v>836</v>
      </c>
      <c r="E59" s="142"/>
      <c r="F59" s="11"/>
      <c r="G59" s="11"/>
      <c r="H59" s="11"/>
      <c r="I59" s="11"/>
      <c r="J59" s="32"/>
      <c r="K59" s="30">
        <f>ROUND(230.54/100,4)</f>
        <v>2.3054000000000001</v>
      </c>
      <c r="L59" s="193">
        <f t="shared" si="4"/>
        <v>12624861</v>
      </c>
      <c r="M59" s="136">
        <f>'Đơn giá chi tiết'!J440</f>
        <v>3284877</v>
      </c>
      <c r="N59" s="136"/>
      <c r="O59" s="136">
        <f>'Đơn giá chi tiết'!J446</f>
        <v>8822813</v>
      </c>
      <c r="P59" s="136">
        <f>'Đơn giá chi tiết'!J448</f>
        <v>517171</v>
      </c>
      <c r="Q59" s="166">
        <f t="shared" si="13"/>
        <v>7572955</v>
      </c>
      <c r="R59" s="166">
        <f t="shared" si="14"/>
        <v>0</v>
      </c>
      <c r="S59" s="166">
        <f t="shared" si="15"/>
        <v>20340113</v>
      </c>
      <c r="T59" s="166">
        <f t="shared" si="16"/>
        <v>1192286</v>
      </c>
      <c r="U59" s="34"/>
      <c r="V59" s="34"/>
      <c r="W59" s="34"/>
      <c r="X59" s="17" t="s">
        <v>82</v>
      </c>
      <c r="Y59" s="17" t="s">
        <v>321</v>
      </c>
    </row>
    <row r="60" spans="1:25" ht="30" x14ac:dyDescent="0.25">
      <c r="A60" s="124">
        <v>46</v>
      </c>
      <c r="B60" s="138" t="s">
        <v>910</v>
      </c>
      <c r="C60" s="144" t="s">
        <v>106</v>
      </c>
      <c r="D60" s="168" t="s">
        <v>1172</v>
      </c>
      <c r="E60" s="142"/>
      <c r="F60" s="11"/>
      <c r="G60" s="11"/>
      <c r="H60" s="11"/>
      <c r="I60" s="11"/>
      <c r="J60" s="32"/>
      <c r="K60" s="30">
        <f>ROUND(421.94/1000,4)</f>
        <v>0.4219</v>
      </c>
      <c r="L60" s="193">
        <f t="shared" si="4"/>
        <v>18143125</v>
      </c>
      <c r="M60" s="136">
        <f>'Đơn giá chi tiết'!J453</f>
        <v>14603640</v>
      </c>
      <c r="N60" s="136"/>
      <c r="O60" s="136">
        <f>'Đơn giá chi tiết'!J456</f>
        <v>3448267</v>
      </c>
      <c r="P60" s="136">
        <f>'Đơn giá chi tiết'!J458</f>
        <v>91218</v>
      </c>
      <c r="Q60" s="166">
        <f t="shared" si="13"/>
        <v>6161276</v>
      </c>
      <c r="R60" s="166">
        <f t="shared" si="14"/>
        <v>0</v>
      </c>
      <c r="S60" s="166">
        <f t="shared" si="15"/>
        <v>1454824</v>
      </c>
      <c r="T60" s="166">
        <f t="shared" si="16"/>
        <v>38485</v>
      </c>
      <c r="U60" s="34"/>
      <c r="V60" s="34"/>
      <c r="W60" s="34"/>
      <c r="X60" s="17" t="s">
        <v>82</v>
      </c>
      <c r="Y60" s="17" t="s">
        <v>321</v>
      </c>
    </row>
    <row r="61" spans="1:25" ht="30" x14ac:dyDescent="0.25">
      <c r="A61" s="124">
        <v>47</v>
      </c>
      <c r="B61" s="138" t="s">
        <v>62</v>
      </c>
      <c r="C61" s="144" t="s">
        <v>1053</v>
      </c>
      <c r="D61" s="168" t="s">
        <v>1172</v>
      </c>
      <c r="E61" s="142"/>
      <c r="F61" s="11"/>
      <c r="G61" s="11"/>
      <c r="H61" s="11"/>
      <c r="I61" s="11"/>
      <c r="J61" s="32"/>
      <c r="K61" s="30">
        <f>ROUND(1829.98/1000,4)</f>
        <v>1.83</v>
      </c>
      <c r="L61" s="193">
        <f t="shared" si="4"/>
        <v>17271813</v>
      </c>
      <c r="M61" s="136">
        <f>'Đơn giá chi tiết'!J461</f>
        <v>14678788</v>
      </c>
      <c r="N61" s="136"/>
      <c r="O61" s="136">
        <f>'Đơn giá chi tiết'!J465</f>
        <v>2137074</v>
      </c>
      <c r="P61" s="136">
        <f>'Đơn giá chi tiết'!J467</f>
        <v>455951</v>
      </c>
      <c r="Q61" s="166">
        <f t="shared" si="13"/>
        <v>26862182</v>
      </c>
      <c r="R61" s="166">
        <f t="shared" si="14"/>
        <v>0</v>
      </c>
      <c r="S61" s="166">
        <f t="shared" si="15"/>
        <v>3910845</v>
      </c>
      <c r="T61" s="166">
        <f t="shared" si="16"/>
        <v>834390</v>
      </c>
      <c r="U61" s="34"/>
      <c r="V61" s="34"/>
      <c r="W61" s="34"/>
      <c r="X61" s="17" t="s">
        <v>82</v>
      </c>
      <c r="Y61" s="17" t="s">
        <v>321</v>
      </c>
    </row>
    <row r="62" spans="1:25" ht="28.5" x14ac:dyDescent="0.25">
      <c r="A62" s="168"/>
      <c r="B62" s="144"/>
      <c r="C62" s="130" t="s">
        <v>505</v>
      </c>
      <c r="D62" s="168"/>
      <c r="E62" s="166"/>
      <c r="F62" s="37"/>
      <c r="G62" s="37"/>
      <c r="H62" s="37"/>
      <c r="I62" s="37"/>
      <c r="J62" s="60"/>
      <c r="K62" s="60"/>
      <c r="L62" s="193">
        <f t="shared" si="4"/>
        <v>0</v>
      </c>
      <c r="M62" s="166"/>
      <c r="N62" s="166"/>
      <c r="O62" s="166"/>
      <c r="P62" s="166"/>
      <c r="Q62" s="166"/>
      <c r="R62" s="166"/>
      <c r="S62" s="166"/>
      <c r="T62" s="166"/>
      <c r="U62" s="34"/>
      <c r="V62" s="34"/>
      <c r="W62" s="34"/>
      <c r="X62" s="17"/>
      <c r="Y62" s="17"/>
    </row>
    <row r="63" spans="1:25" ht="30" x14ac:dyDescent="0.25">
      <c r="A63" s="124">
        <v>48</v>
      </c>
      <c r="B63" s="138" t="s">
        <v>727</v>
      </c>
      <c r="C63" s="144" t="s">
        <v>135</v>
      </c>
      <c r="D63" s="168" t="s">
        <v>155</v>
      </c>
      <c r="E63" s="142"/>
      <c r="F63" s="11"/>
      <c r="G63" s="11"/>
      <c r="H63" s="11"/>
      <c r="I63" s="11"/>
      <c r="J63" s="32"/>
      <c r="K63" s="45">
        <v>163.01</v>
      </c>
      <c r="L63" s="193">
        <f t="shared" si="4"/>
        <v>1473747</v>
      </c>
      <c r="M63" s="136">
        <f>'Đơn giá chi tiết'!J471</f>
        <v>1041647</v>
      </c>
      <c r="N63" s="136"/>
      <c r="O63" s="136">
        <f>'Đơn giá chi tiết'!J480</f>
        <v>384605</v>
      </c>
      <c r="P63" s="136">
        <f>'Đơn giá chi tiết'!J482</f>
        <v>47495</v>
      </c>
      <c r="Q63" s="166">
        <f>ROUND(K63*M63,0)</f>
        <v>169798877</v>
      </c>
      <c r="R63" s="166">
        <f>ROUND(K63*N63,0)</f>
        <v>0</v>
      </c>
      <c r="S63" s="166">
        <f>ROUND(K63*O63,0)</f>
        <v>62694461</v>
      </c>
      <c r="T63" s="166">
        <f>ROUND(K63*P63,0)</f>
        <v>7742160</v>
      </c>
      <c r="U63" s="34"/>
      <c r="V63" s="34"/>
      <c r="W63" s="34"/>
      <c r="X63" s="17" t="s">
        <v>82</v>
      </c>
      <c r="Y63" s="17" t="s">
        <v>321</v>
      </c>
    </row>
    <row r="64" spans="1:25" ht="30" x14ac:dyDescent="0.25">
      <c r="A64" s="124">
        <v>49</v>
      </c>
      <c r="B64" s="138" t="s">
        <v>752</v>
      </c>
      <c r="C64" s="144" t="s">
        <v>1032</v>
      </c>
      <c r="D64" s="168" t="s">
        <v>205</v>
      </c>
      <c r="E64" s="142"/>
      <c r="F64" s="11"/>
      <c r="G64" s="11"/>
      <c r="H64" s="11"/>
      <c r="I64" s="11"/>
      <c r="J64" s="32"/>
      <c r="K64" s="45">
        <f>ROUND(40.75/0.03,4)</f>
        <v>1358.3333</v>
      </c>
      <c r="L64" s="193">
        <f t="shared" si="4"/>
        <v>54108</v>
      </c>
      <c r="M64" s="136">
        <f>'Đơn giá chi tiết'!J486</f>
        <v>28745</v>
      </c>
      <c r="N64" s="136"/>
      <c r="O64" s="136">
        <f>'Đơn giá chi tiết'!J490</f>
        <v>24431</v>
      </c>
      <c r="P64" s="136">
        <f>'Đơn giá chi tiết'!J492</f>
        <v>932</v>
      </c>
      <c r="Q64" s="166">
        <f>ROUND(K64*M64,0)</f>
        <v>39045291</v>
      </c>
      <c r="R64" s="166">
        <f>ROUND(K64*N64,0)</f>
        <v>0</v>
      </c>
      <c r="S64" s="166">
        <f>ROUND(K64*O64,0)</f>
        <v>33185441</v>
      </c>
      <c r="T64" s="166">
        <f>ROUND(K64*P64,0)</f>
        <v>1265967</v>
      </c>
      <c r="U64" s="34"/>
      <c r="V64" s="34"/>
      <c r="W64" s="34"/>
      <c r="X64" s="17" t="s">
        <v>82</v>
      </c>
      <c r="Y64" s="17" t="s">
        <v>321</v>
      </c>
    </row>
    <row r="65" spans="1:25" ht="30" x14ac:dyDescent="0.25">
      <c r="A65" s="124">
        <v>50</v>
      </c>
      <c r="B65" s="138" t="s">
        <v>589</v>
      </c>
      <c r="C65" s="144" t="s">
        <v>459</v>
      </c>
      <c r="D65" s="168" t="s">
        <v>836</v>
      </c>
      <c r="E65" s="142"/>
      <c r="F65" s="11"/>
      <c r="G65" s="11"/>
      <c r="H65" s="11"/>
      <c r="I65" s="11"/>
      <c r="J65" s="32"/>
      <c r="K65" s="45">
        <f>ROUND(93.3/100,4)</f>
        <v>0.93300000000000005</v>
      </c>
      <c r="L65" s="193">
        <f t="shared" si="4"/>
        <v>7560416</v>
      </c>
      <c r="M65" s="136">
        <f>'Đơn giá chi tiết'!J495</f>
        <v>4663446</v>
      </c>
      <c r="N65" s="136"/>
      <c r="O65" s="136">
        <f>'Đơn giá chi tiết'!J501</f>
        <v>2896970</v>
      </c>
      <c r="P65" s="136"/>
      <c r="Q65" s="166">
        <f>ROUND(K65*M65,0)</f>
        <v>4350995</v>
      </c>
      <c r="R65" s="166">
        <f>ROUND(K65*N65,0)</f>
        <v>0</v>
      </c>
      <c r="S65" s="166">
        <f>ROUND(K65*O65,0)</f>
        <v>2702873</v>
      </c>
      <c r="T65" s="166">
        <f>ROUND(K65*P65,0)</f>
        <v>0</v>
      </c>
      <c r="U65" s="34"/>
      <c r="V65" s="34"/>
      <c r="W65" s="34"/>
      <c r="X65" s="17" t="s">
        <v>82</v>
      </c>
      <c r="Y65" s="17" t="s">
        <v>321</v>
      </c>
    </row>
    <row r="66" spans="1:25" x14ac:dyDescent="0.25">
      <c r="A66" s="168"/>
      <c r="B66" s="144"/>
      <c r="C66" s="130" t="s">
        <v>384</v>
      </c>
      <c r="D66" s="168"/>
      <c r="E66" s="166"/>
      <c r="F66" s="37"/>
      <c r="G66" s="37"/>
      <c r="H66" s="37"/>
      <c r="I66" s="37"/>
      <c r="J66" s="60"/>
      <c r="K66" s="60"/>
      <c r="L66" s="193">
        <f t="shared" si="4"/>
        <v>0</v>
      </c>
      <c r="M66" s="166"/>
      <c r="N66" s="166"/>
      <c r="O66" s="166"/>
      <c r="P66" s="166"/>
      <c r="Q66" s="166"/>
      <c r="R66" s="166"/>
      <c r="S66" s="166"/>
      <c r="T66" s="166"/>
      <c r="U66" s="34"/>
      <c r="V66" s="34"/>
      <c r="W66" s="34"/>
      <c r="X66" s="17"/>
      <c r="Y66" s="17"/>
    </row>
    <row r="67" spans="1:25" ht="28.5" x14ac:dyDescent="0.25">
      <c r="A67" s="168"/>
      <c r="B67" s="144"/>
      <c r="C67" s="130" t="s">
        <v>750</v>
      </c>
      <c r="D67" s="168"/>
      <c r="E67" s="166"/>
      <c r="F67" s="37"/>
      <c r="G67" s="37"/>
      <c r="H67" s="37"/>
      <c r="I67" s="37"/>
      <c r="J67" s="60"/>
      <c r="K67" s="60"/>
      <c r="L67" s="193">
        <f t="shared" si="4"/>
        <v>0</v>
      </c>
      <c r="M67" s="166"/>
      <c r="N67" s="166"/>
      <c r="O67" s="166"/>
      <c r="P67" s="166"/>
      <c r="Q67" s="166"/>
      <c r="R67" s="166"/>
      <c r="S67" s="166"/>
      <c r="T67" s="166"/>
      <c r="U67" s="34"/>
      <c r="V67" s="34"/>
      <c r="W67" s="34"/>
      <c r="X67" s="17"/>
      <c r="Y67" s="17"/>
    </row>
    <row r="68" spans="1:25" ht="30" x14ac:dyDescent="0.25">
      <c r="A68" s="124">
        <v>51</v>
      </c>
      <c r="B68" s="138" t="s">
        <v>658</v>
      </c>
      <c r="C68" s="144" t="s">
        <v>90</v>
      </c>
      <c r="D68" s="168" t="s">
        <v>155</v>
      </c>
      <c r="E68" s="142"/>
      <c r="F68" s="11"/>
      <c r="G68" s="11"/>
      <c r="H68" s="11"/>
      <c r="I68" s="11"/>
      <c r="J68" s="32"/>
      <c r="K68" s="45">
        <v>71.41</v>
      </c>
      <c r="L68" s="193">
        <f t="shared" si="4"/>
        <v>1887997</v>
      </c>
      <c r="M68" s="136">
        <f>'Đơn giá chi tiết'!J504</f>
        <v>1095938</v>
      </c>
      <c r="N68" s="136"/>
      <c r="O68" s="136">
        <f>'Đơn giá chi tiết'!J510</f>
        <v>732116</v>
      </c>
      <c r="P68" s="136">
        <f>'Đơn giá chi tiết'!J512</f>
        <v>59943</v>
      </c>
      <c r="Q68" s="166">
        <f t="shared" ref="Q68:Q77" si="17">ROUND(K68*M68,0)</f>
        <v>78260933</v>
      </c>
      <c r="R68" s="166">
        <f t="shared" ref="R68:R77" si="18">ROUND(K68*N68,0)</f>
        <v>0</v>
      </c>
      <c r="S68" s="166">
        <f t="shared" ref="S68:S77" si="19">ROUND(K68*O68,0)</f>
        <v>52280404</v>
      </c>
      <c r="T68" s="166">
        <f t="shared" ref="T68:T77" si="20">ROUND(K68*P68,0)</f>
        <v>4280530</v>
      </c>
      <c r="U68" s="34"/>
      <c r="V68" s="34"/>
      <c r="W68" s="34"/>
      <c r="X68" s="17" t="s">
        <v>82</v>
      </c>
      <c r="Y68" s="17" t="s">
        <v>321</v>
      </c>
    </row>
    <row r="69" spans="1:25" ht="30" x14ac:dyDescent="0.25">
      <c r="A69" s="124">
        <v>52</v>
      </c>
      <c r="B69" s="138" t="s">
        <v>847</v>
      </c>
      <c r="C69" s="144" t="s">
        <v>682</v>
      </c>
      <c r="D69" s="168" t="s">
        <v>1172</v>
      </c>
      <c r="E69" s="142"/>
      <c r="F69" s="11"/>
      <c r="G69" s="11"/>
      <c r="H69" s="11"/>
      <c r="I69" s="11"/>
      <c r="J69" s="32"/>
      <c r="K69" s="45">
        <f>ROUND(2303.68/1000,4)</f>
        <v>2.3037000000000001</v>
      </c>
      <c r="L69" s="193">
        <f t="shared" si="4"/>
        <v>17728056</v>
      </c>
      <c r="M69" s="136">
        <f>'Đơn giá chi tiết'!J517</f>
        <v>14603640</v>
      </c>
      <c r="N69" s="136"/>
      <c r="O69" s="136">
        <f>'Đơn giá chi tiết'!J520</f>
        <v>3033198</v>
      </c>
      <c r="P69" s="136">
        <f>'Đơn giá chi tiết'!J522</f>
        <v>91218</v>
      </c>
      <c r="Q69" s="166">
        <f t="shared" si="17"/>
        <v>33642405</v>
      </c>
      <c r="R69" s="166">
        <f t="shared" si="18"/>
        <v>0</v>
      </c>
      <c r="S69" s="166">
        <f t="shared" si="19"/>
        <v>6987578</v>
      </c>
      <c r="T69" s="166">
        <f t="shared" si="20"/>
        <v>210139</v>
      </c>
      <c r="U69" s="34"/>
      <c r="V69" s="34"/>
      <c r="W69" s="34"/>
      <c r="X69" s="17" t="s">
        <v>82</v>
      </c>
      <c r="Y69" s="17" t="s">
        <v>321</v>
      </c>
    </row>
    <row r="70" spans="1:25" ht="30" x14ac:dyDescent="0.25">
      <c r="A70" s="124">
        <v>53</v>
      </c>
      <c r="B70" s="138" t="s">
        <v>9</v>
      </c>
      <c r="C70" s="144" t="s">
        <v>111</v>
      </c>
      <c r="D70" s="168" t="s">
        <v>1172</v>
      </c>
      <c r="E70" s="142"/>
      <c r="F70" s="11"/>
      <c r="G70" s="11"/>
      <c r="H70" s="11"/>
      <c r="I70" s="11"/>
      <c r="J70" s="32"/>
      <c r="K70" s="45">
        <f>ROUND(420.16/1000,4)</f>
        <v>0.42020000000000002</v>
      </c>
      <c r="L70" s="193">
        <f t="shared" si="4"/>
        <v>16799273</v>
      </c>
      <c r="M70" s="136">
        <f>'Đơn giá chi tiết'!J525</f>
        <v>14678788</v>
      </c>
      <c r="N70" s="136"/>
      <c r="O70" s="136">
        <f>'Đơn giá chi tiết'!J529</f>
        <v>1664534</v>
      </c>
      <c r="P70" s="136">
        <f>'Đơn giá chi tiết'!J531</f>
        <v>455951</v>
      </c>
      <c r="Q70" s="166">
        <f t="shared" si="17"/>
        <v>6168027</v>
      </c>
      <c r="R70" s="166">
        <f t="shared" si="18"/>
        <v>0</v>
      </c>
      <c r="S70" s="166">
        <f t="shared" si="19"/>
        <v>699437</v>
      </c>
      <c r="T70" s="166">
        <f t="shared" si="20"/>
        <v>191591</v>
      </c>
      <c r="U70" s="34"/>
      <c r="V70" s="34"/>
      <c r="W70" s="34"/>
      <c r="X70" s="17" t="s">
        <v>82</v>
      </c>
      <c r="Y70" s="17" t="s">
        <v>321</v>
      </c>
    </row>
    <row r="71" spans="1:25" ht="30" x14ac:dyDescent="0.25">
      <c r="A71" s="124">
        <v>54</v>
      </c>
      <c r="B71" s="138" t="s">
        <v>412</v>
      </c>
      <c r="C71" s="144" t="s">
        <v>640</v>
      </c>
      <c r="D71" s="168" t="s">
        <v>1172</v>
      </c>
      <c r="E71" s="142"/>
      <c r="F71" s="11"/>
      <c r="G71" s="11"/>
      <c r="H71" s="11"/>
      <c r="I71" s="11"/>
      <c r="J71" s="32"/>
      <c r="K71" s="45">
        <f>ROUND(12558.08/1000,4)</f>
        <v>12.5581</v>
      </c>
      <c r="L71" s="193">
        <f t="shared" si="4"/>
        <v>16679022</v>
      </c>
      <c r="M71" s="136">
        <f>'Đơn giá chi tiết'!J535</f>
        <v>14678788</v>
      </c>
      <c r="N71" s="136"/>
      <c r="O71" s="136">
        <f>'Đơn giá chi tiết'!J539</f>
        <v>1594291</v>
      </c>
      <c r="P71" s="136">
        <f>'Đơn giá chi tiết'!J541</f>
        <v>405943</v>
      </c>
      <c r="Q71" s="166">
        <f t="shared" si="17"/>
        <v>184337688</v>
      </c>
      <c r="R71" s="166">
        <f t="shared" si="18"/>
        <v>0</v>
      </c>
      <c r="S71" s="166">
        <f t="shared" si="19"/>
        <v>20021266</v>
      </c>
      <c r="T71" s="166">
        <f t="shared" si="20"/>
        <v>5097873</v>
      </c>
      <c r="U71" s="34"/>
      <c r="V71" s="34"/>
      <c r="W71" s="34"/>
      <c r="X71" s="17" t="s">
        <v>82</v>
      </c>
      <c r="Y71" s="17" t="s">
        <v>321</v>
      </c>
    </row>
    <row r="72" spans="1:25" ht="30" x14ac:dyDescent="0.25">
      <c r="A72" s="124">
        <v>55</v>
      </c>
      <c r="B72" s="138" t="s">
        <v>486</v>
      </c>
      <c r="C72" s="144" t="s">
        <v>74</v>
      </c>
      <c r="D72" s="168" t="s">
        <v>1172</v>
      </c>
      <c r="E72" s="142"/>
      <c r="F72" s="11"/>
      <c r="G72" s="11"/>
      <c r="H72" s="11"/>
      <c r="I72" s="11"/>
      <c r="J72" s="32"/>
      <c r="K72" s="45">
        <f>ROUND(1084.801/1000,4)</f>
        <v>1.0848</v>
      </c>
      <c r="L72" s="193">
        <f t="shared" ref="L72:L135" si="21">SUM(M72:P72)</f>
        <v>26059170</v>
      </c>
      <c r="M72" s="136">
        <f>'Đơn giá chi tiết'!J545</f>
        <v>15447317</v>
      </c>
      <c r="N72" s="136"/>
      <c r="O72" s="136">
        <f>'Đơn giá chi tiết'!J553</f>
        <v>8769288</v>
      </c>
      <c r="P72" s="136">
        <f>'Đơn giá chi tiết'!J555</f>
        <v>1842565</v>
      </c>
      <c r="Q72" s="166">
        <f t="shared" si="17"/>
        <v>16757249</v>
      </c>
      <c r="R72" s="166">
        <f t="shared" si="18"/>
        <v>0</v>
      </c>
      <c r="S72" s="166">
        <f t="shared" si="19"/>
        <v>9512924</v>
      </c>
      <c r="T72" s="166">
        <f t="shared" si="20"/>
        <v>1998815</v>
      </c>
      <c r="U72" s="34"/>
      <c r="V72" s="34"/>
      <c r="W72" s="34"/>
      <c r="X72" s="17" t="s">
        <v>82</v>
      </c>
      <c r="Y72" s="17" t="s">
        <v>321</v>
      </c>
    </row>
    <row r="73" spans="1:25" ht="30" x14ac:dyDescent="0.25">
      <c r="A73" s="124">
        <v>56</v>
      </c>
      <c r="B73" s="138" t="s">
        <v>564</v>
      </c>
      <c r="C73" s="144" t="s">
        <v>593</v>
      </c>
      <c r="D73" s="168" t="s">
        <v>836</v>
      </c>
      <c r="E73" s="142"/>
      <c r="F73" s="11"/>
      <c r="G73" s="11"/>
      <c r="H73" s="11"/>
      <c r="I73" s="11"/>
      <c r="J73" s="32"/>
      <c r="K73" s="45">
        <f>ROUND(414.4/100,4)</f>
        <v>4.1440000000000001</v>
      </c>
      <c r="L73" s="193">
        <f t="shared" si="21"/>
        <v>6368252</v>
      </c>
      <c r="M73" s="136">
        <f>'Đơn giá chi tiết'!J561</f>
        <v>704451</v>
      </c>
      <c r="N73" s="136"/>
      <c r="O73" s="136">
        <f>'Đơn giá chi tiết'!J566</f>
        <v>5500199</v>
      </c>
      <c r="P73" s="136">
        <f>'Đơn giá chi tiết'!J568</f>
        <v>163602</v>
      </c>
      <c r="Q73" s="166">
        <f t="shared" si="17"/>
        <v>2919245</v>
      </c>
      <c r="R73" s="166">
        <f t="shared" si="18"/>
        <v>0</v>
      </c>
      <c r="S73" s="166">
        <f t="shared" si="19"/>
        <v>22792825</v>
      </c>
      <c r="T73" s="166">
        <f t="shared" si="20"/>
        <v>677967</v>
      </c>
      <c r="U73" s="34"/>
      <c r="V73" s="34"/>
      <c r="W73" s="34"/>
      <c r="X73" s="17" t="s">
        <v>82</v>
      </c>
      <c r="Y73" s="17" t="s">
        <v>321</v>
      </c>
    </row>
    <row r="74" spans="1:25" ht="30" x14ac:dyDescent="0.25">
      <c r="A74" s="124">
        <v>57</v>
      </c>
      <c r="B74" s="138" t="s">
        <v>286</v>
      </c>
      <c r="C74" s="144" t="s">
        <v>775</v>
      </c>
      <c r="D74" s="168" t="s">
        <v>1172</v>
      </c>
      <c r="E74" s="142"/>
      <c r="F74" s="11"/>
      <c r="G74" s="11"/>
      <c r="H74" s="11"/>
      <c r="I74" s="11"/>
      <c r="J74" s="32"/>
      <c r="K74" s="45">
        <f>ROUND( 2633.92 /1000,4)</f>
        <v>2.6339000000000001</v>
      </c>
      <c r="L74" s="193">
        <f t="shared" si="21"/>
        <v>24878911</v>
      </c>
      <c r="M74" s="136">
        <f>'Đơn giá chi tiết'!J572</f>
        <v>16318605</v>
      </c>
      <c r="N74" s="136"/>
      <c r="O74" s="136">
        <f>'Đơn giá chi tiết'!J580</f>
        <v>6570684</v>
      </c>
      <c r="P74" s="136">
        <f>'Đơn giá chi tiết'!J582</f>
        <v>1989622</v>
      </c>
      <c r="Q74" s="166">
        <f t="shared" si="17"/>
        <v>42981574</v>
      </c>
      <c r="R74" s="166">
        <f t="shared" si="18"/>
        <v>0</v>
      </c>
      <c r="S74" s="166">
        <f t="shared" si="19"/>
        <v>17306525</v>
      </c>
      <c r="T74" s="166">
        <f t="shared" si="20"/>
        <v>5240465</v>
      </c>
      <c r="U74" s="34"/>
      <c r="V74" s="34"/>
      <c r="W74" s="34"/>
      <c r="X74" s="17" t="s">
        <v>82</v>
      </c>
      <c r="Y74" s="17" t="s">
        <v>321</v>
      </c>
    </row>
    <row r="75" spans="1:25" ht="30" x14ac:dyDescent="0.25">
      <c r="A75" s="124">
        <v>58</v>
      </c>
      <c r="B75" s="138" t="s">
        <v>701</v>
      </c>
      <c r="C75" s="144" t="s">
        <v>1161</v>
      </c>
      <c r="D75" s="168" t="s">
        <v>227</v>
      </c>
      <c r="E75" s="142"/>
      <c r="F75" s="11"/>
      <c r="G75" s="11"/>
      <c r="H75" s="11"/>
      <c r="I75" s="11"/>
      <c r="J75" s="32"/>
      <c r="K75" s="45">
        <f>ROUND(512/100,4)</f>
        <v>5.12</v>
      </c>
      <c r="L75" s="193">
        <f t="shared" si="21"/>
        <v>24237865</v>
      </c>
      <c r="M75" s="136">
        <f>'Đơn giá chi tiết'!J588</f>
        <v>0</v>
      </c>
      <c r="N75" s="136"/>
      <c r="O75" s="136">
        <f>'Đơn giá chi tiết'!J591</f>
        <v>1628729</v>
      </c>
      <c r="P75" s="136">
        <f>'Đơn giá chi tiết'!J593</f>
        <v>22609136</v>
      </c>
      <c r="Q75" s="166">
        <f t="shared" si="17"/>
        <v>0</v>
      </c>
      <c r="R75" s="166">
        <f t="shared" si="18"/>
        <v>0</v>
      </c>
      <c r="S75" s="166">
        <f t="shared" si="19"/>
        <v>8339092</v>
      </c>
      <c r="T75" s="166">
        <f t="shared" si="20"/>
        <v>115758776</v>
      </c>
      <c r="U75" s="34"/>
      <c r="V75" s="34"/>
      <c r="W75" s="34"/>
      <c r="X75" s="17" t="s">
        <v>82</v>
      </c>
      <c r="Y75" s="17" t="s">
        <v>321</v>
      </c>
    </row>
    <row r="76" spans="1:25" ht="30" x14ac:dyDescent="0.25">
      <c r="A76" s="124">
        <v>59</v>
      </c>
      <c r="B76" s="138" t="s">
        <v>177</v>
      </c>
      <c r="C76" s="144" t="s">
        <v>742</v>
      </c>
      <c r="D76" s="168" t="s">
        <v>859</v>
      </c>
      <c r="E76" s="142"/>
      <c r="F76" s="11"/>
      <c r="G76" s="11"/>
      <c r="H76" s="11"/>
      <c r="I76" s="11"/>
      <c r="J76" s="32"/>
      <c r="K76" s="45">
        <v>32</v>
      </c>
      <c r="L76" s="193">
        <f t="shared" si="21"/>
        <v>354838</v>
      </c>
      <c r="M76" s="136">
        <f>'Đơn giá chi tiết'!J600</f>
        <v>82784</v>
      </c>
      <c r="N76" s="136"/>
      <c r="O76" s="136">
        <f>'Đơn giá chi tiết'!J604</f>
        <v>209385</v>
      </c>
      <c r="P76" s="136">
        <f>'Đơn giá chi tiết'!J606</f>
        <v>62669</v>
      </c>
      <c r="Q76" s="166">
        <f t="shared" si="17"/>
        <v>2649088</v>
      </c>
      <c r="R76" s="166">
        <f t="shared" si="18"/>
        <v>0</v>
      </c>
      <c r="S76" s="166">
        <f t="shared" si="19"/>
        <v>6700320</v>
      </c>
      <c r="T76" s="166">
        <f t="shared" si="20"/>
        <v>2005408</v>
      </c>
      <c r="U76" s="34"/>
      <c r="V76" s="34"/>
      <c r="W76" s="34"/>
      <c r="X76" s="17" t="s">
        <v>82</v>
      </c>
      <c r="Y76" s="17" t="s">
        <v>321</v>
      </c>
    </row>
    <row r="77" spans="1:25" ht="30" x14ac:dyDescent="0.25">
      <c r="A77" s="124">
        <v>60</v>
      </c>
      <c r="B77" s="138" t="s">
        <v>567</v>
      </c>
      <c r="C77" s="144" t="s">
        <v>644</v>
      </c>
      <c r="D77" s="168" t="s">
        <v>155</v>
      </c>
      <c r="E77" s="142"/>
      <c r="F77" s="11"/>
      <c r="G77" s="11"/>
      <c r="H77" s="11"/>
      <c r="I77" s="11"/>
      <c r="J77" s="32"/>
      <c r="K77" s="45">
        <f>ROUND(32*0.35*0.35*0.5,4)</f>
        <v>1.96</v>
      </c>
      <c r="L77" s="193">
        <f t="shared" si="21"/>
        <v>760270</v>
      </c>
      <c r="M77" s="136">
        <f>'Đơn giá chi tiết'!J610</f>
        <v>0</v>
      </c>
      <c r="N77" s="136"/>
      <c r="O77" s="136">
        <f>'Đơn giá chi tiết'!J612</f>
        <v>186120</v>
      </c>
      <c r="P77" s="136">
        <f>'Đơn giá chi tiết'!J614</f>
        <v>574150</v>
      </c>
      <c r="Q77" s="166">
        <f t="shared" si="17"/>
        <v>0</v>
      </c>
      <c r="R77" s="166">
        <f t="shared" si="18"/>
        <v>0</v>
      </c>
      <c r="S77" s="166">
        <f t="shared" si="19"/>
        <v>364795</v>
      </c>
      <c r="T77" s="166">
        <f t="shared" si="20"/>
        <v>1125334</v>
      </c>
      <c r="U77" s="34"/>
      <c r="V77" s="34"/>
      <c r="W77" s="34"/>
      <c r="X77" s="17" t="s">
        <v>82</v>
      </c>
      <c r="Y77" s="17" t="s">
        <v>321</v>
      </c>
    </row>
    <row r="78" spans="1:25" ht="28.5" x14ac:dyDescent="0.25">
      <c r="A78" s="168"/>
      <c r="B78" s="144"/>
      <c r="C78" s="130" t="s">
        <v>394</v>
      </c>
      <c r="D78" s="168"/>
      <c r="E78" s="166"/>
      <c r="F78" s="37"/>
      <c r="G78" s="37"/>
      <c r="H78" s="37"/>
      <c r="I78" s="37"/>
      <c r="J78" s="60"/>
      <c r="K78" s="60"/>
      <c r="L78" s="193">
        <f t="shared" si="21"/>
        <v>0</v>
      </c>
      <c r="M78" s="166"/>
      <c r="N78" s="166"/>
      <c r="O78" s="166"/>
      <c r="P78" s="166"/>
      <c r="Q78" s="166"/>
      <c r="R78" s="166"/>
      <c r="S78" s="166"/>
      <c r="T78" s="166"/>
      <c r="U78" s="34"/>
      <c r="V78" s="34"/>
      <c r="W78" s="34"/>
      <c r="X78" s="17"/>
      <c r="Y78" s="17"/>
    </row>
    <row r="79" spans="1:25" ht="30" x14ac:dyDescent="0.25">
      <c r="A79" s="124">
        <v>61</v>
      </c>
      <c r="B79" s="138" t="s">
        <v>658</v>
      </c>
      <c r="C79" s="144" t="s">
        <v>90</v>
      </c>
      <c r="D79" s="168" t="s">
        <v>155</v>
      </c>
      <c r="E79" s="142"/>
      <c r="F79" s="11"/>
      <c r="G79" s="11"/>
      <c r="H79" s="11"/>
      <c r="I79" s="11"/>
      <c r="J79" s="32"/>
      <c r="K79" s="45">
        <v>27.97</v>
      </c>
      <c r="L79" s="193">
        <f t="shared" si="21"/>
        <v>1887997</v>
      </c>
      <c r="M79" s="136">
        <f>'Đơn giá chi tiết'!J620</f>
        <v>1095938</v>
      </c>
      <c r="N79" s="136"/>
      <c r="O79" s="136">
        <f>'Đơn giá chi tiết'!J626</f>
        <v>732116</v>
      </c>
      <c r="P79" s="136">
        <f>'Đơn giá chi tiết'!J628</f>
        <v>59943</v>
      </c>
      <c r="Q79" s="166">
        <f t="shared" ref="Q79:Q88" si="22">ROUND(K79*M79,0)</f>
        <v>30653386</v>
      </c>
      <c r="R79" s="166">
        <f t="shared" ref="R79:R88" si="23">ROUND(K79*N79,0)</f>
        <v>0</v>
      </c>
      <c r="S79" s="166">
        <f t="shared" ref="S79:S88" si="24">ROUND(K79*O79,0)</f>
        <v>20477285</v>
      </c>
      <c r="T79" s="166">
        <f t="shared" ref="T79:T88" si="25">ROUND(K79*P79,0)</f>
        <v>1676606</v>
      </c>
      <c r="U79" s="34"/>
      <c r="V79" s="34"/>
      <c r="W79" s="34"/>
      <c r="X79" s="17" t="s">
        <v>82</v>
      </c>
      <c r="Y79" s="17" t="s">
        <v>321</v>
      </c>
    </row>
    <row r="80" spans="1:25" ht="30" x14ac:dyDescent="0.25">
      <c r="A80" s="124">
        <v>62</v>
      </c>
      <c r="B80" s="138" t="s">
        <v>847</v>
      </c>
      <c r="C80" s="144" t="s">
        <v>682</v>
      </c>
      <c r="D80" s="168" t="s">
        <v>1172</v>
      </c>
      <c r="E80" s="142"/>
      <c r="F80" s="11"/>
      <c r="G80" s="11"/>
      <c r="H80" s="11"/>
      <c r="I80" s="11"/>
      <c r="J80" s="32"/>
      <c r="K80" s="45">
        <f>ROUND(1183.04/1000,4)</f>
        <v>1.1830000000000001</v>
      </c>
      <c r="L80" s="193">
        <f t="shared" si="21"/>
        <v>17728056</v>
      </c>
      <c r="M80" s="136">
        <f>'Đơn giá chi tiết'!J633</f>
        <v>14603640</v>
      </c>
      <c r="N80" s="136"/>
      <c r="O80" s="136">
        <f>'Đơn giá chi tiết'!J636</f>
        <v>3033198</v>
      </c>
      <c r="P80" s="136">
        <f>'Đơn giá chi tiết'!J638</f>
        <v>91218</v>
      </c>
      <c r="Q80" s="166">
        <f t="shared" si="22"/>
        <v>17276106</v>
      </c>
      <c r="R80" s="166">
        <f t="shared" si="23"/>
        <v>0</v>
      </c>
      <c r="S80" s="166">
        <f t="shared" si="24"/>
        <v>3588273</v>
      </c>
      <c r="T80" s="166">
        <f t="shared" si="25"/>
        <v>107911</v>
      </c>
      <c r="U80" s="34"/>
      <c r="V80" s="34"/>
      <c r="W80" s="34"/>
      <c r="X80" s="17" t="s">
        <v>82</v>
      </c>
      <c r="Y80" s="17" t="s">
        <v>321</v>
      </c>
    </row>
    <row r="81" spans="1:25" ht="30" x14ac:dyDescent="0.25">
      <c r="A81" s="124">
        <v>63</v>
      </c>
      <c r="B81" s="138" t="s">
        <v>9</v>
      </c>
      <c r="C81" s="144" t="s">
        <v>111</v>
      </c>
      <c r="D81" s="168" t="s">
        <v>1172</v>
      </c>
      <c r="E81" s="142"/>
      <c r="F81" s="11"/>
      <c r="G81" s="11"/>
      <c r="H81" s="11"/>
      <c r="I81" s="11"/>
      <c r="J81" s="32"/>
      <c r="K81" s="45">
        <f>ROUND(228.64/1000,4)</f>
        <v>0.2286</v>
      </c>
      <c r="L81" s="193">
        <f t="shared" si="21"/>
        <v>16799273</v>
      </c>
      <c r="M81" s="136">
        <f>'Đơn giá chi tiết'!J641</f>
        <v>14678788</v>
      </c>
      <c r="N81" s="136"/>
      <c r="O81" s="136">
        <f>'Đơn giá chi tiết'!J645</f>
        <v>1664534</v>
      </c>
      <c r="P81" s="136">
        <f>'Đơn giá chi tiết'!J647</f>
        <v>455951</v>
      </c>
      <c r="Q81" s="166">
        <f t="shared" si="22"/>
        <v>3355571</v>
      </c>
      <c r="R81" s="166">
        <f t="shared" si="23"/>
        <v>0</v>
      </c>
      <c r="S81" s="166">
        <f t="shared" si="24"/>
        <v>380512</v>
      </c>
      <c r="T81" s="166">
        <f t="shared" si="25"/>
        <v>104230</v>
      </c>
      <c r="U81" s="34"/>
      <c r="V81" s="34"/>
      <c r="W81" s="34"/>
      <c r="X81" s="17" t="s">
        <v>82</v>
      </c>
      <c r="Y81" s="17" t="s">
        <v>321</v>
      </c>
    </row>
    <row r="82" spans="1:25" ht="30" x14ac:dyDescent="0.25">
      <c r="A82" s="124">
        <v>64</v>
      </c>
      <c r="B82" s="138" t="s">
        <v>412</v>
      </c>
      <c r="C82" s="144" t="s">
        <v>640</v>
      </c>
      <c r="D82" s="168" t="s">
        <v>1172</v>
      </c>
      <c r="E82" s="142"/>
      <c r="F82" s="11"/>
      <c r="G82" s="11"/>
      <c r="H82" s="11"/>
      <c r="I82" s="11"/>
      <c r="J82" s="32"/>
      <c r="K82" s="45">
        <f>ROUND(6638.88/1000,4)</f>
        <v>6.6388999999999996</v>
      </c>
      <c r="L82" s="193">
        <f t="shared" si="21"/>
        <v>16679022</v>
      </c>
      <c r="M82" s="136">
        <f>'Đơn giá chi tiết'!J651</f>
        <v>14678788</v>
      </c>
      <c r="N82" s="136"/>
      <c r="O82" s="136">
        <f>'Đơn giá chi tiết'!J655</f>
        <v>1594291</v>
      </c>
      <c r="P82" s="136">
        <f>'Đơn giá chi tiết'!J657</f>
        <v>405943</v>
      </c>
      <c r="Q82" s="166">
        <f t="shared" si="22"/>
        <v>97451006</v>
      </c>
      <c r="R82" s="166">
        <f t="shared" si="23"/>
        <v>0</v>
      </c>
      <c r="S82" s="166">
        <f t="shared" si="24"/>
        <v>10584339</v>
      </c>
      <c r="T82" s="166">
        <f t="shared" si="25"/>
        <v>2695015</v>
      </c>
      <c r="U82" s="34"/>
      <c r="V82" s="34"/>
      <c r="W82" s="34"/>
      <c r="X82" s="17" t="s">
        <v>82</v>
      </c>
      <c r="Y82" s="17" t="s">
        <v>321</v>
      </c>
    </row>
    <row r="83" spans="1:25" ht="30" x14ac:dyDescent="0.25">
      <c r="A83" s="124">
        <v>65</v>
      </c>
      <c r="B83" s="138" t="s">
        <v>486</v>
      </c>
      <c r="C83" s="144" t="s">
        <v>74</v>
      </c>
      <c r="D83" s="168" t="s">
        <v>1172</v>
      </c>
      <c r="E83" s="142"/>
      <c r="F83" s="11"/>
      <c r="G83" s="11"/>
      <c r="H83" s="11"/>
      <c r="I83" s="11"/>
      <c r="J83" s="32"/>
      <c r="K83" s="45">
        <f>ROUND(512.32/1000,4)</f>
        <v>0.51229999999999998</v>
      </c>
      <c r="L83" s="193">
        <f t="shared" si="21"/>
        <v>26059170</v>
      </c>
      <c r="M83" s="136">
        <f>'Đơn giá chi tiết'!J661</f>
        <v>15447317</v>
      </c>
      <c r="N83" s="136"/>
      <c r="O83" s="136">
        <f>'Đơn giá chi tiết'!J669</f>
        <v>8769288</v>
      </c>
      <c r="P83" s="136">
        <f>'Đơn giá chi tiết'!J671</f>
        <v>1842565</v>
      </c>
      <c r="Q83" s="166">
        <f t="shared" si="22"/>
        <v>7913660</v>
      </c>
      <c r="R83" s="166">
        <f t="shared" si="23"/>
        <v>0</v>
      </c>
      <c r="S83" s="166">
        <f t="shared" si="24"/>
        <v>4492506</v>
      </c>
      <c r="T83" s="166">
        <f t="shared" si="25"/>
        <v>943946</v>
      </c>
      <c r="U83" s="34"/>
      <c r="V83" s="34"/>
      <c r="W83" s="34"/>
      <c r="X83" s="17" t="s">
        <v>82</v>
      </c>
      <c r="Y83" s="17" t="s">
        <v>321</v>
      </c>
    </row>
    <row r="84" spans="1:25" ht="30" x14ac:dyDescent="0.25">
      <c r="A84" s="124">
        <v>66</v>
      </c>
      <c r="B84" s="138" t="s">
        <v>564</v>
      </c>
      <c r="C84" s="144" t="s">
        <v>593</v>
      </c>
      <c r="D84" s="168" t="s">
        <v>836</v>
      </c>
      <c r="E84" s="142"/>
      <c r="F84" s="11"/>
      <c r="G84" s="11"/>
      <c r="H84" s="11"/>
      <c r="I84" s="11"/>
      <c r="J84" s="32"/>
      <c r="K84" s="45">
        <f>ROUND(187.52/100,4)</f>
        <v>1.8752</v>
      </c>
      <c r="L84" s="193">
        <f t="shared" si="21"/>
        <v>6368252</v>
      </c>
      <c r="M84" s="136">
        <f>'Đơn giá chi tiết'!J677</f>
        <v>704451</v>
      </c>
      <c r="N84" s="136"/>
      <c r="O84" s="136">
        <f>'Đơn giá chi tiết'!J682</f>
        <v>5500199</v>
      </c>
      <c r="P84" s="136">
        <f>'Đơn giá chi tiết'!J684</f>
        <v>163602</v>
      </c>
      <c r="Q84" s="166">
        <f t="shared" si="22"/>
        <v>1320987</v>
      </c>
      <c r="R84" s="166">
        <f t="shared" si="23"/>
        <v>0</v>
      </c>
      <c r="S84" s="166">
        <f t="shared" si="24"/>
        <v>10313973</v>
      </c>
      <c r="T84" s="166">
        <f t="shared" si="25"/>
        <v>306786</v>
      </c>
      <c r="U84" s="34"/>
      <c r="V84" s="34"/>
      <c r="W84" s="34"/>
      <c r="X84" s="17" t="s">
        <v>82</v>
      </c>
      <c r="Y84" s="17" t="s">
        <v>321</v>
      </c>
    </row>
    <row r="85" spans="1:25" ht="30" x14ac:dyDescent="0.25">
      <c r="A85" s="124">
        <v>67</v>
      </c>
      <c r="B85" s="138" t="s">
        <v>286</v>
      </c>
      <c r="C85" s="144" t="s">
        <v>775</v>
      </c>
      <c r="D85" s="168" t="s">
        <v>1172</v>
      </c>
      <c r="E85" s="142"/>
      <c r="F85" s="11"/>
      <c r="G85" s="11"/>
      <c r="H85" s="11"/>
      <c r="I85" s="11"/>
      <c r="J85" s="32"/>
      <c r="K85" s="45">
        <f>ROUND( 1145.6/1000,4)</f>
        <v>1.1456</v>
      </c>
      <c r="L85" s="193">
        <f t="shared" si="21"/>
        <v>24878911</v>
      </c>
      <c r="M85" s="136">
        <f>'Đơn giá chi tiết'!J688</f>
        <v>16318605</v>
      </c>
      <c r="N85" s="136"/>
      <c r="O85" s="136">
        <f>'Đơn giá chi tiết'!J696</f>
        <v>6570684</v>
      </c>
      <c r="P85" s="136">
        <f>'Đơn giá chi tiết'!J698</f>
        <v>1989622</v>
      </c>
      <c r="Q85" s="166">
        <f t="shared" si="22"/>
        <v>18694594</v>
      </c>
      <c r="R85" s="166">
        <f t="shared" si="23"/>
        <v>0</v>
      </c>
      <c r="S85" s="166">
        <f t="shared" si="24"/>
        <v>7527376</v>
      </c>
      <c r="T85" s="166">
        <f t="shared" si="25"/>
        <v>2279311</v>
      </c>
      <c r="U85" s="34"/>
      <c r="V85" s="34"/>
      <c r="W85" s="34"/>
      <c r="X85" s="17" t="s">
        <v>82</v>
      </c>
      <c r="Y85" s="17" t="s">
        <v>321</v>
      </c>
    </row>
    <row r="86" spans="1:25" ht="30" x14ac:dyDescent="0.25">
      <c r="A86" s="124">
        <v>68</v>
      </c>
      <c r="B86" s="138" t="s">
        <v>315</v>
      </c>
      <c r="C86" s="144" t="s">
        <v>1080</v>
      </c>
      <c r="D86" s="168" t="s">
        <v>227</v>
      </c>
      <c r="E86" s="142"/>
      <c r="F86" s="11"/>
      <c r="G86" s="11"/>
      <c r="H86" s="11"/>
      <c r="I86" s="11"/>
      <c r="J86" s="32"/>
      <c r="K86" s="45">
        <f>ROUND(288/100,4)</f>
        <v>2.88</v>
      </c>
      <c r="L86" s="193">
        <f t="shared" si="21"/>
        <v>21810241</v>
      </c>
      <c r="M86" s="136">
        <f>'Đơn giá chi tiết'!J704</f>
        <v>0</v>
      </c>
      <c r="N86" s="136"/>
      <c r="O86" s="136">
        <f>'Đơn giá chi tiết'!J707</f>
        <v>1468251</v>
      </c>
      <c r="P86" s="136">
        <f>'Đơn giá chi tiết'!J709</f>
        <v>20341990</v>
      </c>
      <c r="Q86" s="166">
        <f t="shared" si="22"/>
        <v>0</v>
      </c>
      <c r="R86" s="166">
        <f t="shared" si="23"/>
        <v>0</v>
      </c>
      <c r="S86" s="166">
        <f t="shared" si="24"/>
        <v>4228563</v>
      </c>
      <c r="T86" s="166">
        <f t="shared" si="25"/>
        <v>58584931</v>
      </c>
      <c r="U86" s="34"/>
      <c r="V86" s="34"/>
      <c r="W86" s="34"/>
      <c r="X86" s="17" t="s">
        <v>82</v>
      </c>
      <c r="Y86" s="17" t="s">
        <v>321</v>
      </c>
    </row>
    <row r="87" spans="1:25" ht="30" x14ac:dyDescent="0.25">
      <c r="A87" s="124">
        <v>69</v>
      </c>
      <c r="B87" s="52" t="s">
        <v>208</v>
      </c>
      <c r="C87" s="144" t="s">
        <v>481</v>
      </c>
      <c r="D87" s="168" t="s">
        <v>859</v>
      </c>
      <c r="E87" s="142"/>
      <c r="F87" s="11"/>
      <c r="G87" s="11"/>
      <c r="H87" s="11"/>
      <c r="I87" s="11"/>
      <c r="J87" s="32"/>
      <c r="K87" s="45">
        <v>8</v>
      </c>
      <c r="L87" s="193">
        <f t="shared" si="21"/>
        <v>293153</v>
      </c>
      <c r="M87" s="136">
        <f>'Đơn giá chi tiết'!J716</f>
        <v>41884</v>
      </c>
      <c r="N87" s="136"/>
      <c r="O87" s="136">
        <f>'Đơn giá chi tiết'!J720</f>
        <v>199045</v>
      </c>
      <c r="P87" s="136">
        <f>'Đơn giá chi tiết'!J722</f>
        <v>52224</v>
      </c>
      <c r="Q87" s="166">
        <f t="shared" si="22"/>
        <v>335072</v>
      </c>
      <c r="R87" s="166">
        <f t="shared" si="23"/>
        <v>0</v>
      </c>
      <c r="S87" s="166">
        <f t="shared" si="24"/>
        <v>1592360</v>
      </c>
      <c r="T87" s="166">
        <f t="shared" si="25"/>
        <v>417792</v>
      </c>
      <c r="U87" s="34"/>
      <c r="V87" s="34"/>
      <c r="W87" s="34"/>
      <c r="X87" s="17" t="s">
        <v>82</v>
      </c>
      <c r="Y87" s="17" t="s">
        <v>321</v>
      </c>
    </row>
    <row r="88" spans="1:25" ht="30" x14ac:dyDescent="0.25">
      <c r="A88" s="124">
        <v>70</v>
      </c>
      <c r="B88" s="138" t="s">
        <v>567</v>
      </c>
      <c r="C88" s="144" t="s">
        <v>644</v>
      </c>
      <c r="D88" s="168" t="s">
        <v>155</v>
      </c>
      <c r="E88" s="142"/>
      <c r="F88" s="11"/>
      <c r="G88" s="11"/>
      <c r="H88" s="11"/>
      <c r="I88" s="11"/>
      <c r="J88" s="32"/>
      <c r="K88" s="45">
        <v>0.57999999999999996</v>
      </c>
      <c r="L88" s="193">
        <f t="shared" si="21"/>
        <v>760270</v>
      </c>
      <c r="M88" s="136">
        <f>'Đơn giá chi tiết'!J726</f>
        <v>0</v>
      </c>
      <c r="N88" s="136"/>
      <c r="O88" s="136">
        <f>'Đơn giá chi tiết'!J728</f>
        <v>186120</v>
      </c>
      <c r="P88" s="136">
        <f>'Đơn giá chi tiết'!J730</f>
        <v>574150</v>
      </c>
      <c r="Q88" s="166">
        <f t="shared" si="22"/>
        <v>0</v>
      </c>
      <c r="R88" s="166">
        <f t="shared" si="23"/>
        <v>0</v>
      </c>
      <c r="S88" s="166">
        <f t="shared" si="24"/>
        <v>107950</v>
      </c>
      <c r="T88" s="166">
        <f t="shared" si="25"/>
        <v>333007</v>
      </c>
      <c r="U88" s="34"/>
      <c r="V88" s="34"/>
      <c r="W88" s="34"/>
      <c r="X88" s="17" t="s">
        <v>82</v>
      </c>
      <c r="Y88" s="17" t="s">
        <v>321</v>
      </c>
    </row>
    <row r="89" spans="1:25" x14ac:dyDescent="0.25">
      <c r="A89" s="168"/>
      <c r="B89" s="144"/>
      <c r="C89" s="183" t="s">
        <v>470</v>
      </c>
      <c r="D89" s="168"/>
      <c r="E89" s="166"/>
      <c r="F89" s="37"/>
      <c r="G89" s="37"/>
      <c r="H89" s="37"/>
      <c r="I89" s="37"/>
      <c r="J89" s="60"/>
      <c r="K89" s="60"/>
      <c r="L89" s="193">
        <f t="shared" si="21"/>
        <v>0</v>
      </c>
      <c r="M89" s="166"/>
      <c r="N89" s="166"/>
      <c r="O89" s="166"/>
      <c r="P89" s="166"/>
      <c r="Q89" s="166"/>
      <c r="R89" s="166"/>
      <c r="S89" s="166"/>
      <c r="T89" s="166"/>
      <c r="U89" s="34"/>
      <c r="V89" s="34"/>
      <c r="W89" s="34"/>
      <c r="X89" s="17"/>
      <c r="Y89" s="17"/>
    </row>
    <row r="90" spans="1:25" x14ac:dyDescent="0.25">
      <c r="A90" s="168"/>
      <c r="B90" s="144"/>
      <c r="C90" s="130" t="s">
        <v>200</v>
      </c>
      <c r="D90" s="168"/>
      <c r="E90" s="166"/>
      <c r="F90" s="37"/>
      <c r="G90" s="37"/>
      <c r="H90" s="37"/>
      <c r="I90" s="37"/>
      <c r="J90" s="60"/>
      <c r="K90" s="60"/>
      <c r="L90" s="193">
        <f t="shared" si="21"/>
        <v>0</v>
      </c>
      <c r="M90" s="166"/>
      <c r="N90" s="166"/>
      <c r="O90" s="166"/>
      <c r="P90" s="166"/>
      <c r="Q90" s="166"/>
      <c r="R90" s="166"/>
      <c r="S90" s="166"/>
      <c r="T90" s="166"/>
      <c r="U90" s="34"/>
      <c r="V90" s="34"/>
      <c r="W90" s="34"/>
      <c r="X90" s="17"/>
      <c r="Y90" s="17"/>
    </row>
    <row r="91" spans="1:25" ht="30" x14ac:dyDescent="0.25">
      <c r="A91" s="124">
        <v>71</v>
      </c>
      <c r="B91" s="52" t="s">
        <v>1039</v>
      </c>
      <c r="C91" s="144" t="s">
        <v>1113</v>
      </c>
      <c r="D91" s="168" t="s">
        <v>793</v>
      </c>
      <c r="E91" s="142"/>
      <c r="F91" s="11"/>
      <c r="G91" s="11"/>
      <c r="H91" s="11"/>
      <c r="I91" s="11"/>
      <c r="J91" s="32"/>
      <c r="K91" s="45">
        <f>ROUND(995/100,4)</f>
        <v>9.9499999999999993</v>
      </c>
      <c r="L91" s="193">
        <f t="shared" si="21"/>
        <v>610003</v>
      </c>
      <c r="M91" s="136"/>
      <c r="N91" s="136"/>
      <c r="O91" s="136">
        <f>'Đơn giá chi tiết'!J736</f>
        <v>144471</v>
      </c>
      <c r="P91" s="136">
        <f>'Đơn giá chi tiết'!J738</f>
        <v>465532</v>
      </c>
      <c r="Q91" s="166">
        <f>ROUND(K91*M91,0)</f>
        <v>0</v>
      </c>
      <c r="R91" s="166">
        <f>ROUND(K91*N91,0)</f>
        <v>0</v>
      </c>
      <c r="S91" s="166">
        <f>ROUND(K91*O91,0)</f>
        <v>1437486</v>
      </c>
      <c r="T91" s="166">
        <f>ROUND(K91*P91,0)</f>
        <v>4632043</v>
      </c>
      <c r="U91" s="34"/>
      <c r="V91" s="34"/>
      <c r="W91" s="34"/>
      <c r="X91" s="17" t="s">
        <v>82</v>
      </c>
      <c r="Y91" s="17" t="s">
        <v>321</v>
      </c>
    </row>
    <row r="92" spans="1:25" ht="30" x14ac:dyDescent="0.25">
      <c r="A92" s="124">
        <v>72</v>
      </c>
      <c r="B92" s="138" t="s">
        <v>361</v>
      </c>
      <c r="C92" s="144" t="s">
        <v>1146</v>
      </c>
      <c r="D92" s="168" t="s">
        <v>155</v>
      </c>
      <c r="E92" s="142"/>
      <c r="F92" s="11"/>
      <c r="G92" s="11"/>
      <c r="H92" s="11"/>
      <c r="I92" s="11"/>
      <c r="J92" s="32"/>
      <c r="K92" s="45">
        <v>103</v>
      </c>
      <c r="L92" s="193">
        <f t="shared" si="21"/>
        <v>1097246</v>
      </c>
      <c r="M92" s="136">
        <f>'Đơn giá chi tiết'!J742</f>
        <v>819664</v>
      </c>
      <c r="N92" s="136"/>
      <c r="O92" s="136">
        <f>'Đơn giá chi tiết'!J747</f>
        <v>230373</v>
      </c>
      <c r="P92" s="136">
        <f>'Đơn giá chi tiết'!J749</f>
        <v>47209</v>
      </c>
      <c r="Q92" s="166">
        <f>ROUND(K92*M92,0)</f>
        <v>84425392</v>
      </c>
      <c r="R92" s="166">
        <f>ROUND(K92*N92,0)</f>
        <v>0</v>
      </c>
      <c r="S92" s="166">
        <f>ROUND(K92*O92,0)</f>
        <v>23728419</v>
      </c>
      <c r="T92" s="166">
        <f>ROUND(K92*P92,0)</f>
        <v>4862527</v>
      </c>
      <c r="U92" s="34"/>
      <c r="V92" s="34"/>
      <c r="W92" s="34"/>
      <c r="X92" s="17" t="s">
        <v>82</v>
      </c>
      <c r="Y92" s="17" t="s">
        <v>321</v>
      </c>
    </row>
    <row r="93" spans="1:25" ht="30" x14ac:dyDescent="0.25">
      <c r="A93" s="124">
        <v>73</v>
      </c>
      <c r="B93" s="138" t="s">
        <v>715</v>
      </c>
      <c r="C93" s="144" t="s">
        <v>282</v>
      </c>
      <c r="D93" s="168" t="s">
        <v>793</v>
      </c>
      <c r="E93" s="142"/>
      <c r="F93" s="11"/>
      <c r="G93" s="11"/>
      <c r="H93" s="11"/>
      <c r="I93" s="11"/>
      <c r="J93" s="32"/>
      <c r="K93" s="45">
        <v>0.7</v>
      </c>
      <c r="L93" s="193">
        <f t="shared" si="21"/>
        <v>32783358</v>
      </c>
      <c r="M93" s="136">
        <f>'Đơn giá chi tiết'!J753</f>
        <v>29093244</v>
      </c>
      <c r="N93" s="136"/>
      <c r="O93" s="136">
        <f>'Đơn giá chi tiết'!J755</f>
        <v>1008150</v>
      </c>
      <c r="P93" s="136">
        <f>'Đơn giá chi tiết'!J757</f>
        <v>2681964</v>
      </c>
      <c r="Q93" s="166">
        <f>ROUND(K93*M93,0)</f>
        <v>20365271</v>
      </c>
      <c r="R93" s="166">
        <f>ROUND(K93*N93,0)</f>
        <v>0</v>
      </c>
      <c r="S93" s="166">
        <f>ROUND(K93*O93,0)</f>
        <v>705705</v>
      </c>
      <c r="T93" s="166">
        <f>ROUND(K93*P93,0)</f>
        <v>1877375</v>
      </c>
      <c r="U93" s="34"/>
      <c r="V93" s="34"/>
      <c r="W93" s="34"/>
      <c r="X93" s="17" t="s">
        <v>82</v>
      </c>
      <c r="Y93" s="17" t="s">
        <v>321</v>
      </c>
    </row>
    <row r="94" spans="1:25" x14ac:dyDescent="0.25">
      <c r="A94" s="168"/>
      <c r="B94" s="144"/>
      <c r="C94" s="130" t="s">
        <v>8</v>
      </c>
      <c r="D94" s="168"/>
      <c r="E94" s="166"/>
      <c r="F94" s="37"/>
      <c r="G94" s="37"/>
      <c r="H94" s="37"/>
      <c r="I94" s="37"/>
      <c r="J94" s="60"/>
      <c r="K94" s="60"/>
      <c r="L94" s="193">
        <f t="shared" si="21"/>
        <v>0</v>
      </c>
      <c r="M94" s="166"/>
      <c r="N94" s="166"/>
      <c r="O94" s="166"/>
      <c r="P94" s="166"/>
      <c r="Q94" s="166"/>
      <c r="R94" s="166"/>
      <c r="S94" s="166"/>
      <c r="T94" s="166"/>
      <c r="U94" s="34"/>
      <c r="V94" s="34"/>
      <c r="W94" s="34"/>
      <c r="X94" s="17"/>
      <c r="Y94" s="17"/>
    </row>
    <row r="95" spans="1:25" ht="30" x14ac:dyDescent="0.25">
      <c r="A95" s="124">
        <v>74</v>
      </c>
      <c r="B95" s="52" t="s">
        <v>1163</v>
      </c>
      <c r="C95" s="144" t="s">
        <v>26</v>
      </c>
      <c r="D95" s="168" t="s">
        <v>227</v>
      </c>
      <c r="E95" s="142"/>
      <c r="F95" s="11"/>
      <c r="G95" s="11"/>
      <c r="H95" s="11"/>
      <c r="I95" s="11"/>
      <c r="J95" s="32"/>
      <c r="K95" s="45">
        <v>3.12</v>
      </c>
      <c r="L95" s="193">
        <f t="shared" si="21"/>
        <v>5207788</v>
      </c>
      <c r="M95" s="136">
        <f>'Đơn giá chi tiết'!J766</f>
        <v>3681825</v>
      </c>
      <c r="N95" s="136"/>
      <c r="O95" s="136">
        <f>'Đơn giá chi tiết'!J768</f>
        <v>702425</v>
      </c>
      <c r="P95" s="136">
        <f>'Đơn giá chi tiết'!J770</f>
        <v>823538</v>
      </c>
      <c r="Q95" s="166">
        <f t="shared" ref="Q95:Q102" si="26">ROUND(K95*M95,0)</f>
        <v>11487294</v>
      </c>
      <c r="R95" s="166">
        <f t="shared" ref="R95:R102" si="27">ROUND(K95*N95,0)</f>
        <v>0</v>
      </c>
      <c r="S95" s="166">
        <f t="shared" ref="S95:S102" si="28">ROUND(K95*O95,0)</f>
        <v>2191566</v>
      </c>
      <c r="T95" s="166">
        <f t="shared" ref="T95:T102" si="29">ROUND(K95*P95,0)</f>
        <v>2569439</v>
      </c>
      <c r="U95" s="34"/>
      <c r="V95" s="34"/>
      <c r="W95" s="34"/>
      <c r="X95" s="17" t="s">
        <v>458</v>
      </c>
      <c r="Y95" s="17" t="s">
        <v>1028</v>
      </c>
    </row>
    <row r="96" spans="1:25" ht="30" x14ac:dyDescent="0.25">
      <c r="A96" s="124">
        <v>75</v>
      </c>
      <c r="B96" s="52" t="s">
        <v>1071</v>
      </c>
      <c r="C96" s="144" t="s">
        <v>738</v>
      </c>
      <c r="D96" s="168" t="s">
        <v>227</v>
      </c>
      <c r="E96" s="142"/>
      <c r="F96" s="11"/>
      <c r="G96" s="11"/>
      <c r="H96" s="11"/>
      <c r="I96" s="11"/>
      <c r="J96" s="32"/>
      <c r="K96" s="45">
        <f>ROUND(480*4.5/100,4)</f>
        <v>21.6</v>
      </c>
      <c r="L96" s="193">
        <f t="shared" si="21"/>
        <v>1373477</v>
      </c>
      <c r="M96" s="136">
        <f>'Đơn giá chi tiết'!J773</f>
        <v>767494</v>
      </c>
      <c r="N96" s="136"/>
      <c r="O96" s="136">
        <f>'Đơn giá chi tiết'!J778</f>
        <v>605983</v>
      </c>
      <c r="P96" s="136"/>
      <c r="Q96" s="166">
        <f t="shared" si="26"/>
        <v>16577870</v>
      </c>
      <c r="R96" s="166">
        <f t="shared" si="27"/>
        <v>0</v>
      </c>
      <c r="S96" s="166">
        <f t="shared" si="28"/>
        <v>13089233</v>
      </c>
      <c r="T96" s="166">
        <f t="shared" si="29"/>
        <v>0</v>
      </c>
      <c r="U96" s="34"/>
      <c r="V96" s="34"/>
      <c r="W96" s="34"/>
      <c r="X96" s="17" t="s">
        <v>82</v>
      </c>
      <c r="Y96" s="17" t="s">
        <v>321</v>
      </c>
    </row>
    <row r="97" spans="1:25" ht="30" x14ac:dyDescent="0.25">
      <c r="A97" s="124">
        <v>76</v>
      </c>
      <c r="B97" s="52" t="s">
        <v>576</v>
      </c>
      <c r="C97" s="144" t="s">
        <v>27</v>
      </c>
      <c r="D97" s="168" t="s">
        <v>836</v>
      </c>
      <c r="E97" s="142"/>
      <c r="F97" s="11"/>
      <c r="G97" s="11"/>
      <c r="H97" s="11"/>
      <c r="I97" s="11"/>
      <c r="J97" s="32"/>
      <c r="K97" s="45">
        <v>4.92</v>
      </c>
      <c r="L97" s="193">
        <f t="shared" si="21"/>
        <v>2850725</v>
      </c>
      <c r="M97" s="136">
        <f>'Đơn giá chi tiết'!J781</f>
        <v>2592044</v>
      </c>
      <c r="N97" s="136"/>
      <c r="O97" s="136">
        <f>'Đơn giá chi tiết'!J784</f>
        <v>258681</v>
      </c>
      <c r="P97" s="136"/>
      <c r="Q97" s="166">
        <f t="shared" si="26"/>
        <v>12752856</v>
      </c>
      <c r="R97" s="166">
        <f t="shared" si="27"/>
        <v>0</v>
      </c>
      <c r="S97" s="166">
        <f t="shared" si="28"/>
        <v>1272711</v>
      </c>
      <c r="T97" s="166">
        <f t="shared" si="29"/>
        <v>0</v>
      </c>
      <c r="U97" s="34"/>
      <c r="V97" s="34"/>
      <c r="W97" s="34"/>
      <c r="X97" s="17" t="s">
        <v>82</v>
      </c>
      <c r="Y97" s="17" t="s">
        <v>321</v>
      </c>
    </row>
    <row r="98" spans="1:25" ht="30" x14ac:dyDescent="0.25">
      <c r="A98" s="124">
        <v>77</v>
      </c>
      <c r="B98" s="138" t="s">
        <v>715</v>
      </c>
      <c r="C98" s="144" t="s">
        <v>282</v>
      </c>
      <c r="D98" s="168" t="s">
        <v>793</v>
      </c>
      <c r="E98" s="142"/>
      <c r="F98" s="11"/>
      <c r="G98" s="11"/>
      <c r="H98" s="11"/>
      <c r="I98" s="11"/>
      <c r="J98" s="32"/>
      <c r="K98" s="45">
        <v>0.6</v>
      </c>
      <c r="L98" s="193">
        <f t="shared" si="21"/>
        <v>32783358</v>
      </c>
      <c r="M98" s="136">
        <f>'Đơn giá chi tiết'!J787</f>
        <v>29093244</v>
      </c>
      <c r="N98" s="136"/>
      <c r="O98" s="136">
        <f>'Đơn giá chi tiết'!J789</f>
        <v>1008150</v>
      </c>
      <c r="P98" s="136">
        <f>'Đơn giá chi tiết'!J791</f>
        <v>2681964</v>
      </c>
      <c r="Q98" s="166">
        <f t="shared" si="26"/>
        <v>17455946</v>
      </c>
      <c r="R98" s="166">
        <f t="shared" si="27"/>
        <v>0</v>
      </c>
      <c r="S98" s="166">
        <f t="shared" si="28"/>
        <v>604890</v>
      </c>
      <c r="T98" s="166">
        <f t="shared" si="29"/>
        <v>1609178</v>
      </c>
      <c r="U98" s="34"/>
      <c r="V98" s="34"/>
      <c r="W98" s="34"/>
      <c r="X98" s="17" t="s">
        <v>82</v>
      </c>
      <c r="Y98" s="17" t="s">
        <v>321</v>
      </c>
    </row>
    <row r="99" spans="1:25" ht="45" x14ac:dyDescent="0.25">
      <c r="A99" s="63">
        <v>78</v>
      </c>
      <c r="B99" s="29" t="s">
        <v>30</v>
      </c>
      <c r="C99" s="80" t="s">
        <v>148</v>
      </c>
      <c r="D99" s="119" t="s">
        <v>155</v>
      </c>
      <c r="E99" s="142"/>
      <c r="F99" s="11"/>
      <c r="G99" s="11"/>
      <c r="H99" s="11"/>
      <c r="I99" s="11"/>
      <c r="J99" s="32"/>
      <c r="K99" s="45">
        <v>46</v>
      </c>
      <c r="L99" s="193">
        <f t="shared" si="21"/>
        <v>635991</v>
      </c>
      <c r="M99" s="100">
        <f>'Đơn giá chi tiết'!J800</f>
        <v>339240</v>
      </c>
      <c r="N99" s="71"/>
      <c r="O99" s="71">
        <f>'Đơn giá chi tiết'!J804</f>
        <v>296751</v>
      </c>
      <c r="P99" s="71"/>
      <c r="Q99" s="166">
        <f t="shared" si="26"/>
        <v>15605040</v>
      </c>
      <c r="R99" s="166">
        <f t="shared" si="27"/>
        <v>0</v>
      </c>
      <c r="S99" s="166">
        <f t="shared" si="28"/>
        <v>13650546</v>
      </c>
      <c r="T99" s="166">
        <f t="shared" si="29"/>
        <v>0</v>
      </c>
      <c r="U99" s="152"/>
      <c r="V99" s="152"/>
      <c r="W99" s="152"/>
      <c r="X99" s="17"/>
      <c r="Y99" s="17"/>
    </row>
    <row r="100" spans="1:25" ht="30" x14ac:dyDescent="0.25">
      <c r="A100" s="124">
        <v>79</v>
      </c>
      <c r="B100" s="138" t="s">
        <v>233</v>
      </c>
      <c r="C100" s="144" t="s">
        <v>345</v>
      </c>
      <c r="D100" s="168" t="s">
        <v>793</v>
      </c>
      <c r="E100" s="142"/>
      <c r="F100" s="11"/>
      <c r="G100" s="11"/>
      <c r="H100" s="11"/>
      <c r="I100" s="11"/>
      <c r="J100" s="32"/>
      <c r="K100" s="45">
        <f>ROUND( 368.4/100,4)</f>
        <v>3.6840000000000002</v>
      </c>
      <c r="L100" s="193">
        <f t="shared" si="21"/>
        <v>28443756</v>
      </c>
      <c r="M100" s="136">
        <f>'Đơn giá chi tiết'!J807</f>
        <v>27450000</v>
      </c>
      <c r="N100" s="136"/>
      <c r="O100" s="136">
        <f>'Đơn giá chi tiết'!J809</f>
        <v>292847</v>
      </c>
      <c r="P100" s="136">
        <f>'Đơn giá chi tiết'!J811</f>
        <v>700909</v>
      </c>
      <c r="Q100" s="166">
        <f t="shared" si="26"/>
        <v>101125800</v>
      </c>
      <c r="R100" s="166">
        <f t="shared" si="27"/>
        <v>0</v>
      </c>
      <c r="S100" s="166">
        <f t="shared" si="28"/>
        <v>1078848</v>
      </c>
      <c r="T100" s="166">
        <f t="shared" si="29"/>
        <v>2582149</v>
      </c>
      <c r="U100" s="34"/>
      <c r="V100" s="34"/>
      <c r="W100" s="34"/>
      <c r="X100" s="17" t="s">
        <v>82</v>
      </c>
      <c r="Y100" s="17" t="s">
        <v>321</v>
      </c>
    </row>
    <row r="101" spans="1:25" ht="30" x14ac:dyDescent="0.25">
      <c r="A101" s="124">
        <v>80</v>
      </c>
      <c r="B101" s="52" t="s">
        <v>1197</v>
      </c>
      <c r="C101" s="144" t="s">
        <v>923</v>
      </c>
      <c r="D101" s="168" t="s">
        <v>1172</v>
      </c>
      <c r="E101" s="142"/>
      <c r="F101" s="11"/>
      <c r="G101" s="11"/>
      <c r="H101" s="11"/>
      <c r="I101" s="11"/>
      <c r="J101" s="32"/>
      <c r="K101" s="45">
        <f>ROUND(98.56/1000,4)</f>
        <v>9.8599999999999993E-2</v>
      </c>
      <c r="L101" s="193">
        <f t="shared" si="21"/>
        <v>17104388</v>
      </c>
      <c r="M101" s="136">
        <f>'Đơn giá chi tiết'!J816</f>
        <v>14603640</v>
      </c>
      <c r="N101" s="136"/>
      <c r="O101" s="136">
        <f>'Đơn giá chi tiết'!J819</f>
        <v>2409530</v>
      </c>
      <c r="P101" s="136">
        <f>'Đơn giá chi tiết'!J821</f>
        <v>91218</v>
      </c>
      <c r="Q101" s="166">
        <f t="shared" si="26"/>
        <v>1439919</v>
      </c>
      <c r="R101" s="166">
        <f t="shared" si="27"/>
        <v>0</v>
      </c>
      <c r="S101" s="166">
        <f t="shared" si="28"/>
        <v>237580</v>
      </c>
      <c r="T101" s="166">
        <f t="shared" si="29"/>
        <v>8994</v>
      </c>
      <c r="U101" s="34"/>
      <c r="V101" s="34"/>
      <c r="W101" s="34"/>
      <c r="X101" s="17" t="s">
        <v>82</v>
      </c>
      <c r="Y101" s="17" t="s">
        <v>321</v>
      </c>
    </row>
    <row r="102" spans="1:25" x14ac:dyDescent="0.25">
      <c r="A102" s="63">
        <v>81</v>
      </c>
      <c r="B102" s="29" t="s">
        <v>30</v>
      </c>
      <c r="C102" s="80" t="s">
        <v>1000</v>
      </c>
      <c r="D102" s="119" t="s">
        <v>1123</v>
      </c>
      <c r="E102" s="142"/>
      <c r="F102" s="11"/>
      <c r="G102" s="11"/>
      <c r="H102" s="11"/>
      <c r="I102" s="11"/>
      <c r="J102" s="32"/>
      <c r="K102" s="45">
        <v>14</v>
      </c>
      <c r="L102" s="193">
        <f t="shared" si="21"/>
        <v>12500</v>
      </c>
      <c r="M102" s="71">
        <f>'Đơn giá chi tiết'!J824</f>
        <v>12500</v>
      </c>
      <c r="N102" s="71"/>
      <c r="O102" s="71"/>
      <c r="P102" s="71"/>
      <c r="Q102" s="166">
        <f t="shared" si="26"/>
        <v>175000</v>
      </c>
      <c r="R102" s="166">
        <f t="shared" si="27"/>
        <v>0</v>
      </c>
      <c r="S102" s="166">
        <f t="shared" si="28"/>
        <v>0</v>
      </c>
      <c r="T102" s="166">
        <f t="shared" si="29"/>
        <v>0</v>
      </c>
      <c r="U102" s="152"/>
      <c r="V102" s="152"/>
      <c r="W102" s="152"/>
      <c r="X102" s="17"/>
      <c r="Y102" s="17"/>
    </row>
    <row r="103" spans="1:25" x14ac:dyDescent="0.25">
      <c r="A103" s="168"/>
      <c r="B103" s="144"/>
      <c r="C103" s="130" t="s">
        <v>37</v>
      </c>
      <c r="D103" s="168"/>
      <c r="E103" s="166"/>
      <c r="F103" s="37"/>
      <c r="G103" s="37"/>
      <c r="H103" s="37"/>
      <c r="I103" s="37"/>
      <c r="J103" s="60"/>
      <c r="K103" s="60"/>
      <c r="L103" s="193">
        <f t="shared" si="21"/>
        <v>0</v>
      </c>
      <c r="M103" s="166"/>
      <c r="N103" s="166"/>
      <c r="O103" s="166"/>
      <c r="P103" s="166"/>
      <c r="Q103" s="166"/>
      <c r="R103" s="166"/>
      <c r="S103" s="166"/>
      <c r="T103" s="166"/>
      <c r="U103" s="34"/>
      <c r="V103" s="34"/>
      <c r="W103" s="34"/>
      <c r="X103" s="17"/>
      <c r="Y103" s="17"/>
    </row>
    <row r="104" spans="1:25" ht="30" x14ac:dyDescent="0.25">
      <c r="A104" s="124">
        <v>82</v>
      </c>
      <c r="B104" s="138" t="s">
        <v>455</v>
      </c>
      <c r="C104" s="144" t="s">
        <v>1061</v>
      </c>
      <c r="D104" s="168" t="s">
        <v>1172</v>
      </c>
      <c r="E104" s="142"/>
      <c r="F104" s="11"/>
      <c r="G104" s="11"/>
      <c r="H104" s="11"/>
      <c r="I104" s="11"/>
      <c r="J104" s="32"/>
      <c r="K104" s="45">
        <f>ROUND(2237.11/1000,4)</f>
        <v>2.2370999999999999</v>
      </c>
      <c r="L104" s="193">
        <f t="shared" si="21"/>
        <v>4136106</v>
      </c>
      <c r="M104" s="136">
        <f>'Đơn giá chi tiết'!J827</f>
        <v>346051</v>
      </c>
      <c r="N104" s="136"/>
      <c r="O104" s="136">
        <f>'Đơn giá chi tiết'!J834</f>
        <v>2189570</v>
      </c>
      <c r="P104" s="136">
        <f>'Đơn giá chi tiết'!J836</f>
        <v>1600485</v>
      </c>
      <c r="Q104" s="166">
        <f>ROUND(K104*M104,0)</f>
        <v>774151</v>
      </c>
      <c r="R104" s="166">
        <f>ROUND(K104*N104,0)</f>
        <v>0</v>
      </c>
      <c r="S104" s="166">
        <f>ROUND(K104*O104,0)</f>
        <v>4898287</v>
      </c>
      <c r="T104" s="166">
        <f>ROUND(K104*P104,0)</f>
        <v>3580445</v>
      </c>
      <c r="U104" s="34"/>
      <c r="V104" s="34"/>
      <c r="W104" s="34"/>
      <c r="X104" s="17" t="s">
        <v>82</v>
      </c>
      <c r="Y104" s="17" t="s">
        <v>321</v>
      </c>
    </row>
    <row r="105" spans="1:25" ht="30" x14ac:dyDescent="0.25">
      <c r="A105" s="124">
        <v>83</v>
      </c>
      <c r="B105" s="138" t="s">
        <v>455</v>
      </c>
      <c r="C105" s="144" t="s">
        <v>917</v>
      </c>
      <c r="D105" s="168" t="s">
        <v>1172</v>
      </c>
      <c r="E105" s="142"/>
      <c r="F105" s="11"/>
      <c r="G105" s="11"/>
      <c r="H105" s="11"/>
      <c r="I105" s="11"/>
      <c r="J105" s="32"/>
      <c r="K105" s="45">
        <f>ROUND(K104,4)</f>
        <v>2.2370999999999999</v>
      </c>
      <c r="L105" s="193">
        <f t="shared" si="21"/>
        <v>16347071</v>
      </c>
      <c r="M105" s="136">
        <f>'Đơn giá chi tiết'!J843</f>
        <v>16347071</v>
      </c>
      <c r="N105" s="136"/>
      <c r="O105" s="136"/>
      <c r="P105" s="136"/>
      <c r="Q105" s="166">
        <f>ROUND(K105*M105,0)</f>
        <v>36570033</v>
      </c>
      <c r="R105" s="166">
        <f>ROUND(K105*N105,0)</f>
        <v>0</v>
      </c>
      <c r="S105" s="166">
        <f>ROUND(K105*O105,0)</f>
        <v>0</v>
      </c>
      <c r="T105" s="166">
        <f>ROUND(K105*P105,0)</f>
        <v>0</v>
      </c>
      <c r="U105" s="34"/>
      <c r="V105" s="34"/>
      <c r="W105" s="34"/>
      <c r="X105" s="17" t="s">
        <v>82</v>
      </c>
      <c r="Y105" s="17" t="s">
        <v>321</v>
      </c>
    </row>
    <row r="106" spans="1:25" x14ac:dyDescent="0.25">
      <c r="A106" s="161"/>
      <c r="B106" s="133"/>
      <c r="C106" s="133" t="s">
        <v>689</v>
      </c>
      <c r="D106" s="161"/>
      <c r="E106" s="156"/>
      <c r="F106" s="27"/>
      <c r="G106" s="27"/>
      <c r="H106" s="27"/>
      <c r="I106" s="27"/>
      <c r="J106" s="45">
        <v>3.1581000000000001</v>
      </c>
      <c r="K106" s="45"/>
      <c r="L106" s="193">
        <f t="shared" si="21"/>
        <v>0</v>
      </c>
      <c r="M106" s="156"/>
      <c r="N106" s="156"/>
      <c r="O106" s="156"/>
      <c r="P106" s="156"/>
      <c r="Q106" s="156"/>
      <c r="R106" s="156"/>
      <c r="S106" s="156"/>
      <c r="T106" s="156"/>
      <c r="U106" s="20"/>
      <c r="V106" s="20"/>
      <c r="W106" s="20"/>
      <c r="X106" s="17"/>
      <c r="Y106" s="17"/>
    </row>
    <row r="107" spans="1:25" ht="30" x14ac:dyDescent="0.25">
      <c r="A107" s="124">
        <v>84</v>
      </c>
      <c r="B107" s="138" t="s">
        <v>701</v>
      </c>
      <c r="C107" s="144" t="s">
        <v>83</v>
      </c>
      <c r="D107" s="168" t="s">
        <v>227</v>
      </c>
      <c r="E107" s="142"/>
      <c r="F107" s="11"/>
      <c r="G107" s="11"/>
      <c r="H107" s="11"/>
      <c r="I107" s="11"/>
      <c r="J107" s="32"/>
      <c r="K107" s="45">
        <v>2</v>
      </c>
      <c r="L107" s="193">
        <f t="shared" si="21"/>
        <v>25437303</v>
      </c>
      <c r="M107" s="136">
        <f>'Đơn giá chi tiết'!J851</f>
        <v>0</v>
      </c>
      <c r="N107" s="136"/>
      <c r="O107" s="100">
        <f>'Đơn giá chi tiết'!J854</f>
        <v>1710166</v>
      </c>
      <c r="P107" s="100">
        <f>'Đơn giá chi tiết'!J856</f>
        <v>23727137</v>
      </c>
      <c r="Q107" s="166">
        <f>ROUND(K107*M107,0)</f>
        <v>0</v>
      </c>
      <c r="R107" s="166">
        <f>ROUND(K107*N107,0)</f>
        <v>0</v>
      </c>
      <c r="S107" s="166">
        <f>ROUND(K107*O107,0)</f>
        <v>3420332</v>
      </c>
      <c r="T107" s="166">
        <f>ROUND(K107*P107,0)</f>
        <v>47454274</v>
      </c>
      <c r="U107" s="34"/>
      <c r="V107" s="34"/>
      <c r="W107" s="34"/>
      <c r="X107" s="17" t="s">
        <v>82</v>
      </c>
      <c r="Y107" s="17" t="s">
        <v>321</v>
      </c>
    </row>
    <row r="108" spans="1:25" ht="28.5" x14ac:dyDescent="0.25">
      <c r="A108" s="168"/>
      <c r="B108" s="144"/>
      <c r="C108" s="130" t="s">
        <v>1135</v>
      </c>
      <c r="D108" s="168"/>
      <c r="E108" s="166"/>
      <c r="F108" s="37"/>
      <c r="G108" s="37"/>
      <c r="H108" s="37"/>
      <c r="I108" s="37"/>
      <c r="J108" s="60"/>
      <c r="K108" s="60"/>
      <c r="L108" s="193">
        <f t="shared" si="21"/>
        <v>0</v>
      </c>
      <c r="M108" s="166"/>
      <c r="N108" s="166"/>
      <c r="O108" s="166"/>
      <c r="P108" s="166"/>
      <c r="Q108" s="166"/>
      <c r="R108" s="166"/>
      <c r="S108" s="166"/>
      <c r="T108" s="166"/>
      <c r="U108" s="34"/>
      <c r="V108" s="34"/>
      <c r="W108" s="34"/>
      <c r="X108" s="17"/>
      <c r="Y108" s="17"/>
    </row>
    <row r="109" spans="1:25" ht="30" x14ac:dyDescent="0.25">
      <c r="A109" s="124">
        <v>85</v>
      </c>
      <c r="B109" s="138" t="s">
        <v>719</v>
      </c>
      <c r="C109" s="144" t="s">
        <v>886</v>
      </c>
      <c r="D109" s="168" t="s">
        <v>1172</v>
      </c>
      <c r="E109" s="142"/>
      <c r="F109" s="11"/>
      <c r="G109" s="11"/>
      <c r="H109" s="11"/>
      <c r="I109" s="11"/>
      <c r="J109" s="32"/>
      <c r="K109" s="45">
        <f>ROUND( 2526.2 /1000,4)</f>
        <v>2.5261999999999998</v>
      </c>
      <c r="L109" s="193">
        <f t="shared" si="21"/>
        <v>8206540</v>
      </c>
      <c r="M109" s="136">
        <f>'Đơn giá chi tiết'!J863</f>
        <v>766340</v>
      </c>
      <c r="N109" s="136"/>
      <c r="O109" s="136">
        <f>'Đơn giá chi tiết'!J870</f>
        <v>5211175</v>
      </c>
      <c r="P109" s="136">
        <f>'Đơn giá chi tiết'!J872</f>
        <v>2229025</v>
      </c>
      <c r="Q109" s="166">
        <f>ROUND(K109*M109,0)</f>
        <v>1935928</v>
      </c>
      <c r="R109" s="166">
        <f>ROUND(K109*N109,0)</f>
        <v>0</v>
      </c>
      <c r="S109" s="166">
        <f>ROUND(K109*O109,0)</f>
        <v>13164470</v>
      </c>
      <c r="T109" s="166">
        <f>ROUND(K109*P109,0)</f>
        <v>5630963</v>
      </c>
      <c r="U109" s="34"/>
      <c r="V109" s="34"/>
      <c r="W109" s="34"/>
      <c r="X109" s="17" t="s">
        <v>82</v>
      </c>
      <c r="Y109" s="17" t="s">
        <v>321</v>
      </c>
    </row>
    <row r="110" spans="1:25" ht="30" x14ac:dyDescent="0.25">
      <c r="A110" s="63">
        <v>86</v>
      </c>
      <c r="B110" s="29" t="s">
        <v>30</v>
      </c>
      <c r="C110" s="80" t="s">
        <v>413</v>
      </c>
      <c r="D110" s="119" t="s">
        <v>1172</v>
      </c>
      <c r="E110" s="142"/>
      <c r="F110" s="11"/>
      <c r="G110" s="11"/>
      <c r="H110" s="11"/>
      <c r="I110" s="11"/>
      <c r="J110" s="32"/>
      <c r="K110" s="45">
        <f>ROUND(SUM(J111:J111),4)</f>
        <v>0.93469999999999998</v>
      </c>
      <c r="L110" s="193">
        <f t="shared" si="21"/>
        <v>15985723</v>
      </c>
      <c r="M110" s="71">
        <f>'Đơn giá chi tiết'!J877</f>
        <v>15985723</v>
      </c>
      <c r="N110" s="71"/>
      <c r="O110" s="71"/>
      <c r="P110" s="71"/>
      <c r="Q110" s="166">
        <f>ROUND(K110*M110,0)</f>
        <v>14941855</v>
      </c>
      <c r="R110" s="166">
        <f>ROUND(K110*N110,0)</f>
        <v>0</v>
      </c>
      <c r="S110" s="166">
        <f>ROUND(K110*O110,0)</f>
        <v>0</v>
      </c>
      <c r="T110" s="166">
        <f>ROUND(K110*P110,0)</f>
        <v>0</v>
      </c>
      <c r="U110" s="152"/>
      <c r="V110" s="152"/>
      <c r="W110" s="152"/>
      <c r="X110" s="17"/>
      <c r="Y110" s="17"/>
    </row>
    <row r="111" spans="1:25" x14ac:dyDescent="0.25">
      <c r="A111" s="161"/>
      <c r="B111" s="133"/>
      <c r="C111" s="133" t="s">
        <v>20</v>
      </c>
      <c r="D111" s="161"/>
      <c r="E111" s="156"/>
      <c r="F111" s="27"/>
      <c r="G111" s="27"/>
      <c r="H111" s="27"/>
      <c r="I111" s="27"/>
      <c r="J111" s="45">
        <v>0.93469999999999998</v>
      </c>
      <c r="K111" s="45"/>
      <c r="L111" s="193">
        <f t="shared" si="21"/>
        <v>0</v>
      </c>
      <c r="M111" s="156"/>
      <c r="N111" s="156"/>
      <c r="O111" s="156"/>
      <c r="P111" s="156"/>
      <c r="Q111" s="156"/>
      <c r="R111" s="156"/>
      <c r="S111" s="156"/>
      <c r="T111" s="156"/>
      <c r="U111" s="20"/>
      <c r="V111" s="20"/>
      <c r="W111" s="20"/>
      <c r="X111" s="17"/>
      <c r="Y111" s="17"/>
    </row>
    <row r="112" spans="1:25" ht="30" x14ac:dyDescent="0.25">
      <c r="A112" s="124">
        <v>87</v>
      </c>
      <c r="B112" s="138" t="s">
        <v>954</v>
      </c>
      <c r="C112" s="144" t="s">
        <v>751</v>
      </c>
      <c r="D112" s="168" t="s">
        <v>1172</v>
      </c>
      <c r="E112" s="142"/>
      <c r="F112" s="11"/>
      <c r="G112" s="11"/>
      <c r="H112" s="11"/>
      <c r="I112" s="11"/>
      <c r="J112" s="32"/>
      <c r="K112" s="45">
        <f>ROUND(K109*5,4)</f>
        <v>12.631</v>
      </c>
      <c r="L112" s="193">
        <f t="shared" si="21"/>
        <v>4223923</v>
      </c>
      <c r="M112" s="136">
        <f>'Đơn giá chi tiết'!J885</f>
        <v>373772</v>
      </c>
      <c r="N112" s="136"/>
      <c r="O112" s="136">
        <f>'Đơn giá chi tiết'!J890</f>
        <v>2189570</v>
      </c>
      <c r="P112" s="136">
        <f>'Đơn giá chi tiết'!J892</f>
        <v>1660581</v>
      </c>
      <c r="Q112" s="166">
        <f>ROUND(K112*M112,0)</f>
        <v>4721114</v>
      </c>
      <c r="R112" s="166">
        <f>ROUND(K112*N112,0)</f>
        <v>0</v>
      </c>
      <c r="S112" s="166">
        <f>ROUND(K112*O112,0)</f>
        <v>27656459</v>
      </c>
      <c r="T112" s="166">
        <f>ROUND(K112*P112,0)</f>
        <v>20974799</v>
      </c>
      <c r="U112" s="34"/>
      <c r="V112" s="34"/>
      <c r="W112" s="34"/>
      <c r="X112" s="17" t="s">
        <v>82</v>
      </c>
      <c r="Y112" s="17" t="s">
        <v>321</v>
      </c>
    </row>
    <row r="113" spans="1:25" ht="30" x14ac:dyDescent="0.25">
      <c r="A113" s="124">
        <v>88</v>
      </c>
      <c r="B113" s="138" t="s">
        <v>954</v>
      </c>
      <c r="C113" s="153" t="s">
        <v>264</v>
      </c>
      <c r="D113" s="168" t="s">
        <v>1172</v>
      </c>
      <c r="E113" s="142"/>
      <c r="F113" s="11"/>
      <c r="G113" s="11"/>
      <c r="H113" s="11"/>
      <c r="I113" s="11"/>
      <c r="J113" s="32"/>
      <c r="K113" s="45">
        <f>ROUND(K112,4)</f>
        <v>12.631</v>
      </c>
      <c r="L113" s="193">
        <f t="shared" si="21"/>
        <v>2534353</v>
      </c>
      <c r="M113" s="136">
        <f>'Đơn giá chi tiết'!J896</f>
        <v>224263</v>
      </c>
      <c r="N113" s="136"/>
      <c r="O113" s="136">
        <f>'Đơn giá chi tiết'!J901</f>
        <v>1313742</v>
      </c>
      <c r="P113" s="136">
        <f>'Đơn giá chi tiết'!J903</f>
        <v>996348</v>
      </c>
      <c r="Q113" s="166">
        <f>ROUND(K113*M113,0)</f>
        <v>2832666</v>
      </c>
      <c r="R113" s="166">
        <f>ROUND(K113*N113,0)</f>
        <v>0</v>
      </c>
      <c r="S113" s="166">
        <f>ROUND(K113*O113,0)</f>
        <v>16593875</v>
      </c>
      <c r="T113" s="166">
        <f>ROUND(K113*P113,0)</f>
        <v>12584872</v>
      </c>
      <c r="U113" s="34"/>
      <c r="V113" s="34"/>
      <c r="W113" s="34"/>
      <c r="X113" s="17" t="s">
        <v>82</v>
      </c>
      <c r="Y113" s="17" t="s">
        <v>321</v>
      </c>
    </row>
    <row r="114" spans="1:25" ht="30" x14ac:dyDescent="0.25">
      <c r="A114" s="124">
        <v>89</v>
      </c>
      <c r="B114" s="138" t="s">
        <v>203</v>
      </c>
      <c r="C114" s="144" t="s">
        <v>220</v>
      </c>
      <c r="D114" s="168" t="s">
        <v>227</v>
      </c>
      <c r="E114" s="142"/>
      <c r="F114" s="11"/>
      <c r="G114" s="11"/>
      <c r="H114" s="11"/>
      <c r="I114" s="11"/>
      <c r="J114" s="32"/>
      <c r="K114" s="45">
        <f>ROUND(0.38*5,4)</f>
        <v>1.9</v>
      </c>
      <c r="L114" s="193">
        <f t="shared" si="21"/>
        <v>7090793</v>
      </c>
      <c r="M114" s="136">
        <f>'Đơn giá chi tiết'!J907</f>
        <v>0</v>
      </c>
      <c r="N114" s="136"/>
      <c r="O114" s="136">
        <f>'Đơn giá chi tiết'!J910</f>
        <v>1737120</v>
      </c>
      <c r="P114" s="136">
        <f>'Đơn giá chi tiết'!J912</f>
        <v>5353673</v>
      </c>
      <c r="Q114" s="166">
        <f>ROUND(K114*M114,0)</f>
        <v>0</v>
      </c>
      <c r="R114" s="166">
        <f>ROUND(K114*N114,0)</f>
        <v>0</v>
      </c>
      <c r="S114" s="166">
        <f>ROUND(K114*O114,0)</f>
        <v>3300528</v>
      </c>
      <c r="T114" s="166">
        <f>ROUND(K114*P114,0)</f>
        <v>10171979</v>
      </c>
      <c r="U114" s="34"/>
      <c r="V114" s="34"/>
      <c r="W114" s="34"/>
      <c r="X114" s="17" t="s">
        <v>82</v>
      </c>
      <c r="Y114" s="17" t="s">
        <v>321</v>
      </c>
    </row>
    <row r="115" spans="1:25" ht="45" x14ac:dyDescent="0.25">
      <c r="A115" s="124">
        <v>90</v>
      </c>
      <c r="B115" s="138" t="s">
        <v>203</v>
      </c>
      <c r="C115" s="144" t="s">
        <v>107</v>
      </c>
      <c r="D115" s="168" t="s">
        <v>227</v>
      </c>
      <c r="E115" s="142"/>
      <c r="F115" s="11"/>
      <c r="G115" s="11"/>
      <c r="H115" s="11"/>
      <c r="I115" s="11"/>
      <c r="J115" s="32"/>
      <c r="K115" s="45">
        <f>ROUND(0.18*5,4)</f>
        <v>0.9</v>
      </c>
      <c r="L115" s="193">
        <f t="shared" si="21"/>
        <v>5511970</v>
      </c>
      <c r="M115" s="136">
        <f>'Đơn giá chi tiết'!J916</f>
        <v>0</v>
      </c>
      <c r="N115" s="136"/>
      <c r="O115" s="136">
        <f>'Đơn giá chi tiết'!J919</f>
        <v>1496715</v>
      </c>
      <c r="P115" s="136">
        <f>'Đơn giá chi tiết'!J921</f>
        <v>4015255</v>
      </c>
      <c r="Q115" s="166">
        <f>ROUND(K115*M115,0)</f>
        <v>0</v>
      </c>
      <c r="R115" s="166">
        <f>ROUND(K115*N115,0)</f>
        <v>0</v>
      </c>
      <c r="S115" s="166">
        <f>ROUND(K115*O115,0)</f>
        <v>1347044</v>
      </c>
      <c r="T115" s="166">
        <f>ROUND(K115*P115,0)</f>
        <v>3613730</v>
      </c>
      <c r="U115" s="34"/>
      <c r="V115" s="34"/>
      <c r="W115" s="34"/>
      <c r="X115" s="17" t="s">
        <v>82</v>
      </c>
      <c r="Y115" s="17" t="s">
        <v>321</v>
      </c>
    </row>
    <row r="116" spans="1:25" ht="30" x14ac:dyDescent="0.25">
      <c r="A116" s="63">
        <v>91</v>
      </c>
      <c r="B116" s="29" t="s">
        <v>30</v>
      </c>
      <c r="C116" s="80" t="s">
        <v>717</v>
      </c>
      <c r="D116" s="119" t="s">
        <v>227</v>
      </c>
      <c r="E116" s="142"/>
      <c r="F116" s="11"/>
      <c r="G116" s="11"/>
      <c r="H116" s="11"/>
      <c r="I116" s="11"/>
      <c r="J116" s="32"/>
      <c r="K116" s="45">
        <f>ROUND(SUM(J117:J117),4)</f>
        <v>0.1046</v>
      </c>
      <c r="L116" s="193">
        <f t="shared" si="21"/>
        <v>184830000</v>
      </c>
      <c r="M116" s="71">
        <f>'Đơn giá chi tiết'!J925</f>
        <v>184830000</v>
      </c>
      <c r="N116" s="71"/>
      <c r="O116" s="71"/>
      <c r="P116" s="71"/>
      <c r="Q116" s="166">
        <f>ROUND(K116*M116,0)</f>
        <v>19333218</v>
      </c>
      <c r="R116" s="166">
        <f>ROUND(K116*N116,0)</f>
        <v>0</v>
      </c>
      <c r="S116" s="166">
        <f>ROUND(K116*O116,0)</f>
        <v>0</v>
      </c>
      <c r="T116" s="166">
        <f>ROUND(K116*P116,0)</f>
        <v>0</v>
      </c>
      <c r="U116" s="152"/>
      <c r="V116" s="152"/>
      <c r="W116" s="152"/>
      <c r="X116" s="17"/>
      <c r="Y116" s="17"/>
    </row>
    <row r="117" spans="1:25" x14ac:dyDescent="0.25">
      <c r="A117" s="161"/>
      <c r="B117" s="133"/>
      <c r="C117" s="133" t="s">
        <v>97</v>
      </c>
      <c r="D117" s="161"/>
      <c r="E117" s="156"/>
      <c r="F117" s="27"/>
      <c r="G117" s="27"/>
      <c r="H117" s="27"/>
      <c r="I117" s="27"/>
      <c r="J117" s="60">
        <v>0.1046</v>
      </c>
      <c r="K117" s="45"/>
      <c r="L117" s="193">
        <f t="shared" si="21"/>
        <v>0</v>
      </c>
      <c r="M117" s="156"/>
      <c r="N117" s="156"/>
      <c r="O117" s="156"/>
      <c r="P117" s="156"/>
      <c r="Q117" s="166"/>
      <c r="R117" s="166"/>
      <c r="S117" s="166"/>
      <c r="T117" s="166"/>
      <c r="U117" s="20"/>
      <c r="V117" s="20"/>
      <c r="W117" s="20"/>
      <c r="X117" s="17"/>
      <c r="Y117" s="17"/>
    </row>
    <row r="118" spans="1:25" ht="30" x14ac:dyDescent="0.25">
      <c r="A118" s="124">
        <v>92</v>
      </c>
      <c r="B118" s="138" t="s">
        <v>157</v>
      </c>
      <c r="C118" s="144" t="s">
        <v>306</v>
      </c>
      <c r="D118" s="168" t="s">
        <v>227</v>
      </c>
      <c r="E118" s="142"/>
      <c r="F118" s="11"/>
      <c r="G118" s="11"/>
      <c r="H118" s="11"/>
      <c r="I118" s="11"/>
      <c r="J118" s="32"/>
      <c r="K118" s="45">
        <f>ROUND(K114+K115,4)</f>
        <v>2.8</v>
      </c>
      <c r="L118" s="193">
        <f t="shared" si="21"/>
        <v>4540122</v>
      </c>
      <c r="M118" s="136"/>
      <c r="N118" s="136"/>
      <c r="O118" s="136">
        <f>'Đơn giá chi tiết'!J929</f>
        <v>687610</v>
      </c>
      <c r="P118" s="136">
        <f>'Đơn giá chi tiết'!J931</f>
        <v>3852512</v>
      </c>
      <c r="Q118" s="166">
        <f>ROUND(K118*M118,0)</f>
        <v>0</v>
      </c>
      <c r="R118" s="166">
        <f>ROUND(K118*N118,0)</f>
        <v>0</v>
      </c>
      <c r="S118" s="166">
        <f>ROUND(K118*O118,0)</f>
        <v>1925308</v>
      </c>
      <c r="T118" s="166">
        <f>ROUND(K118*P118,0)</f>
        <v>10787034</v>
      </c>
      <c r="U118" s="34"/>
      <c r="V118" s="34"/>
      <c r="W118" s="34"/>
      <c r="X118" s="17" t="s">
        <v>82</v>
      </c>
      <c r="Y118" s="17" t="s">
        <v>321</v>
      </c>
    </row>
    <row r="119" spans="1:25" x14ac:dyDescent="0.25">
      <c r="A119" s="168"/>
      <c r="B119" s="144"/>
      <c r="C119" s="130" t="s">
        <v>42</v>
      </c>
      <c r="D119" s="168"/>
      <c r="E119" s="166"/>
      <c r="F119" s="37"/>
      <c r="G119" s="37"/>
      <c r="H119" s="37"/>
      <c r="I119" s="37"/>
      <c r="J119" s="60"/>
      <c r="K119" s="60"/>
      <c r="L119" s="193">
        <f t="shared" si="21"/>
        <v>0</v>
      </c>
      <c r="M119" s="166"/>
      <c r="N119" s="166"/>
      <c r="O119" s="166"/>
      <c r="P119" s="166"/>
      <c r="Q119" s="166"/>
      <c r="R119" s="166"/>
      <c r="S119" s="166"/>
      <c r="T119" s="166"/>
      <c r="U119" s="34"/>
      <c r="V119" s="34"/>
      <c r="W119" s="34"/>
      <c r="X119" s="17"/>
      <c r="Y119" s="17"/>
    </row>
    <row r="120" spans="1:25" ht="30" x14ac:dyDescent="0.25">
      <c r="A120" s="124">
        <v>93</v>
      </c>
      <c r="B120" s="138" t="s">
        <v>719</v>
      </c>
      <c r="C120" s="144" t="s">
        <v>886</v>
      </c>
      <c r="D120" s="168" t="s">
        <v>1172</v>
      </c>
      <c r="E120" s="142"/>
      <c r="F120" s="11"/>
      <c r="G120" s="11"/>
      <c r="H120" s="11"/>
      <c r="I120" s="11"/>
      <c r="J120" s="32"/>
      <c r="K120" s="45">
        <f>ROUND(5205.45/1000,4)</f>
        <v>5.2054999999999998</v>
      </c>
      <c r="L120" s="193">
        <f t="shared" si="21"/>
        <v>8206540</v>
      </c>
      <c r="M120" s="136">
        <f>'Đơn giá chi tiết'!J935</f>
        <v>766340</v>
      </c>
      <c r="N120" s="136"/>
      <c r="O120" s="136">
        <f>'Đơn giá chi tiết'!J942</f>
        <v>5211175</v>
      </c>
      <c r="P120" s="136">
        <f>'Đơn giá chi tiết'!J944</f>
        <v>2229025</v>
      </c>
      <c r="Q120" s="166">
        <f>ROUND(K120*M120,0)</f>
        <v>3989183</v>
      </c>
      <c r="R120" s="166">
        <f>ROUND(K120*N120,0)</f>
        <v>0</v>
      </c>
      <c r="S120" s="166">
        <f>ROUND(K120*O120,0)</f>
        <v>27126771</v>
      </c>
      <c r="T120" s="166">
        <f>ROUND(K120*P120,0)</f>
        <v>11603190</v>
      </c>
      <c r="U120" s="34"/>
      <c r="V120" s="34"/>
      <c r="W120" s="34"/>
      <c r="X120" s="17" t="s">
        <v>82</v>
      </c>
      <c r="Y120" s="17" t="s">
        <v>321</v>
      </c>
    </row>
    <row r="121" spans="1:25" ht="30" x14ac:dyDescent="0.25">
      <c r="A121" s="63">
        <v>94</v>
      </c>
      <c r="B121" s="29" t="s">
        <v>30</v>
      </c>
      <c r="C121" s="80" t="s">
        <v>118</v>
      </c>
      <c r="D121" s="119" t="s">
        <v>1172</v>
      </c>
      <c r="E121" s="142"/>
      <c r="F121" s="11"/>
      <c r="G121" s="11"/>
      <c r="H121" s="11"/>
      <c r="I121" s="11"/>
      <c r="J121" s="32"/>
      <c r="K121" s="45">
        <f>ROUND(SUM(J122:J122),4)</f>
        <v>1.5608</v>
      </c>
      <c r="L121" s="193">
        <f t="shared" si="21"/>
        <v>15985723</v>
      </c>
      <c r="M121" s="71">
        <f>'Đơn giá chi tiết'!J949</f>
        <v>15985723</v>
      </c>
      <c r="N121" s="71"/>
      <c r="O121" s="71"/>
      <c r="P121" s="71"/>
      <c r="Q121" s="166">
        <f>ROUND(K121*M121,0)</f>
        <v>24950516</v>
      </c>
      <c r="R121" s="166">
        <f>ROUND(K121*N121,0)</f>
        <v>0</v>
      </c>
      <c r="S121" s="166">
        <f>ROUND(K121*O121,0)</f>
        <v>0</v>
      </c>
      <c r="T121" s="166">
        <f>ROUND(K121*P121,0)</f>
        <v>0</v>
      </c>
      <c r="U121" s="152"/>
      <c r="V121" s="152"/>
      <c r="W121" s="152"/>
      <c r="X121" s="17"/>
      <c r="Y121" s="17"/>
    </row>
    <row r="122" spans="1:25" x14ac:dyDescent="0.25">
      <c r="A122" s="161"/>
      <c r="B122" s="133"/>
      <c r="C122" s="133" t="s">
        <v>1098</v>
      </c>
      <c r="D122" s="161"/>
      <c r="E122" s="156"/>
      <c r="F122" s="27"/>
      <c r="G122" s="27"/>
      <c r="H122" s="27"/>
      <c r="I122" s="27"/>
      <c r="J122" s="60">
        <v>1.5608</v>
      </c>
      <c r="K122" s="45"/>
      <c r="L122" s="193">
        <f t="shared" si="21"/>
        <v>0</v>
      </c>
      <c r="M122" s="156"/>
      <c r="N122" s="156"/>
      <c r="O122" s="156"/>
      <c r="P122" s="156"/>
      <c r="Q122" s="166"/>
      <c r="R122" s="166"/>
      <c r="S122" s="166"/>
      <c r="T122" s="166"/>
      <c r="U122" s="20"/>
      <c r="V122" s="20"/>
      <c r="W122" s="20"/>
      <c r="X122" s="17"/>
      <c r="Y122" s="17"/>
    </row>
    <row r="123" spans="1:25" ht="30" x14ac:dyDescent="0.25">
      <c r="A123" s="124">
        <v>95</v>
      </c>
      <c r="B123" s="138" t="s">
        <v>954</v>
      </c>
      <c r="C123" s="144" t="s">
        <v>751</v>
      </c>
      <c r="D123" s="168" t="s">
        <v>1172</v>
      </c>
      <c r="E123" s="142"/>
      <c r="F123" s="11"/>
      <c r="G123" s="11"/>
      <c r="H123" s="11"/>
      <c r="I123" s="11"/>
      <c r="J123" s="32"/>
      <c r="K123" s="45">
        <f>ROUND(K120,4)</f>
        <v>5.2054999999999998</v>
      </c>
      <c r="L123" s="193">
        <f t="shared" si="21"/>
        <v>4223923</v>
      </c>
      <c r="M123" s="136">
        <f>'Đơn giá chi tiết'!J957</f>
        <v>373772</v>
      </c>
      <c r="N123" s="136"/>
      <c r="O123" s="136">
        <f>'Đơn giá chi tiết'!J962</f>
        <v>2189570</v>
      </c>
      <c r="P123" s="136">
        <f>'Đơn giá chi tiết'!J964</f>
        <v>1660581</v>
      </c>
      <c r="Q123" s="166">
        <f>ROUND(K123*M123,0)</f>
        <v>1945670</v>
      </c>
      <c r="R123" s="166">
        <f>ROUND(K123*N123,0)</f>
        <v>0</v>
      </c>
      <c r="S123" s="166">
        <f>ROUND(K123*O123,0)</f>
        <v>11397807</v>
      </c>
      <c r="T123" s="166">
        <f>ROUND(K123*P123,0)</f>
        <v>8644154</v>
      </c>
      <c r="U123" s="34"/>
      <c r="V123" s="34"/>
      <c r="W123" s="34"/>
      <c r="X123" s="17" t="s">
        <v>82</v>
      </c>
      <c r="Y123" s="17" t="s">
        <v>321</v>
      </c>
    </row>
    <row r="124" spans="1:25" ht="30" x14ac:dyDescent="0.25">
      <c r="A124" s="124">
        <v>96</v>
      </c>
      <c r="B124" s="138" t="s">
        <v>954</v>
      </c>
      <c r="C124" s="153" t="s">
        <v>264</v>
      </c>
      <c r="D124" s="168" t="s">
        <v>1172</v>
      </c>
      <c r="E124" s="142"/>
      <c r="F124" s="11"/>
      <c r="G124" s="11"/>
      <c r="H124" s="11"/>
      <c r="I124" s="11"/>
      <c r="J124" s="32"/>
      <c r="K124" s="45">
        <f>ROUND(K123,4)</f>
        <v>5.2054999999999998</v>
      </c>
      <c r="L124" s="193">
        <f t="shared" si="21"/>
        <v>2534353</v>
      </c>
      <c r="M124" s="136">
        <f>'Đơn giá chi tiết'!J968</f>
        <v>224263</v>
      </c>
      <c r="N124" s="136"/>
      <c r="O124" s="136">
        <f>'Đơn giá chi tiết'!J973</f>
        <v>1313742</v>
      </c>
      <c r="P124" s="136">
        <f>'Đơn giá chi tiết'!J975</f>
        <v>996348</v>
      </c>
      <c r="Q124" s="166">
        <f>ROUND(K124*M124,0)</f>
        <v>1167401</v>
      </c>
      <c r="R124" s="166">
        <f>ROUND(K124*N124,0)</f>
        <v>0</v>
      </c>
      <c r="S124" s="166">
        <f>ROUND(K124*O124,0)</f>
        <v>6838684</v>
      </c>
      <c r="T124" s="166">
        <f>ROUND(K124*P124,0)</f>
        <v>5186490</v>
      </c>
      <c r="U124" s="34"/>
      <c r="V124" s="34"/>
      <c r="W124" s="34"/>
      <c r="X124" s="17" t="s">
        <v>82</v>
      </c>
      <c r="Y124" s="17" t="s">
        <v>321</v>
      </c>
    </row>
    <row r="125" spans="1:25" ht="30" x14ac:dyDescent="0.25">
      <c r="A125" s="124">
        <v>97</v>
      </c>
      <c r="B125" s="138" t="s">
        <v>203</v>
      </c>
      <c r="C125" s="144" t="s">
        <v>220</v>
      </c>
      <c r="D125" s="168" t="s">
        <v>227</v>
      </c>
      <c r="E125" s="142"/>
      <c r="F125" s="11"/>
      <c r="G125" s="11"/>
      <c r="H125" s="11"/>
      <c r="I125" s="11"/>
      <c r="J125" s="32"/>
      <c r="K125" s="45">
        <v>0.34</v>
      </c>
      <c r="L125" s="193">
        <f t="shared" si="21"/>
        <v>7090793</v>
      </c>
      <c r="M125" s="136">
        <f>'Đơn giá chi tiết'!J979</f>
        <v>0</v>
      </c>
      <c r="N125" s="136"/>
      <c r="O125" s="136">
        <f>'Đơn giá chi tiết'!J982</f>
        <v>1737120</v>
      </c>
      <c r="P125" s="136">
        <f>'Đơn giá chi tiết'!J984</f>
        <v>5353673</v>
      </c>
      <c r="Q125" s="166">
        <f>ROUND(K125*M125,0)</f>
        <v>0</v>
      </c>
      <c r="R125" s="166">
        <f>ROUND(K125*N125,0)</f>
        <v>0</v>
      </c>
      <c r="S125" s="166">
        <f>ROUND(K125*O125,0)</f>
        <v>590621</v>
      </c>
      <c r="T125" s="166">
        <f>ROUND(K125*P125,0)</f>
        <v>1820249</v>
      </c>
      <c r="U125" s="34"/>
      <c r="V125" s="34"/>
      <c r="W125" s="34"/>
      <c r="X125" s="17" t="s">
        <v>82</v>
      </c>
      <c r="Y125" s="17" t="s">
        <v>321</v>
      </c>
    </row>
    <row r="126" spans="1:25" ht="45" x14ac:dyDescent="0.25">
      <c r="A126" s="124">
        <v>98</v>
      </c>
      <c r="B126" s="138" t="s">
        <v>203</v>
      </c>
      <c r="C126" s="144" t="s">
        <v>107</v>
      </c>
      <c r="D126" s="168" t="s">
        <v>227</v>
      </c>
      <c r="E126" s="142"/>
      <c r="F126" s="11"/>
      <c r="G126" s="11"/>
      <c r="H126" s="11"/>
      <c r="I126" s="11"/>
      <c r="J126" s="32"/>
      <c r="K126" s="45">
        <v>0.14000000000000001</v>
      </c>
      <c r="L126" s="193">
        <f t="shared" si="21"/>
        <v>5511970</v>
      </c>
      <c r="M126" s="136">
        <f>'Đơn giá chi tiết'!J988</f>
        <v>0</v>
      </c>
      <c r="N126" s="136"/>
      <c r="O126" s="136">
        <f>'Đơn giá chi tiết'!J991</f>
        <v>1496715</v>
      </c>
      <c r="P126" s="136">
        <f>'Đơn giá chi tiết'!J993</f>
        <v>4015255</v>
      </c>
      <c r="Q126" s="166">
        <f>ROUND(K126*M126,0)</f>
        <v>0</v>
      </c>
      <c r="R126" s="166">
        <f>ROUND(K126*N126,0)</f>
        <v>0</v>
      </c>
      <c r="S126" s="166">
        <f>ROUND(K126*O126,0)</f>
        <v>209540</v>
      </c>
      <c r="T126" s="166">
        <f>ROUND(K126*P126,0)</f>
        <v>562136</v>
      </c>
      <c r="U126" s="34"/>
      <c r="V126" s="34"/>
      <c r="W126" s="34"/>
      <c r="X126" s="17" t="s">
        <v>82</v>
      </c>
      <c r="Y126" s="17" t="s">
        <v>321</v>
      </c>
    </row>
    <row r="127" spans="1:25" ht="30" x14ac:dyDescent="0.25">
      <c r="A127" s="63">
        <v>99</v>
      </c>
      <c r="B127" s="29" t="s">
        <v>30</v>
      </c>
      <c r="C127" s="80" t="s">
        <v>717</v>
      </c>
      <c r="D127" s="119" t="s">
        <v>227</v>
      </c>
      <c r="E127" s="142"/>
      <c r="F127" s="11"/>
      <c r="G127" s="11"/>
      <c r="H127" s="11"/>
      <c r="I127" s="11"/>
      <c r="J127" s="32"/>
      <c r="K127" s="45">
        <f>ROUND(SUM(J128:J128),4)</f>
        <v>7.2800000000000004E-2</v>
      </c>
      <c r="L127" s="193">
        <f t="shared" si="21"/>
        <v>184830000</v>
      </c>
      <c r="M127" s="71">
        <f>'Đơn giá chi tiết'!J997</f>
        <v>184830000</v>
      </c>
      <c r="N127" s="71"/>
      <c r="O127" s="71"/>
      <c r="P127" s="71"/>
      <c r="Q127" s="166">
        <f>ROUND(K127*M127,0)</f>
        <v>13455624</v>
      </c>
      <c r="R127" s="166">
        <f>ROUND(K127*N127,0)</f>
        <v>0</v>
      </c>
      <c r="S127" s="166">
        <f>ROUND(K127*O127,0)</f>
        <v>0</v>
      </c>
      <c r="T127" s="166">
        <f>ROUND(K127*P127,0)</f>
        <v>0</v>
      </c>
      <c r="U127" s="152"/>
      <c r="V127" s="152"/>
      <c r="W127" s="152"/>
      <c r="X127" s="17"/>
      <c r="Y127" s="17"/>
    </row>
    <row r="128" spans="1:25" x14ac:dyDescent="0.25">
      <c r="A128" s="161"/>
      <c r="B128" s="133"/>
      <c r="C128" s="133" t="s">
        <v>1054</v>
      </c>
      <c r="D128" s="161"/>
      <c r="E128" s="156"/>
      <c r="F128" s="27"/>
      <c r="G128" s="27"/>
      <c r="H128" s="27"/>
      <c r="I128" s="27"/>
      <c r="J128" s="60">
        <v>7.2800000000000004E-2</v>
      </c>
      <c r="K128" s="45"/>
      <c r="L128" s="193">
        <f t="shared" si="21"/>
        <v>0</v>
      </c>
      <c r="M128" s="156"/>
      <c r="N128" s="156"/>
      <c r="O128" s="156"/>
      <c r="P128" s="156"/>
      <c r="Q128" s="166"/>
      <c r="R128" s="166"/>
      <c r="S128" s="166"/>
      <c r="T128" s="166"/>
      <c r="U128" s="20"/>
      <c r="V128" s="20"/>
      <c r="W128" s="20"/>
      <c r="X128" s="17"/>
      <c r="Y128" s="17"/>
    </row>
    <row r="129" spans="1:25" ht="30" x14ac:dyDescent="0.25">
      <c r="A129" s="124">
        <v>100</v>
      </c>
      <c r="B129" s="138" t="s">
        <v>157</v>
      </c>
      <c r="C129" s="144" t="s">
        <v>306</v>
      </c>
      <c r="D129" s="168" t="s">
        <v>227</v>
      </c>
      <c r="E129" s="142"/>
      <c r="F129" s="11"/>
      <c r="G129" s="11"/>
      <c r="H129" s="11"/>
      <c r="I129" s="11"/>
      <c r="J129" s="32"/>
      <c r="K129" s="45">
        <f>ROUND(K125+K126,4)</f>
        <v>0.48</v>
      </c>
      <c r="L129" s="193">
        <f t="shared" si="21"/>
        <v>4540122</v>
      </c>
      <c r="M129" s="136"/>
      <c r="N129" s="136"/>
      <c r="O129" s="136">
        <f>'Đơn giá chi tiết'!J1001</f>
        <v>687610</v>
      </c>
      <c r="P129" s="136">
        <f>'Đơn giá chi tiết'!J1003</f>
        <v>3852512</v>
      </c>
      <c r="Q129" s="166">
        <f>ROUND(K129*M129,0)</f>
        <v>0</v>
      </c>
      <c r="R129" s="166">
        <f>ROUND(K129*N129,0)</f>
        <v>0</v>
      </c>
      <c r="S129" s="166">
        <f>ROUND(K129*O129,0)</f>
        <v>330053</v>
      </c>
      <c r="T129" s="166">
        <f>ROUND(K129*P129,0)</f>
        <v>1849206</v>
      </c>
      <c r="U129" s="34"/>
      <c r="V129" s="34"/>
      <c r="W129" s="34"/>
      <c r="X129" s="17" t="s">
        <v>82</v>
      </c>
      <c r="Y129" s="17" t="s">
        <v>321</v>
      </c>
    </row>
    <row r="130" spans="1:25" x14ac:dyDescent="0.25">
      <c r="A130" s="168"/>
      <c r="B130" s="144"/>
      <c r="C130" s="130" t="s">
        <v>270</v>
      </c>
      <c r="D130" s="168"/>
      <c r="E130" s="166"/>
      <c r="F130" s="37"/>
      <c r="G130" s="37"/>
      <c r="H130" s="37"/>
      <c r="I130" s="37"/>
      <c r="J130" s="60"/>
      <c r="K130" s="60"/>
      <c r="L130" s="193">
        <f t="shared" si="21"/>
        <v>0</v>
      </c>
      <c r="M130" s="166"/>
      <c r="N130" s="166"/>
      <c r="O130" s="166"/>
      <c r="P130" s="166"/>
      <c r="Q130" s="166"/>
      <c r="R130" s="166"/>
      <c r="S130" s="166"/>
      <c r="T130" s="166"/>
      <c r="U130" s="34"/>
      <c r="V130" s="34"/>
      <c r="W130" s="34"/>
      <c r="X130" s="17"/>
      <c r="Y130" s="17"/>
    </row>
    <row r="131" spans="1:25" ht="30" x14ac:dyDescent="0.25">
      <c r="A131" s="124">
        <v>101</v>
      </c>
      <c r="B131" s="138" t="s">
        <v>73</v>
      </c>
      <c r="C131" s="144" t="s">
        <v>556</v>
      </c>
      <c r="D131" s="168" t="s">
        <v>227</v>
      </c>
      <c r="E131" s="142"/>
      <c r="F131" s="11"/>
      <c r="G131" s="11"/>
      <c r="H131" s="11"/>
      <c r="I131" s="11"/>
      <c r="J131" s="32"/>
      <c r="K131" s="45">
        <f>ROUND((2335.5+54)/100,4)</f>
        <v>23.895</v>
      </c>
      <c r="L131" s="193">
        <f t="shared" si="21"/>
        <v>15622804</v>
      </c>
      <c r="M131" s="136">
        <f>'Đơn giá chi tiết'!J1007</f>
        <v>0</v>
      </c>
      <c r="N131" s="136"/>
      <c r="O131" s="136">
        <f>'Đơn giá chi tiết'!J1010</f>
        <v>3153700</v>
      </c>
      <c r="P131" s="136">
        <f>'Đơn giá chi tiết'!J1012</f>
        <v>12469104</v>
      </c>
      <c r="Q131" s="166">
        <f>ROUND(K131*M131,0)</f>
        <v>0</v>
      </c>
      <c r="R131" s="166">
        <f>ROUND(K131*N131,0)</f>
        <v>0</v>
      </c>
      <c r="S131" s="166">
        <f>ROUND(K131*O131,0)</f>
        <v>75357662</v>
      </c>
      <c r="T131" s="166">
        <f>ROUND(K131*P131,0)</f>
        <v>297949240</v>
      </c>
      <c r="U131" s="34"/>
      <c r="V131" s="34"/>
      <c r="W131" s="34"/>
      <c r="X131" s="17" t="s">
        <v>82</v>
      </c>
      <c r="Y131" s="17" t="s">
        <v>321</v>
      </c>
    </row>
    <row r="132" spans="1:25" ht="45" x14ac:dyDescent="0.25">
      <c r="A132" s="124">
        <v>102</v>
      </c>
      <c r="B132" s="138" t="s">
        <v>73</v>
      </c>
      <c r="C132" s="144" t="s">
        <v>332</v>
      </c>
      <c r="D132" s="168" t="s">
        <v>227</v>
      </c>
      <c r="E132" s="142"/>
      <c r="F132" s="11"/>
      <c r="G132" s="11"/>
      <c r="H132" s="11"/>
      <c r="I132" s="11"/>
      <c r="J132" s="32"/>
      <c r="K132" s="59">
        <f>ROUND((778.5+18 ) /100,4)</f>
        <v>7.9649999999999999</v>
      </c>
      <c r="L132" s="193">
        <f t="shared" si="21"/>
        <v>11717102</v>
      </c>
      <c r="M132" s="136">
        <f>'Đơn giá chi tiết'!J1016</f>
        <v>0</v>
      </c>
      <c r="N132" s="136"/>
      <c r="O132" s="136">
        <f>'Đơn giá chi tiết'!J1019</f>
        <v>2365275</v>
      </c>
      <c r="P132" s="136">
        <f>'Đơn giá chi tiết'!J1021</f>
        <v>9351827</v>
      </c>
      <c r="Q132" s="166">
        <f>ROUND(K132*M132,0)</f>
        <v>0</v>
      </c>
      <c r="R132" s="166">
        <f>ROUND(K132*N132,0)</f>
        <v>0</v>
      </c>
      <c r="S132" s="166">
        <f>ROUND(K132*O132,0)</f>
        <v>18839415</v>
      </c>
      <c r="T132" s="166">
        <f>ROUND(K132*P132,0)</f>
        <v>74487302</v>
      </c>
      <c r="U132" s="34"/>
      <c r="V132" s="34"/>
      <c r="W132" s="34"/>
      <c r="X132" s="17" t="s">
        <v>82</v>
      </c>
      <c r="Y132" s="17" t="s">
        <v>321</v>
      </c>
    </row>
    <row r="133" spans="1:25" ht="30" x14ac:dyDescent="0.25">
      <c r="A133" s="63">
        <v>103</v>
      </c>
      <c r="B133" s="29" t="s">
        <v>30</v>
      </c>
      <c r="C133" s="80" t="s">
        <v>427</v>
      </c>
      <c r="D133" s="119" t="s">
        <v>227</v>
      </c>
      <c r="E133" s="142"/>
      <c r="F133" s="11"/>
      <c r="G133" s="11"/>
      <c r="H133" s="11"/>
      <c r="I133" s="11"/>
      <c r="J133" s="32"/>
      <c r="K133" s="59">
        <f>ROUND(SUM(J134:J134),4)</f>
        <v>2.2334000000000001</v>
      </c>
      <c r="L133" s="193">
        <f t="shared" si="21"/>
        <v>116794367</v>
      </c>
      <c r="M133" s="71">
        <f>'Đơn giá chi tiết'!J1025</f>
        <v>116794367</v>
      </c>
      <c r="N133" s="71"/>
      <c r="O133" s="71"/>
      <c r="P133" s="71"/>
      <c r="Q133" s="166">
        <f>ROUND(K133*M133,0)</f>
        <v>260848539</v>
      </c>
      <c r="R133" s="166">
        <f>ROUND(K133*N133,0)</f>
        <v>0</v>
      </c>
      <c r="S133" s="166">
        <f>ROUND(K133*O133,0)</f>
        <v>0</v>
      </c>
      <c r="T133" s="166">
        <f>ROUND(K133*P133,0)</f>
        <v>0</v>
      </c>
      <c r="U133" s="152"/>
      <c r="V133" s="152"/>
      <c r="W133" s="152"/>
      <c r="X133" s="17"/>
      <c r="Y133" s="17"/>
    </row>
    <row r="134" spans="1:25" x14ac:dyDescent="0.25">
      <c r="A134" s="161"/>
      <c r="B134" s="133"/>
      <c r="C134" s="133" t="s">
        <v>959</v>
      </c>
      <c r="D134" s="161"/>
      <c r="E134" s="156"/>
      <c r="F134" s="27"/>
      <c r="G134" s="27"/>
      <c r="H134" s="27"/>
      <c r="I134" s="27"/>
      <c r="J134" s="45">
        <v>2.2334000000000001</v>
      </c>
      <c r="K134" s="45"/>
      <c r="L134" s="193">
        <f t="shared" si="21"/>
        <v>0</v>
      </c>
      <c r="M134" s="156"/>
      <c r="N134" s="156"/>
      <c r="O134" s="156"/>
      <c r="P134" s="156"/>
      <c r="Q134" s="156"/>
      <c r="R134" s="156"/>
      <c r="S134" s="156"/>
      <c r="T134" s="156"/>
      <c r="U134" s="20"/>
      <c r="V134" s="20"/>
      <c r="W134" s="20"/>
      <c r="X134" s="17"/>
      <c r="Y134" s="17"/>
    </row>
    <row r="135" spans="1:25" ht="30" x14ac:dyDescent="0.25">
      <c r="A135" s="124">
        <v>104</v>
      </c>
      <c r="B135" s="52" t="s">
        <v>619</v>
      </c>
      <c r="C135" s="144" t="s">
        <v>813</v>
      </c>
      <c r="D135" s="168" t="s">
        <v>227</v>
      </c>
      <c r="E135" s="142"/>
      <c r="F135" s="11"/>
      <c r="G135" s="11"/>
      <c r="H135" s="11"/>
      <c r="I135" s="11"/>
      <c r="J135" s="32"/>
      <c r="K135" s="45">
        <f>ROUND(K131+K132,4)</f>
        <v>31.86</v>
      </c>
      <c r="L135" s="193">
        <f t="shared" si="21"/>
        <v>11232495</v>
      </c>
      <c r="M135" s="136"/>
      <c r="N135" s="136"/>
      <c r="O135" s="136">
        <f>'Đơn giá chi tiết'!J1029</f>
        <v>1848275</v>
      </c>
      <c r="P135" s="136">
        <f>'Đơn giá chi tiết'!J1031</f>
        <v>9384220</v>
      </c>
      <c r="Q135" s="166">
        <f>ROUND(K135*M135,0)</f>
        <v>0</v>
      </c>
      <c r="R135" s="166">
        <f>ROUND(K135*N135,0)</f>
        <v>0</v>
      </c>
      <c r="S135" s="166">
        <f>ROUND(K135*O135,0)</f>
        <v>58886042</v>
      </c>
      <c r="T135" s="166">
        <f>ROUND(K135*P135,0)</f>
        <v>298981249</v>
      </c>
      <c r="U135" s="34"/>
      <c r="V135" s="34"/>
      <c r="W135" s="34"/>
      <c r="X135" s="17" t="s">
        <v>82</v>
      </c>
      <c r="Y135" s="17" t="s">
        <v>321</v>
      </c>
    </row>
    <row r="136" spans="1:25" ht="30" x14ac:dyDescent="0.25">
      <c r="A136" s="124">
        <v>105</v>
      </c>
      <c r="B136" s="138" t="s">
        <v>719</v>
      </c>
      <c r="C136" s="144" t="s">
        <v>886</v>
      </c>
      <c r="D136" s="168" t="s">
        <v>1172</v>
      </c>
      <c r="E136" s="142"/>
      <c r="F136" s="11"/>
      <c r="G136" s="11"/>
      <c r="H136" s="11"/>
      <c r="I136" s="11"/>
      <c r="J136" s="32"/>
      <c r="K136" s="59">
        <f>ROUND( 82426.37 /1000,4)</f>
        <v>82.426400000000001</v>
      </c>
      <c r="L136" s="193">
        <f t="shared" ref="L136:L199" si="30">SUM(M136:P136)</f>
        <v>8206540</v>
      </c>
      <c r="M136" s="136">
        <f>'Đơn giá chi tiết'!J1036</f>
        <v>766340</v>
      </c>
      <c r="N136" s="136"/>
      <c r="O136" s="136">
        <f>'Đơn giá chi tiết'!J1043</f>
        <v>5211175</v>
      </c>
      <c r="P136" s="136">
        <f>'Đơn giá chi tiết'!J1045</f>
        <v>2229025</v>
      </c>
      <c r="Q136" s="166">
        <f>ROUND(K136*M136,0)</f>
        <v>63166647</v>
      </c>
      <c r="R136" s="166">
        <f>ROUND(K136*N136,0)</f>
        <v>0</v>
      </c>
      <c r="S136" s="166">
        <f>ROUND(K136*O136,0)</f>
        <v>429538395</v>
      </c>
      <c r="T136" s="166">
        <f>ROUND(K136*P136,0)</f>
        <v>183730506</v>
      </c>
      <c r="U136" s="34"/>
      <c r="V136" s="34"/>
      <c r="W136" s="34"/>
      <c r="X136" s="17" t="s">
        <v>82</v>
      </c>
      <c r="Y136" s="17" t="s">
        <v>321</v>
      </c>
    </row>
    <row r="137" spans="1:25" ht="30" x14ac:dyDescent="0.25">
      <c r="A137" s="63">
        <v>106</v>
      </c>
      <c r="B137" s="29" t="s">
        <v>30</v>
      </c>
      <c r="C137" s="80" t="s">
        <v>476</v>
      </c>
      <c r="D137" s="119" t="s">
        <v>1172</v>
      </c>
      <c r="E137" s="142"/>
      <c r="F137" s="11"/>
      <c r="G137" s="11"/>
      <c r="H137" s="11"/>
      <c r="I137" s="11"/>
      <c r="J137" s="32"/>
      <c r="K137" s="45">
        <f>ROUND(SUM(J138:J138),4)</f>
        <v>10.715400000000001</v>
      </c>
      <c r="L137" s="193">
        <f t="shared" si="30"/>
        <v>15985723</v>
      </c>
      <c r="M137" s="71">
        <f>'Đơn giá chi tiết'!J1050</f>
        <v>15985723</v>
      </c>
      <c r="N137" s="71"/>
      <c r="O137" s="71"/>
      <c r="P137" s="71"/>
      <c r="Q137" s="166">
        <f>ROUND(K137*M137,0)</f>
        <v>171293416</v>
      </c>
      <c r="R137" s="166">
        <f>ROUND(K137*N137,0)</f>
        <v>0</v>
      </c>
      <c r="S137" s="166">
        <f>ROUND(K137*O137,0)</f>
        <v>0</v>
      </c>
      <c r="T137" s="166">
        <f>ROUND(K137*P137,0)</f>
        <v>0</v>
      </c>
      <c r="U137" s="152"/>
      <c r="V137" s="152"/>
      <c r="W137" s="152"/>
      <c r="X137" s="17"/>
      <c r="Y137" s="17"/>
    </row>
    <row r="138" spans="1:25" x14ac:dyDescent="0.25">
      <c r="A138" s="161"/>
      <c r="B138" s="133"/>
      <c r="C138" s="133" t="s">
        <v>1151</v>
      </c>
      <c r="D138" s="161"/>
      <c r="E138" s="156"/>
      <c r="F138" s="27"/>
      <c r="G138" s="27"/>
      <c r="H138" s="27"/>
      <c r="I138" s="27"/>
      <c r="J138" s="45">
        <v>10.715400000000001</v>
      </c>
      <c r="K138" s="45"/>
      <c r="L138" s="193">
        <f t="shared" si="30"/>
        <v>0</v>
      </c>
      <c r="M138" s="156"/>
      <c r="N138" s="156"/>
      <c r="O138" s="156"/>
      <c r="P138" s="156"/>
      <c r="Q138" s="156"/>
      <c r="R138" s="156"/>
      <c r="S138" s="156"/>
      <c r="T138" s="156"/>
      <c r="U138" s="20"/>
      <c r="V138" s="20"/>
      <c r="W138" s="20"/>
      <c r="X138" s="17"/>
      <c r="Y138" s="17"/>
    </row>
    <row r="139" spans="1:25" ht="30" x14ac:dyDescent="0.25">
      <c r="A139" s="124">
        <v>107</v>
      </c>
      <c r="B139" s="138" t="s">
        <v>954</v>
      </c>
      <c r="C139" s="144" t="s">
        <v>751</v>
      </c>
      <c r="D139" s="168" t="s">
        <v>1172</v>
      </c>
      <c r="E139" s="142"/>
      <c r="F139" s="11"/>
      <c r="G139" s="11"/>
      <c r="H139" s="11"/>
      <c r="I139" s="11"/>
      <c r="J139" s="32"/>
      <c r="K139" s="45">
        <f>ROUND(K136,4)</f>
        <v>82.426400000000001</v>
      </c>
      <c r="L139" s="193">
        <f t="shared" si="30"/>
        <v>4223923</v>
      </c>
      <c r="M139" s="136">
        <f>'Đơn giá chi tiết'!J1058</f>
        <v>373772</v>
      </c>
      <c r="N139" s="136"/>
      <c r="O139" s="136">
        <f>'Đơn giá chi tiết'!J1063</f>
        <v>2189570</v>
      </c>
      <c r="P139" s="136">
        <f>'Đơn giá chi tiết'!J1065</f>
        <v>1660581</v>
      </c>
      <c r="Q139" s="166">
        <f t="shared" ref="Q139:Q144" si="31">ROUND(K139*M139,0)</f>
        <v>30808680</v>
      </c>
      <c r="R139" s="166">
        <f t="shared" ref="R139:R144" si="32">ROUND(K139*N139,0)</f>
        <v>0</v>
      </c>
      <c r="S139" s="166">
        <f t="shared" ref="S139:S144" si="33">ROUND(K139*O139,0)</f>
        <v>180478373</v>
      </c>
      <c r="T139" s="166">
        <f t="shared" ref="T139:T144" si="34">ROUND(K139*P139,0)</f>
        <v>136875714</v>
      </c>
      <c r="U139" s="34"/>
      <c r="V139" s="34"/>
      <c r="W139" s="34"/>
      <c r="X139" s="17" t="s">
        <v>82</v>
      </c>
      <c r="Y139" s="17" t="s">
        <v>321</v>
      </c>
    </row>
    <row r="140" spans="1:25" ht="30" x14ac:dyDescent="0.25">
      <c r="A140" s="124">
        <v>108</v>
      </c>
      <c r="B140" s="138" t="s">
        <v>954</v>
      </c>
      <c r="C140" s="153" t="s">
        <v>264</v>
      </c>
      <c r="D140" s="168" t="s">
        <v>1172</v>
      </c>
      <c r="E140" s="142"/>
      <c r="F140" s="11"/>
      <c r="G140" s="11"/>
      <c r="H140" s="11"/>
      <c r="I140" s="11"/>
      <c r="J140" s="32"/>
      <c r="K140" s="45">
        <f>ROUND(K139,4)</f>
        <v>82.426400000000001</v>
      </c>
      <c r="L140" s="193">
        <f t="shared" si="30"/>
        <v>2534353</v>
      </c>
      <c r="M140" s="136">
        <f>'Đơn giá chi tiết'!J1069</f>
        <v>224263</v>
      </c>
      <c r="N140" s="136"/>
      <c r="O140" s="136">
        <f>'Đơn giá chi tiết'!J1074</f>
        <v>1313742</v>
      </c>
      <c r="P140" s="136">
        <f>'Đơn giá chi tiết'!J1076</f>
        <v>996348</v>
      </c>
      <c r="Q140" s="166">
        <f t="shared" si="31"/>
        <v>18485192</v>
      </c>
      <c r="R140" s="166">
        <f t="shared" si="32"/>
        <v>0</v>
      </c>
      <c r="S140" s="166">
        <f t="shared" si="33"/>
        <v>108287024</v>
      </c>
      <c r="T140" s="166">
        <f t="shared" si="34"/>
        <v>82125379</v>
      </c>
      <c r="U140" s="34"/>
      <c r="V140" s="34"/>
      <c r="W140" s="34"/>
      <c r="X140" s="17" t="s">
        <v>82</v>
      </c>
      <c r="Y140" s="17" t="s">
        <v>321</v>
      </c>
    </row>
    <row r="141" spans="1:25" x14ac:dyDescent="0.25">
      <c r="A141" s="63">
        <v>109</v>
      </c>
      <c r="B141" s="29" t="s">
        <v>30</v>
      </c>
      <c r="C141" s="80" t="s">
        <v>770</v>
      </c>
      <c r="D141" s="119" t="s">
        <v>75</v>
      </c>
      <c r="E141" s="142"/>
      <c r="F141" s="11"/>
      <c r="G141" s="11"/>
      <c r="H141" s="11"/>
      <c r="I141" s="11"/>
      <c r="J141" s="32"/>
      <c r="K141" s="45">
        <v>1952</v>
      </c>
      <c r="L141" s="193">
        <f t="shared" si="30"/>
        <v>21000</v>
      </c>
      <c r="M141" s="71">
        <f>'Đơn giá chi tiết'!J1080</f>
        <v>21000</v>
      </c>
      <c r="N141" s="71"/>
      <c r="O141" s="71"/>
      <c r="P141" s="71"/>
      <c r="Q141" s="166">
        <f t="shared" si="31"/>
        <v>40992000</v>
      </c>
      <c r="R141" s="166">
        <f t="shared" si="32"/>
        <v>0</v>
      </c>
      <c r="S141" s="166">
        <f t="shared" si="33"/>
        <v>0</v>
      </c>
      <c r="T141" s="166">
        <f t="shared" si="34"/>
        <v>0</v>
      </c>
      <c r="U141" s="152"/>
      <c r="V141" s="152"/>
      <c r="W141" s="152"/>
      <c r="X141" s="17"/>
      <c r="Y141" s="17"/>
    </row>
    <row r="142" spans="1:25" ht="30" x14ac:dyDescent="0.25">
      <c r="A142" s="124">
        <v>110</v>
      </c>
      <c r="B142" s="138" t="s">
        <v>203</v>
      </c>
      <c r="C142" s="144" t="s">
        <v>220</v>
      </c>
      <c r="D142" s="168" t="s">
        <v>227</v>
      </c>
      <c r="E142" s="142"/>
      <c r="F142" s="11"/>
      <c r="G142" s="11"/>
      <c r="H142" s="11"/>
      <c r="I142" s="11"/>
      <c r="J142" s="32"/>
      <c r="K142" s="45">
        <f>ROUND(270/100,4)</f>
        <v>2.7</v>
      </c>
      <c r="L142" s="193">
        <f t="shared" si="30"/>
        <v>7090793</v>
      </c>
      <c r="M142" s="136">
        <f>'Đơn giá chi tiết'!J1083</f>
        <v>0</v>
      </c>
      <c r="N142" s="136"/>
      <c r="O142" s="136">
        <f>'Đơn giá chi tiết'!J1086</f>
        <v>1737120</v>
      </c>
      <c r="P142" s="136">
        <f>'Đơn giá chi tiết'!J1088</f>
        <v>5353673</v>
      </c>
      <c r="Q142" s="166">
        <f t="shared" si="31"/>
        <v>0</v>
      </c>
      <c r="R142" s="166">
        <f t="shared" si="32"/>
        <v>0</v>
      </c>
      <c r="S142" s="166">
        <f t="shared" si="33"/>
        <v>4690224</v>
      </c>
      <c r="T142" s="166">
        <f t="shared" si="34"/>
        <v>14454917</v>
      </c>
      <c r="U142" s="34"/>
      <c r="V142" s="34"/>
      <c r="W142" s="34"/>
      <c r="X142" s="17" t="s">
        <v>82</v>
      </c>
      <c r="Y142" s="17" t="s">
        <v>321</v>
      </c>
    </row>
    <row r="143" spans="1:25" ht="45" x14ac:dyDescent="0.25">
      <c r="A143" s="124">
        <v>111</v>
      </c>
      <c r="B143" s="138" t="s">
        <v>203</v>
      </c>
      <c r="C143" s="144" t="s">
        <v>107</v>
      </c>
      <c r="D143" s="168" t="s">
        <v>227</v>
      </c>
      <c r="E143" s="142"/>
      <c r="F143" s="11"/>
      <c r="G143" s="11"/>
      <c r="H143" s="11"/>
      <c r="I143" s="11"/>
      <c r="J143" s="32"/>
      <c r="K143" s="45">
        <v>0.9</v>
      </c>
      <c r="L143" s="193">
        <f t="shared" si="30"/>
        <v>5511970</v>
      </c>
      <c r="M143" s="136">
        <f>'Đơn giá chi tiết'!J1092</f>
        <v>0</v>
      </c>
      <c r="N143" s="136"/>
      <c r="O143" s="136">
        <f>'Đơn giá chi tiết'!J1095</f>
        <v>1496715</v>
      </c>
      <c r="P143" s="136">
        <f>'Đơn giá chi tiết'!J1097</f>
        <v>4015255</v>
      </c>
      <c r="Q143" s="166">
        <f t="shared" si="31"/>
        <v>0</v>
      </c>
      <c r="R143" s="166">
        <f t="shared" si="32"/>
        <v>0</v>
      </c>
      <c r="S143" s="166">
        <f t="shared" si="33"/>
        <v>1347044</v>
      </c>
      <c r="T143" s="166">
        <f t="shared" si="34"/>
        <v>3613730</v>
      </c>
      <c r="U143" s="34"/>
      <c r="V143" s="34"/>
      <c r="W143" s="34"/>
      <c r="X143" s="17" t="s">
        <v>82</v>
      </c>
      <c r="Y143" s="17" t="s">
        <v>321</v>
      </c>
    </row>
    <row r="144" spans="1:25" ht="30" x14ac:dyDescent="0.25">
      <c r="A144" s="63">
        <v>112</v>
      </c>
      <c r="B144" s="29" t="s">
        <v>30</v>
      </c>
      <c r="C144" s="80" t="s">
        <v>717</v>
      </c>
      <c r="D144" s="119" t="s">
        <v>227</v>
      </c>
      <c r="E144" s="142"/>
      <c r="F144" s="11"/>
      <c r="G144" s="11"/>
      <c r="H144" s="11"/>
      <c r="I144" s="11"/>
      <c r="J144" s="32"/>
      <c r="K144" s="45">
        <f>ROUND(SUM(J145:J145),4)</f>
        <v>0.25240000000000001</v>
      </c>
      <c r="L144" s="193">
        <f t="shared" si="30"/>
        <v>156370220</v>
      </c>
      <c r="M144" s="71">
        <f>'Đơn giá chi tiết'!J1101</f>
        <v>156370220</v>
      </c>
      <c r="N144" s="71"/>
      <c r="O144" s="71"/>
      <c r="P144" s="71"/>
      <c r="Q144" s="166">
        <f t="shared" si="31"/>
        <v>39467844</v>
      </c>
      <c r="R144" s="166">
        <f t="shared" si="32"/>
        <v>0</v>
      </c>
      <c r="S144" s="166">
        <f t="shared" si="33"/>
        <v>0</v>
      </c>
      <c r="T144" s="166">
        <f t="shared" si="34"/>
        <v>0</v>
      </c>
      <c r="U144" s="152"/>
      <c r="V144" s="152"/>
      <c r="W144" s="152"/>
      <c r="X144" s="17"/>
      <c r="Y144" s="17"/>
    </row>
    <row r="145" spans="1:25" x14ac:dyDescent="0.25">
      <c r="A145" s="161"/>
      <c r="B145" s="133"/>
      <c r="C145" s="133" t="s">
        <v>911</v>
      </c>
      <c r="D145" s="161"/>
      <c r="E145" s="156"/>
      <c r="F145" s="27"/>
      <c r="G145" s="27"/>
      <c r="H145" s="27"/>
      <c r="I145" s="27"/>
      <c r="J145" s="60">
        <v>0.25240000000000001</v>
      </c>
      <c r="K145" s="45"/>
      <c r="L145" s="193">
        <f t="shared" si="30"/>
        <v>0</v>
      </c>
      <c r="M145" s="156"/>
      <c r="N145" s="156"/>
      <c r="O145" s="156"/>
      <c r="P145" s="156"/>
      <c r="Q145" s="166"/>
      <c r="R145" s="166"/>
      <c r="S145" s="166"/>
      <c r="T145" s="166"/>
      <c r="U145" s="20"/>
      <c r="V145" s="20"/>
      <c r="W145" s="20"/>
      <c r="X145" s="17"/>
      <c r="Y145" s="17"/>
    </row>
    <row r="146" spans="1:25" ht="30" x14ac:dyDescent="0.25">
      <c r="A146" s="124">
        <v>113</v>
      </c>
      <c r="B146" s="138" t="s">
        <v>157</v>
      </c>
      <c r="C146" s="144" t="s">
        <v>306</v>
      </c>
      <c r="D146" s="168" t="s">
        <v>227</v>
      </c>
      <c r="E146" s="142"/>
      <c r="F146" s="11"/>
      <c r="G146" s="11"/>
      <c r="H146" s="11"/>
      <c r="I146" s="11"/>
      <c r="J146" s="32"/>
      <c r="K146" s="45">
        <v>3.6</v>
      </c>
      <c r="L146" s="193">
        <f t="shared" si="30"/>
        <v>4540122</v>
      </c>
      <c r="M146" s="136"/>
      <c r="N146" s="136"/>
      <c r="O146" s="136">
        <f>'Đơn giá chi tiết'!J1105</f>
        <v>687610</v>
      </c>
      <c r="P146" s="136">
        <f>'Đơn giá chi tiết'!J1107</f>
        <v>3852512</v>
      </c>
      <c r="Q146" s="166">
        <f t="shared" ref="Q146:Q155" si="35">ROUND(K146*M146,0)</f>
        <v>0</v>
      </c>
      <c r="R146" s="166">
        <f t="shared" ref="R146:R155" si="36">ROUND(K146*N146,0)</f>
        <v>0</v>
      </c>
      <c r="S146" s="166">
        <f t="shared" ref="S146:S155" si="37">ROUND(K146*O146,0)</f>
        <v>2475396</v>
      </c>
      <c r="T146" s="166">
        <f t="shared" ref="T146:T155" si="38">ROUND(K146*P146,0)</f>
        <v>13869043</v>
      </c>
      <c r="U146" s="34"/>
      <c r="V146" s="34"/>
      <c r="W146" s="34"/>
      <c r="X146" s="17" t="s">
        <v>82</v>
      </c>
      <c r="Y146" s="17" t="s">
        <v>321</v>
      </c>
    </row>
    <row r="147" spans="1:25" ht="30" x14ac:dyDescent="0.25">
      <c r="A147" s="124">
        <v>114</v>
      </c>
      <c r="B147" s="52" t="s">
        <v>598</v>
      </c>
      <c r="C147" s="144" t="s">
        <v>193</v>
      </c>
      <c r="D147" s="168" t="s">
        <v>1172</v>
      </c>
      <c r="E147" s="142"/>
      <c r="F147" s="11"/>
      <c r="G147" s="11"/>
      <c r="H147" s="11"/>
      <c r="I147" s="11"/>
      <c r="J147" s="32"/>
      <c r="K147" s="45">
        <f>ROUND(74.06/1000,4)</f>
        <v>7.4099999999999999E-2</v>
      </c>
      <c r="L147" s="193">
        <f t="shared" si="30"/>
        <v>24735309</v>
      </c>
      <c r="M147" s="136">
        <f>'Đơn giá chi tiết'!J1111</f>
        <v>15882071</v>
      </c>
      <c r="N147" s="136"/>
      <c r="O147" s="136">
        <f>'Đơn giá chi tiết'!J1117</f>
        <v>6303730</v>
      </c>
      <c r="P147" s="136">
        <f>'Đơn giá chi tiết'!J1119</f>
        <v>2549508</v>
      </c>
      <c r="Q147" s="166">
        <f t="shared" si="35"/>
        <v>1176861</v>
      </c>
      <c r="R147" s="166">
        <f t="shared" si="36"/>
        <v>0</v>
      </c>
      <c r="S147" s="166">
        <f t="shared" si="37"/>
        <v>467106</v>
      </c>
      <c r="T147" s="166">
        <f t="shared" si="38"/>
        <v>188919</v>
      </c>
      <c r="U147" s="34"/>
      <c r="V147" s="34"/>
      <c r="W147" s="34"/>
      <c r="X147" s="17" t="s">
        <v>82</v>
      </c>
      <c r="Y147" s="17" t="s">
        <v>321</v>
      </c>
    </row>
    <row r="148" spans="1:25" ht="30" x14ac:dyDescent="0.25">
      <c r="A148" s="124">
        <v>115</v>
      </c>
      <c r="B148" s="138" t="s">
        <v>389</v>
      </c>
      <c r="C148" s="144" t="s">
        <v>154</v>
      </c>
      <c r="D148" s="168" t="s">
        <v>1172</v>
      </c>
      <c r="E148" s="142"/>
      <c r="F148" s="11"/>
      <c r="G148" s="11"/>
      <c r="H148" s="11"/>
      <c r="I148" s="11"/>
      <c r="J148" s="32"/>
      <c r="K148" s="45">
        <f>ROUND(K147,4)</f>
        <v>7.4099999999999999E-2</v>
      </c>
      <c r="L148" s="193">
        <f t="shared" si="30"/>
        <v>5012091</v>
      </c>
      <c r="M148" s="136">
        <f>'Đơn giá chi tiết'!J1123</f>
        <v>429547</v>
      </c>
      <c r="N148" s="136"/>
      <c r="O148" s="136">
        <f>'Đơn giá chi tiết'!J1127</f>
        <v>2660999</v>
      </c>
      <c r="P148" s="136">
        <f>'Đơn giá chi tiết'!J1129</f>
        <v>1921545</v>
      </c>
      <c r="Q148" s="166">
        <f t="shared" si="35"/>
        <v>31829</v>
      </c>
      <c r="R148" s="166">
        <f t="shared" si="36"/>
        <v>0</v>
      </c>
      <c r="S148" s="166">
        <f t="shared" si="37"/>
        <v>197180</v>
      </c>
      <c r="T148" s="166">
        <f t="shared" si="38"/>
        <v>142386</v>
      </c>
      <c r="U148" s="34"/>
      <c r="V148" s="34"/>
      <c r="W148" s="34"/>
      <c r="X148" s="17" t="s">
        <v>82</v>
      </c>
      <c r="Y148" s="17" t="s">
        <v>321</v>
      </c>
    </row>
    <row r="149" spans="1:25" ht="30" x14ac:dyDescent="0.25">
      <c r="A149" s="124">
        <v>116</v>
      </c>
      <c r="B149" s="138" t="s">
        <v>1071</v>
      </c>
      <c r="C149" s="144" t="s">
        <v>738</v>
      </c>
      <c r="D149" s="168" t="s">
        <v>227</v>
      </c>
      <c r="E149" s="142"/>
      <c r="F149" s="11"/>
      <c r="G149" s="11"/>
      <c r="H149" s="11"/>
      <c r="I149" s="11"/>
      <c r="J149" s="32"/>
      <c r="K149" s="45">
        <f>ROUND(705*3/100,4)</f>
        <v>21.15</v>
      </c>
      <c r="L149" s="193">
        <f t="shared" si="30"/>
        <v>1373477</v>
      </c>
      <c r="M149" s="136">
        <f>'Đơn giá chi tiết'!J1133</f>
        <v>767494</v>
      </c>
      <c r="N149" s="136"/>
      <c r="O149" s="136">
        <f>'Đơn giá chi tiết'!J1138</f>
        <v>605983</v>
      </c>
      <c r="P149" s="136"/>
      <c r="Q149" s="166">
        <f t="shared" si="35"/>
        <v>16232498</v>
      </c>
      <c r="R149" s="166">
        <f t="shared" si="36"/>
        <v>0</v>
      </c>
      <c r="S149" s="166">
        <f t="shared" si="37"/>
        <v>12816540</v>
      </c>
      <c r="T149" s="166">
        <f t="shared" si="38"/>
        <v>0</v>
      </c>
      <c r="U149" s="34"/>
      <c r="V149" s="34"/>
      <c r="W149" s="34"/>
      <c r="X149" s="17" t="s">
        <v>82</v>
      </c>
      <c r="Y149" s="17" t="s">
        <v>321</v>
      </c>
    </row>
    <row r="150" spans="1:25" ht="30" x14ac:dyDescent="0.25">
      <c r="A150" s="124">
        <v>117</v>
      </c>
      <c r="B150" s="138" t="s">
        <v>576</v>
      </c>
      <c r="C150" s="144" t="s">
        <v>27</v>
      </c>
      <c r="D150" s="168" t="s">
        <v>836</v>
      </c>
      <c r="E150" s="142"/>
      <c r="F150" s="11"/>
      <c r="G150" s="11"/>
      <c r="H150" s="11"/>
      <c r="I150" s="11"/>
      <c r="J150" s="32"/>
      <c r="K150" s="45">
        <f>ROUND(73.21/100,4)</f>
        <v>0.73209999999999997</v>
      </c>
      <c r="L150" s="193">
        <f t="shared" si="30"/>
        <v>2850725</v>
      </c>
      <c r="M150" s="136">
        <f>'Đơn giá chi tiết'!J1141</f>
        <v>2592044</v>
      </c>
      <c r="N150" s="136"/>
      <c r="O150" s="136">
        <f>'Đơn giá chi tiết'!J1144</f>
        <v>258681</v>
      </c>
      <c r="P150" s="136"/>
      <c r="Q150" s="166">
        <f t="shared" si="35"/>
        <v>1897635</v>
      </c>
      <c r="R150" s="166">
        <f t="shared" si="36"/>
        <v>0</v>
      </c>
      <c r="S150" s="166">
        <f t="shared" si="37"/>
        <v>189380</v>
      </c>
      <c r="T150" s="166">
        <f t="shared" si="38"/>
        <v>0</v>
      </c>
      <c r="U150" s="34"/>
      <c r="V150" s="34"/>
      <c r="W150" s="34"/>
      <c r="X150" s="17" t="s">
        <v>82</v>
      </c>
      <c r="Y150" s="17" t="s">
        <v>321</v>
      </c>
    </row>
    <row r="151" spans="1:25" ht="30" x14ac:dyDescent="0.25">
      <c r="A151" s="63">
        <v>118</v>
      </c>
      <c r="B151" s="29" t="s">
        <v>30</v>
      </c>
      <c r="C151" s="80" t="s">
        <v>487</v>
      </c>
      <c r="D151" s="119" t="s">
        <v>155</v>
      </c>
      <c r="E151" s="142"/>
      <c r="F151" s="11"/>
      <c r="G151" s="11"/>
      <c r="H151" s="11"/>
      <c r="I151" s="11"/>
      <c r="J151" s="32"/>
      <c r="K151" s="45">
        <v>7.43</v>
      </c>
      <c r="L151" s="193">
        <f t="shared" si="30"/>
        <v>899624</v>
      </c>
      <c r="M151" s="71">
        <f>'Đơn giá chi tiết'!J1147</f>
        <v>440281</v>
      </c>
      <c r="N151" s="71"/>
      <c r="O151" s="71">
        <f>'Đơn giá chi tiết'!J1149</f>
        <v>459343</v>
      </c>
      <c r="P151" s="71"/>
      <c r="Q151" s="166">
        <f t="shared" si="35"/>
        <v>3271288</v>
      </c>
      <c r="R151" s="166">
        <f t="shared" si="36"/>
        <v>0</v>
      </c>
      <c r="S151" s="166">
        <f t="shared" si="37"/>
        <v>3412918</v>
      </c>
      <c r="T151" s="166">
        <f t="shared" si="38"/>
        <v>0</v>
      </c>
      <c r="U151" s="152"/>
      <c r="V151" s="152"/>
      <c r="W151" s="152"/>
      <c r="X151" s="17"/>
      <c r="Y151" s="17"/>
    </row>
    <row r="152" spans="1:25" ht="30" x14ac:dyDescent="0.25">
      <c r="A152" s="124">
        <v>119</v>
      </c>
      <c r="B152" s="138" t="s">
        <v>1154</v>
      </c>
      <c r="C152" s="144" t="s">
        <v>1145</v>
      </c>
      <c r="D152" s="168" t="s">
        <v>155</v>
      </c>
      <c r="E152" s="142"/>
      <c r="F152" s="11"/>
      <c r="G152" s="11"/>
      <c r="H152" s="11"/>
      <c r="I152" s="11"/>
      <c r="J152" s="32"/>
      <c r="K152" s="45">
        <v>4.96</v>
      </c>
      <c r="L152" s="193">
        <f t="shared" si="30"/>
        <v>367844</v>
      </c>
      <c r="M152" s="136">
        <f>'Đơn giá chi tiết'!J1152</f>
        <v>279990</v>
      </c>
      <c r="N152" s="136"/>
      <c r="O152" s="136">
        <f>'Đơn giá chi tiết'!J1155</f>
        <v>87854</v>
      </c>
      <c r="P152" s="136"/>
      <c r="Q152" s="166">
        <f t="shared" si="35"/>
        <v>1388750</v>
      </c>
      <c r="R152" s="166">
        <f t="shared" si="36"/>
        <v>0</v>
      </c>
      <c r="S152" s="166">
        <f t="shared" si="37"/>
        <v>435756</v>
      </c>
      <c r="T152" s="166">
        <f t="shared" si="38"/>
        <v>0</v>
      </c>
      <c r="U152" s="34"/>
      <c r="V152" s="34"/>
      <c r="W152" s="34"/>
      <c r="X152" s="17" t="s">
        <v>82</v>
      </c>
      <c r="Y152" s="17" t="s">
        <v>321</v>
      </c>
    </row>
    <row r="153" spans="1:25" ht="45" x14ac:dyDescent="0.25">
      <c r="A153" s="124">
        <v>120</v>
      </c>
      <c r="B153" s="52" t="s">
        <v>958</v>
      </c>
      <c r="C153" s="153" t="s">
        <v>57</v>
      </c>
      <c r="D153" s="168" t="s">
        <v>793</v>
      </c>
      <c r="E153" s="142"/>
      <c r="F153" s="11"/>
      <c r="G153" s="11"/>
      <c r="H153" s="11"/>
      <c r="I153" s="11"/>
      <c r="J153" s="32"/>
      <c r="K153" s="45">
        <f>ROUND(5761.79/100,4)</f>
        <v>57.617899999999999</v>
      </c>
      <c r="L153" s="193">
        <f t="shared" si="30"/>
        <v>3049280</v>
      </c>
      <c r="M153" s="136"/>
      <c r="N153" s="136"/>
      <c r="O153" s="136">
        <f>'Đơn giá chi tiết'!J1158</f>
        <v>345722</v>
      </c>
      <c r="P153" s="136">
        <f>'Đơn giá chi tiết'!J1160</f>
        <v>2703558</v>
      </c>
      <c r="Q153" s="166">
        <f t="shared" si="35"/>
        <v>0</v>
      </c>
      <c r="R153" s="166">
        <f t="shared" si="36"/>
        <v>0</v>
      </c>
      <c r="S153" s="166">
        <f t="shared" si="37"/>
        <v>19919776</v>
      </c>
      <c r="T153" s="166">
        <f t="shared" si="38"/>
        <v>155773334</v>
      </c>
      <c r="U153" s="34"/>
      <c r="V153" s="34"/>
      <c r="W153" s="34"/>
      <c r="X153" s="17" t="s">
        <v>82</v>
      </c>
      <c r="Y153" s="17" t="s">
        <v>321</v>
      </c>
    </row>
    <row r="154" spans="1:25" ht="30" x14ac:dyDescent="0.25">
      <c r="A154" s="124">
        <v>121</v>
      </c>
      <c r="B154" s="52" t="s">
        <v>800</v>
      </c>
      <c r="C154" s="144" t="s">
        <v>973</v>
      </c>
      <c r="D154" s="168" t="s">
        <v>155</v>
      </c>
      <c r="E154" s="142"/>
      <c r="F154" s="11"/>
      <c r="G154" s="11"/>
      <c r="H154" s="11"/>
      <c r="I154" s="11"/>
      <c r="J154" s="32"/>
      <c r="K154" s="59">
        <v>271.7</v>
      </c>
      <c r="L154" s="193">
        <f t="shared" si="30"/>
        <v>1049273</v>
      </c>
      <c r="M154" s="136">
        <f>'Đơn giá chi tiết'!J1164</f>
        <v>6542</v>
      </c>
      <c r="N154" s="136"/>
      <c r="O154" s="136">
        <f>'Đơn giá chi tiết'!J1169</f>
        <v>149220</v>
      </c>
      <c r="P154" s="136">
        <f>'Đơn giá chi tiết'!J1171</f>
        <v>893511</v>
      </c>
      <c r="Q154" s="166">
        <f t="shared" si="35"/>
        <v>1777461</v>
      </c>
      <c r="R154" s="166">
        <f t="shared" si="36"/>
        <v>0</v>
      </c>
      <c r="S154" s="166">
        <f t="shared" si="37"/>
        <v>40543074</v>
      </c>
      <c r="T154" s="166">
        <f t="shared" si="38"/>
        <v>242766939</v>
      </c>
      <c r="U154" s="34"/>
      <c r="V154" s="34"/>
      <c r="W154" s="34"/>
      <c r="X154" s="17" t="s">
        <v>82</v>
      </c>
      <c r="Y154" s="17" t="s">
        <v>321</v>
      </c>
    </row>
    <row r="155" spans="1:25" ht="30" x14ac:dyDescent="0.25">
      <c r="A155" s="124">
        <v>122</v>
      </c>
      <c r="B155" s="52" t="s">
        <v>1077</v>
      </c>
      <c r="C155" s="144" t="s">
        <v>680</v>
      </c>
      <c r="D155" s="168" t="s">
        <v>793</v>
      </c>
      <c r="E155" s="142"/>
      <c r="F155" s="11"/>
      <c r="G155" s="11"/>
      <c r="H155" s="11"/>
      <c r="I155" s="11"/>
      <c r="J155" s="32"/>
      <c r="K155" s="45">
        <f>ROUND(1507.96/100,4)</f>
        <v>15.079599999999999</v>
      </c>
      <c r="L155" s="193">
        <f t="shared" si="30"/>
        <v>3439432</v>
      </c>
      <c r="M155" s="136"/>
      <c r="N155" s="136"/>
      <c r="O155" s="136">
        <f>'Đơn giá chi tiết'!J1180</f>
        <v>2037452</v>
      </c>
      <c r="P155" s="136">
        <f>'Đơn giá chi tiết'!J1182</f>
        <v>1401980</v>
      </c>
      <c r="Q155" s="166">
        <f t="shared" si="35"/>
        <v>0</v>
      </c>
      <c r="R155" s="166">
        <f t="shared" si="36"/>
        <v>0</v>
      </c>
      <c r="S155" s="166">
        <f t="shared" si="37"/>
        <v>30723961</v>
      </c>
      <c r="T155" s="166">
        <f t="shared" si="38"/>
        <v>21141298</v>
      </c>
      <c r="U155" s="34"/>
      <c r="V155" s="34"/>
      <c r="W155" s="34"/>
      <c r="X155" s="17" t="s">
        <v>82</v>
      </c>
      <c r="Y155" s="17" t="s">
        <v>321</v>
      </c>
    </row>
    <row r="156" spans="1:25" x14ac:dyDescent="0.25">
      <c r="A156" s="168"/>
      <c r="B156" s="144"/>
      <c r="C156" s="130" t="s">
        <v>736</v>
      </c>
      <c r="D156" s="168"/>
      <c r="E156" s="166"/>
      <c r="F156" s="37"/>
      <c r="G156" s="37"/>
      <c r="H156" s="37"/>
      <c r="I156" s="37"/>
      <c r="J156" s="60"/>
      <c r="K156" s="60"/>
      <c r="L156" s="193">
        <f t="shared" si="30"/>
        <v>0</v>
      </c>
      <c r="M156" s="166"/>
      <c r="N156" s="166"/>
      <c r="O156" s="166"/>
      <c r="P156" s="166"/>
      <c r="Q156" s="166"/>
      <c r="R156" s="166"/>
      <c r="S156" s="166"/>
      <c r="T156" s="166"/>
      <c r="U156" s="34"/>
      <c r="V156" s="34"/>
      <c r="W156" s="34"/>
      <c r="X156" s="17"/>
      <c r="Y156" s="17"/>
    </row>
    <row r="157" spans="1:25" ht="30" x14ac:dyDescent="0.25">
      <c r="A157" s="124">
        <v>123</v>
      </c>
      <c r="B157" s="138" t="s">
        <v>719</v>
      </c>
      <c r="C157" s="144" t="s">
        <v>354</v>
      </c>
      <c r="D157" s="168" t="s">
        <v>1172</v>
      </c>
      <c r="E157" s="142"/>
      <c r="F157" s="11"/>
      <c r="G157" s="11"/>
      <c r="H157" s="11"/>
      <c r="I157" s="11"/>
      <c r="J157" s="32"/>
      <c r="K157" s="45">
        <f>ROUND(40184.87/1000,4)</f>
        <v>40.184899999999999</v>
      </c>
      <c r="L157" s="193">
        <f t="shared" si="30"/>
        <v>8206540</v>
      </c>
      <c r="M157" s="136">
        <f>'Đơn giá chi tiết'!J1185</f>
        <v>766340</v>
      </c>
      <c r="N157" s="136"/>
      <c r="O157" s="136">
        <f>'Đơn giá chi tiết'!J1192</f>
        <v>5211175</v>
      </c>
      <c r="P157" s="136">
        <f>'Đơn giá chi tiết'!J1194</f>
        <v>2229025</v>
      </c>
      <c r="Q157" s="166">
        <f>ROUND(K157*M157,0)</f>
        <v>30795296</v>
      </c>
      <c r="R157" s="166">
        <f>ROUND(K157*N157,0)</f>
        <v>0</v>
      </c>
      <c r="S157" s="166">
        <f>ROUND(K157*O157,0)</f>
        <v>209410546</v>
      </c>
      <c r="T157" s="166">
        <f>ROUND(K157*P157,0)</f>
        <v>89573147</v>
      </c>
      <c r="U157" s="34"/>
      <c r="V157" s="34"/>
      <c r="W157" s="34"/>
      <c r="X157" s="17" t="s">
        <v>82</v>
      </c>
      <c r="Y157" s="17" t="s">
        <v>321</v>
      </c>
    </row>
    <row r="158" spans="1:25" ht="30" x14ac:dyDescent="0.25">
      <c r="A158" s="63">
        <v>124</v>
      </c>
      <c r="B158" s="29" t="s">
        <v>30</v>
      </c>
      <c r="C158" s="80" t="s">
        <v>476</v>
      </c>
      <c r="D158" s="119" t="s">
        <v>1172</v>
      </c>
      <c r="E158" s="142"/>
      <c r="F158" s="11"/>
      <c r="G158" s="11"/>
      <c r="H158" s="11"/>
      <c r="I158" s="11"/>
      <c r="J158" s="32"/>
      <c r="K158" s="45">
        <f>ROUND(SUM(J159:J159),4)</f>
        <v>5.2240000000000002</v>
      </c>
      <c r="L158" s="193">
        <f t="shared" si="30"/>
        <v>15985723</v>
      </c>
      <c r="M158" s="71">
        <f>'Đơn giá chi tiết'!J1199</f>
        <v>15985723</v>
      </c>
      <c r="N158" s="71"/>
      <c r="O158" s="71"/>
      <c r="P158" s="71"/>
      <c r="Q158" s="166">
        <f>ROUND(K158*M158,0)</f>
        <v>83509417</v>
      </c>
      <c r="R158" s="166">
        <f>ROUND(K158*N158,0)</f>
        <v>0</v>
      </c>
      <c r="S158" s="166">
        <f>ROUND(K158*O158,0)</f>
        <v>0</v>
      </c>
      <c r="T158" s="166">
        <f>ROUND(K158*P158,0)</f>
        <v>0</v>
      </c>
      <c r="U158" s="152"/>
      <c r="V158" s="152"/>
      <c r="W158" s="152"/>
      <c r="X158" s="17"/>
      <c r="Y158" s="17"/>
    </row>
    <row r="159" spans="1:25" x14ac:dyDescent="0.25">
      <c r="A159" s="161"/>
      <c r="B159" s="133"/>
      <c r="C159" s="133" t="s">
        <v>198</v>
      </c>
      <c r="D159" s="161"/>
      <c r="E159" s="156"/>
      <c r="F159" s="27"/>
      <c r="G159" s="27"/>
      <c r="H159" s="27"/>
      <c r="I159" s="27"/>
      <c r="J159" s="45">
        <v>5.2240000000000002</v>
      </c>
      <c r="K159" s="45"/>
      <c r="L159" s="193">
        <f t="shared" si="30"/>
        <v>0</v>
      </c>
      <c r="M159" s="156"/>
      <c r="N159" s="156"/>
      <c r="O159" s="156"/>
      <c r="P159" s="156"/>
      <c r="Q159" s="156"/>
      <c r="R159" s="156"/>
      <c r="S159" s="156"/>
      <c r="T159" s="156"/>
      <c r="U159" s="20"/>
      <c r="V159" s="20"/>
      <c r="W159" s="20"/>
      <c r="X159" s="17"/>
      <c r="Y159" s="17"/>
    </row>
    <row r="160" spans="1:25" ht="30" x14ac:dyDescent="0.25">
      <c r="A160" s="124">
        <v>125</v>
      </c>
      <c r="B160" s="138" t="s">
        <v>954</v>
      </c>
      <c r="C160" s="144" t="s">
        <v>751</v>
      </c>
      <c r="D160" s="168" t="s">
        <v>1172</v>
      </c>
      <c r="E160" s="142"/>
      <c r="F160" s="11"/>
      <c r="G160" s="11"/>
      <c r="H160" s="11"/>
      <c r="I160" s="11"/>
      <c r="J160" s="32"/>
      <c r="K160" s="45">
        <f>ROUND(K157,4)</f>
        <v>40.184899999999999</v>
      </c>
      <c r="L160" s="193">
        <f t="shared" si="30"/>
        <v>4223923</v>
      </c>
      <c r="M160" s="136">
        <f>'Đơn giá chi tiết'!J1207</f>
        <v>373772</v>
      </c>
      <c r="N160" s="136"/>
      <c r="O160" s="136">
        <f>'Đơn giá chi tiết'!J1212</f>
        <v>2189570</v>
      </c>
      <c r="P160" s="136">
        <f>'Đơn giá chi tiết'!J1214</f>
        <v>1660581</v>
      </c>
      <c r="Q160" s="166">
        <f>ROUND(K160*M160,0)</f>
        <v>15019990</v>
      </c>
      <c r="R160" s="166">
        <f>ROUND(K160*N160,0)</f>
        <v>0</v>
      </c>
      <c r="S160" s="166">
        <f>ROUND(K160*O160,0)</f>
        <v>87987651</v>
      </c>
      <c r="T160" s="166">
        <f>ROUND(K160*P160,0)</f>
        <v>66730281</v>
      </c>
      <c r="U160" s="34"/>
      <c r="V160" s="34"/>
      <c r="W160" s="34"/>
      <c r="X160" s="17" t="s">
        <v>82</v>
      </c>
      <c r="Y160" s="17" t="s">
        <v>321</v>
      </c>
    </row>
    <row r="161" spans="1:25" ht="30" x14ac:dyDescent="0.25">
      <c r="A161" s="124">
        <v>126</v>
      </c>
      <c r="B161" s="138" t="s">
        <v>954</v>
      </c>
      <c r="C161" s="153" t="s">
        <v>264</v>
      </c>
      <c r="D161" s="168" t="s">
        <v>1172</v>
      </c>
      <c r="E161" s="142"/>
      <c r="F161" s="11"/>
      <c r="G161" s="11"/>
      <c r="H161" s="11"/>
      <c r="I161" s="11"/>
      <c r="J161" s="32"/>
      <c r="K161" s="45">
        <f>ROUND(K160,4)</f>
        <v>40.184899999999999</v>
      </c>
      <c r="L161" s="193">
        <f t="shared" si="30"/>
        <v>2534353</v>
      </c>
      <c r="M161" s="136">
        <f>'Đơn giá chi tiết'!J1218</f>
        <v>224263</v>
      </c>
      <c r="N161" s="136"/>
      <c r="O161" s="136">
        <f>'Đơn giá chi tiết'!J1223</f>
        <v>1313742</v>
      </c>
      <c r="P161" s="136">
        <f>'Đơn giá chi tiết'!J1225</f>
        <v>996348</v>
      </c>
      <c r="Q161" s="166">
        <f>ROUND(K161*M161,0)</f>
        <v>9011986</v>
      </c>
      <c r="R161" s="166">
        <f>ROUND(K161*N161,0)</f>
        <v>0</v>
      </c>
      <c r="S161" s="166">
        <f>ROUND(K161*O161,0)</f>
        <v>52792591</v>
      </c>
      <c r="T161" s="166">
        <f>ROUND(K161*P161,0)</f>
        <v>40038145</v>
      </c>
      <c r="U161" s="34"/>
      <c r="V161" s="34"/>
      <c r="W161" s="34"/>
      <c r="X161" s="17" t="s">
        <v>82</v>
      </c>
      <c r="Y161" s="17" t="s">
        <v>321</v>
      </c>
    </row>
    <row r="162" spans="1:25" ht="45" x14ac:dyDescent="0.25">
      <c r="A162" s="124">
        <v>127</v>
      </c>
      <c r="B162" s="138" t="s">
        <v>203</v>
      </c>
      <c r="C162" s="144" t="s">
        <v>823</v>
      </c>
      <c r="D162" s="168" t="s">
        <v>227</v>
      </c>
      <c r="E162" s="142"/>
      <c r="F162" s="11"/>
      <c r="G162" s="11"/>
      <c r="H162" s="11"/>
      <c r="I162" s="11"/>
      <c r="J162" s="32"/>
      <c r="K162" s="45">
        <f>ROUND(28*11/100,4)</f>
        <v>3.08</v>
      </c>
      <c r="L162" s="193">
        <f t="shared" si="30"/>
        <v>7090793</v>
      </c>
      <c r="M162" s="136">
        <f>'Đơn giá chi tiết'!J1229</f>
        <v>0</v>
      </c>
      <c r="N162" s="136"/>
      <c r="O162" s="136">
        <f>'Đơn giá chi tiết'!J1232</f>
        <v>1737120</v>
      </c>
      <c r="P162" s="136">
        <f>'Đơn giá chi tiết'!J1234</f>
        <v>5353673</v>
      </c>
      <c r="Q162" s="166">
        <f>ROUND(K162*M162,0)</f>
        <v>0</v>
      </c>
      <c r="R162" s="166">
        <f>ROUND(K162*N162,0)</f>
        <v>0</v>
      </c>
      <c r="S162" s="166">
        <f>ROUND(K162*O162,0)</f>
        <v>5350330</v>
      </c>
      <c r="T162" s="166">
        <f>ROUND(K162*P162,0)</f>
        <v>16489313</v>
      </c>
      <c r="U162" s="34"/>
      <c r="V162" s="34"/>
      <c r="W162" s="34"/>
      <c r="X162" s="17" t="s">
        <v>82</v>
      </c>
      <c r="Y162" s="17" t="s">
        <v>321</v>
      </c>
    </row>
    <row r="163" spans="1:25" ht="45" x14ac:dyDescent="0.25">
      <c r="A163" s="124">
        <v>128</v>
      </c>
      <c r="B163" s="138" t="s">
        <v>203</v>
      </c>
      <c r="C163" s="144" t="s">
        <v>853</v>
      </c>
      <c r="D163" s="168" t="s">
        <v>227</v>
      </c>
      <c r="E163" s="142"/>
      <c r="F163" s="11"/>
      <c r="G163" s="11"/>
      <c r="H163" s="11"/>
      <c r="I163" s="11"/>
      <c r="J163" s="32"/>
      <c r="K163" s="45">
        <f>ROUND(28*3/100,4)</f>
        <v>0.84</v>
      </c>
      <c r="L163" s="193">
        <f t="shared" si="30"/>
        <v>5511970</v>
      </c>
      <c r="M163" s="136">
        <f>'Đơn giá chi tiết'!J1238</f>
        <v>0</v>
      </c>
      <c r="N163" s="136"/>
      <c r="O163" s="136">
        <f>'Đơn giá chi tiết'!J1241</f>
        <v>1496715</v>
      </c>
      <c r="P163" s="136">
        <f>'Đơn giá chi tiết'!J1243</f>
        <v>4015255</v>
      </c>
      <c r="Q163" s="166">
        <f>ROUND(K163*M163,0)</f>
        <v>0</v>
      </c>
      <c r="R163" s="166">
        <f>ROUND(K163*N163,0)</f>
        <v>0</v>
      </c>
      <c r="S163" s="166">
        <f>ROUND(K163*O163,0)</f>
        <v>1257241</v>
      </c>
      <c r="T163" s="166">
        <f>ROUND(K163*P163,0)</f>
        <v>3372814</v>
      </c>
      <c r="U163" s="34"/>
      <c r="V163" s="34"/>
      <c r="W163" s="34"/>
      <c r="X163" s="17" t="s">
        <v>82</v>
      </c>
      <c r="Y163" s="17" t="s">
        <v>321</v>
      </c>
    </row>
    <row r="164" spans="1:25" ht="30" x14ac:dyDescent="0.25">
      <c r="A164" s="63">
        <v>129</v>
      </c>
      <c r="B164" s="29" t="s">
        <v>30</v>
      </c>
      <c r="C164" s="80" t="s">
        <v>717</v>
      </c>
      <c r="D164" s="119" t="s">
        <v>227</v>
      </c>
      <c r="E164" s="142"/>
      <c r="F164" s="11"/>
      <c r="G164" s="11"/>
      <c r="H164" s="11"/>
      <c r="I164" s="11"/>
      <c r="J164" s="32"/>
      <c r="K164" s="45">
        <f>ROUND(SUM(J165:J165),4)</f>
        <v>0.27479999999999999</v>
      </c>
      <c r="L164" s="193">
        <f t="shared" si="30"/>
        <v>184830000</v>
      </c>
      <c r="M164" s="71">
        <f>'Đơn giá chi tiết'!J1247</f>
        <v>184830000</v>
      </c>
      <c r="N164" s="71"/>
      <c r="O164" s="71"/>
      <c r="P164" s="71"/>
      <c r="Q164" s="166">
        <f>ROUND(K164*M164,0)</f>
        <v>50791284</v>
      </c>
      <c r="R164" s="166">
        <f>ROUND(K164*N164,0)</f>
        <v>0</v>
      </c>
      <c r="S164" s="166">
        <f>ROUND(K164*O164,0)</f>
        <v>0</v>
      </c>
      <c r="T164" s="166">
        <f>ROUND(K164*P164,0)</f>
        <v>0</v>
      </c>
      <c r="U164" s="152"/>
      <c r="V164" s="152"/>
      <c r="W164" s="152"/>
      <c r="X164" s="17"/>
      <c r="Y164" s="17"/>
    </row>
    <row r="165" spans="1:25" x14ac:dyDescent="0.25">
      <c r="A165" s="161"/>
      <c r="B165" s="133"/>
      <c r="C165" s="133" t="s">
        <v>597</v>
      </c>
      <c r="D165" s="161"/>
      <c r="E165" s="156"/>
      <c r="F165" s="27"/>
      <c r="G165" s="27"/>
      <c r="H165" s="27"/>
      <c r="I165" s="27"/>
      <c r="J165" s="45">
        <v>0.27479999999999999</v>
      </c>
      <c r="K165" s="45"/>
      <c r="L165" s="193">
        <f t="shared" si="30"/>
        <v>0</v>
      </c>
      <c r="M165" s="156"/>
      <c r="N165" s="156"/>
      <c r="O165" s="156"/>
      <c r="P165" s="156"/>
      <c r="Q165" s="156"/>
      <c r="R165" s="156"/>
      <c r="S165" s="156"/>
      <c r="T165" s="156"/>
      <c r="U165" s="20"/>
      <c r="V165" s="20"/>
      <c r="W165" s="20"/>
      <c r="X165" s="17"/>
      <c r="Y165" s="17"/>
    </row>
    <row r="166" spans="1:25" ht="30" x14ac:dyDescent="0.25">
      <c r="A166" s="124">
        <v>130</v>
      </c>
      <c r="B166" s="138" t="s">
        <v>157</v>
      </c>
      <c r="C166" s="144" t="s">
        <v>306</v>
      </c>
      <c r="D166" s="168" t="s">
        <v>227</v>
      </c>
      <c r="E166" s="142"/>
      <c r="F166" s="11"/>
      <c r="G166" s="11"/>
      <c r="H166" s="11"/>
      <c r="I166" s="11"/>
      <c r="J166" s="32"/>
      <c r="K166" s="45">
        <f>ROUND(K162+K163,4)</f>
        <v>3.92</v>
      </c>
      <c r="L166" s="193">
        <f t="shared" si="30"/>
        <v>4540122</v>
      </c>
      <c r="M166" s="136"/>
      <c r="N166" s="136"/>
      <c r="O166" s="136">
        <f>'Đơn giá chi tiết'!J1251</f>
        <v>687610</v>
      </c>
      <c r="P166" s="136">
        <f>'Đơn giá chi tiết'!J1253</f>
        <v>3852512</v>
      </c>
      <c r="Q166" s="166">
        <f t="shared" ref="Q166:Q171" si="39">ROUND(K166*M166,0)</f>
        <v>0</v>
      </c>
      <c r="R166" s="166">
        <f t="shared" ref="R166:R171" si="40">ROUND(K166*N166,0)</f>
        <v>0</v>
      </c>
      <c r="S166" s="166">
        <f t="shared" ref="S166:S171" si="41">ROUND(K166*O166,0)</f>
        <v>2695431</v>
      </c>
      <c r="T166" s="166">
        <f t="shared" ref="T166:T171" si="42">ROUND(K166*P166,0)</f>
        <v>15101847</v>
      </c>
      <c r="U166" s="34"/>
      <c r="V166" s="34"/>
      <c r="W166" s="34"/>
      <c r="X166" s="17" t="s">
        <v>82</v>
      </c>
      <c r="Y166" s="17" t="s">
        <v>321</v>
      </c>
    </row>
    <row r="167" spans="1:25" ht="30" x14ac:dyDescent="0.25">
      <c r="A167" s="124">
        <v>131</v>
      </c>
      <c r="B167" s="138" t="s">
        <v>845</v>
      </c>
      <c r="C167" s="144" t="s">
        <v>1025</v>
      </c>
      <c r="D167" s="168" t="s">
        <v>155</v>
      </c>
      <c r="E167" s="142"/>
      <c r="F167" s="11"/>
      <c r="G167" s="11"/>
      <c r="H167" s="11"/>
      <c r="I167" s="11"/>
      <c r="J167" s="32"/>
      <c r="K167" s="45">
        <v>8.7799999999999994</v>
      </c>
      <c r="L167" s="193">
        <f t="shared" si="30"/>
        <v>1503957</v>
      </c>
      <c r="M167" s="136">
        <f>'Đơn giá chi tiết'!J1257</f>
        <v>974811</v>
      </c>
      <c r="N167" s="136"/>
      <c r="O167" s="136">
        <f>'Đơn giá chi tiết'!J1263</f>
        <v>501744</v>
      </c>
      <c r="P167" s="136">
        <f>'Đơn giá chi tiết'!J1265</f>
        <v>27402</v>
      </c>
      <c r="Q167" s="166">
        <f t="shared" si="39"/>
        <v>8558841</v>
      </c>
      <c r="R167" s="166">
        <f t="shared" si="40"/>
        <v>0</v>
      </c>
      <c r="S167" s="166">
        <f t="shared" si="41"/>
        <v>4405312</v>
      </c>
      <c r="T167" s="166">
        <f t="shared" si="42"/>
        <v>240590</v>
      </c>
      <c r="U167" s="34"/>
      <c r="V167" s="34"/>
      <c r="W167" s="34"/>
      <c r="X167" s="17" t="s">
        <v>82</v>
      </c>
      <c r="Y167" s="17" t="s">
        <v>321</v>
      </c>
    </row>
    <row r="168" spans="1:25" ht="30" x14ac:dyDescent="0.25">
      <c r="A168" s="124">
        <v>132</v>
      </c>
      <c r="B168" s="138" t="s">
        <v>926</v>
      </c>
      <c r="C168" s="144" t="s">
        <v>11</v>
      </c>
      <c r="D168" s="168" t="s">
        <v>836</v>
      </c>
      <c r="E168" s="142"/>
      <c r="F168" s="11"/>
      <c r="G168" s="11"/>
      <c r="H168" s="11"/>
      <c r="I168" s="11"/>
      <c r="J168" s="32"/>
      <c r="K168" s="45">
        <f>ROUND(31.72/100,4)</f>
        <v>0.31719999999999998</v>
      </c>
      <c r="L168" s="193">
        <f t="shared" si="30"/>
        <v>8115777</v>
      </c>
      <c r="M168" s="136">
        <f>'Đơn giá chi tiết'!J1268</f>
        <v>527481</v>
      </c>
      <c r="N168" s="136"/>
      <c r="O168" s="136">
        <f>'Đơn giá chi tiết'!J1273</f>
        <v>7320077</v>
      </c>
      <c r="P168" s="136">
        <f>'Đơn giá chi tiết'!J1275</f>
        <v>268219</v>
      </c>
      <c r="Q168" s="166">
        <f t="shared" si="39"/>
        <v>167317</v>
      </c>
      <c r="R168" s="166">
        <f t="shared" si="40"/>
        <v>0</v>
      </c>
      <c r="S168" s="166">
        <f t="shared" si="41"/>
        <v>2321928</v>
      </c>
      <c r="T168" s="166">
        <f t="shared" si="42"/>
        <v>85079</v>
      </c>
      <c r="U168" s="34"/>
      <c r="V168" s="34"/>
      <c r="W168" s="34"/>
      <c r="X168" s="17" t="s">
        <v>82</v>
      </c>
      <c r="Y168" s="17" t="s">
        <v>321</v>
      </c>
    </row>
    <row r="169" spans="1:25" ht="30" x14ac:dyDescent="0.25">
      <c r="A169" s="124">
        <v>133</v>
      </c>
      <c r="B169" s="138" t="s">
        <v>695</v>
      </c>
      <c r="C169" s="144" t="s">
        <v>562</v>
      </c>
      <c r="D169" s="168" t="s">
        <v>1123</v>
      </c>
      <c r="E169" s="142"/>
      <c r="F169" s="11"/>
      <c r="G169" s="11"/>
      <c r="H169" s="11"/>
      <c r="I169" s="11"/>
      <c r="J169" s="32"/>
      <c r="K169" s="45">
        <v>61</v>
      </c>
      <c r="L169" s="193">
        <f t="shared" si="30"/>
        <v>229825</v>
      </c>
      <c r="M169" s="136">
        <f>'Đơn giá chi tiết'!J1279</f>
        <v>10100</v>
      </c>
      <c r="N169" s="136"/>
      <c r="O169" s="136">
        <f>'Đơn giá chi tiết'!J1284</f>
        <v>219725</v>
      </c>
      <c r="P169" s="136"/>
      <c r="Q169" s="166">
        <f t="shared" si="39"/>
        <v>616100</v>
      </c>
      <c r="R169" s="166">
        <f t="shared" si="40"/>
        <v>0</v>
      </c>
      <c r="S169" s="166">
        <f t="shared" si="41"/>
        <v>13403225</v>
      </c>
      <c r="T169" s="166">
        <f t="shared" si="42"/>
        <v>0</v>
      </c>
      <c r="U169" s="34"/>
      <c r="V169" s="34"/>
      <c r="W169" s="34"/>
      <c r="X169" s="17" t="s">
        <v>82</v>
      </c>
      <c r="Y169" s="17" t="s">
        <v>321</v>
      </c>
    </row>
    <row r="170" spans="1:25" x14ac:dyDescent="0.25">
      <c r="A170" s="124">
        <v>134</v>
      </c>
      <c r="B170" s="52" t="s">
        <v>865</v>
      </c>
      <c r="C170" s="144" t="s">
        <v>485</v>
      </c>
      <c r="D170" s="168" t="s">
        <v>326</v>
      </c>
      <c r="E170" s="142"/>
      <c r="F170" s="11"/>
      <c r="G170" s="11"/>
      <c r="H170" s="11"/>
      <c r="I170" s="11"/>
      <c r="J170" s="32"/>
      <c r="K170" s="45">
        <v>24</v>
      </c>
      <c r="L170" s="193">
        <f t="shared" si="30"/>
        <v>1187862</v>
      </c>
      <c r="M170" s="136">
        <f>'Đơn giá chi tiết'!J1287</f>
        <v>843355</v>
      </c>
      <c r="N170" s="136"/>
      <c r="O170" s="100">
        <f>'Đơn giá chi tiết'!J1290</f>
        <v>344507</v>
      </c>
      <c r="P170" s="136"/>
      <c r="Q170" s="166">
        <f t="shared" si="39"/>
        <v>20240520</v>
      </c>
      <c r="R170" s="166">
        <f t="shared" si="40"/>
        <v>0</v>
      </c>
      <c r="S170" s="166">
        <f t="shared" si="41"/>
        <v>8268168</v>
      </c>
      <c r="T170" s="166">
        <f t="shared" si="42"/>
        <v>0</v>
      </c>
      <c r="U170" s="34"/>
      <c r="V170" s="34"/>
      <c r="W170" s="34"/>
      <c r="X170" s="17" t="s">
        <v>699</v>
      </c>
      <c r="Y170" s="17" t="s">
        <v>708</v>
      </c>
    </row>
    <row r="171" spans="1:25" ht="30" x14ac:dyDescent="0.25">
      <c r="A171" s="124">
        <v>135</v>
      </c>
      <c r="B171" s="52" t="s">
        <v>213</v>
      </c>
      <c r="C171" s="144" t="s">
        <v>683</v>
      </c>
      <c r="D171" s="168" t="s">
        <v>155</v>
      </c>
      <c r="E171" s="142"/>
      <c r="F171" s="11"/>
      <c r="G171" s="11"/>
      <c r="H171" s="11"/>
      <c r="I171" s="11"/>
      <c r="J171" s="32"/>
      <c r="K171" s="45">
        <v>8.16</v>
      </c>
      <c r="L171" s="193">
        <f t="shared" si="30"/>
        <v>130805</v>
      </c>
      <c r="M171" s="136"/>
      <c r="N171" s="136"/>
      <c r="O171" s="136">
        <f>'Đơn giá chi tiết'!J1293</f>
        <v>130805</v>
      </c>
      <c r="P171" s="136"/>
      <c r="Q171" s="166">
        <f t="shared" si="39"/>
        <v>0</v>
      </c>
      <c r="R171" s="166">
        <f t="shared" si="40"/>
        <v>0</v>
      </c>
      <c r="S171" s="166">
        <f t="shared" si="41"/>
        <v>1067369</v>
      </c>
      <c r="T171" s="166">
        <f t="shared" si="42"/>
        <v>0</v>
      </c>
      <c r="U171" s="34"/>
      <c r="V171" s="34"/>
      <c r="W171" s="34"/>
      <c r="X171" s="17" t="s">
        <v>82</v>
      </c>
      <c r="Y171" s="17" t="s">
        <v>321</v>
      </c>
    </row>
    <row r="172" spans="1:25" x14ac:dyDescent="0.25">
      <c r="A172" s="168"/>
      <c r="B172" s="144"/>
      <c r="C172" s="130" t="s">
        <v>621</v>
      </c>
      <c r="D172" s="168"/>
      <c r="E172" s="166"/>
      <c r="F172" s="37"/>
      <c r="G172" s="37"/>
      <c r="H172" s="37"/>
      <c r="I172" s="37"/>
      <c r="J172" s="60"/>
      <c r="K172" s="60"/>
      <c r="L172" s="193">
        <f t="shared" si="30"/>
        <v>0</v>
      </c>
      <c r="M172" s="166"/>
      <c r="N172" s="166"/>
      <c r="O172" s="166"/>
      <c r="P172" s="166"/>
      <c r="Q172" s="166"/>
      <c r="R172" s="166"/>
      <c r="S172" s="166"/>
      <c r="T172" s="166"/>
      <c r="U172" s="34"/>
      <c r="V172" s="34"/>
      <c r="W172" s="34"/>
      <c r="X172" s="17"/>
      <c r="Y172" s="17"/>
    </row>
    <row r="173" spans="1:25" x14ac:dyDescent="0.25">
      <c r="A173" s="168"/>
      <c r="B173" s="144"/>
      <c r="C173" s="130" t="s">
        <v>40</v>
      </c>
      <c r="D173" s="168"/>
      <c r="E173" s="166"/>
      <c r="F173" s="37"/>
      <c r="G173" s="37"/>
      <c r="H173" s="37"/>
      <c r="I173" s="37"/>
      <c r="J173" s="60"/>
      <c r="K173" s="60"/>
      <c r="L173" s="193">
        <f t="shared" si="30"/>
        <v>0</v>
      </c>
      <c r="M173" s="166"/>
      <c r="N173" s="166"/>
      <c r="O173" s="166"/>
      <c r="P173" s="166"/>
      <c r="Q173" s="166"/>
      <c r="R173" s="166"/>
      <c r="S173" s="166"/>
      <c r="T173" s="166"/>
      <c r="U173" s="34"/>
      <c r="V173" s="34"/>
      <c r="W173" s="34"/>
      <c r="X173" s="17"/>
      <c r="Y173" s="17"/>
    </row>
    <row r="174" spans="1:25" ht="30" x14ac:dyDescent="0.25">
      <c r="A174" s="124">
        <v>136</v>
      </c>
      <c r="B174" s="138" t="s">
        <v>234</v>
      </c>
      <c r="C174" s="144" t="s">
        <v>1149</v>
      </c>
      <c r="D174" s="168" t="s">
        <v>155</v>
      </c>
      <c r="E174" s="142"/>
      <c r="F174" s="11"/>
      <c r="G174" s="11"/>
      <c r="H174" s="11"/>
      <c r="I174" s="11"/>
      <c r="J174" s="32"/>
      <c r="K174" s="30">
        <f>ROUND(116.47-K175,4)</f>
        <v>98.47</v>
      </c>
      <c r="L174" s="193">
        <f t="shared" si="30"/>
        <v>1928594</v>
      </c>
      <c r="M174" s="136">
        <f>'Đơn giá chi tiết'!J1296</f>
        <v>1123217</v>
      </c>
      <c r="N174" s="136"/>
      <c r="O174" s="136">
        <f>'Đơn giá chi tiết'!J1302</f>
        <v>670700</v>
      </c>
      <c r="P174" s="136">
        <f>'Đơn giá chi tiết'!J1304</f>
        <v>134677</v>
      </c>
      <c r="Q174" s="166">
        <f t="shared" ref="Q174:Q184" si="43">ROUND(K174*M174,0)</f>
        <v>110603178</v>
      </c>
      <c r="R174" s="166">
        <f t="shared" ref="R174:R184" si="44">ROUND(K174*N174,0)</f>
        <v>0</v>
      </c>
      <c r="S174" s="166">
        <f t="shared" ref="S174:S184" si="45">ROUND(K174*O174,0)</f>
        <v>66043829</v>
      </c>
      <c r="T174" s="166">
        <f t="shared" ref="T174:T184" si="46">ROUND(K174*P174,0)</f>
        <v>13261644</v>
      </c>
      <c r="U174" s="34"/>
      <c r="V174" s="34"/>
      <c r="W174" s="34"/>
      <c r="X174" s="17" t="s">
        <v>82</v>
      </c>
      <c r="Y174" s="17" t="s">
        <v>321</v>
      </c>
    </row>
    <row r="175" spans="1:25" ht="30" x14ac:dyDescent="0.25">
      <c r="A175" s="124">
        <v>137</v>
      </c>
      <c r="B175" s="138" t="s">
        <v>1034</v>
      </c>
      <c r="C175" s="144" t="s">
        <v>80</v>
      </c>
      <c r="D175" s="168" t="s">
        <v>155</v>
      </c>
      <c r="E175" s="142"/>
      <c r="F175" s="11"/>
      <c r="G175" s="11"/>
      <c r="H175" s="11"/>
      <c r="I175" s="11"/>
      <c r="J175" s="32"/>
      <c r="K175" s="45">
        <v>18</v>
      </c>
      <c r="L175" s="193">
        <f t="shared" si="30"/>
        <v>1596656</v>
      </c>
      <c r="M175" s="136">
        <f>'Đơn giá chi tiết'!J1310</f>
        <v>1164556</v>
      </c>
      <c r="N175" s="136"/>
      <c r="O175" s="136">
        <f>'Đơn giá chi tiết'!J1319</f>
        <v>384605</v>
      </c>
      <c r="P175" s="136">
        <f>'Đơn giá chi tiết'!J1321</f>
        <v>47495</v>
      </c>
      <c r="Q175" s="166">
        <f t="shared" si="43"/>
        <v>20962008</v>
      </c>
      <c r="R175" s="166">
        <f t="shared" si="44"/>
        <v>0</v>
      </c>
      <c r="S175" s="166">
        <f t="shared" si="45"/>
        <v>6922890</v>
      </c>
      <c r="T175" s="166">
        <f t="shared" si="46"/>
        <v>854910</v>
      </c>
      <c r="U175" s="34"/>
      <c r="V175" s="34"/>
      <c r="W175" s="34"/>
      <c r="X175" s="17" t="s">
        <v>82</v>
      </c>
      <c r="Y175" s="17" t="s">
        <v>321</v>
      </c>
    </row>
    <row r="176" spans="1:25" ht="30" x14ac:dyDescent="0.25">
      <c r="A176" s="124">
        <v>138</v>
      </c>
      <c r="B176" s="138" t="s">
        <v>697</v>
      </c>
      <c r="C176" s="153" t="s">
        <v>395</v>
      </c>
      <c r="D176" s="168" t="s">
        <v>205</v>
      </c>
      <c r="E176" s="142"/>
      <c r="F176" s="11"/>
      <c r="G176" s="11"/>
      <c r="H176" s="11"/>
      <c r="I176" s="11"/>
      <c r="J176" s="32"/>
      <c r="K176" s="45">
        <f>ROUND( 0.14112/0.03,4)</f>
        <v>4.7039999999999997</v>
      </c>
      <c r="L176" s="193">
        <f t="shared" si="30"/>
        <v>57521</v>
      </c>
      <c r="M176" s="136">
        <f>'Đơn giá chi tiết'!J1325</f>
        <v>32158</v>
      </c>
      <c r="N176" s="136"/>
      <c r="O176" s="136">
        <f>'Đơn giá chi tiết'!J1329</f>
        <v>24431</v>
      </c>
      <c r="P176" s="136">
        <f>'Đơn giá chi tiết'!J1331</f>
        <v>932</v>
      </c>
      <c r="Q176" s="166">
        <f t="shared" si="43"/>
        <v>151271</v>
      </c>
      <c r="R176" s="166">
        <f t="shared" si="44"/>
        <v>0</v>
      </c>
      <c r="S176" s="166">
        <f t="shared" si="45"/>
        <v>114923</v>
      </c>
      <c r="T176" s="166">
        <f t="shared" si="46"/>
        <v>4384</v>
      </c>
      <c r="U176" s="34"/>
      <c r="V176" s="34"/>
      <c r="W176" s="34"/>
      <c r="X176" s="17" t="s">
        <v>82</v>
      </c>
      <c r="Y176" s="17" t="s">
        <v>321</v>
      </c>
    </row>
    <row r="177" spans="1:25" ht="30" x14ac:dyDescent="0.25">
      <c r="A177" s="124">
        <v>139</v>
      </c>
      <c r="B177" s="138" t="s">
        <v>361</v>
      </c>
      <c r="C177" s="144" t="s">
        <v>217</v>
      </c>
      <c r="D177" s="168" t="s">
        <v>155</v>
      </c>
      <c r="E177" s="142"/>
      <c r="F177" s="11"/>
      <c r="G177" s="11"/>
      <c r="H177" s="11"/>
      <c r="I177" s="11"/>
      <c r="J177" s="32"/>
      <c r="K177" s="45">
        <v>8.27</v>
      </c>
      <c r="L177" s="193">
        <f t="shared" si="30"/>
        <v>1097246</v>
      </c>
      <c r="M177" s="136">
        <f>'Đơn giá chi tiết'!J1334</f>
        <v>819664</v>
      </c>
      <c r="N177" s="136"/>
      <c r="O177" s="136">
        <f>'Đơn giá chi tiết'!J1339</f>
        <v>230373</v>
      </c>
      <c r="P177" s="136">
        <f>'Đơn giá chi tiết'!J1341</f>
        <v>47209</v>
      </c>
      <c r="Q177" s="166">
        <f t="shared" si="43"/>
        <v>6778621</v>
      </c>
      <c r="R177" s="166">
        <f t="shared" si="44"/>
        <v>0</v>
      </c>
      <c r="S177" s="166">
        <f t="shared" si="45"/>
        <v>1905185</v>
      </c>
      <c r="T177" s="166">
        <f t="shared" si="46"/>
        <v>390418</v>
      </c>
      <c r="U177" s="34"/>
      <c r="V177" s="34"/>
      <c r="W177" s="34"/>
      <c r="X177" s="17" t="s">
        <v>82</v>
      </c>
      <c r="Y177" s="17" t="s">
        <v>321</v>
      </c>
    </row>
    <row r="178" spans="1:25" ht="30" x14ac:dyDescent="0.25">
      <c r="A178" s="124">
        <v>140</v>
      </c>
      <c r="B178" s="138" t="s">
        <v>1188</v>
      </c>
      <c r="C178" s="144" t="s">
        <v>610</v>
      </c>
      <c r="D178" s="168" t="s">
        <v>1123</v>
      </c>
      <c r="E178" s="142"/>
      <c r="F178" s="11"/>
      <c r="G178" s="11"/>
      <c r="H178" s="11"/>
      <c r="I178" s="11"/>
      <c r="J178" s="32"/>
      <c r="K178" s="45">
        <v>12</v>
      </c>
      <c r="L178" s="193">
        <f t="shared" si="30"/>
        <v>1258250</v>
      </c>
      <c r="M178" s="136">
        <f>'Đơn giá chi tiết'!J1345</f>
        <v>353500</v>
      </c>
      <c r="N178" s="136"/>
      <c r="O178" s="136">
        <f>'Đơn giá chi tiết'!J1348</f>
        <v>904750</v>
      </c>
      <c r="P178" s="136"/>
      <c r="Q178" s="166">
        <f t="shared" si="43"/>
        <v>4242000</v>
      </c>
      <c r="R178" s="166">
        <f t="shared" si="44"/>
        <v>0</v>
      </c>
      <c r="S178" s="166">
        <f t="shared" si="45"/>
        <v>10857000</v>
      </c>
      <c r="T178" s="166">
        <f t="shared" si="46"/>
        <v>0</v>
      </c>
      <c r="U178" s="34"/>
      <c r="V178" s="34"/>
      <c r="W178" s="34"/>
      <c r="X178" s="17" t="s">
        <v>82</v>
      </c>
      <c r="Y178" s="17" t="s">
        <v>321</v>
      </c>
    </row>
    <row r="179" spans="1:25" ht="30" x14ac:dyDescent="0.25">
      <c r="A179" s="124">
        <v>141</v>
      </c>
      <c r="B179" s="138" t="s">
        <v>506</v>
      </c>
      <c r="C179" s="144" t="s">
        <v>1182</v>
      </c>
      <c r="D179" s="168" t="s">
        <v>836</v>
      </c>
      <c r="E179" s="142"/>
      <c r="F179" s="11"/>
      <c r="G179" s="11"/>
      <c r="H179" s="11"/>
      <c r="I179" s="11"/>
      <c r="J179" s="32"/>
      <c r="K179" s="45">
        <f>ROUND(ROUND(172.75/100,4)-K180,4)</f>
        <v>1.5395000000000001</v>
      </c>
      <c r="L179" s="193">
        <f t="shared" si="30"/>
        <v>13220855</v>
      </c>
      <c r="M179" s="136">
        <f>'Đơn giá chi tiết'!J1351</f>
        <v>1435786</v>
      </c>
      <c r="N179" s="136"/>
      <c r="O179" s="136">
        <f>'Đơn giá chi tiết'!J1358</f>
        <v>7721114</v>
      </c>
      <c r="P179" s="136">
        <f>'Đơn giá chi tiết'!J1360</f>
        <v>4063955</v>
      </c>
      <c r="Q179" s="166">
        <f t="shared" si="43"/>
        <v>2210393</v>
      </c>
      <c r="R179" s="166">
        <f t="shared" si="44"/>
        <v>0</v>
      </c>
      <c r="S179" s="166">
        <f t="shared" si="45"/>
        <v>11886655</v>
      </c>
      <c r="T179" s="166">
        <f t="shared" si="46"/>
        <v>6256459</v>
      </c>
      <c r="U179" s="34"/>
      <c r="V179" s="34"/>
      <c r="W179" s="34"/>
      <c r="X179" s="17" t="s">
        <v>82</v>
      </c>
      <c r="Y179" s="17" t="s">
        <v>321</v>
      </c>
    </row>
    <row r="180" spans="1:25" ht="45" x14ac:dyDescent="0.25">
      <c r="A180" s="124">
        <v>142</v>
      </c>
      <c r="B180" s="138" t="s">
        <v>589</v>
      </c>
      <c r="C180" s="144" t="s">
        <v>1030</v>
      </c>
      <c r="D180" s="168" t="s">
        <v>836</v>
      </c>
      <c r="E180" s="142"/>
      <c r="F180" s="11"/>
      <c r="G180" s="11"/>
      <c r="H180" s="11"/>
      <c r="I180" s="11"/>
      <c r="J180" s="32"/>
      <c r="K180" s="45">
        <f>ROUND(18.8/100,4)</f>
        <v>0.188</v>
      </c>
      <c r="L180" s="193">
        <f t="shared" si="30"/>
        <v>4078577</v>
      </c>
      <c r="M180" s="136">
        <f>'Đơn giá chi tiết'!J1366</f>
        <v>1255185</v>
      </c>
      <c r="N180" s="136"/>
      <c r="O180" s="136">
        <f>'Đơn giá chi tiết'!J1370</f>
        <v>2823392</v>
      </c>
      <c r="P180" s="136"/>
      <c r="Q180" s="166">
        <f t="shared" si="43"/>
        <v>235975</v>
      </c>
      <c r="R180" s="166">
        <f t="shared" si="44"/>
        <v>0</v>
      </c>
      <c r="S180" s="166">
        <f t="shared" si="45"/>
        <v>530798</v>
      </c>
      <c r="T180" s="166">
        <f t="shared" si="46"/>
        <v>0</v>
      </c>
      <c r="U180" s="34"/>
      <c r="V180" s="34"/>
      <c r="W180" s="34"/>
      <c r="X180" s="17" t="s">
        <v>82</v>
      </c>
      <c r="Y180" s="17" t="s">
        <v>321</v>
      </c>
    </row>
    <row r="181" spans="1:25" ht="30" x14ac:dyDescent="0.25">
      <c r="A181" s="124">
        <v>143</v>
      </c>
      <c r="B181" s="138" t="s">
        <v>408</v>
      </c>
      <c r="C181" s="144" t="s">
        <v>945</v>
      </c>
      <c r="D181" s="168" t="s">
        <v>1172</v>
      </c>
      <c r="E181" s="142"/>
      <c r="F181" s="11"/>
      <c r="G181" s="11"/>
      <c r="H181" s="11"/>
      <c r="I181" s="11"/>
      <c r="J181" s="32"/>
      <c r="K181" s="30">
        <f>ROUND(( 4036.56+ 244.45 )/1000,4)</f>
        <v>4.2809999999999997</v>
      </c>
      <c r="L181" s="193">
        <f t="shared" si="30"/>
        <v>18243702</v>
      </c>
      <c r="M181" s="136">
        <f>'Đơn giá chi tiết'!J1373</f>
        <v>14713152</v>
      </c>
      <c r="N181" s="136"/>
      <c r="O181" s="136">
        <f>'Đơn giá chi tiết'!J1377</f>
        <v>2701237</v>
      </c>
      <c r="P181" s="136">
        <f>'Đơn giá chi tiết'!J1379</f>
        <v>829313</v>
      </c>
      <c r="Q181" s="166">
        <f t="shared" si="43"/>
        <v>62987004</v>
      </c>
      <c r="R181" s="166">
        <f t="shared" si="44"/>
        <v>0</v>
      </c>
      <c r="S181" s="166">
        <f t="shared" si="45"/>
        <v>11563996</v>
      </c>
      <c r="T181" s="166">
        <f t="shared" si="46"/>
        <v>3550289</v>
      </c>
      <c r="U181" s="34"/>
      <c r="V181" s="34"/>
      <c r="W181" s="34"/>
      <c r="X181" s="17" t="s">
        <v>82</v>
      </c>
      <c r="Y181" s="17" t="s">
        <v>321</v>
      </c>
    </row>
    <row r="182" spans="1:25" ht="30" x14ac:dyDescent="0.25">
      <c r="A182" s="124">
        <v>144</v>
      </c>
      <c r="B182" s="138" t="s">
        <v>825</v>
      </c>
      <c r="C182" s="144" t="s">
        <v>231</v>
      </c>
      <c r="D182" s="168" t="s">
        <v>1172</v>
      </c>
      <c r="E182" s="142"/>
      <c r="F182" s="11"/>
      <c r="G182" s="11"/>
      <c r="H182" s="11"/>
      <c r="I182" s="11"/>
      <c r="J182" s="32"/>
      <c r="K182" s="45">
        <f>ROUND( 4745.54 /1000,4)</f>
        <v>4.7454999999999998</v>
      </c>
      <c r="L182" s="193">
        <f t="shared" si="30"/>
        <v>17781375</v>
      </c>
      <c r="M182" s="136">
        <f>'Đơn giá chi tiết'!J1384</f>
        <v>14721361</v>
      </c>
      <c r="N182" s="136"/>
      <c r="O182" s="136">
        <f>'Đơn giá chi tiết'!J1388</f>
        <v>2247190</v>
      </c>
      <c r="P182" s="136">
        <f>'Đơn giá chi tiết'!J1390</f>
        <v>812824</v>
      </c>
      <c r="Q182" s="166">
        <f t="shared" si="43"/>
        <v>69860219</v>
      </c>
      <c r="R182" s="166">
        <f t="shared" si="44"/>
        <v>0</v>
      </c>
      <c r="S182" s="166">
        <f t="shared" si="45"/>
        <v>10664040</v>
      </c>
      <c r="T182" s="166">
        <f t="shared" si="46"/>
        <v>3857256</v>
      </c>
      <c r="U182" s="34"/>
      <c r="V182" s="34"/>
      <c r="W182" s="34"/>
      <c r="X182" s="17" t="s">
        <v>82</v>
      </c>
      <c r="Y182" s="17" t="s">
        <v>321</v>
      </c>
    </row>
    <row r="183" spans="1:25" ht="30" x14ac:dyDescent="0.25">
      <c r="A183" s="124">
        <v>145</v>
      </c>
      <c r="B183" s="138" t="s">
        <v>1197</v>
      </c>
      <c r="C183" s="144" t="s">
        <v>180</v>
      </c>
      <c r="D183" s="168" t="s">
        <v>1172</v>
      </c>
      <c r="E183" s="142"/>
      <c r="F183" s="11"/>
      <c r="G183" s="11"/>
      <c r="H183" s="11"/>
      <c r="I183" s="11"/>
      <c r="J183" s="32"/>
      <c r="K183" s="45">
        <f>ROUND(13.32/1000,4)</f>
        <v>1.3299999999999999E-2</v>
      </c>
      <c r="L183" s="193">
        <f t="shared" si="30"/>
        <v>17104388</v>
      </c>
      <c r="M183" s="136">
        <f>'Đơn giá chi tiết'!J1395</f>
        <v>14603640</v>
      </c>
      <c r="N183" s="136"/>
      <c r="O183" s="136">
        <f>'Đơn giá chi tiết'!J1398</f>
        <v>2409530</v>
      </c>
      <c r="P183" s="136">
        <f>'Đơn giá chi tiết'!J1400</f>
        <v>91218</v>
      </c>
      <c r="Q183" s="166">
        <f t="shared" si="43"/>
        <v>194228</v>
      </c>
      <c r="R183" s="166">
        <f t="shared" si="44"/>
        <v>0</v>
      </c>
      <c r="S183" s="166">
        <f t="shared" si="45"/>
        <v>32047</v>
      </c>
      <c r="T183" s="166">
        <f t="shared" si="46"/>
        <v>1213</v>
      </c>
      <c r="U183" s="34"/>
      <c r="V183" s="34"/>
      <c r="W183" s="34"/>
      <c r="X183" s="17" t="s">
        <v>82</v>
      </c>
      <c r="Y183" s="17" t="s">
        <v>321</v>
      </c>
    </row>
    <row r="184" spans="1:25" ht="30" x14ac:dyDescent="0.25">
      <c r="A184" s="124">
        <v>146</v>
      </c>
      <c r="B184" s="138" t="s">
        <v>399</v>
      </c>
      <c r="C184" s="144" t="s">
        <v>852</v>
      </c>
      <c r="D184" s="168" t="s">
        <v>1172</v>
      </c>
      <c r="E184" s="142"/>
      <c r="F184" s="11"/>
      <c r="G184" s="11"/>
      <c r="H184" s="11"/>
      <c r="I184" s="11"/>
      <c r="J184" s="32"/>
      <c r="K184" s="45">
        <f>ROUND(994.73/1000,4)</f>
        <v>0.99470000000000003</v>
      </c>
      <c r="L184" s="193">
        <f t="shared" si="30"/>
        <v>16904417</v>
      </c>
      <c r="M184" s="136">
        <f>'Đơn giá chi tiết'!J1403</f>
        <v>14677642</v>
      </c>
      <c r="N184" s="136"/>
      <c r="O184" s="136">
        <f>'Đơn giá chi tiết'!J1407</f>
        <v>1775219</v>
      </c>
      <c r="P184" s="136">
        <f>'Đơn giá chi tiết'!J1409</f>
        <v>451556</v>
      </c>
      <c r="Q184" s="166">
        <f t="shared" si="43"/>
        <v>14599850</v>
      </c>
      <c r="R184" s="166">
        <f t="shared" si="44"/>
        <v>0</v>
      </c>
      <c r="S184" s="166">
        <f t="shared" si="45"/>
        <v>1765810</v>
      </c>
      <c r="T184" s="166">
        <f t="shared" si="46"/>
        <v>449163</v>
      </c>
      <c r="U184" s="34"/>
      <c r="V184" s="34"/>
      <c r="W184" s="34"/>
      <c r="X184" s="17" t="s">
        <v>82</v>
      </c>
      <c r="Y184" s="17" t="s">
        <v>321</v>
      </c>
    </row>
    <row r="185" spans="1:25" x14ac:dyDescent="0.25">
      <c r="A185" s="168"/>
      <c r="B185" s="144"/>
      <c r="C185" s="130" t="s">
        <v>707</v>
      </c>
      <c r="D185" s="168"/>
      <c r="E185" s="166"/>
      <c r="F185" s="37"/>
      <c r="G185" s="37"/>
      <c r="H185" s="37"/>
      <c r="I185" s="37"/>
      <c r="J185" s="60"/>
      <c r="K185" s="60"/>
      <c r="L185" s="193">
        <f t="shared" si="30"/>
        <v>0</v>
      </c>
      <c r="M185" s="166"/>
      <c r="N185" s="166"/>
      <c r="O185" s="166"/>
      <c r="P185" s="166"/>
      <c r="Q185" s="166"/>
      <c r="R185" s="166"/>
      <c r="S185" s="166"/>
      <c r="T185" s="166"/>
      <c r="U185" s="34"/>
      <c r="V185" s="34"/>
      <c r="W185" s="34"/>
      <c r="X185" s="17"/>
      <c r="Y185" s="17"/>
    </row>
    <row r="186" spans="1:25" ht="30" x14ac:dyDescent="0.25">
      <c r="A186" s="124">
        <v>147</v>
      </c>
      <c r="B186" s="138" t="s">
        <v>234</v>
      </c>
      <c r="C186" s="144" t="s">
        <v>1149</v>
      </c>
      <c r="D186" s="168" t="s">
        <v>155</v>
      </c>
      <c r="E186" s="142"/>
      <c r="F186" s="11"/>
      <c r="G186" s="11"/>
      <c r="H186" s="11"/>
      <c r="I186" s="11"/>
      <c r="J186" s="32"/>
      <c r="K186" s="45">
        <v>3.52</v>
      </c>
      <c r="L186" s="193">
        <f t="shared" si="30"/>
        <v>1928594</v>
      </c>
      <c r="M186" s="136">
        <f>'Đơn giá chi tiết'!J1413</f>
        <v>1123217</v>
      </c>
      <c r="N186" s="136"/>
      <c r="O186" s="136">
        <f>'Đơn giá chi tiết'!J1419</f>
        <v>670700</v>
      </c>
      <c r="P186" s="136">
        <f>'Đơn giá chi tiết'!J1421</f>
        <v>134677</v>
      </c>
      <c r="Q186" s="166">
        <f t="shared" ref="Q186:Q191" si="47">ROUND(K186*M186,0)</f>
        <v>3953724</v>
      </c>
      <c r="R186" s="166">
        <f t="shared" ref="R186:R191" si="48">ROUND(K186*N186,0)</f>
        <v>0</v>
      </c>
      <c r="S186" s="166">
        <f t="shared" ref="S186:S191" si="49">ROUND(K186*O186,0)</f>
        <v>2360864</v>
      </c>
      <c r="T186" s="166">
        <f t="shared" ref="T186:T191" si="50">ROUND(K186*P186,0)</f>
        <v>474063</v>
      </c>
      <c r="U186" s="34"/>
      <c r="V186" s="34"/>
      <c r="W186" s="34"/>
      <c r="X186" s="17" t="s">
        <v>82</v>
      </c>
      <c r="Y186" s="17" t="s">
        <v>321</v>
      </c>
    </row>
    <row r="187" spans="1:25" ht="30" x14ac:dyDescent="0.25">
      <c r="A187" s="124">
        <v>148</v>
      </c>
      <c r="B187" s="138" t="s">
        <v>697</v>
      </c>
      <c r="C187" s="144" t="s">
        <v>1062</v>
      </c>
      <c r="D187" s="168" t="s">
        <v>205</v>
      </c>
      <c r="E187" s="142"/>
      <c r="F187" s="11"/>
      <c r="G187" s="11"/>
      <c r="H187" s="11"/>
      <c r="I187" s="11"/>
      <c r="J187" s="32"/>
      <c r="K187" s="45">
        <f>ROUND( 0.0288/0.03,4)</f>
        <v>0.96</v>
      </c>
      <c r="L187" s="193">
        <f t="shared" si="30"/>
        <v>57521</v>
      </c>
      <c r="M187" s="136">
        <f>'Đơn giá chi tiết'!J1427</f>
        <v>32158</v>
      </c>
      <c r="N187" s="136"/>
      <c r="O187" s="136">
        <f>'Đơn giá chi tiết'!J1431</f>
        <v>24431</v>
      </c>
      <c r="P187" s="136">
        <f>'Đơn giá chi tiết'!J1433</f>
        <v>932</v>
      </c>
      <c r="Q187" s="166">
        <f t="shared" si="47"/>
        <v>30872</v>
      </c>
      <c r="R187" s="166">
        <f t="shared" si="48"/>
        <v>0</v>
      </c>
      <c r="S187" s="166">
        <f t="shared" si="49"/>
        <v>23454</v>
      </c>
      <c r="T187" s="166">
        <f t="shared" si="50"/>
        <v>895</v>
      </c>
      <c r="U187" s="34"/>
      <c r="V187" s="34"/>
      <c r="W187" s="34"/>
      <c r="X187" s="17" t="s">
        <v>82</v>
      </c>
      <c r="Y187" s="17" t="s">
        <v>321</v>
      </c>
    </row>
    <row r="188" spans="1:25" ht="30" x14ac:dyDescent="0.25">
      <c r="A188" s="124">
        <v>149</v>
      </c>
      <c r="B188" s="138" t="s">
        <v>1188</v>
      </c>
      <c r="C188" s="144" t="s">
        <v>610</v>
      </c>
      <c r="D188" s="168" t="s">
        <v>1123</v>
      </c>
      <c r="E188" s="142"/>
      <c r="F188" s="11"/>
      <c r="G188" s="11"/>
      <c r="H188" s="11"/>
      <c r="I188" s="11"/>
      <c r="J188" s="32"/>
      <c r="K188" s="45">
        <v>24</v>
      </c>
      <c r="L188" s="193">
        <f t="shared" si="30"/>
        <v>1258250</v>
      </c>
      <c r="M188" s="136">
        <f>'Đơn giá chi tiết'!J1436</f>
        <v>353500</v>
      </c>
      <c r="N188" s="136"/>
      <c r="O188" s="136">
        <f>'Đơn giá chi tiết'!J1439</f>
        <v>904750</v>
      </c>
      <c r="P188" s="136"/>
      <c r="Q188" s="166">
        <f t="shared" si="47"/>
        <v>8484000</v>
      </c>
      <c r="R188" s="166">
        <f t="shared" si="48"/>
        <v>0</v>
      </c>
      <c r="S188" s="166">
        <f t="shared" si="49"/>
        <v>21714000</v>
      </c>
      <c r="T188" s="166">
        <f t="shared" si="50"/>
        <v>0</v>
      </c>
      <c r="U188" s="34"/>
      <c r="V188" s="34"/>
      <c r="W188" s="34"/>
      <c r="X188" s="17" t="s">
        <v>82</v>
      </c>
      <c r="Y188" s="17" t="s">
        <v>321</v>
      </c>
    </row>
    <row r="189" spans="1:25" ht="30" x14ac:dyDescent="0.25">
      <c r="A189" s="124">
        <v>150</v>
      </c>
      <c r="B189" s="138" t="s">
        <v>506</v>
      </c>
      <c r="C189" s="144" t="s">
        <v>1182</v>
      </c>
      <c r="D189" s="168" t="s">
        <v>836</v>
      </c>
      <c r="E189" s="142"/>
      <c r="F189" s="11"/>
      <c r="G189" s="11"/>
      <c r="H189" s="11"/>
      <c r="I189" s="11"/>
      <c r="J189" s="32"/>
      <c r="K189" s="45">
        <f>ROUND(44.11/100,4)</f>
        <v>0.44109999999999999</v>
      </c>
      <c r="L189" s="193">
        <f t="shared" si="30"/>
        <v>13220855</v>
      </c>
      <c r="M189" s="136">
        <f>'Đơn giá chi tiết'!J1442</f>
        <v>1435786</v>
      </c>
      <c r="N189" s="136"/>
      <c r="O189" s="136">
        <f>'Đơn giá chi tiết'!J1449</f>
        <v>7721114</v>
      </c>
      <c r="P189" s="136">
        <f>'Đơn giá chi tiết'!J1451</f>
        <v>4063955</v>
      </c>
      <c r="Q189" s="166">
        <f t="shared" si="47"/>
        <v>633325</v>
      </c>
      <c r="R189" s="166">
        <f t="shared" si="48"/>
        <v>0</v>
      </c>
      <c r="S189" s="166">
        <f t="shared" si="49"/>
        <v>3405783</v>
      </c>
      <c r="T189" s="166">
        <f t="shared" si="50"/>
        <v>1792611</v>
      </c>
      <c r="U189" s="34"/>
      <c r="V189" s="34"/>
      <c r="W189" s="34"/>
      <c r="X189" s="17" t="s">
        <v>82</v>
      </c>
      <c r="Y189" s="17" t="s">
        <v>321</v>
      </c>
    </row>
    <row r="190" spans="1:25" ht="30" x14ac:dyDescent="0.25">
      <c r="A190" s="124">
        <v>151</v>
      </c>
      <c r="B190" s="138" t="s">
        <v>408</v>
      </c>
      <c r="C190" s="144" t="s">
        <v>945</v>
      </c>
      <c r="D190" s="168" t="s">
        <v>1172</v>
      </c>
      <c r="E190" s="142"/>
      <c r="F190" s="11"/>
      <c r="G190" s="11"/>
      <c r="H190" s="11"/>
      <c r="I190" s="11"/>
      <c r="J190" s="32"/>
      <c r="K190" s="45">
        <f>ROUND( 494.77 /1000,4)</f>
        <v>0.49480000000000002</v>
      </c>
      <c r="L190" s="193">
        <f t="shared" si="30"/>
        <v>18243702</v>
      </c>
      <c r="M190" s="136">
        <f>'Đơn giá chi tiết'!J1457</f>
        <v>14713152</v>
      </c>
      <c r="N190" s="136"/>
      <c r="O190" s="136">
        <f>'Đơn giá chi tiết'!J1461</f>
        <v>2701237</v>
      </c>
      <c r="P190" s="136">
        <f>'Đơn giá chi tiết'!J1463</f>
        <v>829313</v>
      </c>
      <c r="Q190" s="166">
        <f t="shared" si="47"/>
        <v>7280068</v>
      </c>
      <c r="R190" s="166">
        <f t="shared" si="48"/>
        <v>0</v>
      </c>
      <c r="S190" s="166">
        <f t="shared" si="49"/>
        <v>1336572</v>
      </c>
      <c r="T190" s="166">
        <f t="shared" si="50"/>
        <v>410344</v>
      </c>
      <c r="U190" s="34"/>
      <c r="V190" s="34"/>
      <c r="W190" s="34"/>
      <c r="X190" s="17" t="s">
        <v>82</v>
      </c>
      <c r="Y190" s="17" t="s">
        <v>321</v>
      </c>
    </row>
    <row r="191" spans="1:25" ht="30" x14ac:dyDescent="0.25">
      <c r="A191" s="124">
        <v>152</v>
      </c>
      <c r="B191" s="138" t="s">
        <v>825</v>
      </c>
      <c r="C191" s="144" t="s">
        <v>231</v>
      </c>
      <c r="D191" s="168" t="s">
        <v>1172</v>
      </c>
      <c r="E191" s="142"/>
      <c r="F191" s="11"/>
      <c r="G191" s="11"/>
      <c r="H191" s="11"/>
      <c r="I191" s="11"/>
      <c r="J191" s="32"/>
      <c r="K191" s="45">
        <f>ROUND( 1891.04 /1000,4)</f>
        <v>1.891</v>
      </c>
      <c r="L191" s="193">
        <f t="shared" si="30"/>
        <v>17781375</v>
      </c>
      <c r="M191" s="136">
        <f>'Đơn giá chi tiết'!J1468</f>
        <v>14721361</v>
      </c>
      <c r="N191" s="136"/>
      <c r="O191" s="136">
        <f>'Đơn giá chi tiết'!J1472</f>
        <v>2247190</v>
      </c>
      <c r="P191" s="136">
        <f>'Đơn giá chi tiết'!J1474</f>
        <v>812824</v>
      </c>
      <c r="Q191" s="166">
        <f t="shared" si="47"/>
        <v>27838094</v>
      </c>
      <c r="R191" s="166">
        <f t="shared" si="48"/>
        <v>0</v>
      </c>
      <c r="S191" s="166">
        <f t="shared" si="49"/>
        <v>4249436</v>
      </c>
      <c r="T191" s="166">
        <f t="shared" si="50"/>
        <v>1537050</v>
      </c>
      <c r="U191" s="34"/>
      <c r="V191" s="34"/>
      <c r="W191" s="34"/>
      <c r="X191" s="17" t="s">
        <v>82</v>
      </c>
      <c r="Y191" s="17" t="s">
        <v>321</v>
      </c>
    </row>
    <row r="192" spans="1:25" x14ac:dyDescent="0.25">
      <c r="A192" s="168"/>
      <c r="B192" s="144"/>
      <c r="C192" s="130" t="s">
        <v>500</v>
      </c>
      <c r="D192" s="168"/>
      <c r="E192" s="166"/>
      <c r="F192" s="37"/>
      <c r="G192" s="37"/>
      <c r="H192" s="37"/>
      <c r="I192" s="37"/>
      <c r="J192" s="60"/>
      <c r="K192" s="60"/>
      <c r="L192" s="193">
        <f t="shared" si="30"/>
        <v>0</v>
      </c>
      <c r="M192" s="166"/>
      <c r="N192" s="166"/>
      <c r="O192" s="166"/>
      <c r="P192" s="166"/>
      <c r="Q192" s="166"/>
      <c r="R192" s="166"/>
      <c r="S192" s="166"/>
      <c r="T192" s="166"/>
      <c r="U192" s="34"/>
      <c r="V192" s="34"/>
      <c r="W192" s="34"/>
      <c r="X192" s="17"/>
      <c r="Y192" s="17"/>
    </row>
    <row r="193" spans="1:25" ht="45" x14ac:dyDescent="0.25">
      <c r="A193" s="63">
        <v>153</v>
      </c>
      <c r="B193" s="29" t="s">
        <v>30</v>
      </c>
      <c r="C193" s="80" t="s">
        <v>815</v>
      </c>
      <c r="D193" s="119" t="s">
        <v>818</v>
      </c>
      <c r="E193" s="142"/>
      <c r="F193" s="11"/>
      <c r="G193" s="11"/>
      <c r="H193" s="11"/>
      <c r="I193" s="11"/>
      <c r="J193" s="32"/>
      <c r="K193" s="45">
        <v>18</v>
      </c>
      <c r="L193" s="193">
        <f t="shared" si="30"/>
        <v>2346041</v>
      </c>
      <c r="M193" s="71">
        <f>'Đơn giá chi tiết'!J1479</f>
        <v>371373</v>
      </c>
      <c r="N193" s="71"/>
      <c r="O193" s="71">
        <f>'Đơn giá chi tiết'!J1482</f>
        <v>472386</v>
      </c>
      <c r="P193" s="71">
        <f>'Đơn giá chi tiết'!J1484</f>
        <v>1502282</v>
      </c>
      <c r="Q193" s="109">
        <f t="shared" ref="Q193:Q202" si="51">ROUND(K193*M193,0)</f>
        <v>6684714</v>
      </c>
      <c r="R193" s="109">
        <f t="shared" ref="R193:R202" si="52">ROUND(K193*N193,0)</f>
        <v>0</v>
      </c>
      <c r="S193" s="109">
        <f t="shared" ref="S193:S202" si="53">ROUND(K193*O193,0)</f>
        <v>8502948</v>
      </c>
      <c r="T193" s="109">
        <f t="shared" ref="T193:T202" si="54">ROUND(K193*P193,0)</f>
        <v>27041076</v>
      </c>
      <c r="U193" s="152"/>
      <c r="V193" s="152"/>
      <c r="W193" s="152"/>
      <c r="X193" s="17"/>
      <c r="Y193" s="17"/>
    </row>
    <row r="194" spans="1:25" x14ac:dyDescent="0.25">
      <c r="A194" s="63">
        <v>154</v>
      </c>
      <c r="B194" s="29" t="s">
        <v>30</v>
      </c>
      <c r="C194" s="80" t="s">
        <v>94</v>
      </c>
      <c r="D194" s="119" t="s">
        <v>818</v>
      </c>
      <c r="E194" s="142"/>
      <c r="F194" s="11"/>
      <c r="G194" s="11"/>
      <c r="H194" s="11"/>
      <c r="I194" s="11"/>
      <c r="J194" s="32"/>
      <c r="K194" s="45">
        <v>12</v>
      </c>
      <c r="L194" s="193">
        <f t="shared" si="30"/>
        <v>22500000</v>
      </c>
      <c r="M194" s="71">
        <f>'Đơn giá chi tiết'!J1488</f>
        <v>22500000</v>
      </c>
      <c r="N194" s="71"/>
      <c r="O194" s="71"/>
      <c r="P194" s="71"/>
      <c r="Q194" s="166">
        <f t="shared" si="51"/>
        <v>270000000</v>
      </c>
      <c r="R194" s="166">
        <f t="shared" si="52"/>
        <v>0</v>
      </c>
      <c r="S194" s="166">
        <f t="shared" si="53"/>
        <v>0</v>
      </c>
      <c r="T194" s="166">
        <f t="shared" si="54"/>
        <v>0</v>
      </c>
      <c r="U194" s="152"/>
      <c r="V194" s="152"/>
      <c r="W194" s="152"/>
      <c r="X194" s="17"/>
      <c r="Y194" s="17"/>
    </row>
    <row r="195" spans="1:25" x14ac:dyDescent="0.25">
      <c r="A195" s="63">
        <v>155</v>
      </c>
      <c r="B195" s="29" t="s">
        <v>30</v>
      </c>
      <c r="C195" s="80" t="s">
        <v>1178</v>
      </c>
      <c r="D195" s="119" t="s">
        <v>818</v>
      </c>
      <c r="E195" s="142"/>
      <c r="F195" s="11"/>
      <c r="G195" s="11"/>
      <c r="H195" s="11"/>
      <c r="I195" s="11"/>
      <c r="J195" s="32"/>
      <c r="K195" s="45">
        <v>6</v>
      </c>
      <c r="L195" s="193">
        <f t="shared" si="30"/>
        <v>8952556</v>
      </c>
      <c r="M195" s="71">
        <f>'Đơn giá chi tiết'!J1491</f>
        <v>8952556</v>
      </c>
      <c r="N195" s="71"/>
      <c r="O195" s="71"/>
      <c r="P195" s="71"/>
      <c r="Q195" s="166">
        <f t="shared" si="51"/>
        <v>53715336</v>
      </c>
      <c r="R195" s="166">
        <f t="shared" si="52"/>
        <v>0</v>
      </c>
      <c r="S195" s="166">
        <f t="shared" si="53"/>
        <v>0</v>
      </c>
      <c r="T195" s="166">
        <f t="shared" si="54"/>
        <v>0</v>
      </c>
      <c r="U195" s="152"/>
      <c r="V195" s="152"/>
      <c r="W195" s="152"/>
      <c r="X195" s="17"/>
      <c r="Y195" s="17"/>
    </row>
    <row r="196" spans="1:25" ht="30" x14ac:dyDescent="0.25">
      <c r="A196" s="124">
        <v>156</v>
      </c>
      <c r="B196" s="138" t="s">
        <v>709</v>
      </c>
      <c r="C196" s="144" t="s">
        <v>659</v>
      </c>
      <c r="D196" s="168" t="s">
        <v>155</v>
      </c>
      <c r="E196" s="142"/>
      <c r="F196" s="11"/>
      <c r="G196" s="11"/>
      <c r="H196" s="11"/>
      <c r="I196" s="11"/>
      <c r="J196" s="32"/>
      <c r="K196" s="45">
        <v>56.26</v>
      </c>
      <c r="L196" s="193">
        <f t="shared" si="30"/>
        <v>2253251</v>
      </c>
      <c r="M196" s="136">
        <f>'Đơn giá chi tiết'!J1494</f>
        <v>1607685</v>
      </c>
      <c r="N196" s="136"/>
      <c r="O196" s="136">
        <f>'Đơn giá chi tiết'!J1501</f>
        <v>595997</v>
      </c>
      <c r="P196" s="136">
        <f>'Đơn giá chi tiết'!J1503</f>
        <v>49569</v>
      </c>
      <c r="Q196" s="166">
        <f t="shared" si="51"/>
        <v>90448358</v>
      </c>
      <c r="R196" s="166">
        <f t="shared" si="52"/>
        <v>0</v>
      </c>
      <c r="S196" s="166">
        <f t="shared" si="53"/>
        <v>33530791</v>
      </c>
      <c r="T196" s="166">
        <f t="shared" si="54"/>
        <v>2788752</v>
      </c>
      <c r="U196" s="34"/>
      <c r="V196" s="34"/>
      <c r="W196" s="34"/>
      <c r="X196" s="17" t="s">
        <v>82</v>
      </c>
      <c r="Y196" s="17" t="s">
        <v>321</v>
      </c>
    </row>
    <row r="197" spans="1:25" ht="30" x14ac:dyDescent="0.25">
      <c r="A197" s="124">
        <v>157</v>
      </c>
      <c r="B197" s="138" t="s">
        <v>280</v>
      </c>
      <c r="C197" s="144" t="s">
        <v>553</v>
      </c>
      <c r="D197" s="168" t="s">
        <v>155</v>
      </c>
      <c r="E197" s="142"/>
      <c r="F197" s="11"/>
      <c r="G197" s="11"/>
      <c r="H197" s="11"/>
      <c r="I197" s="11"/>
      <c r="J197" s="32"/>
      <c r="K197" s="45">
        <v>3.07</v>
      </c>
      <c r="L197" s="193">
        <f t="shared" si="30"/>
        <v>1989652</v>
      </c>
      <c r="M197" s="136">
        <f>'Đơn giá chi tiết'!J1508</f>
        <v>1112205</v>
      </c>
      <c r="N197" s="136"/>
      <c r="O197" s="136">
        <f>'Đơn giá chi tiết'!J1514</f>
        <v>571593</v>
      </c>
      <c r="P197" s="136">
        <f>'Đơn giá chi tiết'!J1516</f>
        <v>305854</v>
      </c>
      <c r="Q197" s="166">
        <f t="shared" si="51"/>
        <v>3414469</v>
      </c>
      <c r="R197" s="166">
        <f t="shared" si="52"/>
        <v>0</v>
      </c>
      <c r="S197" s="166">
        <f t="shared" si="53"/>
        <v>1754791</v>
      </c>
      <c r="T197" s="166">
        <f t="shared" si="54"/>
        <v>938972</v>
      </c>
      <c r="U197" s="34"/>
      <c r="V197" s="34"/>
      <c r="W197" s="34"/>
      <c r="X197" s="17" t="s">
        <v>82</v>
      </c>
      <c r="Y197" s="17" t="s">
        <v>321</v>
      </c>
    </row>
    <row r="198" spans="1:25" x14ac:dyDescent="0.25">
      <c r="A198" s="63">
        <v>158</v>
      </c>
      <c r="B198" s="73" t="s">
        <v>30</v>
      </c>
      <c r="C198" s="111" t="s">
        <v>439</v>
      </c>
      <c r="D198" s="119" t="s">
        <v>205</v>
      </c>
      <c r="E198" s="142"/>
      <c r="F198" s="11"/>
      <c r="G198" s="11"/>
      <c r="H198" s="11"/>
      <c r="I198" s="11"/>
      <c r="J198" s="32"/>
      <c r="K198" s="45">
        <v>267.89999999999998</v>
      </c>
      <c r="L198" s="193">
        <f t="shared" si="30"/>
        <v>200185</v>
      </c>
      <c r="M198" s="71">
        <f>'Đơn giá chi tiết'!J1523</f>
        <v>141159</v>
      </c>
      <c r="N198" s="71"/>
      <c r="O198" s="71">
        <f>'Đơn giá chi tiết'!J1529</f>
        <v>56929</v>
      </c>
      <c r="P198" s="71">
        <f>'Đơn giá chi tiết'!J1531</f>
        <v>2097</v>
      </c>
      <c r="Q198" s="109">
        <f t="shared" si="51"/>
        <v>37816496</v>
      </c>
      <c r="R198" s="109">
        <f t="shared" si="52"/>
        <v>0</v>
      </c>
      <c r="S198" s="109">
        <f t="shared" si="53"/>
        <v>15251279</v>
      </c>
      <c r="T198" s="109">
        <f t="shared" si="54"/>
        <v>561786</v>
      </c>
      <c r="U198" s="152"/>
      <c r="V198" s="152"/>
      <c r="W198" s="152"/>
      <c r="X198" s="17"/>
      <c r="Y198" s="17"/>
    </row>
    <row r="199" spans="1:25" x14ac:dyDescent="0.25">
      <c r="A199" s="63">
        <v>159</v>
      </c>
      <c r="B199" s="29" t="s">
        <v>30</v>
      </c>
      <c r="C199" s="80" t="s">
        <v>1164</v>
      </c>
      <c r="D199" s="119" t="s">
        <v>205</v>
      </c>
      <c r="E199" s="142"/>
      <c r="F199" s="11"/>
      <c r="G199" s="11"/>
      <c r="H199" s="11"/>
      <c r="I199" s="11"/>
      <c r="J199" s="32"/>
      <c r="K199" s="45">
        <v>16.2</v>
      </c>
      <c r="L199" s="193">
        <f t="shared" si="30"/>
        <v>75000</v>
      </c>
      <c r="M199" s="71">
        <f>'Đơn giá chi tiết'!J1534</f>
        <v>75000</v>
      </c>
      <c r="N199" s="71"/>
      <c r="O199" s="71"/>
      <c r="P199" s="71"/>
      <c r="Q199" s="166">
        <f t="shared" si="51"/>
        <v>1215000</v>
      </c>
      <c r="R199" s="166">
        <f t="shared" si="52"/>
        <v>0</v>
      </c>
      <c r="S199" s="166">
        <f t="shared" si="53"/>
        <v>0</v>
      </c>
      <c r="T199" s="166">
        <f t="shared" si="54"/>
        <v>0</v>
      </c>
      <c r="U199" s="152"/>
      <c r="V199" s="152"/>
      <c r="W199" s="152"/>
      <c r="X199" s="17"/>
      <c r="Y199" s="17"/>
    </row>
    <row r="200" spans="1:25" ht="30" x14ac:dyDescent="0.25">
      <c r="A200" s="124">
        <v>160</v>
      </c>
      <c r="B200" s="138" t="s">
        <v>869</v>
      </c>
      <c r="C200" s="144" t="s">
        <v>573</v>
      </c>
      <c r="D200" s="168" t="s">
        <v>836</v>
      </c>
      <c r="E200" s="142"/>
      <c r="F200" s="11"/>
      <c r="G200" s="11"/>
      <c r="H200" s="11"/>
      <c r="I200" s="11"/>
      <c r="J200" s="32"/>
      <c r="K200" s="45">
        <f>ROUND( 38.7 /100,4)</f>
        <v>0.38700000000000001</v>
      </c>
      <c r="L200" s="193">
        <f t="shared" ref="L200:L263" si="55">SUM(M200:P200)</f>
        <v>12624861</v>
      </c>
      <c r="M200" s="136">
        <f>'Đơn giá chi tiết'!J1537</f>
        <v>3284877</v>
      </c>
      <c r="N200" s="136"/>
      <c r="O200" s="136">
        <f>'Đơn giá chi tiết'!J1543</f>
        <v>8822813</v>
      </c>
      <c r="P200" s="136">
        <f>'Đơn giá chi tiết'!J1545</f>
        <v>517171</v>
      </c>
      <c r="Q200" s="166">
        <f t="shared" si="51"/>
        <v>1271247</v>
      </c>
      <c r="R200" s="166">
        <f t="shared" si="52"/>
        <v>0</v>
      </c>
      <c r="S200" s="166">
        <f t="shared" si="53"/>
        <v>3414429</v>
      </c>
      <c r="T200" s="166">
        <f t="shared" si="54"/>
        <v>200145</v>
      </c>
      <c r="U200" s="34"/>
      <c r="V200" s="34"/>
      <c r="W200" s="34"/>
      <c r="X200" s="17" t="s">
        <v>82</v>
      </c>
      <c r="Y200" s="17" t="s">
        <v>321</v>
      </c>
    </row>
    <row r="201" spans="1:25" ht="30" x14ac:dyDescent="0.25">
      <c r="A201" s="124">
        <v>161</v>
      </c>
      <c r="B201" s="138" t="s">
        <v>96</v>
      </c>
      <c r="C201" s="144" t="s">
        <v>307</v>
      </c>
      <c r="D201" s="168" t="s">
        <v>836</v>
      </c>
      <c r="E201" s="142"/>
      <c r="F201" s="11"/>
      <c r="G201" s="11"/>
      <c r="H201" s="11"/>
      <c r="I201" s="11"/>
      <c r="J201" s="32"/>
      <c r="K201" s="45">
        <f>ROUND(252.72/100,4)</f>
        <v>2.5272000000000001</v>
      </c>
      <c r="L201" s="193">
        <f t="shared" si="55"/>
        <v>11751039</v>
      </c>
      <c r="M201" s="136">
        <f>'Đơn giá chi tiết'!J1550</f>
        <v>3743235</v>
      </c>
      <c r="N201" s="136"/>
      <c r="O201" s="136">
        <f>'Đơn giá chi tiết'!J1556</f>
        <v>7490633</v>
      </c>
      <c r="P201" s="136">
        <f>'Đơn giá chi tiết'!J1558</f>
        <v>517171</v>
      </c>
      <c r="Q201" s="166">
        <f t="shared" si="51"/>
        <v>9459903</v>
      </c>
      <c r="R201" s="166">
        <f t="shared" si="52"/>
        <v>0</v>
      </c>
      <c r="S201" s="166">
        <f t="shared" si="53"/>
        <v>18930328</v>
      </c>
      <c r="T201" s="166">
        <f t="shared" si="54"/>
        <v>1306995</v>
      </c>
      <c r="U201" s="34"/>
      <c r="V201" s="34"/>
      <c r="W201" s="34"/>
      <c r="X201" s="17" t="s">
        <v>82</v>
      </c>
      <c r="Y201" s="17" t="s">
        <v>321</v>
      </c>
    </row>
    <row r="202" spans="1:25" ht="30" x14ac:dyDescent="0.25">
      <c r="A202" s="124">
        <v>162</v>
      </c>
      <c r="B202" s="138" t="s">
        <v>146</v>
      </c>
      <c r="C202" s="144" t="s">
        <v>968</v>
      </c>
      <c r="D202" s="168" t="s">
        <v>1172</v>
      </c>
      <c r="E202" s="142"/>
      <c r="F202" s="11"/>
      <c r="G202" s="11"/>
      <c r="H202" s="11"/>
      <c r="I202" s="11"/>
      <c r="J202" s="32"/>
      <c r="K202" s="45">
        <f>ROUND(SUM(J203:J203),4)</f>
        <v>8.5599999999999996E-2</v>
      </c>
      <c r="L202" s="193">
        <f t="shared" si="55"/>
        <v>17810765</v>
      </c>
      <c r="M202" s="136">
        <f>'Đơn giá chi tiết'!J1563</f>
        <v>14603640</v>
      </c>
      <c r="N202" s="136"/>
      <c r="O202" s="136">
        <f>'Đơn giá chi tiết'!J1566</f>
        <v>3114083</v>
      </c>
      <c r="P202" s="136">
        <f>'Đơn giá chi tiết'!J1568</f>
        <v>93042</v>
      </c>
      <c r="Q202" s="166">
        <f t="shared" si="51"/>
        <v>1250072</v>
      </c>
      <c r="R202" s="166">
        <f t="shared" si="52"/>
        <v>0</v>
      </c>
      <c r="S202" s="166">
        <f t="shared" si="53"/>
        <v>266566</v>
      </c>
      <c r="T202" s="166">
        <f t="shared" si="54"/>
        <v>7964</v>
      </c>
      <c r="U202" s="34"/>
      <c r="V202" s="34"/>
      <c r="W202" s="34"/>
      <c r="X202" s="17" t="s">
        <v>82</v>
      </c>
      <c r="Y202" s="17" t="s">
        <v>321</v>
      </c>
    </row>
    <row r="203" spans="1:25" x14ac:dyDescent="0.25">
      <c r="A203" s="161"/>
      <c r="B203" s="133"/>
      <c r="C203" s="133" t="s">
        <v>890</v>
      </c>
      <c r="D203" s="161"/>
      <c r="E203" s="156"/>
      <c r="F203" s="27"/>
      <c r="G203" s="27"/>
      <c r="H203" s="27"/>
      <c r="I203" s="27"/>
      <c r="J203" s="45">
        <v>8.5599999999999996E-2</v>
      </c>
      <c r="K203" s="45"/>
      <c r="L203" s="193">
        <f t="shared" si="55"/>
        <v>0</v>
      </c>
      <c r="M203" s="156"/>
      <c r="N203" s="156"/>
      <c r="O203" s="156"/>
      <c r="P203" s="156"/>
      <c r="Q203" s="156"/>
      <c r="R203" s="156"/>
      <c r="S203" s="156"/>
      <c r="T203" s="156"/>
      <c r="U203" s="20"/>
      <c r="V203" s="20"/>
      <c r="W203" s="20"/>
      <c r="X203" s="17"/>
      <c r="Y203" s="17"/>
    </row>
    <row r="204" spans="1:25" ht="30" x14ac:dyDescent="0.25">
      <c r="A204" s="124">
        <v>163</v>
      </c>
      <c r="B204" s="138" t="s">
        <v>551</v>
      </c>
      <c r="C204" s="144" t="s">
        <v>1027</v>
      </c>
      <c r="D204" s="168" t="s">
        <v>1172</v>
      </c>
      <c r="E204" s="142"/>
      <c r="F204" s="11"/>
      <c r="G204" s="11"/>
      <c r="H204" s="11"/>
      <c r="I204" s="11"/>
      <c r="J204" s="32"/>
      <c r="K204" s="45">
        <f>ROUND(SUM(J205:J205),4)</f>
        <v>10.3314</v>
      </c>
      <c r="L204" s="193">
        <f t="shared" si="55"/>
        <v>17461083</v>
      </c>
      <c r="M204" s="136">
        <f>'Đơn giá chi tiết'!J1572</f>
        <v>14677203</v>
      </c>
      <c r="N204" s="136"/>
      <c r="O204" s="136">
        <f>'Đơn giá chi tiết'!J1576</f>
        <v>2322259</v>
      </c>
      <c r="P204" s="136">
        <f>'Đơn giá chi tiết'!J1578</f>
        <v>461621</v>
      </c>
      <c r="Q204" s="166">
        <f>ROUND(K204*M204,0)</f>
        <v>151636055</v>
      </c>
      <c r="R204" s="166">
        <f>ROUND(K204*N204,0)</f>
        <v>0</v>
      </c>
      <c r="S204" s="166">
        <f>ROUND(K204*O204,0)</f>
        <v>23992187</v>
      </c>
      <c r="T204" s="166">
        <f>ROUND(K204*P204,0)</f>
        <v>4769191</v>
      </c>
      <c r="U204" s="34"/>
      <c r="V204" s="34"/>
      <c r="W204" s="34"/>
      <c r="X204" s="17" t="s">
        <v>82</v>
      </c>
      <c r="Y204" s="17" t="s">
        <v>321</v>
      </c>
    </row>
    <row r="205" spans="1:25" x14ac:dyDescent="0.25">
      <c r="A205" s="161"/>
      <c r="B205" s="133"/>
      <c r="C205" s="133" t="s">
        <v>368</v>
      </c>
      <c r="D205" s="161"/>
      <c r="E205" s="156"/>
      <c r="F205" s="27"/>
      <c r="G205" s="27"/>
      <c r="H205" s="27"/>
      <c r="I205" s="27"/>
      <c r="J205" s="45">
        <v>10.3314</v>
      </c>
      <c r="K205" s="45"/>
      <c r="L205" s="193">
        <f t="shared" si="55"/>
        <v>0</v>
      </c>
      <c r="M205" s="156"/>
      <c r="N205" s="156"/>
      <c r="O205" s="156"/>
      <c r="P205" s="156"/>
      <c r="Q205" s="156"/>
      <c r="R205" s="156"/>
      <c r="S205" s="156"/>
      <c r="T205" s="156"/>
      <c r="U205" s="20"/>
      <c r="V205" s="20"/>
      <c r="W205" s="20"/>
      <c r="X205" s="17"/>
      <c r="Y205" s="17"/>
    </row>
    <row r="206" spans="1:25" ht="30" x14ac:dyDescent="0.25">
      <c r="A206" s="124">
        <v>164</v>
      </c>
      <c r="B206" s="138" t="s">
        <v>931</v>
      </c>
      <c r="C206" s="144" t="s">
        <v>375</v>
      </c>
      <c r="D206" s="168" t="s">
        <v>1172</v>
      </c>
      <c r="E206" s="142"/>
      <c r="F206" s="11"/>
      <c r="G206" s="11"/>
      <c r="H206" s="11"/>
      <c r="I206" s="11"/>
      <c r="J206" s="32"/>
      <c r="K206" s="45">
        <f>ROUND(SUM(J207:J207),4)</f>
        <v>0.27810000000000001</v>
      </c>
      <c r="L206" s="193">
        <f t="shared" si="55"/>
        <v>19689427</v>
      </c>
      <c r="M206" s="136">
        <f>'Đơn giá chi tiết'!J1584</f>
        <v>14603640</v>
      </c>
      <c r="N206" s="136"/>
      <c r="O206" s="136">
        <f>'Đơn giá chi tiết'!J1587</f>
        <v>4644192</v>
      </c>
      <c r="P206" s="136">
        <f>'Đơn giá chi tiết'!J1589</f>
        <v>441595</v>
      </c>
      <c r="Q206" s="166">
        <f>ROUND(K206*M206,0)</f>
        <v>4061272</v>
      </c>
      <c r="R206" s="166">
        <f>ROUND(K206*N206,0)</f>
        <v>0</v>
      </c>
      <c r="S206" s="166">
        <f>ROUND(K206*O206,0)</f>
        <v>1291550</v>
      </c>
      <c r="T206" s="166">
        <f>ROUND(K206*P206,0)</f>
        <v>122808</v>
      </c>
      <c r="U206" s="34"/>
      <c r="V206" s="34"/>
      <c r="W206" s="34"/>
      <c r="X206" s="17" t="s">
        <v>82</v>
      </c>
      <c r="Y206" s="17" t="s">
        <v>321</v>
      </c>
    </row>
    <row r="207" spans="1:25" x14ac:dyDescent="0.25">
      <c r="A207" s="161"/>
      <c r="B207" s="133"/>
      <c r="C207" s="133" t="s">
        <v>612</v>
      </c>
      <c r="D207" s="161"/>
      <c r="E207" s="156"/>
      <c r="F207" s="27"/>
      <c r="G207" s="27"/>
      <c r="H207" s="27"/>
      <c r="I207" s="27"/>
      <c r="J207" s="45">
        <v>0.27810000000000001</v>
      </c>
      <c r="K207" s="45"/>
      <c r="L207" s="193">
        <f t="shared" si="55"/>
        <v>0</v>
      </c>
      <c r="M207" s="156"/>
      <c r="N207" s="156"/>
      <c r="O207" s="156"/>
      <c r="P207" s="156"/>
      <c r="Q207" s="156"/>
      <c r="R207" s="156"/>
      <c r="S207" s="156"/>
      <c r="T207" s="156"/>
      <c r="U207" s="20"/>
      <c r="V207" s="20"/>
      <c r="W207" s="20"/>
      <c r="X207" s="17"/>
      <c r="Y207" s="17"/>
    </row>
    <row r="208" spans="1:25" ht="30" x14ac:dyDescent="0.25">
      <c r="A208" s="124">
        <v>165</v>
      </c>
      <c r="B208" s="138" t="s">
        <v>102</v>
      </c>
      <c r="C208" s="144" t="s">
        <v>1023</v>
      </c>
      <c r="D208" s="168" t="s">
        <v>1172</v>
      </c>
      <c r="E208" s="142"/>
      <c r="F208" s="11"/>
      <c r="G208" s="11"/>
      <c r="H208" s="11"/>
      <c r="I208" s="11"/>
      <c r="J208" s="32"/>
      <c r="K208" s="45">
        <f>ROUND(SUM(J209:J209),4)</f>
        <v>0.122</v>
      </c>
      <c r="L208" s="193">
        <f t="shared" si="55"/>
        <v>18830304</v>
      </c>
      <c r="M208" s="136">
        <f>'Đơn giá chi tiết'!J1593</f>
        <v>14713152</v>
      </c>
      <c r="N208" s="136"/>
      <c r="O208" s="136">
        <f>'Đơn giá chi tiết'!J1597</f>
        <v>3240563</v>
      </c>
      <c r="P208" s="136">
        <f>'Đơn giá chi tiết'!J1599</f>
        <v>876589</v>
      </c>
      <c r="Q208" s="166">
        <f>ROUND(K208*M208,0)</f>
        <v>1795005</v>
      </c>
      <c r="R208" s="166">
        <f>ROUND(K208*N208,0)</f>
        <v>0</v>
      </c>
      <c r="S208" s="166">
        <f>ROUND(K208*O208,0)</f>
        <v>395349</v>
      </c>
      <c r="T208" s="166">
        <f>ROUND(K208*P208,0)</f>
        <v>106944</v>
      </c>
      <c r="U208" s="34"/>
      <c r="V208" s="34"/>
      <c r="W208" s="34"/>
      <c r="X208" s="17" t="s">
        <v>82</v>
      </c>
      <c r="Y208" s="17" t="s">
        <v>321</v>
      </c>
    </row>
    <row r="209" spans="1:25" x14ac:dyDescent="0.25">
      <c r="A209" s="161"/>
      <c r="B209" s="133"/>
      <c r="C209" s="133" t="s">
        <v>1193</v>
      </c>
      <c r="D209" s="161"/>
      <c r="E209" s="156"/>
      <c r="F209" s="27"/>
      <c r="G209" s="27"/>
      <c r="H209" s="27"/>
      <c r="I209" s="27"/>
      <c r="J209" s="45">
        <v>0.122</v>
      </c>
      <c r="K209" s="45"/>
      <c r="L209" s="193">
        <f t="shared" si="55"/>
        <v>0</v>
      </c>
      <c r="M209" s="156"/>
      <c r="N209" s="156"/>
      <c r="O209" s="156"/>
      <c r="P209" s="156"/>
      <c r="Q209" s="156"/>
      <c r="R209" s="156"/>
      <c r="S209" s="156"/>
      <c r="T209" s="156"/>
      <c r="U209" s="20"/>
      <c r="V209" s="20"/>
      <c r="W209" s="20"/>
      <c r="X209" s="17"/>
      <c r="Y209" s="17"/>
    </row>
    <row r="210" spans="1:25" ht="30" x14ac:dyDescent="0.25">
      <c r="A210" s="124">
        <v>166</v>
      </c>
      <c r="B210" s="138" t="s">
        <v>502</v>
      </c>
      <c r="C210" s="144" t="s">
        <v>720</v>
      </c>
      <c r="D210" s="168" t="s">
        <v>1172</v>
      </c>
      <c r="E210" s="142"/>
      <c r="F210" s="11"/>
      <c r="G210" s="11"/>
      <c r="H210" s="11"/>
      <c r="I210" s="11"/>
      <c r="J210" s="32"/>
      <c r="K210" s="45">
        <f>ROUND(SUM(J211:J211),4)</f>
        <v>0.2127</v>
      </c>
      <c r="L210" s="193">
        <f t="shared" si="55"/>
        <v>18272836</v>
      </c>
      <c r="M210" s="136">
        <f>'Đơn giá chi tiết'!J1604</f>
        <v>14721361</v>
      </c>
      <c r="N210" s="136"/>
      <c r="O210" s="136">
        <f>'Đơn giá chi tiết'!J1608</f>
        <v>2696628</v>
      </c>
      <c r="P210" s="136">
        <f>'Đơn giá chi tiết'!J1610</f>
        <v>854847</v>
      </c>
      <c r="Q210" s="166">
        <f>ROUND(K210*M210,0)</f>
        <v>3131233</v>
      </c>
      <c r="R210" s="166">
        <f>ROUND(K210*N210,0)</f>
        <v>0</v>
      </c>
      <c r="S210" s="166">
        <f>ROUND(K210*O210,0)</f>
        <v>573573</v>
      </c>
      <c r="T210" s="166">
        <f>ROUND(K210*P210,0)</f>
        <v>181826</v>
      </c>
      <c r="U210" s="34"/>
      <c r="V210" s="34"/>
      <c r="W210" s="34"/>
      <c r="X210" s="17" t="s">
        <v>82</v>
      </c>
      <c r="Y210" s="17" t="s">
        <v>321</v>
      </c>
    </row>
    <row r="211" spans="1:25" x14ac:dyDescent="0.25">
      <c r="A211" s="161"/>
      <c r="B211" s="133"/>
      <c r="C211" s="133" t="s">
        <v>946</v>
      </c>
      <c r="D211" s="161"/>
      <c r="E211" s="156"/>
      <c r="F211" s="27"/>
      <c r="G211" s="27"/>
      <c r="H211" s="27"/>
      <c r="I211" s="27"/>
      <c r="J211" s="45">
        <v>0.2127</v>
      </c>
      <c r="K211" s="45"/>
      <c r="L211" s="193">
        <f t="shared" si="55"/>
        <v>0</v>
      </c>
      <c r="M211" s="156"/>
      <c r="N211" s="156"/>
      <c r="O211" s="156"/>
      <c r="P211" s="156"/>
      <c r="Q211" s="156"/>
      <c r="R211" s="156"/>
      <c r="S211" s="156"/>
      <c r="T211" s="156"/>
      <c r="U211" s="20"/>
      <c r="V211" s="20"/>
      <c r="W211" s="20"/>
      <c r="X211" s="17"/>
      <c r="Y211" s="17"/>
    </row>
    <row r="212" spans="1:25" x14ac:dyDescent="0.25">
      <c r="A212" s="168"/>
      <c r="B212" s="144"/>
      <c r="C212" s="130" t="s">
        <v>804</v>
      </c>
      <c r="D212" s="168"/>
      <c r="E212" s="166"/>
      <c r="F212" s="37"/>
      <c r="G212" s="37"/>
      <c r="H212" s="37"/>
      <c r="I212" s="37"/>
      <c r="J212" s="60"/>
      <c r="K212" s="60"/>
      <c r="L212" s="193">
        <f t="shared" si="55"/>
        <v>0</v>
      </c>
      <c r="M212" s="166"/>
      <c r="N212" s="166"/>
      <c r="O212" s="166"/>
      <c r="P212" s="166"/>
      <c r="Q212" s="166"/>
      <c r="R212" s="166"/>
      <c r="S212" s="166"/>
      <c r="T212" s="166"/>
      <c r="U212" s="34"/>
      <c r="V212" s="34"/>
      <c r="W212" s="34"/>
      <c r="X212" s="17"/>
      <c r="Y212" s="17"/>
    </row>
    <row r="213" spans="1:25" ht="30" x14ac:dyDescent="0.25">
      <c r="A213" s="124">
        <v>167</v>
      </c>
      <c r="B213" s="52" t="s">
        <v>444</v>
      </c>
      <c r="C213" s="144" t="s">
        <v>1037</v>
      </c>
      <c r="D213" s="168" t="s">
        <v>113</v>
      </c>
      <c r="E213" s="142"/>
      <c r="F213" s="11"/>
      <c r="G213" s="11"/>
      <c r="H213" s="11"/>
      <c r="I213" s="11"/>
      <c r="J213" s="32"/>
      <c r="K213" s="45">
        <v>12</v>
      </c>
      <c r="L213" s="193">
        <f t="shared" si="55"/>
        <v>1900950</v>
      </c>
      <c r="M213" s="136">
        <f>'Đơn giá chi tiết'!J1615</f>
        <v>1590750</v>
      </c>
      <c r="N213" s="136"/>
      <c r="O213" s="136">
        <f>'Đơn giá chi tiết'!J1618</f>
        <v>310200</v>
      </c>
      <c r="P213" s="136"/>
      <c r="Q213" s="166">
        <f t="shared" ref="Q213:Q218" si="56">ROUND(K213*M213,0)</f>
        <v>19089000</v>
      </c>
      <c r="R213" s="166">
        <f t="shared" ref="R213:R218" si="57">ROUND(K213*N213,0)</f>
        <v>0</v>
      </c>
      <c r="S213" s="166">
        <f t="shared" ref="S213:S218" si="58">ROUND(K213*O213,0)</f>
        <v>3722400</v>
      </c>
      <c r="T213" s="166">
        <f t="shared" ref="T213:T218" si="59">ROUND(K213*P213,0)</f>
        <v>0</v>
      </c>
      <c r="U213" s="34"/>
      <c r="V213" s="34"/>
      <c r="W213" s="34"/>
      <c r="X213" s="17" t="s">
        <v>82</v>
      </c>
      <c r="Y213" s="17" t="s">
        <v>321</v>
      </c>
    </row>
    <row r="214" spans="1:25" x14ac:dyDescent="0.25">
      <c r="A214" s="63">
        <v>168</v>
      </c>
      <c r="B214" s="29" t="s">
        <v>30</v>
      </c>
      <c r="C214" s="80" t="s">
        <v>665</v>
      </c>
      <c r="D214" s="119" t="s">
        <v>1123</v>
      </c>
      <c r="E214" s="142"/>
      <c r="F214" s="11"/>
      <c r="G214" s="11"/>
      <c r="H214" s="11"/>
      <c r="I214" s="11"/>
      <c r="J214" s="32"/>
      <c r="K214" s="45">
        <v>116</v>
      </c>
      <c r="L214" s="193">
        <f t="shared" si="55"/>
        <v>15000</v>
      </c>
      <c r="M214" s="71">
        <f>'Đơn giá chi tiết'!J1621</f>
        <v>15000</v>
      </c>
      <c r="N214" s="71"/>
      <c r="O214" s="71"/>
      <c r="P214" s="71"/>
      <c r="Q214" s="166">
        <f t="shared" si="56"/>
        <v>1740000</v>
      </c>
      <c r="R214" s="166">
        <f t="shared" si="57"/>
        <v>0</v>
      </c>
      <c r="S214" s="166">
        <f t="shared" si="58"/>
        <v>0</v>
      </c>
      <c r="T214" s="166">
        <f t="shared" si="59"/>
        <v>0</v>
      </c>
      <c r="U214" s="152"/>
      <c r="V214" s="152"/>
      <c r="W214" s="152"/>
      <c r="X214" s="17"/>
      <c r="Y214" s="17"/>
    </row>
    <row r="215" spans="1:25" x14ac:dyDescent="0.25">
      <c r="A215" s="63">
        <v>169</v>
      </c>
      <c r="B215" s="29" t="s">
        <v>30</v>
      </c>
      <c r="C215" s="80" t="s">
        <v>139</v>
      </c>
      <c r="D215" s="119" t="s">
        <v>414</v>
      </c>
      <c r="E215" s="142"/>
      <c r="F215" s="11"/>
      <c r="G215" s="11"/>
      <c r="H215" s="11"/>
      <c r="I215" s="11"/>
      <c r="J215" s="32"/>
      <c r="K215" s="45">
        <v>0.37</v>
      </c>
      <c r="L215" s="193">
        <f t="shared" si="55"/>
        <v>250000</v>
      </c>
      <c r="M215" s="71">
        <f>'Đơn giá chi tiết'!J1624</f>
        <v>250000</v>
      </c>
      <c r="N215" s="71"/>
      <c r="O215" s="71"/>
      <c r="P215" s="71"/>
      <c r="Q215" s="166">
        <f t="shared" si="56"/>
        <v>92500</v>
      </c>
      <c r="R215" s="166">
        <f t="shared" si="57"/>
        <v>0</v>
      </c>
      <c r="S215" s="166">
        <f t="shared" si="58"/>
        <v>0</v>
      </c>
      <c r="T215" s="166">
        <f t="shared" si="59"/>
        <v>0</v>
      </c>
      <c r="U215" s="152"/>
      <c r="V215" s="152"/>
      <c r="W215" s="152"/>
      <c r="X215" s="17"/>
      <c r="Y215" s="17"/>
    </row>
    <row r="216" spans="1:25" x14ac:dyDescent="0.25">
      <c r="A216" s="63">
        <v>170</v>
      </c>
      <c r="B216" s="29" t="s">
        <v>30</v>
      </c>
      <c r="C216" s="80" t="s">
        <v>654</v>
      </c>
      <c r="D216" s="119" t="s">
        <v>1155</v>
      </c>
      <c r="E216" s="142"/>
      <c r="F216" s="11"/>
      <c r="G216" s="11"/>
      <c r="H216" s="11"/>
      <c r="I216" s="11"/>
      <c r="J216" s="32"/>
      <c r="K216" s="45">
        <v>7.14</v>
      </c>
      <c r="L216" s="193">
        <f t="shared" si="55"/>
        <v>35000</v>
      </c>
      <c r="M216" s="71">
        <f>'Đơn giá chi tiết'!J1627</f>
        <v>35000</v>
      </c>
      <c r="N216" s="71"/>
      <c r="O216" s="71"/>
      <c r="P216" s="71"/>
      <c r="Q216" s="166">
        <f t="shared" si="56"/>
        <v>249900</v>
      </c>
      <c r="R216" s="166">
        <f t="shared" si="57"/>
        <v>0</v>
      </c>
      <c r="S216" s="166">
        <f t="shared" si="58"/>
        <v>0</v>
      </c>
      <c r="T216" s="166">
        <f t="shared" si="59"/>
        <v>0</v>
      </c>
      <c r="U216" s="152"/>
      <c r="V216" s="152"/>
      <c r="W216" s="152"/>
      <c r="X216" s="17"/>
      <c r="Y216" s="17"/>
    </row>
    <row r="217" spans="1:25" ht="30" x14ac:dyDescent="0.25">
      <c r="A217" s="124">
        <v>171</v>
      </c>
      <c r="B217" s="138" t="s">
        <v>662</v>
      </c>
      <c r="C217" s="144" t="s">
        <v>741</v>
      </c>
      <c r="D217" s="168" t="s">
        <v>155</v>
      </c>
      <c r="E217" s="142"/>
      <c r="F217" s="11"/>
      <c r="G217" s="11"/>
      <c r="H217" s="11"/>
      <c r="I217" s="11"/>
      <c r="J217" s="32"/>
      <c r="K217" s="45">
        <v>1.1299999999999999</v>
      </c>
      <c r="L217" s="193">
        <f t="shared" si="55"/>
        <v>1798050</v>
      </c>
      <c r="M217" s="136">
        <f>'Đơn giá chi tiết'!J1630</f>
        <v>1430376</v>
      </c>
      <c r="N217" s="136"/>
      <c r="O217" s="136">
        <f>'Đơn giá chi tiết'!J1637</f>
        <v>320179</v>
      </c>
      <c r="P217" s="136">
        <f>'Đơn giá chi tiết'!J1639</f>
        <v>47495</v>
      </c>
      <c r="Q217" s="166">
        <f t="shared" si="56"/>
        <v>1616325</v>
      </c>
      <c r="R217" s="166">
        <f t="shared" si="57"/>
        <v>0</v>
      </c>
      <c r="S217" s="166">
        <f t="shared" si="58"/>
        <v>361802</v>
      </c>
      <c r="T217" s="166">
        <f t="shared" si="59"/>
        <v>53669</v>
      </c>
      <c r="U217" s="34"/>
      <c r="V217" s="34"/>
      <c r="W217" s="34"/>
      <c r="X217" s="17" t="s">
        <v>82</v>
      </c>
      <c r="Y217" s="17" t="s">
        <v>321</v>
      </c>
    </row>
    <row r="218" spans="1:25" ht="30" x14ac:dyDescent="0.25">
      <c r="A218" s="124">
        <v>172</v>
      </c>
      <c r="B218" s="138" t="s">
        <v>399</v>
      </c>
      <c r="C218" s="144" t="s">
        <v>365</v>
      </c>
      <c r="D218" s="168" t="s">
        <v>1172</v>
      </c>
      <c r="E218" s="142"/>
      <c r="F218" s="11"/>
      <c r="G218" s="11"/>
      <c r="H218" s="11"/>
      <c r="I218" s="11"/>
      <c r="J218" s="32"/>
      <c r="K218" s="45">
        <f>ROUND(310.93/1000,4)</f>
        <v>0.31090000000000001</v>
      </c>
      <c r="L218" s="193">
        <f t="shared" si="55"/>
        <v>16904417</v>
      </c>
      <c r="M218" s="136">
        <f>'Đơn giá chi tiết'!J1643</f>
        <v>14677642</v>
      </c>
      <c r="N218" s="136"/>
      <c r="O218" s="136">
        <f>'Đơn giá chi tiết'!J1647</f>
        <v>1775219</v>
      </c>
      <c r="P218" s="136">
        <f>'Đơn giá chi tiết'!J1649</f>
        <v>451556</v>
      </c>
      <c r="Q218" s="166">
        <f t="shared" si="56"/>
        <v>4563279</v>
      </c>
      <c r="R218" s="166">
        <f t="shared" si="57"/>
        <v>0</v>
      </c>
      <c r="S218" s="166">
        <f t="shared" si="58"/>
        <v>551916</v>
      </c>
      <c r="T218" s="166">
        <f t="shared" si="59"/>
        <v>140389</v>
      </c>
      <c r="U218" s="34"/>
      <c r="V218" s="34"/>
      <c r="W218" s="34"/>
      <c r="X218" s="17" t="s">
        <v>82</v>
      </c>
      <c r="Y218" s="17" t="s">
        <v>321</v>
      </c>
    </row>
    <row r="219" spans="1:25" x14ac:dyDescent="0.25">
      <c r="A219" s="168"/>
      <c r="B219" s="144"/>
      <c r="C219" s="130" t="s">
        <v>649</v>
      </c>
      <c r="D219" s="168"/>
      <c r="E219" s="166"/>
      <c r="F219" s="37"/>
      <c r="G219" s="37"/>
      <c r="H219" s="37"/>
      <c r="I219" s="37"/>
      <c r="J219" s="60"/>
      <c r="K219" s="60"/>
      <c r="L219" s="193">
        <f t="shared" si="55"/>
        <v>0</v>
      </c>
      <c r="M219" s="166"/>
      <c r="N219" s="166"/>
      <c r="O219" s="166"/>
      <c r="P219" s="166"/>
      <c r="Q219" s="166"/>
      <c r="R219" s="166"/>
      <c r="S219" s="166"/>
      <c r="T219" s="166"/>
      <c r="U219" s="34"/>
      <c r="V219" s="34"/>
      <c r="W219" s="34"/>
      <c r="X219" s="17"/>
      <c r="Y219" s="17"/>
    </row>
    <row r="220" spans="1:25" ht="30" x14ac:dyDescent="0.25">
      <c r="A220" s="124">
        <v>173</v>
      </c>
      <c r="B220" s="138" t="s">
        <v>1197</v>
      </c>
      <c r="C220" s="144" t="s">
        <v>64</v>
      </c>
      <c r="D220" s="168" t="s">
        <v>1172</v>
      </c>
      <c r="E220" s="142"/>
      <c r="F220" s="11"/>
      <c r="G220" s="11"/>
      <c r="H220" s="11"/>
      <c r="I220" s="11"/>
      <c r="J220" s="32"/>
      <c r="K220" s="45">
        <f>ROUND(15.01/1000,4)</f>
        <v>1.4999999999999999E-2</v>
      </c>
      <c r="L220" s="193">
        <f t="shared" si="55"/>
        <v>17104388</v>
      </c>
      <c r="M220" s="136">
        <f>'Đơn giá chi tiết'!J1653</f>
        <v>14603640</v>
      </c>
      <c r="N220" s="136"/>
      <c r="O220" s="136">
        <f>'Đơn giá chi tiết'!J1656</f>
        <v>2409530</v>
      </c>
      <c r="P220" s="136">
        <f>'Đơn giá chi tiết'!J1658</f>
        <v>91218</v>
      </c>
      <c r="Q220" s="166">
        <f>ROUND(K220*M220,0)</f>
        <v>219055</v>
      </c>
      <c r="R220" s="166">
        <f>ROUND(K220*N220,0)</f>
        <v>0</v>
      </c>
      <c r="S220" s="166">
        <f>ROUND(K220*O220,0)</f>
        <v>36143</v>
      </c>
      <c r="T220" s="166">
        <f>ROUND(K220*P220,0)</f>
        <v>1368</v>
      </c>
      <c r="U220" s="34"/>
      <c r="V220" s="34"/>
      <c r="W220" s="34"/>
      <c r="X220" s="17" t="s">
        <v>82</v>
      </c>
      <c r="Y220" s="17" t="s">
        <v>321</v>
      </c>
    </row>
    <row r="221" spans="1:25" ht="30" x14ac:dyDescent="0.25">
      <c r="A221" s="124">
        <v>174</v>
      </c>
      <c r="B221" s="138" t="s">
        <v>399</v>
      </c>
      <c r="C221" s="144" t="s">
        <v>755</v>
      </c>
      <c r="D221" s="168" t="s">
        <v>1172</v>
      </c>
      <c r="E221" s="142"/>
      <c r="F221" s="11"/>
      <c r="G221" s="11"/>
      <c r="H221" s="11"/>
      <c r="I221" s="11"/>
      <c r="J221" s="32"/>
      <c r="K221" s="45">
        <f>ROUND(1772.59/1000,4)</f>
        <v>1.7726</v>
      </c>
      <c r="L221" s="193">
        <f t="shared" si="55"/>
        <v>16904417</v>
      </c>
      <c r="M221" s="136">
        <f>'Đơn giá chi tiết'!J1661</f>
        <v>14677642</v>
      </c>
      <c r="N221" s="136"/>
      <c r="O221" s="136">
        <f>'Đơn giá chi tiết'!J1665</f>
        <v>1775219</v>
      </c>
      <c r="P221" s="136">
        <f>'Đơn giá chi tiết'!J1667</f>
        <v>451556</v>
      </c>
      <c r="Q221" s="166">
        <f>ROUND(K221*M221,0)</f>
        <v>26017588</v>
      </c>
      <c r="R221" s="166">
        <f>ROUND(K221*N221,0)</f>
        <v>0</v>
      </c>
      <c r="S221" s="166">
        <f>ROUND(K221*O221,0)</f>
        <v>3146753</v>
      </c>
      <c r="T221" s="166">
        <f>ROUND(K221*P221,0)</f>
        <v>800428</v>
      </c>
      <c r="U221" s="34"/>
      <c r="V221" s="34"/>
      <c r="W221" s="34"/>
      <c r="X221" s="17" t="s">
        <v>82</v>
      </c>
      <c r="Y221" s="17" t="s">
        <v>321</v>
      </c>
    </row>
    <row r="222" spans="1:25" ht="30" x14ac:dyDescent="0.25">
      <c r="A222" s="124">
        <v>175</v>
      </c>
      <c r="B222" s="138" t="s">
        <v>290</v>
      </c>
      <c r="C222" s="144" t="s">
        <v>1036</v>
      </c>
      <c r="D222" s="168" t="s">
        <v>836</v>
      </c>
      <c r="E222" s="142"/>
      <c r="F222" s="11"/>
      <c r="G222" s="11"/>
      <c r="H222" s="11"/>
      <c r="I222" s="11"/>
      <c r="J222" s="32"/>
      <c r="K222" s="45">
        <f>ROUND(29.12/100,4)</f>
        <v>0.29120000000000001</v>
      </c>
      <c r="L222" s="193">
        <f t="shared" si="55"/>
        <v>731528</v>
      </c>
      <c r="M222" s="136">
        <f>'Đơn giá chi tiết'!J1671</f>
        <v>448896</v>
      </c>
      <c r="N222" s="136"/>
      <c r="O222" s="136">
        <f>'Đơn giá chi tiết'!J1674</f>
        <v>282632</v>
      </c>
      <c r="P222" s="136"/>
      <c r="Q222" s="166">
        <f>ROUND(K222*M222,0)</f>
        <v>130719</v>
      </c>
      <c r="R222" s="166">
        <f>ROUND(K222*N222,0)</f>
        <v>0</v>
      </c>
      <c r="S222" s="166">
        <f>ROUND(K222*O222,0)</f>
        <v>82302</v>
      </c>
      <c r="T222" s="166">
        <f>ROUND(K222*P222,0)</f>
        <v>0</v>
      </c>
      <c r="U222" s="34"/>
      <c r="V222" s="34"/>
      <c r="W222" s="34"/>
      <c r="X222" s="17" t="s">
        <v>82</v>
      </c>
      <c r="Y222" s="17" t="s">
        <v>321</v>
      </c>
    </row>
    <row r="223" spans="1:25" x14ac:dyDescent="0.25">
      <c r="A223" s="63">
        <v>176</v>
      </c>
      <c r="B223" s="29" t="s">
        <v>30</v>
      </c>
      <c r="C223" s="80" t="s">
        <v>922</v>
      </c>
      <c r="D223" s="119" t="s">
        <v>555</v>
      </c>
      <c r="E223" s="142"/>
      <c r="F223" s="11"/>
      <c r="G223" s="11"/>
      <c r="H223" s="11"/>
      <c r="I223" s="11"/>
      <c r="J223" s="32"/>
      <c r="K223" s="45">
        <v>226.39</v>
      </c>
      <c r="L223" s="193">
        <f t="shared" si="55"/>
        <v>25168</v>
      </c>
      <c r="M223" s="71">
        <f>'Đơn giá chi tiết'!J1677</f>
        <v>25168</v>
      </c>
      <c r="N223" s="71"/>
      <c r="O223" s="71"/>
      <c r="P223" s="71"/>
      <c r="Q223" s="166">
        <f>ROUND(K223*M223,0)</f>
        <v>5697784</v>
      </c>
      <c r="R223" s="166">
        <f>ROUND(K223*N223,0)</f>
        <v>0</v>
      </c>
      <c r="S223" s="166">
        <f>ROUND(K223*O223,0)</f>
        <v>0</v>
      </c>
      <c r="T223" s="166">
        <f>ROUND(K223*P223,0)</f>
        <v>0</v>
      </c>
      <c r="U223" s="152"/>
      <c r="V223" s="152"/>
      <c r="W223" s="152"/>
      <c r="X223" s="17"/>
      <c r="Y223" s="17"/>
    </row>
    <row r="224" spans="1:25" x14ac:dyDescent="0.25">
      <c r="A224" s="168"/>
      <c r="B224" s="144"/>
      <c r="C224" s="130" t="s">
        <v>883</v>
      </c>
      <c r="D224" s="168"/>
      <c r="E224" s="166"/>
      <c r="F224" s="37"/>
      <c r="G224" s="37"/>
      <c r="H224" s="37"/>
      <c r="I224" s="37"/>
      <c r="J224" s="60"/>
      <c r="K224" s="60"/>
      <c r="L224" s="193">
        <f t="shared" si="55"/>
        <v>0</v>
      </c>
      <c r="M224" s="166"/>
      <c r="N224" s="166"/>
      <c r="O224" s="166"/>
      <c r="P224" s="166"/>
      <c r="Q224" s="166"/>
      <c r="R224" s="166"/>
      <c r="S224" s="166"/>
      <c r="T224" s="166"/>
      <c r="U224" s="34"/>
      <c r="V224" s="34"/>
      <c r="W224" s="34"/>
      <c r="X224" s="17"/>
      <c r="Y224" s="17"/>
    </row>
    <row r="225" spans="1:25" ht="30" x14ac:dyDescent="0.25">
      <c r="A225" s="124">
        <v>177</v>
      </c>
      <c r="B225" s="138" t="s">
        <v>658</v>
      </c>
      <c r="C225" s="144" t="s">
        <v>90</v>
      </c>
      <c r="D225" s="168" t="s">
        <v>155</v>
      </c>
      <c r="E225" s="142"/>
      <c r="F225" s="11"/>
      <c r="G225" s="11"/>
      <c r="H225" s="11"/>
      <c r="I225" s="11"/>
      <c r="J225" s="32"/>
      <c r="K225" s="45">
        <v>77.180000000000007</v>
      </c>
      <c r="L225" s="193">
        <f t="shared" si="55"/>
        <v>1887997</v>
      </c>
      <c r="M225" s="136">
        <f>'Đơn giá chi tiết'!J1680</f>
        <v>1095938</v>
      </c>
      <c r="N225" s="136"/>
      <c r="O225" s="136">
        <f>'Đơn giá chi tiết'!J1686</f>
        <v>732116</v>
      </c>
      <c r="P225" s="136">
        <f>'Đơn giá chi tiết'!J1688</f>
        <v>59943</v>
      </c>
      <c r="Q225" s="166">
        <f t="shared" ref="Q225:Q236" si="60">ROUND(K225*M225,0)</f>
        <v>84584495</v>
      </c>
      <c r="R225" s="166">
        <f t="shared" ref="R225:R236" si="61">ROUND(K225*N225,0)</f>
        <v>0</v>
      </c>
      <c r="S225" s="166">
        <f t="shared" ref="S225:S236" si="62">ROUND(K225*O225,0)</f>
        <v>56504713</v>
      </c>
      <c r="T225" s="166">
        <f t="shared" ref="T225:T236" si="63">ROUND(K225*P225,0)</f>
        <v>4626401</v>
      </c>
      <c r="U225" s="34"/>
      <c r="V225" s="34"/>
      <c r="W225" s="34"/>
      <c r="X225" s="17" t="s">
        <v>82</v>
      </c>
      <c r="Y225" s="17" t="s">
        <v>321</v>
      </c>
    </row>
    <row r="226" spans="1:25" ht="30" x14ac:dyDescent="0.25">
      <c r="A226" s="124">
        <v>178</v>
      </c>
      <c r="B226" s="138" t="s">
        <v>847</v>
      </c>
      <c r="C226" s="144" t="s">
        <v>682</v>
      </c>
      <c r="D226" s="168" t="s">
        <v>1172</v>
      </c>
      <c r="E226" s="142"/>
      <c r="F226" s="11"/>
      <c r="G226" s="11"/>
      <c r="H226" s="11"/>
      <c r="I226" s="11"/>
      <c r="J226" s="32"/>
      <c r="K226" s="45">
        <f>ROUND( 2445.3 /1000,4)</f>
        <v>2.4453</v>
      </c>
      <c r="L226" s="193">
        <f t="shared" si="55"/>
        <v>17728056</v>
      </c>
      <c r="M226" s="136">
        <f>'Đơn giá chi tiết'!J1693</f>
        <v>14603640</v>
      </c>
      <c r="N226" s="136"/>
      <c r="O226" s="136">
        <f>'Đơn giá chi tiết'!J1696</f>
        <v>3033198</v>
      </c>
      <c r="P226" s="136">
        <f>'Đơn giá chi tiết'!J1698</f>
        <v>91218</v>
      </c>
      <c r="Q226" s="166">
        <f t="shared" si="60"/>
        <v>35710281</v>
      </c>
      <c r="R226" s="166">
        <f t="shared" si="61"/>
        <v>0</v>
      </c>
      <c r="S226" s="166">
        <f t="shared" si="62"/>
        <v>7417079</v>
      </c>
      <c r="T226" s="166">
        <f t="shared" si="63"/>
        <v>223055</v>
      </c>
      <c r="U226" s="34"/>
      <c r="V226" s="34"/>
      <c r="W226" s="34"/>
      <c r="X226" s="17" t="s">
        <v>82</v>
      </c>
      <c r="Y226" s="17" t="s">
        <v>321</v>
      </c>
    </row>
    <row r="227" spans="1:25" ht="30" x14ac:dyDescent="0.25">
      <c r="A227" s="124">
        <v>179</v>
      </c>
      <c r="B227" s="138" t="s">
        <v>9</v>
      </c>
      <c r="C227" s="144" t="s">
        <v>111</v>
      </c>
      <c r="D227" s="168" t="s">
        <v>1172</v>
      </c>
      <c r="E227" s="142"/>
      <c r="F227" s="11"/>
      <c r="G227" s="11"/>
      <c r="H227" s="11"/>
      <c r="I227" s="11"/>
      <c r="J227" s="32"/>
      <c r="K227" s="45">
        <f>ROUND(428.7/1000,4)</f>
        <v>0.42870000000000003</v>
      </c>
      <c r="L227" s="193">
        <f t="shared" si="55"/>
        <v>16799273</v>
      </c>
      <c r="M227" s="136">
        <f>'Đơn giá chi tiết'!J1701</f>
        <v>14678788</v>
      </c>
      <c r="N227" s="136"/>
      <c r="O227" s="136">
        <f>'Đơn giá chi tiết'!J1705</f>
        <v>1664534</v>
      </c>
      <c r="P227" s="136">
        <f>'Đơn giá chi tiết'!J1707</f>
        <v>455951</v>
      </c>
      <c r="Q227" s="166">
        <f t="shared" si="60"/>
        <v>6292796</v>
      </c>
      <c r="R227" s="166">
        <f t="shared" si="61"/>
        <v>0</v>
      </c>
      <c r="S227" s="166">
        <f t="shared" si="62"/>
        <v>713586</v>
      </c>
      <c r="T227" s="166">
        <f t="shared" si="63"/>
        <v>195466</v>
      </c>
      <c r="U227" s="34"/>
      <c r="V227" s="34"/>
      <c r="W227" s="34"/>
      <c r="X227" s="17" t="s">
        <v>82</v>
      </c>
      <c r="Y227" s="17" t="s">
        <v>321</v>
      </c>
    </row>
    <row r="228" spans="1:25" ht="30" x14ac:dyDescent="0.25">
      <c r="A228" s="124">
        <v>180</v>
      </c>
      <c r="B228" s="138" t="s">
        <v>412</v>
      </c>
      <c r="C228" s="144" t="s">
        <v>640</v>
      </c>
      <c r="D228" s="168" t="s">
        <v>1172</v>
      </c>
      <c r="E228" s="142"/>
      <c r="F228" s="11"/>
      <c r="G228" s="11"/>
      <c r="H228" s="11"/>
      <c r="I228" s="11"/>
      <c r="J228" s="32"/>
      <c r="K228" s="45">
        <f>ROUND( 13311.78 /1000,4)</f>
        <v>13.3118</v>
      </c>
      <c r="L228" s="193">
        <f t="shared" si="55"/>
        <v>16679022</v>
      </c>
      <c r="M228" s="136">
        <f>'Đơn giá chi tiết'!J1711</f>
        <v>14678788</v>
      </c>
      <c r="N228" s="136"/>
      <c r="O228" s="136">
        <f>'Đơn giá chi tiết'!J1715</f>
        <v>1594291</v>
      </c>
      <c r="P228" s="136">
        <f>'Đơn giá chi tiết'!J1717</f>
        <v>405943</v>
      </c>
      <c r="Q228" s="166">
        <f t="shared" si="60"/>
        <v>195401090</v>
      </c>
      <c r="R228" s="166">
        <f t="shared" si="61"/>
        <v>0</v>
      </c>
      <c r="S228" s="166">
        <f t="shared" si="62"/>
        <v>21222883</v>
      </c>
      <c r="T228" s="166">
        <f t="shared" si="63"/>
        <v>5403832</v>
      </c>
      <c r="U228" s="34"/>
      <c r="V228" s="34"/>
      <c r="W228" s="34"/>
      <c r="X228" s="17" t="s">
        <v>82</v>
      </c>
      <c r="Y228" s="17" t="s">
        <v>321</v>
      </c>
    </row>
    <row r="229" spans="1:25" ht="30" x14ac:dyDescent="0.25">
      <c r="A229" s="124">
        <v>181</v>
      </c>
      <c r="B229" s="52" t="s">
        <v>486</v>
      </c>
      <c r="C229" s="144" t="s">
        <v>74</v>
      </c>
      <c r="D229" s="168" t="s">
        <v>1172</v>
      </c>
      <c r="E229" s="142"/>
      <c r="F229" s="11"/>
      <c r="G229" s="11"/>
      <c r="H229" s="11"/>
      <c r="I229" s="11"/>
      <c r="J229" s="32"/>
      <c r="K229" s="45">
        <f>ROUND(991.2/1000,4)</f>
        <v>0.99119999999999997</v>
      </c>
      <c r="L229" s="193">
        <f t="shared" si="55"/>
        <v>26059170</v>
      </c>
      <c r="M229" s="136">
        <f>'Đơn giá chi tiết'!J1721</f>
        <v>15447317</v>
      </c>
      <c r="N229" s="136"/>
      <c r="O229" s="136">
        <f>'Đơn giá chi tiết'!J1729</f>
        <v>8769288</v>
      </c>
      <c r="P229" s="136">
        <f>'Đơn giá chi tiết'!J1731</f>
        <v>1842565</v>
      </c>
      <c r="Q229" s="166">
        <f t="shared" si="60"/>
        <v>15311381</v>
      </c>
      <c r="R229" s="166">
        <f t="shared" si="61"/>
        <v>0</v>
      </c>
      <c r="S229" s="166">
        <f t="shared" si="62"/>
        <v>8692118</v>
      </c>
      <c r="T229" s="166">
        <f t="shared" si="63"/>
        <v>1826350</v>
      </c>
      <c r="U229" s="34"/>
      <c r="V229" s="34"/>
      <c r="W229" s="34"/>
      <c r="X229" s="17" t="s">
        <v>82</v>
      </c>
      <c r="Y229" s="17" t="s">
        <v>321</v>
      </c>
    </row>
    <row r="230" spans="1:25" ht="30" x14ac:dyDescent="0.25">
      <c r="A230" s="124">
        <v>182</v>
      </c>
      <c r="B230" s="138" t="s">
        <v>564</v>
      </c>
      <c r="C230" s="144" t="s">
        <v>47</v>
      </c>
      <c r="D230" s="168" t="s">
        <v>836</v>
      </c>
      <c r="E230" s="142"/>
      <c r="F230" s="11"/>
      <c r="G230" s="11"/>
      <c r="H230" s="11"/>
      <c r="I230" s="11"/>
      <c r="J230" s="32"/>
      <c r="K230" s="45">
        <f>ROUND( 448.35 /100,4)</f>
        <v>4.4835000000000003</v>
      </c>
      <c r="L230" s="193">
        <f t="shared" si="55"/>
        <v>6368252</v>
      </c>
      <c r="M230" s="136">
        <f>'Đơn giá chi tiết'!J1737</f>
        <v>704451</v>
      </c>
      <c r="N230" s="136"/>
      <c r="O230" s="136">
        <f>'Đơn giá chi tiết'!J1742</f>
        <v>5500199</v>
      </c>
      <c r="P230" s="136">
        <f>'Đơn giá chi tiết'!J1744</f>
        <v>163602</v>
      </c>
      <c r="Q230" s="166">
        <f t="shared" si="60"/>
        <v>3158406</v>
      </c>
      <c r="R230" s="166">
        <f t="shared" si="61"/>
        <v>0</v>
      </c>
      <c r="S230" s="166">
        <f t="shared" si="62"/>
        <v>24660142</v>
      </c>
      <c r="T230" s="166">
        <f t="shared" si="63"/>
        <v>733510</v>
      </c>
      <c r="U230" s="34"/>
      <c r="V230" s="34"/>
      <c r="W230" s="34"/>
      <c r="X230" s="17" t="s">
        <v>82</v>
      </c>
      <c r="Y230" s="17" t="s">
        <v>321</v>
      </c>
    </row>
    <row r="231" spans="1:25" ht="30" x14ac:dyDescent="0.25">
      <c r="A231" s="124">
        <v>183</v>
      </c>
      <c r="B231" s="138" t="s">
        <v>286</v>
      </c>
      <c r="C231" s="144" t="s">
        <v>965</v>
      </c>
      <c r="D231" s="168" t="s">
        <v>1172</v>
      </c>
      <c r="E231" s="142"/>
      <c r="F231" s="11"/>
      <c r="G231" s="11"/>
      <c r="H231" s="11"/>
      <c r="I231" s="11"/>
      <c r="J231" s="32"/>
      <c r="K231" s="45">
        <f>ROUND(2469.3/1000,4)</f>
        <v>2.4693000000000001</v>
      </c>
      <c r="L231" s="193">
        <f t="shared" si="55"/>
        <v>24878911</v>
      </c>
      <c r="M231" s="136">
        <f>'Đơn giá chi tiết'!J1748</f>
        <v>16318605</v>
      </c>
      <c r="N231" s="136"/>
      <c r="O231" s="136">
        <f>'Đơn giá chi tiết'!J1756</f>
        <v>6570684</v>
      </c>
      <c r="P231" s="136">
        <f>'Đơn giá chi tiết'!J1758</f>
        <v>1989622</v>
      </c>
      <c r="Q231" s="166">
        <f t="shared" si="60"/>
        <v>40295531</v>
      </c>
      <c r="R231" s="166">
        <f t="shared" si="61"/>
        <v>0</v>
      </c>
      <c r="S231" s="166">
        <f t="shared" si="62"/>
        <v>16224990</v>
      </c>
      <c r="T231" s="166">
        <f t="shared" si="63"/>
        <v>4912974</v>
      </c>
      <c r="U231" s="34"/>
      <c r="V231" s="34"/>
      <c r="W231" s="34"/>
      <c r="X231" s="17" t="s">
        <v>82</v>
      </c>
      <c r="Y231" s="17" t="s">
        <v>321</v>
      </c>
    </row>
    <row r="232" spans="1:25" ht="30" x14ac:dyDescent="0.25">
      <c r="A232" s="124">
        <v>184</v>
      </c>
      <c r="B232" s="138" t="s">
        <v>586</v>
      </c>
      <c r="C232" s="144" t="s">
        <v>795</v>
      </c>
      <c r="D232" s="168" t="s">
        <v>227</v>
      </c>
      <c r="E232" s="142"/>
      <c r="F232" s="11"/>
      <c r="G232" s="11"/>
      <c r="H232" s="11"/>
      <c r="I232" s="11"/>
      <c r="J232" s="32"/>
      <c r="K232" s="45">
        <f>ROUND(10*21/100,4)</f>
        <v>2.1</v>
      </c>
      <c r="L232" s="193">
        <f t="shared" si="55"/>
        <v>8826588</v>
      </c>
      <c r="M232" s="136">
        <f>'Đơn giá chi tiết'!J1764</f>
        <v>0</v>
      </c>
      <c r="N232" s="136"/>
      <c r="O232" s="136">
        <f>'Đơn giá chi tiết'!J1767</f>
        <v>1647891</v>
      </c>
      <c r="P232" s="136">
        <f>'Đơn giá chi tiết'!J1769</f>
        <v>7178697</v>
      </c>
      <c r="Q232" s="166">
        <f t="shared" si="60"/>
        <v>0</v>
      </c>
      <c r="R232" s="166">
        <f t="shared" si="61"/>
        <v>0</v>
      </c>
      <c r="S232" s="166">
        <f t="shared" si="62"/>
        <v>3460571</v>
      </c>
      <c r="T232" s="166">
        <f t="shared" si="63"/>
        <v>15075264</v>
      </c>
      <c r="U232" s="34"/>
      <c r="V232" s="34"/>
      <c r="W232" s="34"/>
      <c r="X232" s="17" t="s">
        <v>82</v>
      </c>
      <c r="Y232" s="17" t="s">
        <v>321</v>
      </c>
    </row>
    <row r="233" spans="1:25" ht="45" x14ac:dyDescent="0.25">
      <c r="A233" s="124">
        <v>185</v>
      </c>
      <c r="B233" s="138" t="s">
        <v>586</v>
      </c>
      <c r="C233" s="144" t="s">
        <v>888</v>
      </c>
      <c r="D233" s="168" t="s">
        <v>227</v>
      </c>
      <c r="E233" s="142"/>
      <c r="F233" s="11"/>
      <c r="G233" s="11"/>
      <c r="H233" s="11"/>
      <c r="I233" s="11"/>
      <c r="J233" s="32"/>
      <c r="K233" s="45">
        <f>ROUND(20*21/100,4)</f>
        <v>4.2</v>
      </c>
      <c r="L233" s="193">
        <f t="shared" si="55"/>
        <v>10768437</v>
      </c>
      <c r="M233" s="136">
        <f>'Đơn giá chi tiết'!J1773</f>
        <v>0</v>
      </c>
      <c r="N233" s="136"/>
      <c r="O233" s="136">
        <f>'Đơn giá chi tiết'!J1776</f>
        <v>2010427</v>
      </c>
      <c r="P233" s="136">
        <f>'Đơn giá chi tiết'!J1778</f>
        <v>8758010</v>
      </c>
      <c r="Q233" s="166">
        <f t="shared" si="60"/>
        <v>0</v>
      </c>
      <c r="R233" s="166">
        <f t="shared" si="61"/>
        <v>0</v>
      </c>
      <c r="S233" s="166">
        <f t="shared" si="62"/>
        <v>8443793</v>
      </c>
      <c r="T233" s="166">
        <f t="shared" si="63"/>
        <v>36783642</v>
      </c>
      <c r="U233" s="34"/>
      <c r="V233" s="34"/>
      <c r="W233" s="34"/>
      <c r="X233" s="17" t="s">
        <v>82</v>
      </c>
      <c r="Y233" s="17" t="s">
        <v>321</v>
      </c>
    </row>
    <row r="234" spans="1:25" ht="30" x14ac:dyDescent="0.25">
      <c r="A234" s="124">
        <v>186</v>
      </c>
      <c r="B234" s="52" t="s">
        <v>177</v>
      </c>
      <c r="C234" s="144" t="s">
        <v>742</v>
      </c>
      <c r="D234" s="168" t="s">
        <v>859</v>
      </c>
      <c r="E234" s="142"/>
      <c r="F234" s="11"/>
      <c r="G234" s="11"/>
      <c r="H234" s="11"/>
      <c r="I234" s="11"/>
      <c r="J234" s="32"/>
      <c r="K234" s="45">
        <v>30</v>
      </c>
      <c r="L234" s="193">
        <f t="shared" si="55"/>
        <v>354838</v>
      </c>
      <c r="M234" s="136">
        <f>'Đơn giá chi tiết'!J1782</f>
        <v>82784</v>
      </c>
      <c r="N234" s="136"/>
      <c r="O234" s="136">
        <f>'Đơn giá chi tiết'!J1786</f>
        <v>209385</v>
      </c>
      <c r="P234" s="136">
        <f>'Đơn giá chi tiết'!J1788</f>
        <v>62669</v>
      </c>
      <c r="Q234" s="166">
        <f t="shared" si="60"/>
        <v>2483520</v>
      </c>
      <c r="R234" s="166">
        <f t="shared" si="61"/>
        <v>0</v>
      </c>
      <c r="S234" s="166">
        <f t="shared" si="62"/>
        <v>6281550</v>
      </c>
      <c r="T234" s="166">
        <f t="shared" si="63"/>
        <v>1880070</v>
      </c>
      <c r="U234" s="34"/>
      <c r="V234" s="34"/>
      <c r="W234" s="34"/>
      <c r="X234" s="17" t="s">
        <v>82</v>
      </c>
      <c r="Y234" s="17" t="s">
        <v>321</v>
      </c>
    </row>
    <row r="235" spans="1:25" ht="30" x14ac:dyDescent="0.25">
      <c r="A235" s="124">
        <v>187</v>
      </c>
      <c r="B235" s="138" t="s">
        <v>567</v>
      </c>
      <c r="C235" s="144" t="s">
        <v>644</v>
      </c>
      <c r="D235" s="168" t="s">
        <v>155</v>
      </c>
      <c r="E235" s="142"/>
      <c r="F235" s="11"/>
      <c r="G235" s="11"/>
      <c r="H235" s="11"/>
      <c r="I235" s="11"/>
      <c r="J235" s="32"/>
      <c r="K235" s="45">
        <v>1.47</v>
      </c>
      <c r="L235" s="193">
        <f t="shared" si="55"/>
        <v>760270</v>
      </c>
      <c r="M235" s="136">
        <f>'Đơn giá chi tiết'!J1792</f>
        <v>0</v>
      </c>
      <c r="N235" s="136"/>
      <c r="O235" s="136">
        <f>'Đơn giá chi tiết'!J1794</f>
        <v>186120</v>
      </c>
      <c r="P235" s="136">
        <f>'Đơn giá chi tiết'!J1796</f>
        <v>574150</v>
      </c>
      <c r="Q235" s="166">
        <f t="shared" si="60"/>
        <v>0</v>
      </c>
      <c r="R235" s="166">
        <f t="shared" si="61"/>
        <v>0</v>
      </c>
      <c r="S235" s="166">
        <f t="shared" si="62"/>
        <v>273596</v>
      </c>
      <c r="T235" s="166">
        <f t="shared" si="63"/>
        <v>844001</v>
      </c>
      <c r="U235" s="34"/>
      <c r="V235" s="34"/>
      <c r="W235" s="34"/>
      <c r="X235" s="17" t="s">
        <v>82</v>
      </c>
      <c r="Y235" s="17" t="s">
        <v>321</v>
      </c>
    </row>
    <row r="236" spans="1:25" ht="30" x14ac:dyDescent="0.25">
      <c r="A236" s="124">
        <v>188</v>
      </c>
      <c r="B236" s="138" t="s">
        <v>586</v>
      </c>
      <c r="C236" s="144" t="s">
        <v>737</v>
      </c>
      <c r="D236" s="168" t="s">
        <v>227</v>
      </c>
      <c r="E236" s="142"/>
      <c r="F236" s="11"/>
      <c r="G236" s="11"/>
      <c r="H236" s="11"/>
      <c r="I236" s="11"/>
      <c r="J236" s="32"/>
      <c r="K236" s="45">
        <v>0.3</v>
      </c>
      <c r="L236" s="193">
        <f t="shared" si="55"/>
        <v>9267916</v>
      </c>
      <c r="M236" s="136">
        <f>'Đơn giá chi tiết'!J1802</f>
        <v>0</v>
      </c>
      <c r="N236" s="136"/>
      <c r="O236" s="136">
        <f>'Đơn giá chi tiết'!J1805</f>
        <v>1730285</v>
      </c>
      <c r="P236" s="136">
        <f>'Đơn giá chi tiết'!J1807</f>
        <v>7537631</v>
      </c>
      <c r="Q236" s="166">
        <f t="shared" si="60"/>
        <v>0</v>
      </c>
      <c r="R236" s="166">
        <f t="shared" si="61"/>
        <v>0</v>
      </c>
      <c r="S236" s="166">
        <f t="shared" si="62"/>
        <v>519086</v>
      </c>
      <c r="T236" s="166">
        <f t="shared" si="63"/>
        <v>2261289</v>
      </c>
      <c r="U236" s="34"/>
      <c r="V236" s="34"/>
      <c r="W236" s="34"/>
      <c r="X236" s="17" t="s">
        <v>82</v>
      </c>
      <c r="Y236" s="17" t="s">
        <v>321</v>
      </c>
    </row>
    <row r="237" spans="1:25" x14ac:dyDescent="0.25">
      <c r="A237" s="168"/>
      <c r="B237" s="144"/>
      <c r="C237" s="130" t="s">
        <v>499</v>
      </c>
      <c r="D237" s="168"/>
      <c r="E237" s="166"/>
      <c r="F237" s="37"/>
      <c r="G237" s="37"/>
      <c r="H237" s="37"/>
      <c r="I237" s="37"/>
      <c r="J237" s="60"/>
      <c r="K237" s="60"/>
      <c r="L237" s="193">
        <f t="shared" si="55"/>
        <v>0</v>
      </c>
      <c r="M237" s="166"/>
      <c r="N237" s="166"/>
      <c r="O237" s="166"/>
      <c r="P237" s="166"/>
      <c r="Q237" s="166"/>
      <c r="R237" s="166"/>
      <c r="S237" s="166"/>
      <c r="T237" s="166"/>
      <c r="U237" s="34"/>
      <c r="V237" s="34"/>
      <c r="W237" s="34"/>
      <c r="X237" s="17"/>
      <c r="Y237" s="17"/>
    </row>
    <row r="238" spans="1:25" ht="30" x14ac:dyDescent="0.25">
      <c r="A238" s="124">
        <v>189</v>
      </c>
      <c r="B238" s="52" t="s">
        <v>54</v>
      </c>
      <c r="C238" s="144" t="s">
        <v>341</v>
      </c>
      <c r="D238" s="168" t="s">
        <v>793</v>
      </c>
      <c r="E238" s="142"/>
      <c r="F238" s="11"/>
      <c r="G238" s="11"/>
      <c r="H238" s="11"/>
      <c r="I238" s="11"/>
      <c r="J238" s="32"/>
      <c r="K238" s="45">
        <f>ROUND(227.24/100,4)</f>
        <v>2.2724000000000002</v>
      </c>
      <c r="L238" s="193">
        <f t="shared" si="55"/>
        <v>2189620</v>
      </c>
      <c r="M238" s="136"/>
      <c r="N238" s="136"/>
      <c r="O238" s="136">
        <f>'Đơn giá chi tiết'!J1811</f>
        <v>1192861</v>
      </c>
      <c r="P238" s="136">
        <f>'Đơn giá chi tiết'!J1813</f>
        <v>996759</v>
      </c>
      <c r="Q238" s="166">
        <f>ROUND(K238*M238,0)</f>
        <v>0</v>
      </c>
      <c r="R238" s="166">
        <f>ROUND(K238*N238,0)</f>
        <v>0</v>
      </c>
      <c r="S238" s="166">
        <f>ROUND(K238*O238,0)</f>
        <v>2710657</v>
      </c>
      <c r="T238" s="166">
        <f>ROUND(K238*P238,0)</f>
        <v>2265035</v>
      </c>
      <c r="U238" s="34"/>
      <c r="V238" s="34"/>
      <c r="W238" s="34"/>
      <c r="X238" s="17" t="s">
        <v>82</v>
      </c>
      <c r="Y238" s="17" t="s">
        <v>321</v>
      </c>
    </row>
    <row r="239" spans="1:25" ht="30" x14ac:dyDescent="0.25">
      <c r="A239" s="124">
        <v>190</v>
      </c>
      <c r="B239" s="52" t="s">
        <v>1077</v>
      </c>
      <c r="C239" s="144" t="s">
        <v>680</v>
      </c>
      <c r="D239" s="168" t="s">
        <v>793</v>
      </c>
      <c r="E239" s="142"/>
      <c r="F239" s="11"/>
      <c r="G239" s="11"/>
      <c r="H239" s="11"/>
      <c r="I239" s="11"/>
      <c r="J239" s="32"/>
      <c r="K239" s="45">
        <f>ROUND(161.85/100,4)</f>
        <v>1.6185</v>
      </c>
      <c r="L239" s="193">
        <f t="shared" si="55"/>
        <v>3439432</v>
      </c>
      <c r="M239" s="136"/>
      <c r="N239" s="136"/>
      <c r="O239" s="136">
        <f>'Đơn giá chi tiết'!J1816</f>
        <v>2037452</v>
      </c>
      <c r="P239" s="136">
        <f>'Đơn giá chi tiết'!J1818</f>
        <v>1401980</v>
      </c>
      <c r="Q239" s="166">
        <f>ROUND(K239*M239,0)</f>
        <v>0</v>
      </c>
      <c r="R239" s="166">
        <f>ROUND(K239*N239,0)</f>
        <v>0</v>
      </c>
      <c r="S239" s="166">
        <f>ROUND(K239*O239,0)</f>
        <v>3297616</v>
      </c>
      <c r="T239" s="166">
        <f>ROUND(K239*P239,0)</f>
        <v>2269105</v>
      </c>
      <c r="U239" s="34"/>
      <c r="V239" s="34"/>
      <c r="W239" s="34"/>
      <c r="X239" s="17" t="s">
        <v>82</v>
      </c>
      <c r="Y239" s="17" t="s">
        <v>321</v>
      </c>
    </row>
    <row r="240" spans="1:25" x14ac:dyDescent="0.25">
      <c r="A240" s="168"/>
      <c r="B240" s="144"/>
      <c r="C240" s="130" t="s">
        <v>44</v>
      </c>
      <c r="D240" s="168"/>
      <c r="E240" s="166"/>
      <c r="F240" s="37"/>
      <c r="G240" s="37"/>
      <c r="H240" s="37"/>
      <c r="I240" s="37"/>
      <c r="J240" s="60"/>
      <c r="K240" s="60"/>
      <c r="L240" s="193">
        <f t="shared" si="55"/>
        <v>0</v>
      </c>
      <c r="M240" s="166"/>
      <c r="N240" s="166"/>
      <c r="O240" s="166"/>
      <c r="P240" s="166"/>
      <c r="Q240" s="166"/>
      <c r="R240" s="166"/>
      <c r="S240" s="166"/>
      <c r="T240" s="166"/>
      <c r="U240" s="34"/>
      <c r="V240" s="34"/>
      <c r="W240" s="34"/>
      <c r="X240" s="17"/>
      <c r="Y240" s="17"/>
    </row>
    <row r="241" spans="1:25" ht="30" x14ac:dyDescent="0.25">
      <c r="A241" s="124">
        <v>191</v>
      </c>
      <c r="B241" s="138" t="s">
        <v>1093</v>
      </c>
      <c r="C241" s="144" t="s">
        <v>305</v>
      </c>
      <c r="D241" s="168" t="s">
        <v>793</v>
      </c>
      <c r="E241" s="142"/>
      <c r="F241" s="11"/>
      <c r="G241" s="11"/>
      <c r="H241" s="11"/>
      <c r="I241" s="11"/>
      <c r="J241" s="32"/>
      <c r="K241" s="45">
        <f>ROUND( 107.04 /100,4)</f>
        <v>1.0704</v>
      </c>
      <c r="L241" s="193">
        <f t="shared" si="55"/>
        <v>39418153</v>
      </c>
      <c r="M241" s="136">
        <f>'Đơn giá chi tiết'!J1821</f>
        <v>35707036</v>
      </c>
      <c r="N241" s="136"/>
      <c r="O241" s="136">
        <f>'Đơn giá chi tiết'!J1823</f>
        <v>1137400</v>
      </c>
      <c r="P241" s="136">
        <f>'Đơn giá chi tiết'!J1825</f>
        <v>2573717</v>
      </c>
      <c r="Q241" s="166">
        <f t="shared" ref="Q241:Q253" si="64">ROUND(K241*M241,0)</f>
        <v>38220811</v>
      </c>
      <c r="R241" s="166">
        <f t="shared" ref="R241:R253" si="65">ROUND(K241*N241,0)</f>
        <v>0</v>
      </c>
      <c r="S241" s="166">
        <f t="shared" ref="S241:S253" si="66">ROUND(K241*O241,0)</f>
        <v>1217473</v>
      </c>
      <c r="T241" s="166">
        <f t="shared" ref="T241:T253" si="67">ROUND(K241*P241,0)</f>
        <v>2754907</v>
      </c>
      <c r="U241" s="34"/>
      <c r="V241" s="34"/>
      <c r="W241" s="34"/>
      <c r="X241" s="17" t="s">
        <v>82</v>
      </c>
      <c r="Y241" s="17" t="s">
        <v>321</v>
      </c>
    </row>
    <row r="242" spans="1:25" ht="30" x14ac:dyDescent="0.25">
      <c r="A242" s="124">
        <v>192</v>
      </c>
      <c r="B242" s="138" t="s">
        <v>137</v>
      </c>
      <c r="C242" s="144" t="s">
        <v>848</v>
      </c>
      <c r="D242" s="168" t="s">
        <v>793</v>
      </c>
      <c r="E242" s="142"/>
      <c r="F242" s="11"/>
      <c r="G242" s="11"/>
      <c r="H242" s="11"/>
      <c r="I242" s="11"/>
      <c r="J242" s="32"/>
      <c r="K242" s="45">
        <f>ROUND(  1577.87/100,4)</f>
        <v>15.778700000000001</v>
      </c>
      <c r="L242" s="193">
        <f t="shared" si="55"/>
        <v>28700924</v>
      </c>
      <c r="M242" s="136">
        <f>'Đơn giá chi tiết'!J1833</f>
        <v>27450000</v>
      </c>
      <c r="N242" s="136"/>
      <c r="O242" s="136">
        <f>'Đơn giá chi tiết'!J1835</f>
        <v>292847</v>
      </c>
      <c r="P242" s="136">
        <f>'Đơn giá chi tiết'!J1837</f>
        <v>958077</v>
      </c>
      <c r="Q242" s="166">
        <f t="shared" si="64"/>
        <v>433125315</v>
      </c>
      <c r="R242" s="166">
        <f t="shared" si="65"/>
        <v>0</v>
      </c>
      <c r="S242" s="166">
        <f t="shared" si="66"/>
        <v>4620745</v>
      </c>
      <c r="T242" s="166">
        <f t="shared" si="67"/>
        <v>15117210</v>
      </c>
      <c r="U242" s="34"/>
      <c r="V242" s="34"/>
      <c r="W242" s="34"/>
      <c r="X242" s="17" t="s">
        <v>82</v>
      </c>
      <c r="Y242" s="17" t="s">
        <v>321</v>
      </c>
    </row>
    <row r="243" spans="1:25" ht="30" x14ac:dyDescent="0.25">
      <c r="A243" s="124">
        <v>193</v>
      </c>
      <c r="B243" s="138" t="s">
        <v>58</v>
      </c>
      <c r="C243" s="144" t="s">
        <v>33</v>
      </c>
      <c r="D243" s="168" t="s">
        <v>793</v>
      </c>
      <c r="E243" s="142"/>
      <c r="F243" s="11"/>
      <c r="G243" s="11"/>
      <c r="H243" s="11"/>
      <c r="I243" s="11"/>
      <c r="J243" s="32"/>
      <c r="K243" s="45">
        <f>ROUND( 250.15/100,4)</f>
        <v>2.5015000000000001</v>
      </c>
      <c r="L243" s="193">
        <f t="shared" si="55"/>
        <v>828956</v>
      </c>
      <c r="M243" s="136"/>
      <c r="N243" s="136"/>
      <c r="O243" s="136">
        <f>'Đơn giá chi tiết'!J1842</f>
        <v>97616</v>
      </c>
      <c r="P243" s="136">
        <f>'Đơn giá chi tiết'!J1844</f>
        <v>731340</v>
      </c>
      <c r="Q243" s="166">
        <f t="shared" si="64"/>
        <v>0</v>
      </c>
      <c r="R243" s="166">
        <f t="shared" si="65"/>
        <v>0</v>
      </c>
      <c r="S243" s="166">
        <f t="shared" si="66"/>
        <v>244186</v>
      </c>
      <c r="T243" s="166">
        <f t="shared" si="67"/>
        <v>1829447</v>
      </c>
      <c r="U243" s="34"/>
      <c r="V243" s="34"/>
      <c r="W243" s="34"/>
      <c r="X243" s="17" t="s">
        <v>82</v>
      </c>
      <c r="Y243" s="17" t="s">
        <v>321</v>
      </c>
    </row>
    <row r="244" spans="1:25" ht="30" x14ac:dyDescent="0.25">
      <c r="A244" s="124">
        <v>194</v>
      </c>
      <c r="B244" s="52" t="s">
        <v>54</v>
      </c>
      <c r="C244" s="144" t="s">
        <v>341</v>
      </c>
      <c r="D244" s="168" t="s">
        <v>793</v>
      </c>
      <c r="E244" s="142"/>
      <c r="F244" s="11"/>
      <c r="G244" s="11"/>
      <c r="H244" s="11"/>
      <c r="I244" s="11"/>
      <c r="J244" s="32"/>
      <c r="K244" s="45">
        <f>ROUND( 14.27 /100,4)</f>
        <v>0.14269999999999999</v>
      </c>
      <c r="L244" s="193">
        <f t="shared" si="55"/>
        <v>2189620</v>
      </c>
      <c r="M244" s="136"/>
      <c r="N244" s="136"/>
      <c r="O244" s="136">
        <f>'Đơn giá chi tiết'!J1848</f>
        <v>1192861</v>
      </c>
      <c r="P244" s="136">
        <f>'Đơn giá chi tiết'!J1850</f>
        <v>996759</v>
      </c>
      <c r="Q244" s="166">
        <f t="shared" si="64"/>
        <v>0</v>
      </c>
      <c r="R244" s="166">
        <f t="shared" si="65"/>
        <v>0</v>
      </c>
      <c r="S244" s="166">
        <f t="shared" si="66"/>
        <v>170221</v>
      </c>
      <c r="T244" s="166">
        <f t="shared" si="67"/>
        <v>142238</v>
      </c>
      <c r="U244" s="34"/>
      <c r="V244" s="34"/>
      <c r="W244" s="34"/>
      <c r="X244" s="17" t="s">
        <v>82</v>
      </c>
      <c r="Y244" s="17" t="s">
        <v>321</v>
      </c>
    </row>
    <row r="245" spans="1:25" ht="30" x14ac:dyDescent="0.25">
      <c r="A245" s="124">
        <v>195</v>
      </c>
      <c r="B245" s="52" t="s">
        <v>624</v>
      </c>
      <c r="C245" s="144" t="s">
        <v>1128</v>
      </c>
      <c r="D245" s="168" t="s">
        <v>793</v>
      </c>
      <c r="E245" s="142"/>
      <c r="F245" s="11"/>
      <c r="G245" s="11"/>
      <c r="H245" s="11"/>
      <c r="I245" s="11"/>
      <c r="J245" s="32"/>
      <c r="K245" s="45">
        <f>ROUND( 1695.7/100,4)</f>
        <v>16.957000000000001</v>
      </c>
      <c r="L245" s="193">
        <f t="shared" si="55"/>
        <v>1096078</v>
      </c>
      <c r="M245" s="136"/>
      <c r="N245" s="136"/>
      <c r="O245" s="136">
        <f>'Đơn giá chi tiết'!J1853</f>
        <v>339702</v>
      </c>
      <c r="P245" s="136">
        <f>'Đơn giá chi tiết'!J1855</f>
        <v>756376</v>
      </c>
      <c r="Q245" s="166">
        <f t="shared" si="64"/>
        <v>0</v>
      </c>
      <c r="R245" s="166">
        <f t="shared" si="65"/>
        <v>0</v>
      </c>
      <c r="S245" s="166">
        <f t="shared" si="66"/>
        <v>5760327</v>
      </c>
      <c r="T245" s="166">
        <f t="shared" si="67"/>
        <v>12825868</v>
      </c>
      <c r="U245" s="34"/>
      <c r="V245" s="34"/>
      <c r="W245" s="34"/>
      <c r="X245" s="17" t="s">
        <v>82</v>
      </c>
      <c r="Y245" s="17" t="s">
        <v>321</v>
      </c>
    </row>
    <row r="246" spans="1:25" x14ac:dyDescent="0.25">
      <c r="A246" s="63">
        <v>196</v>
      </c>
      <c r="B246" s="29" t="s">
        <v>30</v>
      </c>
      <c r="C246" s="80" t="s">
        <v>10</v>
      </c>
      <c r="D246" s="119" t="s">
        <v>155</v>
      </c>
      <c r="E246" s="142"/>
      <c r="F246" s="11"/>
      <c r="G246" s="11"/>
      <c r="H246" s="11"/>
      <c r="I246" s="11"/>
      <c r="J246" s="32"/>
      <c r="K246" s="45">
        <f>ROUND(K245*1.14*1.07*100,4)</f>
        <v>2068.4149000000002</v>
      </c>
      <c r="L246" s="193">
        <f t="shared" si="55"/>
        <v>192673</v>
      </c>
      <c r="M246" s="71">
        <f>'Đơn giá chi tiết'!J1860</f>
        <v>192673</v>
      </c>
      <c r="N246" s="71"/>
      <c r="O246" s="71"/>
      <c r="P246" s="71"/>
      <c r="Q246" s="166">
        <f t="shared" si="64"/>
        <v>398527704</v>
      </c>
      <c r="R246" s="166">
        <f t="shared" si="65"/>
        <v>0</v>
      </c>
      <c r="S246" s="166">
        <f t="shared" si="66"/>
        <v>0</v>
      </c>
      <c r="T246" s="166">
        <f t="shared" si="67"/>
        <v>0</v>
      </c>
      <c r="U246" s="152"/>
      <c r="V246" s="152"/>
      <c r="W246" s="152"/>
      <c r="X246" s="17"/>
      <c r="Y246" s="17"/>
    </row>
    <row r="247" spans="1:25" ht="30" x14ac:dyDescent="0.25">
      <c r="A247" s="124">
        <v>197</v>
      </c>
      <c r="B247" s="138" t="s">
        <v>1158</v>
      </c>
      <c r="C247" s="144" t="s">
        <v>528</v>
      </c>
      <c r="D247" s="168" t="s">
        <v>155</v>
      </c>
      <c r="E247" s="142"/>
      <c r="F247" s="11"/>
      <c r="G247" s="11"/>
      <c r="H247" s="11"/>
      <c r="I247" s="11"/>
      <c r="J247" s="32"/>
      <c r="K247" s="45">
        <v>17.84</v>
      </c>
      <c r="L247" s="193">
        <f t="shared" si="55"/>
        <v>1815103</v>
      </c>
      <c r="M247" s="136">
        <f>'Đơn giá chi tiết'!J1863</f>
        <v>989296</v>
      </c>
      <c r="N247" s="136"/>
      <c r="O247" s="136">
        <f>'Đơn giá chi tiết'!J1869</f>
        <v>757767</v>
      </c>
      <c r="P247" s="100">
        <f>'Đơn giá chi tiết'!J1871</f>
        <v>68040</v>
      </c>
      <c r="Q247" s="166">
        <f t="shared" si="64"/>
        <v>17649041</v>
      </c>
      <c r="R247" s="166">
        <f t="shared" si="65"/>
        <v>0</v>
      </c>
      <c r="S247" s="166">
        <f t="shared" si="66"/>
        <v>13518563</v>
      </c>
      <c r="T247" s="166">
        <f t="shared" si="67"/>
        <v>1213834</v>
      </c>
      <c r="U247" s="34"/>
      <c r="V247" s="34"/>
      <c r="W247" s="34"/>
      <c r="X247" s="17" t="s">
        <v>82</v>
      </c>
      <c r="Y247" s="17" t="s">
        <v>321</v>
      </c>
    </row>
    <row r="248" spans="1:25" ht="30" x14ac:dyDescent="0.25">
      <c r="A248" s="124">
        <v>198</v>
      </c>
      <c r="B248" s="138" t="s">
        <v>752</v>
      </c>
      <c r="C248" s="144" t="s">
        <v>590</v>
      </c>
      <c r="D248" s="168" t="s">
        <v>205</v>
      </c>
      <c r="E248" s="142"/>
      <c r="F248" s="11"/>
      <c r="G248" s="11"/>
      <c r="H248" s="11"/>
      <c r="I248" s="11"/>
      <c r="J248" s="32"/>
      <c r="K248" s="45">
        <f>ROUND( 2.1408 /0.03,4)</f>
        <v>71.36</v>
      </c>
      <c r="L248" s="193">
        <f t="shared" si="55"/>
        <v>54108</v>
      </c>
      <c r="M248" s="136">
        <f>'Đơn giá chi tiết'!J1876</f>
        <v>28745</v>
      </c>
      <c r="N248" s="136"/>
      <c r="O248" s="136">
        <f>'Đơn giá chi tiết'!J1880</f>
        <v>24431</v>
      </c>
      <c r="P248" s="136">
        <f>'Đơn giá chi tiết'!J1882</f>
        <v>932</v>
      </c>
      <c r="Q248" s="166">
        <f t="shared" si="64"/>
        <v>2051243</v>
      </c>
      <c r="R248" s="166">
        <f t="shared" si="65"/>
        <v>0</v>
      </c>
      <c r="S248" s="166">
        <f t="shared" si="66"/>
        <v>1743396</v>
      </c>
      <c r="T248" s="166">
        <f t="shared" si="67"/>
        <v>66508</v>
      </c>
      <c r="U248" s="34"/>
      <c r="V248" s="34"/>
      <c r="W248" s="34"/>
      <c r="X248" s="17" t="s">
        <v>82</v>
      </c>
      <c r="Y248" s="17" t="s">
        <v>321</v>
      </c>
    </row>
    <row r="249" spans="1:25" ht="30" x14ac:dyDescent="0.25">
      <c r="A249" s="124">
        <v>199</v>
      </c>
      <c r="B249" s="138" t="s">
        <v>869</v>
      </c>
      <c r="C249" s="144" t="s">
        <v>670</v>
      </c>
      <c r="D249" s="168" t="s">
        <v>836</v>
      </c>
      <c r="E249" s="142"/>
      <c r="F249" s="11"/>
      <c r="G249" s="11"/>
      <c r="H249" s="11"/>
      <c r="I249" s="11"/>
      <c r="J249" s="32"/>
      <c r="K249" s="45">
        <f>ROUND( 71.36 /100,4)</f>
        <v>0.71360000000000001</v>
      </c>
      <c r="L249" s="193">
        <f t="shared" si="55"/>
        <v>12624861</v>
      </c>
      <c r="M249" s="136">
        <f>'Đơn giá chi tiết'!J1885</f>
        <v>3284877</v>
      </c>
      <c r="N249" s="136"/>
      <c r="O249" s="136">
        <f>'Đơn giá chi tiết'!J1891</f>
        <v>8822813</v>
      </c>
      <c r="P249" s="100">
        <f>'Đơn giá chi tiết'!J1893</f>
        <v>517171</v>
      </c>
      <c r="Q249" s="166">
        <f t="shared" si="64"/>
        <v>2344088</v>
      </c>
      <c r="R249" s="166">
        <f t="shared" si="65"/>
        <v>0</v>
      </c>
      <c r="S249" s="166">
        <f t="shared" si="66"/>
        <v>6295959</v>
      </c>
      <c r="T249" s="166">
        <f t="shared" si="67"/>
        <v>369053</v>
      </c>
      <c r="U249" s="34"/>
      <c r="V249" s="34"/>
      <c r="W249" s="34"/>
      <c r="X249" s="17" t="s">
        <v>82</v>
      </c>
      <c r="Y249" s="17" t="s">
        <v>321</v>
      </c>
    </row>
    <row r="250" spans="1:25" ht="30" x14ac:dyDescent="0.25">
      <c r="A250" s="124">
        <v>200</v>
      </c>
      <c r="B250" s="138" t="s">
        <v>845</v>
      </c>
      <c r="C250" s="144" t="s">
        <v>410</v>
      </c>
      <c r="D250" s="168" t="s">
        <v>155</v>
      </c>
      <c r="E250" s="142"/>
      <c r="F250" s="11"/>
      <c r="G250" s="11"/>
      <c r="H250" s="11"/>
      <c r="I250" s="11"/>
      <c r="J250" s="32"/>
      <c r="K250" s="45">
        <v>72.459999999999994</v>
      </c>
      <c r="L250" s="193">
        <f t="shared" si="55"/>
        <v>1503957</v>
      </c>
      <c r="M250" s="136">
        <f>'Đơn giá chi tiết'!J1898</f>
        <v>974811</v>
      </c>
      <c r="N250" s="136"/>
      <c r="O250" s="136">
        <f>'Đơn giá chi tiết'!J1904</f>
        <v>501744</v>
      </c>
      <c r="P250" s="136">
        <f>'Đơn giá chi tiết'!J1906</f>
        <v>27402</v>
      </c>
      <c r="Q250" s="166">
        <f t="shared" si="64"/>
        <v>70634805</v>
      </c>
      <c r="R250" s="166">
        <f t="shared" si="65"/>
        <v>0</v>
      </c>
      <c r="S250" s="166">
        <f t="shared" si="66"/>
        <v>36356370</v>
      </c>
      <c r="T250" s="166">
        <f t="shared" si="67"/>
        <v>1985549</v>
      </c>
      <c r="U250" s="34"/>
      <c r="V250" s="34"/>
      <c r="W250" s="34"/>
      <c r="X250" s="17" t="s">
        <v>82</v>
      </c>
      <c r="Y250" s="17" t="s">
        <v>321</v>
      </c>
    </row>
    <row r="251" spans="1:25" ht="30" x14ac:dyDescent="0.25">
      <c r="A251" s="124">
        <v>201</v>
      </c>
      <c r="B251" s="138" t="s">
        <v>635</v>
      </c>
      <c r="C251" s="144" t="s">
        <v>599</v>
      </c>
      <c r="D251" s="168" t="s">
        <v>836</v>
      </c>
      <c r="E251" s="142"/>
      <c r="F251" s="11"/>
      <c r="G251" s="11"/>
      <c r="H251" s="11"/>
      <c r="I251" s="11"/>
      <c r="J251" s="32"/>
      <c r="K251" s="45">
        <f>ROUND( 1273.66/100,4)</f>
        <v>12.736599999999999</v>
      </c>
      <c r="L251" s="193">
        <f t="shared" si="55"/>
        <v>5616095</v>
      </c>
      <c r="M251" s="136">
        <f>'Đơn giá chi tiết'!J1909</f>
        <v>547752</v>
      </c>
      <c r="N251" s="136"/>
      <c r="O251" s="136">
        <f>'Đơn giá chi tiết'!J1914</f>
        <v>4908459</v>
      </c>
      <c r="P251" s="136">
        <f>'Đơn giá chi tiết'!J1916</f>
        <v>159884</v>
      </c>
      <c r="Q251" s="166">
        <f t="shared" si="64"/>
        <v>6976498</v>
      </c>
      <c r="R251" s="166">
        <f t="shared" si="65"/>
        <v>0</v>
      </c>
      <c r="S251" s="166">
        <f t="shared" si="66"/>
        <v>62517079</v>
      </c>
      <c r="T251" s="166">
        <f t="shared" si="67"/>
        <v>2036379</v>
      </c>
      <c r="U251" s="34"/>
      <c r="V251" s="34"/>
      <c r="W251" s="34"/>
      <c r="X251" s="17" t="s">
        <v>82</v>
      </c>
      <c r="Y251" s="17" t="s">
        <v>321</v>
      </c>
    </row>
    <row r="252" spans="1:25" ht="30" x14ac:dyDescent="0.25">
      <c r="A252" s="124">
        <v>202</v>
      </c>
      <c r="B252" s="138" t="s">
        <v>1133</v>
      </c>
      <c r="C252" s="144" t="s">
        <v>777</v>
      </c>
      <c r="D252" s="168" t="s">
        <v>1123</v>
      </c>
      <c r="E252" s="142"/>
      <c r="F252" s="11"/>
      <c r="G252" s="11"/>
      <c r="H252" s="11"/>
      <c r="I252" s="11"/>
      <c r="J252" s="32"/>
      <c r="K252" s="45">
        <v>6968</v>
      </c>
      <c r="L252" s="193">
        <f t="shared" si="55"/>
        <v>41791</v>
      </c>
      <c r="M252" s="136">
        <f>'Đơn giá chi tiết'!J1920</f>
        <v>3016</v>
      </c>
      <c r="N252" s="136"/>
      <c r="O252" s="136">
        <f>'Đơn giá chi tiết'!J1925</f>
        <v>38775</v>
      </c>
      <c r="P252" s="136"/>
      <c r="Q252" s="166">
        <f t="shared" si="64"/>
        <v>21015488</v>
      </c>
      <c r="R252" s="166">
        <f t="shared" si="65"/>
        <v>0</v>
      </c>
      <c r="S252" s="166">
        <f t="shared" si="66"/>
        <v>270184200</v>
      </c>
      <c r="T252" s="166">
        <f t="shared" si="67"/>
        <v>0</v>
      </c>
      <c r="U252" s="34"/>
      <c r="V252" s="34"/>
      <c r="W252" s="34"/>
      <c r="X252" s="17" t="s">
        <v>82</v>
      </c>
      <c r="Y252" s="17" t="s">
        <v>321</v>
      </c>
    </row>
    <row r="253" spans="1:25" ht="30" x14ac:dyDescent="0.25">
      <c r="A253" s="124">
        <v>203</v>
      </c>
      <c r="B253" s="138" t="s">
        <v>576</v>
      </c>
      <c r="C253" s="144" t="s">
        <v>27</v>
      </c>
      <c r="D253" s="168" t="s">
        <v>836</v>
      </c>
      <c r="E253" s="142"/>
      <c r="F253" s="11"/>
      <c r="G253" s="11"/>
      <c r="H253" s="11"/>
      <c r="I253" s="11"/>
      <c r="J253" s="32"/>
      <c r="K253" s="45">
        <f>ROUND( 1988.04/100,4)</f>
        <v>19.880400000000002</v>
      </c>
      <c r="L253" s="193">
        <f t="shared" si="55"/>
        <v>2850725</v>
      </c>
      <c r="M253" s="136">
        <f>'Đơn giá chi tiết'!J1928</f>
        <v>2592044</v>
      </c>
      <c r="N253" s="136"/>
      <c r="O253" s="136">
        <f>'Đơn giá chi tiết'!J1931</f>
        <v>258681</v>
      </c>
      <c r="P253" s="136"/>
      <c r="Q253" s="166">
        <f t="shared" si="64"/>
        <v>51530872</v>
      </c>
      <c r="R253" s="166">
        <f t="shared" si="65"/>
        <v>0</v>
      </c>
      <c r="S253" s="166">
        <f t="shared" si="66"/>
        <v>5142682</v>
      </c>
      <c r="T253" s="166">
        <f t="shared" si="67"/>
        <v>0</v>
      </c>
      <c r="U253" s="34"/>
      <c r="V253" s="34"/>
      <c r="W253" s="34"/>
      <c r="X253" s="17" t="s">
        <v>82</v>
      </c>
      <c r="Y253" s="17" t="s">
        <v>321</v>
      </c>
    </row>
    <row r="254" spans="1:25" x14ac:dyDescent="0.25">
      <c r="A254" s="168"/>
      <c r="B254" s="144"/>
      <c r="C254" s="130" t="s">
        <v>258</v>
      </c>
      <c r="D254" s="168"/>
      <c r="E254" s="166"/>
      <c r="F254" s="37"/>
      <c r="G254" s="37"/>
      <c r="H254" s="37"/>
      <c r="I254" s="37"/>
      <c r="J254" s="60"/>
      <c r="K254" s="60"/>
      <c r="L254" s="193">
        <f t="shared" si="55"/>
        <v>0</v>
      </c>
      <c r="M254" s="166"/>
      <c r="N254" s="166"/>
      <c r="O254" s="166"/>
      <c r="P254" s="166"/>
      <c r="Q254" s="166"/>
      <c r="R254" s="166"/>
      <c r="S254" s="166"/>
      <c r="T254" s="166"/>
      <c r="U254" s="34"/>
      <c r="V254" s="34"/>
      <c r="W254" s="34"/>
      <c r="X254" s="17"/>
      <c r="Y254" s="17"/>
    </row>
    <row r="255" spans="1:25" ht="30" x14ac:dyDescent="0.25">
      <c r="A255" s="124">
        <v>204</v>
      </c>
      <c r="B255" s="138" t="s">
        <v>1084</v>
      </c>
      <c r="C255" s="144" t="s">
        <v>523</v>
      </c>
      <c r="D255" s="168" t="s">
        <v>155</v>
      </c>
      <c r="E255" s="142"/>
      <c r="F255" s="11"/>
      <c r="G255" s="11"/>
      <c r="H255" s="11"/>
      <c r="I255" s="11"/>
      <c r="J255" s="32"/>
      <c r="K255" s="45">
        <v>21.43</v>
      </c>
      <c r="L255" s="193">
        <f t="shared" si="55"/>
        <v>2136408</v>
      </c>
      <c r="M255" s="136">
        <f>'Đơn giá chi tiết'!J1934</f>
        <v>1145241</v>
      </c>
      <c r="N255" s="136"/>
      <c r="O255" s="136">
        <f>'Đơn giá chi tiết'!J1940</f>
        <v>957852</v>
      </c>
      <c r="P255" s="136">
        <f>'Đơn giá chi tiết'!J1942</f>
        <v>33315</v>
      </c>
      <c r="Q255" s="166">
        <f t="shared" ref="Q255:Q260" si="68">ROUND(K255*M255,0)</f>
        <v>24542515</v>
      </c>
      <c r="R255" s="166">
        <f t="shared" ref="R255:R260" si="69">ROUND(K255*N255,0)</f>
        <v>0</v>
      </c>
      <c r="S255" s="166">
        <f t="shared" ref="S255:S260" si="70">ROUND(K255*O255,0)</f>
        <v>20526768</v>
      </c>
      <c r="T255" s="166">
        <f t="shared" ref="T255:T260" si="71">ROUND(K255*P255,0)</f>
        <v>713940</v>
      </c>
      <c r="U255" s="34"/>
      <c r="V255" s="34"/>
      <c r="W255" s="34"/>
      <c r="X255" s="17" t="s">
        <v>82</v>
      </c>
      <c r="Y255" s="17" t="s">
        <v>321</v>
      </c>
    </row>
    <row r="256" spans="1:25" ht="30" x14ac:dyDescent="0.25">
      <c r="A256" s="124">
        <v>205</v>
      </c>
      <c r="B256" s="138" t="s">
        <v>869</v>
      </c>
      <c r="C256" s="144" t="s">
        <v>595</v>
      </c>
      <c r="D256" s="168" t="s">
        <v>836</v>
      </c>
      <c r="E256" s="142"/>
      <c r="F256" s="11"/>
      <c r="G256" s="11"/>
      <c r="H256" s="11"/>
      <c r="I256" s="11"/>
      <c r="J256" s="32"/>
      <c r="K256" s="45">
        <f>ROUND( 152.98/100,4)</f>
        <v>1.5298</v>
      </c>
      <c r="L256" s="193">
        <f t="shared" si="55"/>
        <v>12624861</v>
      </c>
      <c r="M256" s="136">
        <f>'Đơn giá chi tiết'!J1946</f>
        <v>3284877</v>
      </c>
      <c r="N256" s="136"/>
      <c r="O256" s="136">
        <f>'Đơn giá chi tiết'!J1952</f>
        <v>8822813</v>
      </c>
      <c r="P256" s="136">
        <f>'Đơn giá chi tiết'!J1954</f>
        <v>517171</v>
      </c>
      <c r="Q256" s="166">
        <f t="shared" si="68"/>
        <v>5025205</v>
      </c>
      <c r="R256" s="166">
        <f t="shared" si="69"/>
        <v>0</v>
      </c>
      <c r="S256" s="166">
        <f t="shared" si="70"/>
        <v>13497139</v>
      </c>
      <c r="T256" s="166">
        <f t="shared" si="71"/>
        <v>791168</v>
      </c>
      <c r="U256" s="34"/>
      <c r="V256" s="34"/>
      <c r="W256" s="34"/>
      <c r="X256" s="17" t="s">
        <v>82</v>
      </c>
      <c r="Y256" s="17" t="s">
        <v>321</v>
      </c>
    </row>
    <row r="257" spans="1:25" ht="30" x14ac:dyDescent="0.25">
      <c r="A257" s="124">
        <v>206</v>
      </c>
      <c r="B257" s="138" t="s">
        <v>1197</v>
      </c>
      <c r="C257" s="144" t="s">
        <v>64</v>
      </c>
      <c r="D257" s="168" t="s">
        <v>1172</v>
      </c>
      <c r="E257" s="142"/>
      <c r="F257" s="11"/>
      <c r="G257" s="11"/>
      <c r="H257" s="11"/>
      <c r="I257" s="11"/>
      <c r="J257" s="32"/>
      <c r="K257" s="45">
        <f>ROUND( 1668.62/1000,4)</f>
        <v>1.6686000000000001</v>
      </c>
      <c r="L257" s="193">
        <f t="shared" si="55"/>
        <v>17104388</v>
      </c>
      <c r="M257" s="136">
        <f>'Đơn giá chi tiết'!J1959</f>
        <v>14603640</v>
      </c>
      <c r="N257" s="136"/>
      <c r="O257" s="136">
        <f>'Đơn giá chi tiết'!J1962</f>
        <v>2409530</v>
      </c>
      <c r="P257" s="136">
        <f>'Đơn giá chi tiết'!J1964</f>
        <v>91218</v>
      </c>
      <c r="Q257" s="166">
        <f t="shared" si="68"/>
        <v>24367634</v>
      </c>
      <c r="R257" s="166">
        <f t="shared" si="69"/>
        <v>0</v>
      </c>
      <c r="S257" s="166">
        <f t="shared" si="70"/>
        <v>4020542</v>
      </c>
      <c r="T257" s="166">
        <f t="shared" si="71"/>
        <v>152206</v>
      </c>
      <c r="U257" s="34"/>
      <c r="V257" s="34"/>
      <c r="W257" s="34"/>
      <c r="X257" s="17" t="s">
        <v>82</v>
      </c>
      <c r="Y257" s="17" t="s">
        <v>321</v>
      </c>
    </row>
    <row r="258" spans="1:25" ht="30" x14ac:dyDescent="0.25">
      <c r="A258" s="124">
        <v>207</v>
      </c>
      <c r="B258" s="138" t="s">
        <v>399</v>
      </c>
      <c r="C258" s="144" t="s">
        <v>755</v>
      </c>
      <c r="D258" s="168" t="s">
        <v>1172</v>
      </c>
      <c r="E258" s="142"/>
      <c r="F258" s="11"/>
      <c r="G258" s="11"/>
      <c r="H258" s="11"/>
      <c r="I258" s="11"/>
      <c r="J258" s="32"/>
      <c r="K258" s="45">
        <f>ROUND( 636.57/1000,4)</f>
        <v>0.63660000000000005</v>
      </c>
      <c r="L258" s="193">
        <f t="shared" si="55"/>
        <v>16904417</v>
      </c>
      <c r="M258" s="136">
        <f>'Đơn giá chi tiết'!J1967</f>
        <v>14677642</v>
      </c>
      <c r="N258" s="136"/>
      <c r="O258" s="136">
        <f>'Đơn giá chi tiết'!J1971</f>
        <v>1775219</v>
      </c>
      <c r="P258" s="136">
        <f>'Đơn giá chi tiết'!J1973</f>
        <v>451556</v>
      </c>
      <c r="Q258" s="166">
        <f t="shared" si="68"/>
        <v>9343787</v>
      </c>
      <c r="R258" s="166">
        <f t="shared" si="69"/>
        <v>0</v>
      </c>
      <c r="S258" s="166">
        <f t="shared" si="70"/>
        <v>1130104</v>
      </c>
      <c r="T258" s="166">
        <f t="shared" si="71"/>
        <v>287461</v>
      </c>
      <c r="U258" s="34"/>
      <c r="V258" s="34"/>
      <c r="W258" s="34"/>
      <c r="X258" s="17" t="s">
        <v>82</v>
      </c>
      <c r="Y258" s="17" t="s">
        <v>321</v>
      </c>
    </row>
    <row r="259" spans="1:25" ht="30" x14ac:dyDescent="0.25">
      <c r="A259" s="124">
        <v>208</v>
      </c>
      <c r="B259" s="138" t="s">
        <v>545</v>
      </c>
      <c r="C259" s="144" t="s">
        <v>185</v>
      </c>
      <c r="D259" s="168" t="s">
        <v>227</v>
      </c>
      <c r="E259" s="142"/>
      <c r="F259" s="11"/>
      <c r="G259" s="11"/>
      <c r="H259" s="11"/>
      <c r="I259" s="11"/>
      <c r="J259" s="32"/>
      <c r="K259" s="45">
        <v>0.3</v>
      </c>
      <c r="L259" s="193">
        <f t="shared" si="55"/>
        <v>14537019</v>
      </c>
      <c r="M259" s="136">
        <f>'Đơn giá chi tiết'!J1977</f>
        <v>9269996</v>
      </c>
      <c r="N259" s="136"/>
      <c r="O259" s="136">
        <f>'Đơn giá chi tiết'!J1981</f>
        <v>5267023</v>
      </c>
      <c r="P259" s="136"/>
      <c r="Q259" s="166">
        <f t="shared" si="68"/>
        <v>2780999</v>
      </c>
      <c r="R259" s="166">
        <f t="shared" si="69"/>
        <v>0</v>
      </c>
      <c r="S259" s="166">
        <f t="shared" si="70"/>
        <v>1580107</v>
      </c>
      <c r="T259" s="166">
        <f t="shared" si="71"/>
        <v>0</v>
      </c>
      <c r="U259" s="34"/>
      <c r="V259" s="34"/>
      <c r="W259" s="34"/>
      <c r="X259" s="17" t="s">
        <v>1045</v>
      </c>
      <c r="Y259" s="17" t="s">
        <v>664</v>
      </c>
    </row>
    <row r="260" spans="1:25" ht="30" x14ac:dyDescent="0.25">
      <c r="A260" s="124">
        <v>209</v>
      </c>
      <c r="B260" s="138" t="s">
        <v>322</v>
      </c>
      <c r="C260" s="144" t="s">
        <v>849</v>
      </c>
      <c r="D260" s="168" t="s">
        <v>927</v>
      </c>
      <c r="E260" s="142"/>
      <c r="F260" s="11"/>
      <c r="G260" s="11"/>
      <c r="H260" s="11"/>
      <c r="I260" s="11"/>
      <c r="J260" s="32"/>
      <c r="K260" s="45">
        <v>20</v>
      </c>
      <c r="L260" s="193">
        <f t="shared" si="55"/>
        <v>113755</v>
      </c>
      <c r="M260" s="136">
        <f>'Đơn giá chi tiết'!J1984</f>
        <v>61061</v>
      </c>
      <c r="N260" s="136"/>
      <c r="O260" s="136">
        <f>'Đơn giá chi tiết'!J1987</f>
        <v>52694</v>
      </c>
      <c r="P260" s="136"/>
      <c r="Q260" s="166">
        <f t="shared" si="68"/>
        <v>1221220</v>
      </c>
      <c r="R260" s="166">
        <f t="shared" si="69"/>
        <v>0</v>
      </c>
      <c r="S260" s="166">
        <f t="shared" si="70"/>
        <v>1053880</v>
      </c>
      <c r="T260" s="166">
        <f t="shared" si="71"/>
        <v>0</v>
      </c>
      <c r="U260" s="34"/>
      <c r="V260" s="34"/>
      <c r="W260" s="34"/>
      <c r="X260" s="17" t="s">
        <v>1045</v>
      </c>
      <c r="Y260" s="17" t="s">
        <v>664</v>
      </c>
    </row>
    <row r="261" spans="1:25" x14ac:dyDescent="0.25">
      <c r="A261" s="168"/>
      <c r="B261" s="144"/>
      <c r="C261" s="130" t="s">
        <v>1156</v>
      </c>
      <c r="D261" s="168"/>
      <c r="E261" s="166"/>
      <c r="F261" s="37"/>
      <c r="G261" s="37"/>
      <c r="H261" s="37"/>
      <c r="I261" s="37"/>
      <c r="J261" s="60"/>
      <c r="K261" s="60"/>
      <c r="L261" s="193">
        <f t="shared" si="55"/>
        <v>0</v>
      </c>
      <c r="M261" s="166"/>
      <c r="N261" s="166"/>
      <c r="O261" s="166"/>
      <c r="P261" s="166"/>
      <c r="Q261" s="166"/>
      <c r="R261" s="166"/>
      <c r="S261" s="166"/>
      <c r="T261" s="166"/>
      <c r="U261" s="34"/>
      <c r="V261" s="34"/>
      <c r="W261" s="34"/>
      <c r="X261" s="17"/>
      <c r="Y261" s="17"/>
    </row>
    <row r="262" spans="1:25" ht="30" x14ac:dyDescent="0.25">
      <c r="A262" s="124">
        <v>210</v>
      </c>
      <c r="B262" s="138" t="s">
        <v>232</v>
      </c>
      <c r="C262" s="144" t="s">
        <v>881</v>
      </c>
      <c r="D262" s="168" t="s">
        <v>1172</v>
      </c>
      <c r="E262" s="142"/>
      <c r="F262" s="11"/>
      <c r="G262" s="11"/>
      <c r="H262" s="11"/>
      <c r="I262" s="11"/>
      <c r="J262" s="32"/>
      <c r="K262" s="45">
        <f>ROUND(( 14218.71)/1000,4)</f>
        <v>14.2187</v>
      </c>
      <c r="L262" s="193">
        <f t="shared" si="55"/>
        <v>22690543</v>
      </c>
      <c r="M262" s="100">
        <f>'Đơn giá chi tiết'!J1990</f>
        <v>15491390</v>
      </c>
      <c r="N262" s="136"/>
      <c r="O262" s="136">
        <f>'Đơn giá chi tiết'!J1998</f>
        <v>5381431</v>
      </c>
      <c r="P262" s="136">
        <f>'Đơn giá chi tiết'!J2000</f>
        <v>1817722</v>
      </c>
      <c r="Q262" s="166">
        <f>ROUND(K262*M262,0)</f>
        <v>220267427</v>
      </c>
      <c r="R262" s="166">
        <f>ROUND(K262*N262,0)</f>
        <v>0</v>
      </c>
      <c r="S262" s="166">
        <f>ROUND(K262*O262,0)</f>
        <v>76516953</v>
      </c>
      <c r="T262" s="166">
        <f>ROUND(K262*P262,0)</f>
        <v>25845644</v>
      </c>
      <c r="U262" s="34"/>
      <c r="V262" s="34"/>
      <c r="W262" s="34"/>
      <c r="X262" s="17" t="s">
        <v>82</v>
      </c>
      <c r="Y262" s="17" t="s">
        <v>321</v>
      </c>
    </row>
    <row r="263" spans="1:25" ht="30" x14ac:dyDescent="0.25">
      <c r="A263" s="124">
        <v>211</v>
      </c>
      <c r="B263" s="138" t="s">
        <v>498</v>
      </c>
      <c r="C263" s="144" t="s">
        <v>656</v>
      </c>
      <c r="D263" s="168" t="s">
        <v>205</v>
      </c>
      <c r="E263" s="142"/>
      <c r="F263" s="11"/>
      <c r="G263" s="11"/>
      <c r="H263" s="11"/>
      <c r="I263" s="11"/>
      <c r="J263" s="32"/>
      <c r="K263" s="45">
        <v>105.3</v>
      </c>
      <c r="L263" s="193">
        <f t="shared" si="55"/>
        <v>131853</v>
      </c>
      <c r="M263" s="136">
        <f>'Đơn giá chi tiết'!J2006</f>
        <v>5859</v>
      </c>
      <c r="N263" s="136"/>
      <c r="O263" s="136">
        <f>'Đơn giá chi tiết'!J2012</f>
        <v>92192</v>
      </c>
      <c r="P263" s="136">
        <f>'Đơn giá chi tiết'!J2014</f>
        <v>33802</v>
      </c>
      <c r="Q263" s="166">
        <f>ROUND(K263*M263,0)</f>
        <v>616953</v>
      </c>
      <c r="R263" s="166">
        <f>ROUND(K263*N263,0)</f>
        <v>0</v>
      </c>
      <c r="S263" s="166">
        <f>ROUND(K263*O263,0)</f>
        <v>9707818</v>
      </c>
      <c r="T263" s="166">
        <f>ROUND(K263*P263,0)</f>
        <v>3559351</v>
      </c>
      <c r="U263" s="34"/>
      <c r="V263" s="34"/>
      <c r="W263" s="34"/>
      <c r="X263" s="17" t="s">
        <v>82</v>
      </c>
      <c r="Y263" s="17" t="s">
        <v>321</v>
      </c>
    </row>
    <row r="264" spans="1:25" x14ac:dyDescent="0.25">
      <c r="A264" s="63">
        <v>212</v>
      </c>
      <c r="B264" s="29" t="s">
        <v>30</v>
      </c>
      <c r="C264" s="80" t="s">
        <v>304</v>
      </c>
      <c r="D264" s="119" t="s">
        <v>75</v>
      </c>
      <c r="E264" s="142"/>
      <c r="F264" s="11"/>
      <c r="G264" s="11"/>
      <c r="H264" s="11"/>
      <c r="I264" s="11"/>
      <c r="J264" s="32"/>
      <c r="K264" s="45">
        <f>ROUND(1560+70+120,4)</f>
        <v>1750</v>
      </c>
      <c r="L264" s="193">
        <f t="shared" ref="L264:L306" si="72">SUM(M264:P264)</f>
        <v>10000</v>
      </c>
      <c r="M264" s="71">
        <f>'Đơn giá chi tiết'!J2017</f>
        <v>10000</v>
      </c>
      <c r="N264" s="71"/>
      <c r="O264" s="71"/>
      <c r="P264" s="71"/>
      <c r="Q264" s="166">
        <f>ROUND(K264*M264,0)</f>
        <v>17500000</v>
      </c>
      <c r="R264" s="166">
        <f>ROUND(K264*N264,0)</f>
        <v>0</v>
      </c>
      <c r="S264" s="166">
        <f>ROUND(K264*O264,0)</f>
        <v>0</v>
      </c>
      <c r="T264" s="166">
        <f>ROUND(K264*P264,0)</f>
        <v>0</v>
      </c>
      <c r="U264" s="152"/>
      <c r="V264" s="152"/>
      <c r="W264" s="152"/>
      <c r="X264" s="17"/>
      <c r="Y264" s="17"/>
    </row>
    <row r="265" spans="1:25" ht="30" x14ac:dyDescent="0.25">
      <c r="A265" s="124">
        <v>213</v>
      </c>
      <c r="B265" s="138" t="s">
        <v>301</v>
      </c>
      <c r="C265" s="144" t="s">
        <v>1066</v>
      </c>
      <c r="D265" s="168" t="s">
        <v>205</v>
      </c>
      <c r="E265" s="142"/>
      <c r="F265" s="11"/>
      <c r="G265" s="11"/>
      <c r="H265" s="11"/>
      <c r="I265" s="11"/>
      <c r="J265" s="32"/>
      <c r="K265" s="45">
        <f>ROUND(0.24/0.015,4)</f>
        <v>16</v>
      </c>
      <c r="L265" s="193">
        <f t="shared" si="72"/>
        <v>39348</v>
      </c>
      <c r="M265" s="136">
        <f>'Đơn giá chi tiết'!J2020</f>
        <v>22976</v>
      </c>
      <c r="N265" s="136"/>
      <c r="O265" s="136">
        <f>'Đơn giá chi tiết'!J2024</f>
        <v>15673</v>
      </c>
      <c r="P265" s="136">
        <f>'Đơn giá chi tiết'!J2026</f>
        <v>699</v>
      </c>
      <c r="Q265" s="166">
        <f>ROUND(K265*M265,0)</f>
        <v>367616</v>
      </c>
      <c r="R265" s="166">
        <f>ROUND(K265*N265,0)</f>
        <v>0</v>
      </c>
      <c r="S265" s="166">
        <f>ROUND(K265*O265,0)</f>
        <v>250768</v>
      </c>
      <c r="T265" s="166">
        <f>ROUND(K265*P265,0)</f>
        <v>11184</v>
      </c>
      <c r="U265" s="34"/>
      <c r="V265" s="34"/>
      <c r="W265" s="34"/>
      <c r="X265" s="17" t="s">
        <v>82</v>
      </c>
      <c r="Y265" s="17" t="s">
        <v>321</v>
      </c>
    </row>
    <row r="266" spans="1:25" ht="28.5" x14ac:dyDescent="0.25">
      <c r="A266" s="168"/>
      <c r="B266" s="144"/>
      <c r="C266" s="130" t="s">
        <v>484</v>
      </c>
      <c r="D266" s="168"/>
      <c r="E266" s="166"/>
      <c r="F266" s="37"/>
      <c r="G266" s="37"/>
      <c r="H266" s="37"/>
      <c r="I266" s="37"/>
      <c r="J266" s="60"/>
      <c r="K266" s="60"/>
      <c r="L266" s="193">
        <f t="shared" si="72"/>
        <v>0</v>
      </c>
      <c r="M266" s="166"/>
      <c r="N266" s="166"/>
      <c r="O266" s="166"/>
      <c r="P266" s="166"/>
      <c r="Q266" s="166"/>
      <c r="R266" s="166"/>
      <c r="S266" s="166"/>
      <c r="T266" s="166"/>
      <c r="U266" s="34"/>
      <c r="V266" s="34"/>
      <c r="W266" s="34"/>
      <c r="X266" s="17"/>
      <c r="Y266" s="17"/>
    </row>
    <row r="267" spans="1:25" ht="30" x14ac:dyDescent="0.25">
      <c r="A267" s="124">
        <v>214</v>
      </c>
      <c r="B267" s="138" t="s">
        <v>370</v>
      </c>
      <c r="C267" s="144" t="s">
        <v>194</v>
      </c>
      <c r="D267" s="168" t="s">
        <v>155</v>
      </c>
      <c r="E267" s="142"/>
      <c r="F267" s="11"/>
      <c r="G267" s="11"/>
      <c r="H267" s="11"/>
      <c r="I267" s="11"/>
      <c r="J267" s="32"/>
      <c r="K267" s="45">
        <v>3.4</v>
      </c>
      <c r="L267" s="193">
        <f t="shared" si="72"/>
        <v>1293693</v>
      </c>
      <c r="M267" s="136">
        <f>'Đơn giá chi tiết'!J2029</f>
        <v>926019</v>
      </c>
      <c r="N267" s="136"/>
      <c r="O267" s="136">
        <f>'Đơn giá chi tiết'!J2035</f>
        <v>320179</v>
      </c>
      <c r="P267" s="136">
        <f>'Đơn giá chi tiết'!J2037</f>
        <v>47495</v>
      </c>
      <c r="Q267" s="166">
        <f t="shared" ref="Q267:Q273" si="73">ROUND(K267*M267,0)</f>
        <v>3148465</v>
      </c>
      <c r="R267" s="166">
        <f t="shared" ref="R267:R273" si="74">ROUND(K267*N267,0)</f>
        <v>0</v>
      </c>
      <c r="S267" s="166">
        <f t="shared" ref="S267:S273" si="75">ROUND(K267*O267,0)</f>
        <v>1088609</v>
      </c>
      <c r="T267" s="166">
        <f t="shared" ref="T267:T273" si="76">ROUND(K267*P267,0)</f>
        <v>161483</v>
      </c>
      <c r="U267" s="34"/>
      <c r="V267" s="34"/>
      <c r="W267" s="34"/>
      <c r="X267" s="17" t="s">
        <v>82</v>
      </c>
      <c r="Y267" s="17" t="s">
        <v>321</v>
      </c>
    </row>
    <row r="268" spans="1:25" ht="30" x14ac:dyDescent="0.25">
      <c r="A268" s="124">
        <v>215</v>
      </c>
      <c r="B268" s="138" t="s">
        <v>1181</v>
      </c>
      <c r="C268" s="144" t="s">
        <v>1072</v>
      </c>
      <c r="D268" s="168" t="s">
        <v>227</v>
      </c>
      <c r="E268" s="142"/>
      <c r="F268" s="11"/>
      <c r="G268" s="11"/>
      <c r="H268" s="11"/>
      <c r="I268" s="11"/>
      <c r="J268" s="32"/>
      <c r="K268" s="45">
        <v>0.71</v>
      </c>
      <c r="L268" s="193">
        <f t="shared" si="72"/>
        <v>17980753</v>
      </c>
      <c r="M268" s="136">
        <f>'Đơn giá chi tiết'!J2041</f>
        <v>8379635</v>
      </c>
      <c r="N268" s="136"/>
      <c r="O268" s="136">
        <f>'Đơn giá chi tiết'!J2045</f>
        <v>9405911</v>
      </c>
      <c r="P268" s="136">
        <f>'Đơn giá chi tiết'!J2047</f>
        <v>195207</v>
      </c>
      <c r="Q268" s="166">
        <f t="shared" si="73"/>
        <v>5949541</v>
      </c>
      <c r="R268" s="166">
        <f t="shared" si="74"/>
        <v>0</v>
      </c>
      <c r="S268" s="166">
        <f t="shared" si="75"/>
        <v>6678197</v>
      </c>
      <c r="T268" s="166">
        <f t="shared" si="76"/>
        <v>138597</v>
      </c>
      <c r="U268" s="34"/>
      <c r="V268" s="34"/>
      <c r="W268" s="34"/>
      <c r="X268" s="17" t="s">
        <v>1045</v>
      </c>
      <c r="Y268" s="17" t="s">
        <v>664</v>
      </c>
    </row>
    <row r="269" spans="1:25" ht="30" x14ac:dyDescent="0.25">
      <c r="A269" s="124">
        <v>216</v>
      </c>
      <c r="B269" s="138" t="s">
        <v>916</v>
      </c>
      <c r="C269" s="144" t="s">
        <v>879</v>
      </c>
      <c r="D269" s="168" t="s">
        <v>1123</v>
      </c>
      <c r="E269" s="142"/>
      <c r="F269" s="11"/>
      <c r="G269" s="11"/>
      <c r="H269" s="11"/>
      <c r="I269" s="11"/>
      <c r="J269" s="32"/>
      <c r="K269" s="45">
        <v>68</v>
      </c>
      <c r="L269" s="193">
        <f t="shared" si="72"/>
        <v>543270</v>
      </c>
      <c r="M269" s="136">
        <f>'Đơn giá chi tiết'!J2051</f>
        <v>186886</v>
      </c>
      <c r="N269" s="136"/>
      <c r="O269" s="136">
        <f>'Đơn giá chi tiết'!J2058</f>
        <v>338543</v>
      </c>
      <c r="P269" s="136">
        <f>'Đơn giá chi tiết'!J2060</f>
        <v>17841</v>
      </c>
      <c r="Q269" s="166">
        <f t="shared" si="73"/>
        <v>12708248</v>
      </c>
      <c r="R269" s="166">
        <f t="shared" si="74"/>
        <v>0</v>
      </c>
      <c r="S269" s="166">
        <f t="shared" si="75"/>
        <v>23020924</v>
      </c>
      <c r="T269" s="166">
        <f t="shared" si="76"/>
        <v>1213188</v>
      </c>
      <c r="U269" s="34"/>
      <c r="V269" s="34"/>
      <c r="W269" s="34"/>
      <c r="X269" s="17" t="s">
        <v>82</v>
      </c>
      <c r="Y269" s="17" t="s">
        <v>321</v>
      </c>
    </row>
    <row r="270" spans="1:25" x14ac:dyDescent="0.25">
      <c r="A270" s="63">
        <v>217</v>
      </c>
      <c r="B270" s="29" t="s">
        <v>30</v>
      </c>
      <c r="C270" s="80" t="s">
        <v>1174</v>
      </c>
      <c r="D270" s="119" t="s">
        <v>75</v>
      </c>
      <c r="E270" s="142"/>
      <c r="F270" s="11"/>
      <c r="G270" s="11"/>
      <c r="H270" s="11"/>
      <c r="I270" s="11"/>
      <c r="J270" s="32"/>
      <c r="K270" s="45">
        <v>56</v>
      </c>
      <c r="L270" s="193">
        <f t="shared" si="72"/>
        <v>7000</v>
      </c>
      <c r="M270" s="71">
        <f>'Đơn giá chi tiết'!J2063</f>
        <v>7000</v>
      </c>
      <c r="N270" s="71"/>
      <c r="O270" s="71"/>
      <c r="P270" s="71"/>
      <c r="Q270" s="166">
        <f t="shared" si="73"/>
        <v>392000</v>
      </c>
      <c r="R270" s="166">
        <f t="shared" si="74"/>
        <v>0</v>
      </c>
      <c r="S270" s="166">
        <f t="shared" si="75"/>
        <v>0</v>
      </c>
      <c r="T270" s="166">
        <f t="shared" si="76"/>
        <v>0</v>
      </c>
      <c r="U270" s="152"/>
      <c r="V270" s="152"/>
      <c r="W270" s="152"/>
      <c r="X270" s="17"/>
      <c r="Y270" s="17"/>
    </row>
    <row r="271" spans="1:25" ht="30" x14ac:dyDescent="0.25">
      <c r="A271" s="124">
        <v>218</v>
      </c>
      <c r="B271" s="138" t="s">
        <v>1071</v>
      </c>
      <c r="C271" s="144" t="s">
        <v>738</v>
      </c>
      <c r="D271" s="168" t="s">
        <v>227</v>
      </c>
      <c r="E271" s="142"/>
      <c r="F271" s="11"/>
      <c r="G271" s="11"/>
      <c r="H271" s="11"/>
      <c r="I271" s="11"/>
      <c r="J271" s="32"/>
      <c r="K271" s="45">
        <f>ROUND(40*3/100,4)</f>
        <v>1.2</v>
      </c>
      <c r="L271" s="193">
        <f t="shared" si="72"/>
        <v>1373477</v>
      </c>
      <c r="M271" s="136">
        <f>'Đơn giá chi tiết'!J2066</f>
        <v>767494</v>
      </c>
      <c r="N271" s="136"/>
      <c r="O271" s="136">
        <f>'Đơn giá chi tiết'!J2071</f>
        <v>605983</v>
      </c>
      <c r="P271" s="136"/>
      <c r="Q271" s="166">
        <f t="shared" si="73"/>
        <v>920993</v>
      </c>
      <c r="R271" s="166">
        <f t="shared" si="74"/>
        <v>0</v>
      </c>
      <c r="S271" s="166">
        <f t="shared" si="75"/>
        <v>727180</v>
      </c>
      <c r="T271" s="166">
        <f t="shared" si="76"/>
        <v>0</v>
      </c>
      <c r="U271" s="34"/>
      <c r="V271" s="34"/>
      <c r="W271" s="34"/>
      <c r="X271" s="17" t="s">
        <v>82</v>
      </c>
      <c r="Y271" s="17" t="s">
        <v>321</v>
      </c>
    </row>
    <row r="272" spans="1:25" ht="30" x14ac:dyDescent="0.25">
      <c r="A272" s="124">
        <v>219</v>
      </c>
      <c r="B272" s="52" t="s">
        <v>309</v>
      </c>
      <c r="C272" s="144" t="s">
        <v>1067</v>
      </c>
      <c r="D272" s="168" t="s">
        <v>155</v>
      </c>
      <c r="E272" s="142"/>
      <c r="F272" s="11"/>
      <c r="G272" s="11"/>
      <c r="H272" s="11"/>
      <c r="I272" s="11"/>
      <c r="J272" s="32"/>
      <c r="K272" s="45">
        <v>3.24</v>
      </c>
      <c r="L272" s="193">
        <f t="shared" si="72"/>
        <v>232325</v>
      </c>
      <c r="M272" s="136"/>
      <c r="N272" s="136"/>
      <c r="O272" s="136">
        <f>'Đơn giá chi tiết'!J2074</f>
        <v>232325</v>
      </c>
      <c r="P272" s="136"/>
      <c r="Q272" s="166">
        <f t="shared" si="73"/>
        <v>0</v>
      </c>
      <c r="R272" s="166">
        <f t="shared" si="74"/>
        <v>0</v>
      </c>
      <c r="S272" s="166">
        <f t="shared" si="75"/>
        <v>752733</v>
      </c>
      <c r="T272" s="166">
        <f t="shared" si="76"/>
        <v>0</v>
      </c>
      <c r="U272" s="34"/>
      <c r="V272" s="34"/>
      <c r="W272" s="34"/>
      <c r="X272" s="17" t="s">
        <v>82</v>
      </c>
      <c r="Y272" s="17" t="s">
        <v>321</v>
      </c>
    </row>
    <row r="273" spans="1:25" ht="30" x14ac:dyDescent="0.25">
      <c r="A273" s="124">
        <v>220</v>
      </c>
      <c r="B273" s="138" t="s">
        <v>718</v>
      </c>
      <c r="C273" s="144" t="s">
        <v>493</v>
      </c>
      <c r="D273" s="168" t="s">
        <v>1101</v>
      </c>
      <c r="E273" s="142"/>
      <c r="F273" s="11"/>
      <c r="G273" s="11"/>
      <c r="H273" s="11"/>
      <c r="I273" s="11"/>
      <c r="J273" s="32"/>
      <c r="K273" s="45">
        <v>16</v>
      </c>
      <c r="L273" s="193">
        <f t="shared" si="72"/>
        <v>279464</v>
      </c>
      <c r="M273" s="136">
        <f>'Đơn giá chi tiết'!J2077</f>
        <v>50000</v>
      </c>
      <c r="N273" s="136"/>
      <c r="O273" s="136">
        <f>'Đơn giá chi tiết'!J2079</f>
        <v>90349</v>
      </c>
      <c r="P273" s="136">
        <f>'Đơn giá chi tiết'!J2081</f>
        <v>139115</v>
      </c>
      <c r="Q273" s="166">
        <f t="shared" si="73"/>
        <v>800000</v>
      </c>
      <c r="R273" s="166">
        <f t="shared" si="74"/>
        <v>0</v>
      </c>
      <c r="S273" s="166">
        <f t="shared" si="75"/>
        <v>1445584</v>
      </c>
      <c r="T273" s="166">
        <f t="shared" si="76"/>
        <v>2225840</v>
      </c>
      <c r="U273" s="34"/>
      <c r="V273" s="34"/>
      <c r="W273" s="34"/>
      <c r="X273" s="17" t="s">
        <v>585</v>
      </c>
      <c r="Y273" s="17" t="s">
        <v>409</v>
      </c>
    </row>
    <row r="274" spans="1:25" x14ac:dyDescent="0.25">
      <c r="A274" s="168"/>
      <c r="B274" s="144"/>
      <c r="C274" s="130" t="s">
        <v>846</v>
      </c>
      <c r="D274" s="168"/>
      <c r="E274" s="166"/>
      <c r="F274" s="37"/>
      <c r="G274" s="37"/>
      <c r="H274" s="37"/>
      <c r="I274" s="37"/>
      <c r="J274" s="60"/>
      <c r="K274" s="60"/>
      <c r="L274" s="193">
        <f t="shared" si="72"/>
        <v>0</v>
      </c>
      <c r="M274" s="166"/>
      <c r="N274" s="166"/>
      <c r="O274" s="166"/>
      <c r="P274" s="166"/>
      <c r="Q274" s="166"/>
      <c r="R274" s="166"/>
      <c r="S274" s="166"/>
      <c r="T274" s="166"/>
      <c r="U274" s="34"/>
      <c r="V274" s="34"/>
      <c r="W274" s="34"/>
      <c r="X274" s="17"/>
      <c r="Y274" s="17"/>
    </row>
    <row r="275" spans="1:25" ht="30" x14ac:dyDescent="0.25">
      <c r="A275" s="124">
        <v>221</v>
      </c>
      <c r="B275" s="52" t="s">
        <v>0</v>
      </c>
      <c r="C275" s="144" t="s">
        <v>104</v>
      </c>
      <c r="D275" s="168" t="s">
        <v>113</v>
      </c>
      <c r="E275" s="142"/>
      <c r="F275" s="11"/>
      <c r="G275" s="11"/>
      <c r="H275" s="11"/>
      <c r="I275" s="11"/>
      <c r="J275" s="32"/>
      <c r="K275" s="45">
        <v>78</v>
      </c>
      <c r="L275" s="193">
        <f t="shared" si="72"/>
        <v>80931</v>
      </c>
      <c r="M275" s="136">
        <f>'Đơn giá chi tiết'!J2084</f>
        <v>64128</v>
      </c>
      <c r="N275" s="136"/>
      <c r="O275" s="136">
        <f>'Đơn giá chi tiết'!J2089</f>
        <v>16803</v>
      </c>
      <c r="P275" s="136"/>
      <c r="Q275" s="166">
        <f t="shared" ref="Q275:Q287" si="77">ROUND(K275*M275,0)</f>
        <v>5001984</v>
      </c>
      <c r="R275" s="166">
        <f t="shared" ref="R275:R287" si="78">ROUND(K275*N275,0)</f>
        <v>0</v>
      </c>
      <c r="S275" s="166">
        <f t="shared" ref="S275:S287" si="79">ROUND(K275*O275,0)</f>
        <v>1310634</v>
      </c>
      <c r="T275" s="166">
        <f t="shared" ref="T275:T287" si="80">ROUND(K275*P275,0)</f>
        <v>0</v>
      </c>
      <c r="U275" s="34"/>
      <c r="V275" s="34"/>
      <c r="W275" s="34"/>
      <c r="X275" s="17" t="s">
        <v>82</v>
      </c>
      <c r="Y275" s="17" t="s">
        <v>321</v>
      </c>
    </row>
    <row r="276" spans="1:25" x14ac:dyDescent="0.25">
      <c r="A276" s="63">
        <v>222</v>
      </c>
      <c r="B276" s="29" t="s">
        <v>30</v>
      </c>
      <c r="C276" s="80" t="s">
        <v>541</v>
      </c>
      <c r="D276" s="119" t="s">
        <v>113</v>
      </c>
      <c r="E276" s="142"/>
      <c r="F276" s="11"/>
      <c r="G276" s="11"/>
      <c r="H276" s="11"/>
      <c r="I276" s="11"/>
      <c r="J276" s="32"/>
      <c r="K276" s="45">
        <v>78</v>
      </c>
      <c r="L276" s="193">
        <f t="shared" si="72"/>
        <v>48788</v>
      </c>
      <c r="M276" s="71">
        <f>'Đơn giá chi tiết'!J2092</f>
        <v>48788</v>
      </c>
      <c r="N276" s="71"/>
      <c r="O276" s="71"/>
      <c r="P276" s="71"/>
      <c r="Q276" s="166">
        <f t="shared" si="77"/>
        <v>3805464</v>
      </c>
      <c r="R276" s="166">
        <f t="shared" si="78"/>
        <v>0</v>
      </c>
      <c r="S276" s="166">
        <f t="shared" si="79"/>
        <v>0</v>
      </c>
      <c r="T276" s="166">
        <f t="shared" si="80"/>
        <v>0</v>
      </c>
      <c r="U276" s="152"/>
      <c r="V276" s="152"/>
      <c r="W276" s="152"/>
      <c r="X276" s="17"/>
      <c r="Y276" s="17"/>
    </row>
    <row r="277" spans="1:25" x14ac:dyDescent="0.25">
      <c r="A277" s="63">
        <v>223</v>
      </c>
      <c r="B277" s="29" t="s">
        <v>30</v>
      </c>
      <c r="C277" s="80" t="s">
        <v>816</v>
      </c>
      <c r="D277" s="119" t="s">
        <v>113</v>
      </c>
      <c r="E277" s="142"/>
      <c r="F277" s="11"/>
      <c r="G277" s="11"/>
      <c r="H277" s="11"/>
      <c r="I277" s="11"/>
      <c r="J277" s="32"/>
      <c r="K277" s="45">
        <v>2.8</v>
      </c>
      <c r="L277" s="193">
        <f t="shared" si="72"/>
        <v>35000</v>
      </c>
      <c r="M277" s="71">
        <f>'Đơn giá chi tiết'!J2095</f>
        <v>35000</v>
      </c>
      <c r="N277" s="71"/>
      <c r="O277" s="71"/>
      <c r="P277" s="71"/>
      <c r="Q277" s="166">
        <f t="shared" si="77"/>
        <v>98000</v>
      </c>
      <c r="R277" s="166">
        <f t="shared" si="78"/>
        <v>0</v>
      </c>
      <c r="S277" s="166">
        <f t="shared" si="79"/>
        <v>0</v>
      </c>
      <c r="T277" s="166">
        <f t="shared" si="80"/>
        <v>0</v>
      </c>
      <c r="U277" s="152"/>
      <c r="V277" s="152"/>
      <c r="W277" s="152"/>
      <c r="X277" s="17"/>
      <c r="Y277" s="17"/>
    </row>
    <row r="278" spans="1:25" x14ac:dyDescent="0.25">
      <c r="A278" s="63">
        <v>224</v>
      </c>
      <c r="B278" s="29" t="s">
        <v>30</v>
      </c>
      <c r="C278" s="80" t="s">
        <v>889</v>
      </c>
      <c r="D278" s="119" t="s">
        <v>1123</v>
      </c>
      <c r="E278" s="142"/>
      <c r="F278" s="11"/>
      <c r="G278" s="11"/>
      <c r="H278" s="11"/>
      <c r="I278" s="11"/>
      <c r="J278" s="32"/>
      <c r="K278" s="45">
        <v>56</v>
      </c>
      <c r="L278" s="193">
        <f t="shared" si="72"/>
        <v>1080378</v>
      </c>
      <c r="M278" s="71">
        <f>'Đơn giá chi tiết'!J2098</f>
        <v>1080378</v>
      </c>
      <c r="N278" s="71"/>
      <c r="O278" s="71"/>
      <c r="P278" s="71"/>
      <c r="Q278" s="166">
        <f t="shared" si="77"/>
        <v>60501168</v>
      </c>
      <c r="R278" s="166">
        <f t="shared" si="78"/>
        <v>0</v>
      </c>
      <c r="S278" s="166">
        <f t="shared" si="79"/>
        <v>0</v>
      </c>
      <c r="T278" s="166">
        <f t="shared" si="80"/>
        <v>0</v>
      </c>
      <c r="U278" s="152"/>
      <c r="V278" s="152"/>
      <c r="W278" s="152"/>
      <c r="X278" s="17"/>
      <c r="Y278" s="17"/>
    </row>
    <row r="279" spans="1:25" x14ac:dyDescent="0.25">
      <c r="A279" s="63">
        <v>225</v>
      </c>
      <c r="B279" s="29" t="s">
        <v>30</v>
      </c>
      <c r="C279" s="80" t="s">
        <v>541</v>
      </c>
      <c r="D279" s="119" t="s">
        <v>113</v>
      </c>
      <c r="E279" s="142"/>
      <c r="F279" s="11"/>
      <c r="G279" s="11"/>
      <c r="H279" s="11"/>
      <c r="I279" s="11"/>
      <c r="J279" s="32"/>
      <c r="K279" s="45">
        <v>28</v>
      </c>
      <c r="L279" s="193">
        <f t="shared" si="72"/>
        <v>48788</v>
      </c>
      <c r="M279" s="71">
        <f>'Đơn giá chi tiết'!J2101</f>
        <v>48788</v>
      </c>
      <c r="N279" s="71"/>
      <c r="O279" s="71"/>
      <c r="P279" s="71"/>
      <c r="Q279" s="166">
        <f t="shared" si="77"/>
        <v>1366064</v>
      </c>
      <c r="R279" s="166">
        <f t="shared" si="78"/>
        <v>0</v>
      </c>
      <c r="S279" s="166">
        <f t="shared" si="79"/>
        <v>0</v>
      </c>
      <c r="T279" s="166">
        <f t="shared" si="80"/>
        <v>0</v>
      </c>
      <c r="U279" s="152"/>
      <c r="V279" s="152"/>
      <c r="W279" s="152"/>
      <c r="X279" s="17"/>
      <c r="Y279" s="17"/>
    </row>
    <row r="280" spans="1:25" x14ac:dyDescent="0.25">
      <c r="A280" s="63">
        <v>226</v>
      </c>
      <c r="B280" s="29" t="s">
        <v>30</v>
      </c>
      <c r="C280" s="80" t="s">
        <v>100</v>
      </c>
      <c r="D280" s="119" t="s">
        <v>1123</v>
      </c>
      <c r="E280" s="142"/>
      <c r="F280" s="11"/>
      <c r="G280" s="11"/>
      <c r="H280" s="11"/>
      <c r="I280" s="11"/>
      <c r="J280" s="32"/>
      <c r="K280" s="45">
        <v>56</v>
      </c>
      <c r="L280" s="193">
        <f t="shared" si="72"/>
        <v>174000</v>
      </c>
      <c r="M280" s="71">
        <f>'Đơn giá chi tiết'!J2104</f>
        <v>174000</v>
      </c>
      <c r="N280" s="71"/>
      <c r="O280" s="71"/>
      <c r="P280" s="71"/>
      <c r="Q280" s="166">
        <f t="shared" si="77"/>
        <v>9744000</v>
      </c>
      <c r="R280" s="166">
        <f t="shared" si="78"/>
        <v>0</v>
      </c>
      <c r="S280" s="166">
        <f t="shared" si="79"/>
        <v>0</v>
      </c>
      <c r="T280" s="166">
        <f t="shared" si="80"/>
        <v>0</v>
      </c>
      <c r="U280" s="152"/>
      <c r="V280" s="152"/>
      <c r="W280" s="152"/>
      <c r="X280" s="17"/>
      <c r="Y280" s="17"/>
    </row>
    <row r="281" spans="1:25" x14ac:dyDescent="0.25">
      <c r="A281" s="63">
        <v>227</v>
      </c>
      <c r="B281" s="29" t="s">
        <v>30</v>
      </c>
      <c r="C281" s="80" t="s">
        <v>304</v>
      </c>
      <c r="D281" s="119" t="s">
        <v>75</v>
      </c>
      <c r="E281" s="142"/>
      <c r="F281" s="11"/>
      <c r="G281" s="11"/>
      <c r="H281" s="11"/>
      <c r="I281" s="11"/>
      <c r="J281" s="32"/>
      <c r="K281" s="45">
        <v>504</v>
      </c>
      <c r="L281" s="193">
        <f t="shared" si="72"/>
        <v>10000</v>
      </c>
      <c r="M281" s="71">
        <f>'Đơn giá chi tiết'!J2107</f>
        <v>10000</v>
      </c>
      <c r="N281" s="71"/>
      <c r="O281" s="71"/>
      <c r="P281" s="71"/>
      <c r="Q281" s="166">
        <f t="shared" si="77"/>
        <v>5040000</v>
      </c>
      <c r="R281" s="166">
        <f t="shared" si="78"/>
        <v>0</v>
      </c>
      <c r="S281" s="166">
        <f t="shared" si="79"/>
        <v>0</v>
      </c>
      <c r="T281" s="166">
        <f t="shared" si="80"/>
        <v>0</v>
      </c>
      <c r="U281" s="152"/>
      <c r="V281" s="152"/>
      <c r="W281" s="152"/>
      <c r="X281" s="17"/>
      <c r="Y281" s="17"/>
    </row>
    <row r="282" spans="1:25" x14ac:dyDescent="0.25">
      <c r="A282" s="63">
        <v>228</v>
      </c>
      <c r="B282" s="29" t="s">
        <v>30</v>
      </c>
      <c r="C282" s="80" t="s">
        <v>278</v>
      </c>
      <c r="D282" s="119" t="s">
        <v>1123</v>
      </c>
      <c r="E282" s="142"/>
      <c r="F282" s="11"/>
      <c r="G282" s="11"/>
      <c r="H282" s="11"/>
      <c r="I282" s="11"/>
      <c r="J282" s="32"/>
      <c r="K282" s="45">
        <v>56</v>
      </c>
      <c r="L282" s="193">
        <f t="shared" si="72"/>
        <v>12000</v>
      </c>
      <c r="M282" s="71">
        <f>'Đơn giá chi tiết'!J2110</f>
        <v>12000</v>
      </c>
      <c r="N282" s="71"/>
      <c r="O282" s="71"/>
      <c r="P282" s="71"/>
      <c r="Q282" s="166">
        <f t="shared" si="77"/>
        <v>672000</v>
      </c>
      <c r="R282" s="166">
        <f t="shared" si="78"/>
        <v>0</v>
      </c>
      <c r="S282" s="166">
        <f t="shared" si="79"/>
        <v>0</v>
      </c>
      <c r="T282" s="166">
        <f t="shared" si="80"/>
        <v>0</v>
      </c>
      <c r="U282" s="152"/>
      <c r="V282" s="152"/>
      <c r="W282" s="152"/>
      <c r="X282" s="17"/>
      <c r="Y282" s="17"/>
    </row>
    <row r="283" spans="1:25" ht="45" x14ac:dyDescent="0.25">
      <c r="A283" s="124">
        <v>229</v>
      </c>
      <c r="B283" s="138" t="s">
        <v>1166</v>
      </c>
      <c r="C283" s="144" t="s">
        <v>327</v>
      </c>
      <c r="D283" s="168" t="s">
        <v>205</v>
      </c>
      <c r="E283" s="142"/>
      <c r="F283" s="11"/>
      <c r="G283" s="11"/>
      <c r="H283" s="11"/>
      <c r="I283" s="11"/>
      <c r="J283" s="32"/>
      <c r="K283" s="45">
        <v>74.569999999999993</v>
      </c>
      <c r="L283" s="193">
        <f t="shared" si="72"/>
        <v>30724</v>
      </c>
      <c r="M283" s="136">
        <f>'Đơn giá chi tiết'!J2113</f>
        <v>16676</v>
      </c>
      <c r="N283" s="136"/>
      <c r="O283" s="136">
        <f>'Đơn giá chi tiết'!J2117</f>
        <v>14048</v>
      </c>
      <c r="P283" s="136"/>
      <c r="Q283" s="166">
        <f t="shared" si="77"/>
        <v>1243529</v>
      </c>
      <c r="R283" s="166">
        <f t="shared" si="78"/>
        <v>0</v>
      </c>
      <c r="S283" s="166">
        <f t="shared" si="79"/>
        <v>1047559</v>
      </c>
      <c r="T283" s="166">
        <f t="shared" si="80"/>
        <v>0</v>
      </c>
      <c r="U283" s="34"/>
      <c r="V283" s="34"/>
      <c r="W283" s="34"/>
      <c r="X283" s="17" t="s">
        <v>1005</v>
      </c>
      <c r="Y283" s="17" t="s">
        <v>1026</v>
      </c>
    </row>
    <row r="284" spans="1:25" ht="30" x14ac:dyDescent="0.25">
      <c r="A284" s="124">
        <v>230</v>
      </c>
      <c r="B284" s="138" t="s">
        <v>769</v>
      </c>
      <c r="C284" s="144" t="s">
        <v>310</v>
      </c>
      <c r="D284" s="168" t="s">
        <v>155</v>
      </c>
      <c r="E284" s="142"/>
      <c r="F284" s="11"/>
      <c r="G284" s="11"/>
      <c r="H284" s="11"/>
      <c r="I284" s="11"/>
      <c r="J284" s="32"/>
      <c r="K284" s="45">
        <v>7.84</v>
      </c>
      <c r="L284" s="193">
        <f t="shared" si="72"/>
        <v>1356970</v>
      </c>
      <c r="M284" s="136">
        <f>'Đơn giá chi tiết'!J2120</f>
        <v>989296</v>
      </c>
      <c r="N284" s="136"/>
      <c r="O284" s="136">
        <f>'Đơn giá chi tiết'!J2126</f>
        <v>320179</v>
      </c>
      <c r="P284" s="136">
        <f>'Đơn giá chi tiết'!J2128</f>
        <v>47495</v>
      </c>
      <c r="Q284" s="166">
        <f t="shared" si="77"/>
        <v>7756081</v>
      </c>
      <c r="R284" s="166">
        <f t="shared" si="78"/>
        <v>0</v>
      </c>
      <c r="S284" s="166">
        <f t="shared" si="79"/>
        <v>2510203</v>
      </c>
      <c r="T284" s="166">
        <f t="shared" si="80"/>
        <v>372361</v>
      </c>
      <c r="U284" s="34"/>
      <c r="V284" s="34"/>
      <c r="W284" s="34"/>
      <c r="X284" s="17" t="s">
        <v>82</v>
      </c>
      <c r="Y284" s="17" t="s">
        <v>321</v>
      </c>
    </row>
    <row r="285" spans="1:25" ht="30" x14ac:dyDescent="0.25">
      <c r="A285" s="124">
        <v>231</v>
      </c>
      <c r="B285" s="138" t="s">
        <v>370</v>
      </c>
      <c r="C285" s="144" t="s">
        <v>194</v>
      </c>
      <c r="D285" s="168" t="s">
        <v>155</v>
      </c>
      <c r="E285" s="142"/>
      <c r="F285" s="11"/>
      <c r="G285" s="11"/>
      <c r="H285" s="11"/>
      <c r="I285" s="11"/>
      <c r="J285" s="32"/>
      <c r="K285" s="45">
        <v>1.4</v>
      </c>
      <c r="L285" s="193">
        <f t="shared" si="72"/>
        <v>1293693</v>
      </c>
      <c r="M285" s="136">
        <f>'Đơn giá chi tiết'!J2132</f>
        <v>926019</v>
      </c>
      <c r="N285" s="136"/>
      <c r="O285" s="136">
        <f>'Đơn giá chi tiết'!J2138</f>
        <v>320179</v>
      </c>
      <c r="P285" s="136">
        <f>'Đơn giá chi tiết'!J2140</f>
        <v>47495</v>
      </c>
      <c r="Q285" s="166">
        <f t="shared" si="77"/>
        <v>1296427</v>
      </c>
      <c r="R285" s="166">
        <f t="shared" si="78"/>
        <v>0</v>
      </c>
      <c r="S285" s="166">
        <f t="shared" si="79"/>
        <v>448251</v>
      </c>
      <c r="T285" s="166">
        <f t="shared" si="80"/>
        <v>66493</v>
      </c>
      <c r="U285" s="34"/>
      <c r="V285" s="34"/>
      <c r="W285" s="34"/>
      <c r="X285" s="17" t="s">
        <v>82</v>
      </c>
      <c r="Y285" s="17" t="s">
        <v>321</v>
      </c>
    </row>
    <row r="286" spans="1:25" ht="30" x14ac:dyDescent="0.25">
      <c r="A286" s="124">
        <v>232</v>
      </c>
      <c r="B286" s="138" t="s">
        <v>752</v>
      </c>
      <c r="C286" s="144" t="s">
        <v>1032</v>
      </c>
      <c r="D286" s="168" t="s">
        <v>205</v>
      </c>
      <c r="E286" s="142"/>
      <c r="F286" s="11"/>
      <c r="G286" s="11"/>
      <c r="H286" s="11"/>
      <c r="I286" s="11"/>
      <c r="J286" s="32"/>
      <c r="K286" s="45">
        <f>ROUND(0.3402/0.03,4)</f>
        <v>11.34</v>
      </c>
      <c r="L286" s="193">
        <f t="shared" si="72"/>
        <v>54108</v>
      </c>
      <c r="M286" s="136">
        <f>'Đơn giá chi tiết'!J2144</f>
        <v>28745</v>
      </c>
      <c r="N286" s="136"/>
      <c r="O286" s="136">
        <f>'Đơn giá chi tiết'!J2148</f>
        <v>24431</v>
      </c>
      <c r="P286" s="136">
        <f>'Đơn giá chi tiết'!J2150</f>
        <v>932</v>
      </c>
      <c r="Q286" s="166">
        <f t="shared" si="77"/>
        <v>325968</v>
      </c>
      <c r="R286" s="166">
        <f t="shared" si="78"/>
        <v>0</v>
      </c>
      <c r="S286" s="166">
        <f t="shared" si="79"/>
        <v>277048</v>
      </c>
      <c r="T286" s="166">
        <f t="shared" si="80"/>
        <v>10569</v>
      </c>
      <c r="U286" s="34"/>
      <c r="V286" s="34"/>
      <c r="W286" s="34"/>
      <c r="X286" s="17" t="s">
        <v>82</v>
      </c>
      <c r="Y286" s="17" t="s">
        <v>321</v>
      </c>
    </row>
    <row r="287" spans="1:25" ht="30" x14ac:dyDescent="0.25">
      <c r="A287" s="124">
        <v>233</v>
      </c>
      <c r="B287" s="138" t="s">
        <v>589</v>
      </c>
      <c r="C287" s="144" t="s">
        <v>786</v>
      </c>
      <c r="D287" s="168" t="s">
        <v>836</v>
      </c>
      <c r="E287" s="142"/>
      <c r="F287" s="11"/>
      <c r="G287" s="11"/>
      <c r="H287" s="11"/>
      <c r="I287" s="11"/>
      <c r="J287" s="32"/>
      <c r="K287" s="45">
        <f>ROUND(62.72/100,4)</f>
        <v>0.62719999999999998</v>
      </c>
      <c r="L287" s="193">
        <f t="shared" si="72"/>
        <v>4078577</v>
      </c>
      <c r="M287" s="136">
        <f>'Đơn giá chi tiết'!J2153</f>
        <v>1255185</v>
      </c>
      <c r="N287" s="136"/>
      <c r="O287" s="136">
        <f>'Đơn giá chi tiết'!J2157</f>
        <v>2823392</v>
      </c>
      <c r="P287" s="136"/>
      <c r="Q287" s="166">
        <f t="shared" si="77"/>
        <v>787252</v>
      </c>
      <c r="R287" s="166">
        <f t="shared" si="78"/>
        <v>0</v>
      </c>
      <c r="S287" s="166">
        <f t="shared" si="79"/>
        <v>1770831</v>
      </c>
      <c r="T287" s="166">
        <f t="shared" si="80"/>
        <v>0</v>
      </c>
      <c r="U287" s="34"/>
      <c r="V287" s="34"/>
      <c r="W287" s="34"/>
      <c r="X287" s="17" t="s">
        <v>82</v>
      </c>
      <c r="Y287" s="17" t="s">
        <v>321</v>
      </c>
    </row>
    <row r="288" spans="1:25" x14ac:dyDescent="0.25">
      <c r="A288" s="168"/>
      <c r="B288" s="144"/>
      <c r="C288" s="130" t="s">
        <v>1097</v>
      </c>
      <c r="D288" s="168"/>
      <c r="E288" s="166"/>
      <c r="F288" s="37"/>
      <c r="G288" s="37"/>
      <c r="H288" s="37"/>
      <c r="I288" s="37"/>
      <c r="J288" s="60"/>
      <c r="K288" s="60"/>
      <c r="L288" s="193">
        <f t="shared" si="72"/>
        <v>0</v>
      </c>
      <c r="M288" s="166"/>
      <c r="N288" s="166"/>
      <c r="O288" s="166"/>
      <c r="P288" s="166"/>
      <c r="Q288" s="166"/>
      <c r="R288" s="166"/>
      <c r="S288" s="166"/>
      <c r="T288" s="166"/>
      <c r="U288" s="34"/>
      <c r="V288" s="34"/>
      <c r="W288" s="34"/>
      <c r="X288" s="17"/>
      <c r="Y288" s="17"/>
    </row>
    <row r="289" spans="1:25" ht="30" x14ac:dyDescent="0.25">
      <c r="A289" s="124">
        <v>234</v>
      </c>
      <c r="B289" s="138" t="s">
        <v>250</v>
      </c>
      <c r="C289" s="144" t="s">
        <v>357</v>
      </c>
      <c r="D289" s="168" t="s">
        <v>227</v>
      </c>
      <c r="E289" s="142"/>
      <c r="F289" s="11"/>
      <c r="G289" s="11"/>
      <c r="H289" s="11"/>
      <c r="I289" s="11"/>
      <c r="J289" s="32"/>
      <c r="K289" s="45">
        <v>7.0000000000000007E-2</v>
      </c>
      <c r="L289" s="193">
        <f t="shared" si="72"/>
        <v>8316714</v>
      </c>
      <c r="M289" s="136">
        <f>'Đơn giá chi tiết'!J2160</f>
        <v>3785015</v>
      </c>
      <c r="N289" s="136"/>
      <c r="O289" s="136">
        <f>'Đơn giá chi tiết'!J2164</f>
        <v>4531699</v>
      </c>
      <c r="P289" s="136"/>
      <c r="Q289" s="166">
        <f t="shared" ref="Q289:Q298" si="81">ROUND(K289*M289,0)</f>
        <v>264951</v>
      </c>
      <c r="R289" s="166">
        <f t="shared" ref="R289:R298" si="82">ROUND(K289*N289,0)</f>
        <v>0</v>
      </c>
      <c r="S289" s="166">
        <f t="shared" ref="S289:S298" si="83">ROUND(K289*O289,0)</f>
        <v>317219</v>
      </c>
      <c r="T289" s="166">
        <f t="shared" ref="T289:T298" si="84">ROUND(K289*P289,0)</f>
        <v>0</v>
      </c>
      <c r="U289" s="34"/>
      <c r="V289" s="34"/>
      <c r="W289" s="34"/>
      <c r="X289" s="17" t="s">
        <v>1045</v>
      </c>
      <c r="Y289" s="17" t="s">
        <v>664</v>
      </c>
    </row>
    <row r="290" spans="1:25" ht="30" x14ac:dyDescent="0.25">
      <c r="A290" s="124">
        <v>235</v>
      </c>
      <c r="B290" s="138" t="s">
        <v>891</v>
      </c>
      <c r="C290" s="144" t="s">
        <v>1186</v>
      </c>
      <c r="D290" s="168" t="s">
        <v>1123</v>
      </c>
      <c r="E290" s="142"/>
      <c r="F290" s="11"/>
      <c r="G290" s="11"/>
      <c r="H290" s="11"/>
      <c r="I290" s="11"/>
      <c r="J290" s="32"/>
      <c r="K290" s="45">
        <v>2</v>
      </c>
      <c r="L290" s="193">
        <f t="shared" si="72"/>
        <v>616927</v>
      </c>
      <c r="M290" s="136">
        <f>'Đơn giá chi tiết'!J2167</f>
        <v>243245</v>
      </c>
      <c r="N290" s="136"/>
      <c r="O290" s="136">
        <f>'Đơn giá chi tiết'!J2174</f>
        <v>355841</v>
      </c>
      <c r="P290" s="136">
        <f>'Đơn giá chi tiết'!J2176</f>
        <v>17841</v>
      </c>
      <c r="Q290" s="166">
        <f t="shared" si="81"/>
        <v>486490</v>
      </c>
      <c r="R290" s="166">
        <f t="shared" si="82"/>
        <v>0</v>
      </c>
      <c r="S290" s="166">
        <f t="shared" si="83"/>
        <v>711682</v>
      </c>
      <c r="T290" s="166">
        <f t="shared" si="84"/>
        <v>35682</v>
      </c>
      <c r="U290" s="34"/>
      <c r="V290" s="34"/>
      <c r="W290" s="34"/>
      <c r="X290" s="17" t="s">
        <v>82</v>
      </c>
      <c r="Y290" s="17" t="s">
        <v>321</v>
      </c>
    </row>
    <row r="291" spans="1:25" ht="30" x14ac:dyDescent="0.25">
      <c r="A291" s="124">
        <v>236</v>
      </c>
      <c r="B291" s="138" t="s">
        <v>452</v>
      </c>
      <c r="C291" s="144" t="s">
        <v>822</v>
      </c>
      <c r="D291" s="168" t="s">
        <v>1123</v>
      </c>
      <c r="E291" s="142"/>
      <c r="F291" s="11"/>
      <c r="G291" s="11"/>
      <c r="H291" s="11"/>
      <c r="I291" s="11"/>
      <c r="J291" s="32"/>
      <c r="K291" s="45">
        <v>4</v>
      </c>
      <c r="L291" s="193">
        <f t="shared" si="72"/>
        <v>324460</v>
      </c>
      <c r="M291" s="136">
        <f>'Đơn giá chi tiết'!J2179</f>
        <v>76805</v>
      </c>
      <c r="N291" s="136"/>
      <c r="O291" s="136">
        <f>'Đơn giá chi tiết'!J2186</f>
        <v>229814</v>
      </c>
      <c r="P291" s="136">
        <f>'Đơn giá chi tiết'!J2188</f>
        <v>17841</v>
      </c>
      <c r="Q291" s="166">
        <f t="shared" si="81"/>
        <v>307220</v>
      </c>
      <c r="R291" s="166">
        <f t="shared" si="82"/>
        <v>0</v>
      </c>
      <c r="S291" s="166">
        <f t="shared" si="83"/>
        <v>919256</v>
      </c>
      <c r="T291" s="166">
        <f t="shared" si="84"/>
        <v>71364</v>
      </c>
      <c r="U291" s="34"/>
      <c r="V291" s="34"/>
      <c r="W291" s="34"/>
      <c r="X291" s="17" t="s">
        <v>82</v>
      </c>
      <c r="Y291" s="17" t="s">
        <v>321</v>
      </c>
    </row>
    <row r="292" spans="1:25" ht="45" x14ac:dyDescent="0.25">
      <c r="A292" s="124">
        <v>237</v>
      </c>
      <c r="B292" s="138" t="s">
        <v>1166</v>
      </c>
      <c r="C292" s="144" t="s">
        <v>327</v>
      </c>
      <c r="D292" s="168" t="s">
        <v>205</v>
      </c>
      <c r="E292" s="142"/>
      <c r="F292" s="11"/>
      <c r="G292" s="11"/>
      <c r="H292" s="11"/>
      <c r="I292" s="11"/>
      <c r="J292" s="32"/>
      <c r="K292" s="45">
        <v>74.569999999999993</v>
      </c>
      <c r="L292" s="193">
        <f t="shared" si="72"/>
        <v>30724</v>
      </c>
      <c r="M292" s="136">
        <f>'Đơn giá chi tiết'!J2191</f>
        <v>16676</v>
      </c>
      <c r="N292" s="136"/>
      <c r="O292" s="136">
        <f>'Đơn giá chi tiết'!J2195</f>
        <v>14048</v>
      </c>
      <c r="P292" s="136"/>
      <c r="Q292" s="166">
        <f t="shared" si="81"/>
        <v>1243529</v>
      </c>
      <c r="R292" s="166">
        <f t="shared" si="82"/>
        <v>0</v>
      </c>
      <c r="S292" s="166">
        <f t="shared" si="83"/>
        <v>1047559</v>
      </c>
      <c r="T292" s="166">
        <f t="shared" si="84"/>
        <v>0</v>
      </c>
      <c r="U292" s="34"/>
      <c r="V292" s="34"/>
      <c r="W292" s="34"/>
      <c r="X292" s="17" t="s">
        <v>1005</v>
      </c>
      <c r="Y292" s="17" t="s">
        <v>1026</v>
      </c>
    </row>
    <row r="293" spans="1:25" x14ac:dyDescent="0.25">
      <c r="A293" s="63">
        <v>238</v>
      </c>
      <c r="B293" s="29" t="s">
        <v>30</v>
      </c>
      <c r="C293" s="80" t="s">
        <v>641</v>
      </c>
      <c r="D293" s="119" t="s">
        <v>1123</v>
      </c>
      <c r="E293" s="142"/>
      <c r="F293" s="11"/>
      <c r="G293" s="11"/>
      <c r="H293" s="11"/>
      <c r="I293" s="11"/>
      <c r="J293" s="32"/>
      <c r="K293" s="45">
        <v>4</v>
      </c>
      <c r="L293" s="193">
        <f t="shared" si="72"/>
        <v>12000</v>
      </c>
      <c r="M293" s="71">
        <f>'Đơn giá chi tiết'!J2198</f>
        <v>12000</v>
      </c>
      <c r="N293" s="71"/>
      <c r="O293" s="71"/>
      <c r="P293" s="71"/>
      <c r="Q293" s="109">
        <f t="shared" si="81"/>
        <v>48000</v>
      </c>
      <c r="R293" s="109">
        <f t="shared" si="82"/>
        <v>0</v>
      </c>
      <c r="S293" s="109">
        <f t="shared" si="83"/>
        <v>0</v>
      </c>
      <c r="T293" s="109">
        <f t="shared" si="84"/>
        <v>0</v>
      </c>
      <c r="U293" s="152"/>
      <c r="V293" s="152"/>
      <c r="W293" s="152"/>
      <c r="X293" s="17"/>
      <c r="Y293" s="17"/>
    </row>
    <row r="294" spans="1:25" x14ac:dyDescent="0.25">
      <c r="A294" s="63">
        <v>239</v>
      </c>
      <c r="B294" s="29" t="s">
        <v>30</v>
      </c>
      <c r="C294" s="80" t="s">
        <v>1174</v>
      </c>
      <c r="D294" s="119" t="s">
        <v>75</v>
      </c>
      <c r="E294" s="142"/>
      <c r="F294" s="11"/>
      <c r="G294" s="11"/>
      <c r="H294" s="11"/>
      <c r="I294" s="11"/>
      <c r="J294" s="32"/>
      <c r="K294" s="45">
        <v>16</v>
      </c>
      <c r="L294" s="193">
        <f t="shared" si="72"/>
        <v>7000</v>
      </c>
      <c r="M294" s="71">
        <f>'Đơn giá chi tiết'!J2201</f>
        <v>7000</v>
      </c>
      <c r="N294" s="71"/>
      <c r="O294" s="71"/>
      <c r="P294" s="71"/>
      <c r="Q294" s="109">
        <f t="shared" si="81"/>
        <v>112000</v>
      </c>
      <c r="R294" s="109">
        <f t="shared" si="82"/>
        <v>0</v>
      </c>
      <c r="S294" s="109">
        <f t="shared" si="83"/>
        <v>0</v>
      </c>
      <c r="T294" s="109">
        <f t="shared" si="84"/>
        <v>0</v>
      </c>
      <c r="U294" s="152"/>
      <c r="V294" s="152"/>
      <c r="W294" s="152"/>
      <c r="X294" s="17"/>
      <c r="Y294" s="17"/>
    </row>
    <row r="295" spans="1:25" ht="30" x14ac:dyDescent="0.25">
      <c r="A295" s="124">
        <v>240</v>
      </c>
      <c r="B295" s="138" t="s">
        <v>769</v>
      </c>
      <c r="C295" s="144" t="s">
        <v>310</v>
      </c>
      <c r="D295" s="168" t="s">
        <v>155</v>
      </c>
      <c r="E295" s="142"/>
      <c r="F295" s="11"/>
      <c r="G295" s="11"/>
      <c r="H295" s="11"/>
      <c r="I295" s="11"/>
      <c r="J295" s="32"/>
      <c r="K295" s="45">
        <v>0.17</v>
      </c>
      <c r="L295" s="193">
        <f t="shared" si="72"/>
        <v>1356970</v>
      </c>
      <c r="M295" s="136">
        <f>'Đơn giá chi tiết'!J2204</f>
        <v>989296</v>
      </c>
      <c r="N295" s="136"/>
      <c r="O295" s="136">
        <f>'Đơn giá chi tiết'!J2210</f>
        <v>320179</v>
      </c>
      <c r="P295" s="136">
        <f>'Đơn giá chi tiết'!J2212</f>
        <v>47495</v>
      </c>
      <c r="Q295" s="166">
        <f t="shared" si="81"/>
        <v>168180</v>
      </c>
      <c r="R295" s="166">
        <f t="shared" si="82"/>
        <v>0</v>
      </c>
      <c r="S295" s="166">
        <f t="shared" si="83"/>
        <v>54430</v>
      </c>
      <c r="T295" s="166">
        <f t="shared" si="84"/>
        <v>8074</v>
      </c>
      <c r="U295" s="34"/>
      <c r="V295" s="34"/>
      <c r="W295" s="34"/>
      <c r="X295" s="17" t="s">
        <v>82</v>
      </c>
      <c r="Y295" s="17" t="s">
        <v>321</v>
      </c>
    </row>
    <row r="296" spans="1:25" ht="30" x14ac:dyDescent="0.25">
      <c r="A296" s="124">
        <v>241</v>
      </c>
      <c r="B296" s="138" t="s">
        <v>370</v>
      </c>
      <c r="C296" s="144" t="s">
        <v>194</v>
      </c>
      <c r="D296" s="168" t="s">
        <v>155</v>
      </c>
      <c r="E296" s="142"/>
      <c r="F296" s="11"/>
      <c r="G296" s="11"/>
      <c r="H296" s="11"/>
      <c r="I296" s="11"/>
      <c r="J296" s="32"/>
      <c r="K296" s="45">
        <v>0.06</v>
      </c>
      <c r="L296" s="193">
        <f t="shared" si="72"/>
        <v>1293693</v>
      </c>
      <c r="M296" s="136">
        <f>'Đơn giá chi tiết'!J2216</f>
        <v>926019</v>
      </c>
      <c r="N296" s="136"/>
      <c r="O296" s="136">
        <f>'Đơn giá chi tiết'!J2222</f>
        <v>320179</v>
      </c>
      <c r="P296" s="136">
        <f>'Đơn giá chi tiết'!J2224</f>
        <v>47495</v>
      </c>
      <c r="Q296" s="166">
        <f t="shared" si="81"/>
        <v>55561</v>
      </c>
      <c r="R296" s="166">
        <f t="shared" si="82"/>
        <v>0</v>
      </c>
      <c r="S296" s="166">
        <f t="shared" si="83"/>
        <v>19211</v>
      </c>
      <c r="T296" s="166">
        <f t="shared" si="84"/>
        <v>2850</v>
      </c>
      <c r="U296" s="34"/>
      <c r="V296" s="34"/>
      <c r="W296" s="34"/>
      <c r="X296" s="17" t="s">
        <v>82</v>
      </c>
      <c r="Y296" s="17" t="s">
        <v>321</v>
      </c>
    </row>
    <row r="297" spans="1:25" ht="30" x14ac:dyDescent="0.25">
      <c r="A297" s="124">
        <v>242</v>
      </c>
      <c r="B297" s="52" t="s">
        <v>309</v>
      </c>
      <c r="C297" s="144" t="s">
        <v>1067</v>
      </c>
      <c r="D297" s="168" t="s">
        <v>155</v>
      </c>
      <c r="E297" s="142"/>
      <c r="F297" s="11"/>
      <c r="G297" s="11"/>
      <c r="H297" s="11"/>
      <c r="I297" s="11"/>
      <c r="J297" s="32"/>
      <c r="K297" s="45">
        <v>0.2</v>
      </c>
      <c r="L297" s="193">
        <f t="shared" si="72"/>
        <v>232325</v>
      </c>
      <c r="M297" s="136"/>
      <c r="N297" s="136"/>
      <c r="O297" s="136">
        <f>'Đơn giá chi tiết'!J2228</f>
        <v>232325</v>
      </c>
      <c r="P297" s="136"/>
      <c r="Q297" s="166">
        <f t="shared" si="81"/>
        <v>0</v>
      </c>
      <c r="R297" s="166">
        <f t="shared" si="82"/>
        <v>0</v>
      </c>
      <c r="S297" s="166">
        <f t="shared" si="83"/>
        <v>46465</v>
      </c>
      <c r="T297" s="166">
        <f t="shared" si="84"/>
        <v>0</v>
      </c>
      <c r="U297" s="34"/>
      <c r="V297" s="34"/>
      <c r="W297" s="34"/>
      <c r="X297" s="17" t="s">
        <v>82</v>
      </c>
      <c r="Y297" s="17" t="s">
        <v>321</v>
      </c>
    </row>
    <row r="298" spans="1:25" ht="30" x14ac:dyDescent="0.25">
      <c r="A298" s="124">
        <v>243</v>
      </c>
      <c r="B298" s="138" t="s">
        <v>589</v>
      </c>
      <c r="C298" s="144" t="s">
        <v>786</v>
      </c>
      <c r="D298" s="168" t="s">
        <v>836</v>
      </c>
      <c r="E298" s="142"/>
      <c r="F298" s="11"/>
      <c r="G298" s="11"/>
      <c r="H298" s="11"/>
      <c r="I298" s="11"/>
      <c r="J298" s="32"/>
      <c r="K298" s="45">
        <f>ROUND(1.8/100,4)</f>
        <v>1.7999999999999999E-2</v>
      </c>
      <c r="L298" s="193">
        <f t="shared" si="72"/>
        <v>4078577</v>
      </c>
      <c r="M298" s="136">
        <f>'Đơn giá chi tiết'!J2231</f>
        <v>1255185</v>
      </c>
      <c r="N298" s="136"/>
      <c r="O298" s="136">
        <f>'Đơn giá chi tiết'!J2235</f>
        <v>2823392</v>
      </c>
      <c r="P298" s="136"/>
      <c r="Q298" s="166">
        <f t="shared" si="81"/>
        <v>22593</v>
      </c>
      <c r="R298" s="166">
        <f t="shared" si="82"/>
        <v>0</v>
      </c>
      <c r="S298" s="166">
        <f t="shared" si="83"/>
        <v>50821</v>
      </c>
      <c r="T298" s="166">
        <f t="shared" si="84"/>
        <v>0</v>
      </c>
      <c r="U298" s="34"/>
      <c r="V298" s="34"/>
      <c r="W298" s="34"/>
      <c r="X298" s="17" t="s">
        <v>82</v>
      </c>
      <c r="Y298" s="17" t="s">
        <v>321</v>
      </c>
    </row>
    <row r="299" spans="1:25" x14ac:dyDescent="0.25">
      <c r="A299" s="168"/>
      <c r="B299" s="144"/>
      <c r="C299" s="130" t="s">
        <v>754</v>
      </c>
      <c r="D299" s="168"/>
      <c r="E299" s="166"/>
      <c r="F299" s="37"/>
      <c r="G299" s="37"/>
      <c r="H299" s="37"/>
      <c r="I299" s="37"/>
      <c r="J299" s="60"/>
      <c r="K299" s="60"/>
      <c r="L299" s="193">
        <f t="shared" si="72"/>
        <v>0</v>
      </c>
      <c r="M299" s="166"/>
      <c r="N299" s="166"/>
      <c r="O299" s="166"/>
      <c r="P299" s="166"/>
      <c r="Q299" s="166"/>
      <c r="R299" s="166"/>
      <c r="S299" s="166"/>
      <c r="T299" s="166"/>
      <c r="U299" s="34"/>
      <c r="V299" s="34"/>
      <c r="W299" s="34"/>
      <c r="X299" s="17"/>
      <c r="Y299" s="17"/>
    </row>
    <row r="300" spans="1:25" ht="30" x14ac:dyDescent="0.25">
      <c r="A300" s="124">
        <v>244</v>
      </c>
      <c r="B300" s="138" t="s">
        <v>344</v>
      </c>
      <c r="C300" s="144" t="s">
        <v>887</v>
      </c>
      <c r="D300" s="168" t="s">
        <v>155</v>
      </c>
      <c r="E300" s="142"/>
      <c r="F300" s="11"/>
      <c r="G300" s="11"/>
      <c r="H300" s="11"/>
      <c r="I300" s="11"/>
      <c r="J300" s="32"/>
      <c r="K300" s="45">
        <v>0.9</v>
      </c>
      <c r="L300" s="193">
        <f t="shared" si="72"/>
        <v>1406928</v>
      </c>
      <c r="M300" s="136">
        <f>'Đơn giá chi tiết'!J2238</f>
        <v>974811</v>
      </c>
      <c r="N300" s="136"/>
      <c r="O300" s="136">
        <f>'Đơn giá chi tiết'!J2244</f>
        <v>357273</v>
      </c>
      <c r="P300" s="136">
        <f>'Đơn giá chi tiết'!J2246</f>
        <v>74844</v>
      </c>
      <c r="Q300" s="166">
        <f t="shared" ref="Q300:Q306" si="85">ROUND(K300*M300,0)</f>
        <v>877330</v>
      </c>
      <c r="R300" s="166">
        <f t="shared" ref="R300:R306" si="86">ROUND(K300*N300,0)</f>
        <v>0</v>
      </c>
      <c r="S300" s="166">
        <f t="shared" ref="S300:S306" si="87">ROUND(K300*O300,0)</f>
        <v>321546</v>
      </c>
      <c r="T300" s="166">
        <f t="shared" ref="T300:T306" si="88">ROUND(K300*P300,0)</f>
        <v>67360</v>
      </c>
      <c r="U300" s="34"/>
      <c r="V300" s="34"/>
      <c r="W300" s="34"/>
      <c r="X300" s="17" t="s">
        <v>82</v>
      </c>
      <c r="Y300" s="17" t="s">
        <v>321</v>
      </c>
    </row>
    <row r="301" spans="1:25" ht="30" x14ac:dyDescent="0.25">
      <c r="A301" s="124">
        <v>245</v>
      </c>
      <c r="B301" s="138" t="s">
        <v>370</v>
      </c>
      <c r="C301" s="144" t="s">
        <v>194</v>
      </c>
      <c r="D301" s="168" t="s">
        <v>155</v>
      </c>
      <c r="E301" s="142"/>
      <c r="F301" s="11"/>
      <c r="G301" s="11"/>
      <c r="H301" s="11"/>
      <c r="I301" s="11"/>
      <c r="J301" s="32"/>
      <c r="K301" s="45">
        <v>1.44</v>
      </c>
      <c r="L301" s="193">
        <f t="shared" si="72"/>
        <v>1293693</v>
      </c>
      <c r="M301" s="136">
        <f>'Đơn giá chi tiết'!J2251</f>
        <v>926019</v>
      </c>
      <c r="N301" s="136"/>
      <c r="O301" s="136">
        <f>'Đơn giá chi tiết'!J2257</f>
        <v>320179</v>
      </c>
      <c r="P301" s="136">
        <f>'Đơn giá chi tiết'!J2259</f>
        <v>47495</v>
      </c>
      <c r="Q301" s="166">
        <f t="shared" si="85"/>
        <v>1333467</v>
      </c>
      <c r="R301" s="166">
        <f t="shared" si="86"/>
        <v>0</v>
      </c>
      <c r="S301" s="166">
        <f t="shared" si="87"/>
        <v>461058</v>
      </c>
      <c r="T301" s="166">
        <f t="shared" si="88"/>
        <v>68393</v>
      </c>
      <c r="U301" s="34"/>
      <c r="V301" s="34"/>
      <c r="W301" s="34"/>
      <c r="X301" s="17" t="s">
        <v>82</v>
      </c>
      <c r="Y301" s="17" t="s">
        <v>321</v>
      </c>
    </row>
    <row r="302" spans="1:25" ht="30" x14ac:dyDescent="0.25">
      <c r="A302" s="124">
        <v>246</v>
      </c>
      <c r="B302" s="138" t="s">
        <v>1197</v>
      </c>
      <c r="C302" s="144" t="s">
        <v>923</v>
      </c>
      <c r="D302" s="168" t="s">
        <v>1172</v>
      </c>
      <c r="E302" s="142"/>
      <c r="F302" s="11"/>
      <c r="G302" s="11"/>
      <c r="H302" s="11"/>
      <c r="I302" s="11"/>
      <c r="J302" s="32"/>
      <c r="K302" s="45">
        <f>ROUND(115.6/1000,4)</f>
        <v>0.11559999999999999</v>
      </c>
      <c r="L302" s="193">
        <f t="shared" si="72"/>
        <v>17104388</v>
      </c>
      <c r="M302" s="136">
        <f>'Đơn giá chi tiết'!J2263</f>
        <v>14603640</v>
      </c>
      <c r="N302" s="136"/>
      <c r="O302" s="136">
        <f>'Đơn giá chi tiết'!J2266</f>
        <v>2409530</v>
      </c>
      <c r="P302" s="136">
        <f>'Đơn giá chi tiết'!J2268</f>
        <v>91218</v>
      </c>
      <c r="Q302" s="166">
        <f t="shared" si="85"/>
        <v>1688181</v>
      </c>
      <c r="R302" s="166">
        <f t="shared" si="86"/>
        <v>0</v>
      </c>
      <c r="S302" s="166">
        <f t="shared" si="87"/>
        <v>278542</v>
      </c>
      <c r="T302" s="166">
        <f t="shared" si="88"/>
        <v>10545</v>
      </c>
      <c r="U302" s="34"/>
      <c r="V302" s="34"/>
      <c r="W302" s="34"/>
      <c r="X302" s="17" t="s">
        <v>82</v>
      </c>
      <c r="Y302" s="17" t="s">
        <v>321</v>
      </c>
    </row>
    <row r="303" spans="1:25" ht="30" x14ac:dyDescent="0.25">
      <c r="A303" s="124">
        <v>247</v>
      </c>
      <c r="B303" s="138" t="s">
        <v>1133</v>
      </c>
      <c r="C303" s="144" t="s">
        <v>777</v>
      </c>
      <c r="D303" s="168" t="s">
        <v>1123</v>
      </c>
      <c r="E303" s="142"/>
      <c r="F303" s="11"/>
      <c r="G303" s="11"/>
      <c r="H303" s="11"/>
      <c r="I303" s="11"/>
      <c r="J303" s="32"/>
      <c r="K303" s="45">
        <v>40</v>
      </c>
      <c r="L303" s="193">
        <f t="shared" si="72"/>
        <v>41791</v>
      </c>
      <c r="M303" s="136">
        <f>'Đơn giá chi tiết'!J2271</f>
        <v>3016</v>
      </c>
      <c r="N303" s="136"/>
      <c r="O303" s="136">
        <f>'Đơn giá chi tiết'!J2276</f>
        <v>38775</v>
      </c>
      <c r="P303" s="136"/>
      <c r="Q303" s="166">
        <f t="shared" si="85"/>
        <v>120640</v>
      </c>
      <c r="R303" s="166">
        <f t="shared" si="86"/>
        <v>0</v>
      </c>
      <c r="S303" s="166">
        <f t="shared" si="87"/>
        <v>1551000</v>
      </c>
      <c r="T303" s="166">
        <f t="shared" si="88"/>
        <v>0</v>
      </c>
      <c r="U303" s="34"/>
      <c r="V303" s="34"/>
      <c r="W303" s="34"/>
      <c r="X303" s="17" t="s">
        <v>82</v>
      </c>
      <c r="Y303" s="17" t="s">
        <v>321</v>
      </c>
    </row>
    <row r="304" spans="1:25" ht="45" x14ac:dyDescent="0.25">
      <c r="A304" s="124">
        <v>248</v>
      </c>
      <c r="B304" s="138" t="s">
        <v>1166</v>
      </c>
      <c r="C304" s="144" t="s">
        <v>327</v>
      </c>
      <c r="D304" s="168" t="s">
        <v>205</v>
      </c>
      <c r="E304" s="142"/>
      <c r="F304" s="11"/>
      <c r="G304" s="11"/>
      <c r="H304" s="11"/>
      <c r="I304" s="11"/>
      <c r="J304" s="32"/>
      <c r="K304" s="45">
        <v>60</v>
      </c>
      <c r="L304" s="193">
        <f t="shared" si="72"/>
        <v>30724</v>
      </c>
      <c r="M304" s="136">
        <f>'Đơn giá chi tiết'!J2279</f>
        <v>16676</v>
      </c>
      <c r="N304" s="136"/>
      <c r="O304" s="136">
        <f>'Đơn giá chi tiết'!J2283</f>
        <v>14048</v>
      </c>
      <c r="P304" s="136"/>
      <c r="Q304" s="166">
        <f t="shared" si="85"/>
        <v>1000560</v>
      </c>
      <c r="R304" s="166">
        <f t="shared" si="86"/>
        <v>0</v>
      </c>
      <c r="S304" s="166">
        <f t="shared" si="87"/>
        <v>842880</v>
      </c>
      <c r="T304" s="166">
        <f t="shared" si="88"/>
        <v>0</v>
      </c>
      <c r="U304" s="34"/>
      <c r="V304" s="34"/>
      <c r="W304" s="34"/>
      <c r="X304" s="17" t="s">
        <v>1005</v>
      </c>
      <c r="Y304" s="17" t="s">
        <v>1026</v>
      </c>
    </row>
    <row r="305" spans="1:25" ht="45" x14ac:dyDescent="0.25">
      <c r="A305" s="124">
        <v>249</v>
      </c>
      <c r="B305" s="138" t="s">
        <v>589</v>
      </c>
      <c r="C305" s="144" t="s">
        <v>219</v>
      </c>
      <c r="D305" s="168" t="s">
        <v>836</v>
      </c>
      <c r="E305" s="142"/>
      <c r="F305" s="11"/>
      <c r="G305" s="11"/>
      <c r="H305" s="11"/>
      <c r="I305" s="11"/>
      <c r="J305" s="32"/>
      <c r="K305" s="45">
        <v>0.33</v>
      </c>
      <c r="L305" s="193">
        <f t="shared" si="72"/>
        <v>4078577</v>
      </c>
      <c r="M305" s="136">
        <f>'Đơn giá chi tiết'!J2286</f>
        <v>1255185</v>
      </c>
      <c r="N305" s="136"/>
      <c r="O305" s="136">
        <f>'Đơn giá chi tiết'!J2290</f>
        <v>2823392</v>
      </c>
      <c r="P305" s="136"/>
      <c r="Q305" s="166">
        <f t="shared" si="85"/>
        <v>414211</v>
      </c>
      <c r="R305" s="166">
        <f t="shared" si="86"/>
        <v>0</v>
      </c>
      <c r="S305" s="166">
        <f t="shared" si="87"/>
        <v>931719</v>
      </c>
      <c r="T305" s="166">
        <f t="shared" si="88"/>
        <v>0</v>
      </c>
      <c r="U305" s="34"/>
      <c r="V305" s="34"/>
      <c r="W305" s="34"/>
      <c r="X305" s="17" t="s">
        <v>82</v>
      </c>
      <c r="Y305" s="17" t="s">
        <v>321</v>
      </c>
    </row>
    <row r="306" spans="1:25" ht="30" x14ac:dyDescent="0.25">
      <c r="A306" s="124">
        <v>250</v>
      </c>
      <c r="B306" s="52" t="s">
        <v>1051</v>
      </c>
      <c r="C306" s="144" t="s">
        <v>806</v>
      </c>
      <c r="D306" s="168" t="s">
        <v>155</v>
      </c>
      <c r="E306" s="142"/>
      <c r="F306" s="11"/>
      <c r="G306" s="11"/>
      <c r="H306" s="11"/>
      <c r="I306" s="11"/>
      <c r="J306" s="32"/>
      <c r="K306" s="45">
        <v>1.44</v>
      </c>
      <c r="L306" s="193">
        <f t="shared" si="72"/>
        <v>160089</v>
      </c>
      <c r="M306" s="136"/>
      <c r="N306" s="136"/>
      <c r="O306" s="136">
        <f>'Đơn giá chi tiết'!J2293</f>
        <v>160089</v>
      </c>
      <c r="P306" s="136"/>
      <c r="Q306" s="166">
        <f t="shared" si="85"/>
        <v>0</v>
      </c>
      <c r="R306" s="166">
        <f t="shared" si="86"/>
        <v>0</v>
      </c>
      <c r="S306" s="166">
        <f t="shared" si="87"/>
        <v>230528</v>
      </c>
      <c r="T306" s="166">
        <f t="shared" si="88"/>
        <v>0</v>
      </c>
      <c r="U306" s="34"/>
      <c r="V306" s="34"/>
      <c r="W306" s="34"/>
      <c r="X306" s="17" t="s">
        <v>82</v>
      </c>
      <c r="Y306" s="17" t="s">
        <v>321</v>
      </c>
    </row>
    <row r="307" spans="1:25" x14ac:dyDescent="0.25">
      <c r="A307" s="57"/>
      <c r="B307" s="24"/>
      <c r="C307" s="24"/>
      <c r="D307" s="57"/>
      <c r="E307" s="51"/>
      <c r="F307" s="93"/>
      <c r="G307" s="93"/>
      <c r="H307" s="93"/>
      <c r="I307" s="93"/>
      <c r="J307" s="121"/>
      <c r="K307" s="121"/>
      <c r="L307" s="194"/>
      <c r="M307" s="51"/>
      <c r="N307" s="51"/>
      <c r="O307" s="51"/>
      <c r="P307" s="51"/>
      <c r="Q307" s="51"/>
      <c r="R307" s="51"/>
      <c r="S307" s="51"/>
      <c r="T307" s="51"/>
      <c r="U307" s="89"/>
      <c r="V307" s="89"/>
      <c r="W307" s="89"/>
      <c r="X307" s="78"/>
      <c r="Y307" s="78"/>
    </row>
    <row r="308" spans="1:25" ht="18" customHeight="1" x14ac:dyDescent="0.25">
      <c r="A308" s="128"/>
      <c r="B308" s="132" t="s">
        <v>855</v>
      </c>
      <c r="C308" s="5" t="s">
        <v>489</v>
      </c>
      <c r="D308" s="128"/>
      <c r="E308" s="115"/>
      <c r="F308" s="158"/>
      <c r="G308" s="158"/>
      <c r="H308" s="158"/>
      <c r="I308" s="158"/>
      <c r="J308" s="4"/>
      <c r="K308" s="4"/>
      <c r="L308" s="195"/>
      <c r="M308" s="115"/>
      <c r="N308" s="115"/>
      <c r="O308" s="115"/>
      <c r="P308" s="115"/>
      <c r="Q308" s="33">
        <f>SUM(Q7:Q306)</f>
        <v>8999793183</v>
      </c>
      <c r="R308" s="33">
        <f>SUM(R7:R306)</f>
        <v>0</v>
      </c>
      <c r="S308" s="33">
        <f>SUM(S7:S306)</f>
        <v>4138281833</v>
      </c>
      <c r="T308" s="33">
        <f>SUM(T7:T306)</f>
        <v>2847961080</v>
      </c>
      <c r="U308" s="86"/>
      <c r="V308" s="86"/>
      <c r="W308" s="86"/>
      <c r="X308" s="86"/>
      <c r="Y308" s="76"/>
    </row>
    <row r="309" spans="1:25" ht="16.5" customHeight="1" x14ac:dyDescent="0.25">
      <c r="A309" s="2"/>
      <c r="B309" s="146"/>
      <c r="C309" s="146"/>
      <c r="D309" s="2"/>
      <c r="E309" s="36"/>
      <c r="F309" s="36"/>
      <c r="G309" s="36"/>
      <c r="H309" s="36"/>
      <c r="I309" s="36"/>
      <c r="J309" s="36"/>
      <c r="K309" s="36"/>
      <c r="L309" s="196"/>
      <c r="M309" s="36"/>
      <c r="N309" s="36"/>
      <c r="O309" s="36"/>
      <c r="P309" s="36"/>
      <c r="Q309" s="36"/>
      <c r="R309" s="36"/>
      <c r="S309" s="36"/>
      <c r="T309" s="146"/>
      <c r="U309" s="146"/>
      <c r="V309" s="146"/>
      <c r="W309" s="146"/>
      <c r="X309" s="146"/>
      <c r="Y309" s="146"/>
    </row>
    <row r="311" spans="1:25" ht="22.5" customHeight="1" x14ac:dyDescent="0.25">
      <c r="A311" s="300" t="s">
        <v>964</v>
      </c>
      <c r="B311" s="300"/>
      <c r="C311" s="300"/>
      <c r="D311" s="300"/>
      <c r="E311" s="300"/>
      <c r="F311" s="300"/>
      <c r="G311" s="300"/>
      <c r="H311" s="300"/>
      <c r="I311" s="300"/>
      <c r="J311" s="300"/>
      <c r="K311" s="300"/>
      <c r="L311" s="300"/>
      <c r="M311" s="300"/>
      <c r="N311" s="300"/>
      <c r="O311" s="300"/>
      <c r="P311" s="300"/>
      <c r="Q311" s="300"/>
      <c r="R311" s="300"/>
      <c r="S311" s="300"/>
      <c r="T311" s="300"/>
      <c r="U311" s="146"/>
      <c r="V311" s="146"/>
      <c r="W311" s="146"/>
      <c r="X311" s="146"/>
      <c r="Y311" s="36"/>
    </row>
    <row r="312" spans="1:25" ht="19.5" customHeight="1" x14ac:dyDescent="0.25">
      <c r="A312" s="309" t="str">
        <f>'Công trình'!A2</f>
        <v>CÔNG TRÌNH: ĐÊ BAO VEN SÔNG SÀI GÒN ĐOẠN TỪ RẠCH NÀNG ÂM ĐẾN RẠCH LÁNG THE</v>
      </c>
      <c r="B312" s="309"/>
      <c r="C312" s="309"/>
      <c r="D312" s="309"/>
      <c r="E312" s="309"/>
      <c r="F312" s="309"/>
      <c r="G312" s="309"/>
      <c r="H312" s="309"/>
      <c r="I312" s="309"/>
      <c r="J312" s="309"/>
      <c r="K312" s="309"/>
      <c r="L312" s="309"/>
      <c r="M312" s="309"/>
      <c r="N312" s="309"/>
      <c r="O312" s="309"/>
      <c r="P312" s="309"/>
      <c r="Q312" s="309"/>
      <c r="R312" s="309"/>
      <c r="S312" s="309"/>
      <c r="T312" s="309"/>
      <c r="U312" s="146"/>
      <c r="V312" s="146"/>
      <c r="W312" s="146"/>
      <c r="X312" s="146"/>
      <c r="Y312" s="36"/>
    </row>
    <row r="313" spans="1:25" ht="18" customHeight="1" x14ac:dyDescent="0.25">
      <c r="A313" s="302" t="s">
        <v>594</v>
      </c>
      <c r="B313" s="302"/>
      <c r="C313" s="302"/>
      <c r="D313" s="302"/>
      <c r="E313" s="302"/>
      <c r="F313" s="302"/>
      <c r="G313" s="302"/>
      <c r="H313" s="302"/>
      <c r="I313" s="302"/>
      <c r="J313" s="302"/>
      <c r="K313" s="302"/>
      <c r="L313" s="302"/>
      <c r="M313" s="302"/>
      <c r="N313" s="302"/>
      <c r="O313" s="302"/>
      <c r="P313" s="302"/>
      <c r="Q313" s="302"/>
      <c r="R313" s="302"/>
      <c r="S313" s="302"/>
      <c r="T313" s="302"/>
      <c r="U313" s="146"/>
      <c r="V313" s="146"/>
      <c r="W313" s="146"/>
      <c r="X313" s="146"/>
      <c r="Y313" s="36"/>
    </row>
    <row r="314" spans="1:25" ht="18.75" customHeight="1" x14ac:dyDescent="0.25">
      <c r="A314" s="303" t="s">
        <v>761</v>
      </c>
      <c r="B314" s="303" t="s">
        <v>15</v>
      </c>
      <c r="C314" s="304" t="s">
        <v>819</v>
      </c>
      <c r="D314" s="304" t="s">
        <v>971</v>
      </c>
      <c r="E314" s="305" t="s">
        <v>868</v>
      </c>
      <c r="F314" s="306" t="s">
        <v>988</v>
      </c>
      <c r="G314" s="306"/>
      <c r="H314" s="306"/>
      <c r="I314" s="306" t="s">
        <v>172</v>
      </c>
      <c r="J314" s="307" t="s">
        <v>1109</v>
      </c>
      <c r="K314" s="307" t="s">
        <v>1192</v>
      </c>
      <c r="L314" s="191"/>
      <c r="M314" s="305" t="s">
        <v>86</v>
      </c>
      <c r="N314" s="305"/>
      <c r="O314" s="305"/>
      <c r="P314" s="305"/>
      <c r="Q314" s="305" t="s">
        <v>563</v>
      </c>
      <c r="R314" s="305"/>
      <c r="S314" s="305"/>
      <c r="T314" s="305"/>
      <c r="U314" s="304" t="s">
        <v>991</v>
      </c>
      <c r="V314" s="304"/>
      <c r="W314" s="304"/>
      <c r="X314" s="308" t="s">
        <v>86</v>
      </c>
      <c r="Y314" s="308" t="s">
        <v>171</v>
      </c>
    </row>
    <row r="315" spans="1:25" ht="18" customHeight="1" x14ac:dyDescent="0.25">
      <c r="A315" s="303"/>
      <c r="B315" s="303"/>
      <c r="C315" s="304"/>
      <c r="D315" s="304"/>
      <c r="E315" s="305"/>
      <c r="F315" s="145" t="s">
        <v>974</v>
      </c>
      <c r="G315" s="145" t="s">
        <v>352</v>
      </c>
      <c r="H315" s="145" t="s">
        <v>184</v>
      </c>
      <c r="I315" s="306"/>
      <c r="J315" s="307"/>
      <c r="K315" s="307"/>
      <c r="L315" s="191"/>
      <c r="M315" s="92" t="s">
        <v>479</v>
      </c>
      <c r="N315" s="92" t="s">
        <v>53</v>
      </c>
      <c r="O315" s="92" t="s">
        <v>202</v>
      </c>
      <c r="P315" s="92" t="s">
        <v>378</v>
      </c>
      <c r="Q315" s="92" t="s">
        <v>479</v>
      </c>
      <c r="R315" s="92" t="s">
        <v>53</v>
      </c>
      <c r="S315" s="92" t="s">
        <v>202</v>
      </c>
      <c r="T315" s="92" t="s">
        <v>378</v>
      </c>
      <c r="U315" s="140" t="s">
        <v>1114</v>
      </c>
      <c r="V315" s="140" t="s">
        <v>830</v>
      </c>
      <c r="W315" s="140" t="s">
        <v>609</v>
      </c>
      <c r="X315" s="308"/>
      <c r="Y315" s="308"/>
    </row>
    <row r="316" spans="1:25" ht="30" x14ac:dyDescent="0.25">
      <c r="A316" s="6">
        <v>1</v>
      </c>
      <c r="B316" s="21" t="s">
        <v>286</v>
      </c>
      <c r="C316" s="31" t="s">
        <v>520</v>
      </c>
      <c r="D316" s="65" t="s">
        <v>1172</v>
      </c>
      <c r="E316" s="28"/>
      <c r="F316" s="72"/>
      <c r="G316" s="72"/>
      <c r="H316" s="72"/>
      <c r="I316" s="72"/>
      <c r="J316" s="91"/>
      <c r="K316" s="110">
        <f>ROUND(667.8/1000,4)</f>
        <v>0.66779999999999995</v>
      </c>
      <c r="L316" s="197"/>
      <c r="M316" s="18">
        <f>'Đơn giá chi tiết'!J2303</f>
        <v>16318605</v>
      </c>
      <c r="N316" s="18"/>
      <c r="O316" s="18">
        <f>'Đơn giá chi tiết'!J2311</f>
        <v>6570684</v>
      </c>
      <c r="P316" s="18">
        <f>'Đơn giá chi tiết'!J2314</f>
        <v>1989622</v>
      </c>
      <c r="Q316" s="54">
        <f t="shared" ref="Q316:Q322" si="89">ROUND(K316*M316,0)</f>
        <v>10897564</v>
      </c>
      <c r="R316" s="54">
        <f t="shared" ref="R316:R322" si="90">ROUND(K316*N316,0)</f>
        <v>0</v>
      </c>
      <c r="S316" s="54">
        <f t="shared" ref="S316:S322" si="91">ROUND(K316*O316,0)</f>
        <v>4387903</v>
      </c>
      <c r="T316" s="54">
        <f t="shared" ref="T316:T322" si="92">ROUND(K316*P316,0)</f>
        <v>1328670</v>
      </c>
      <c r="U316" s="94"/>
      <c r="V316" s="94"/>
      <c r="W316" s="94"/>
      <c r="X316" s="81" t="s">
        <v>82</v>
      </c>
      <c r="Y316" s="81" t="s">
        <v>321</v>
      </c>
    </row>
    <row r="317" spans="1:25" ht="30" x14ac:dyDescent="0.25">
      <c r="A317" s="124">
        <v>2</v>
      </c>
      <c r="B317" s="138" t="s">
        <v>286</v>
      </c>
      <c r="C317" s="144" t="s">
        <v>164</v>
      </c>
      <c r="D317" s="168" t="s">
        <v>1172</v>
      </c>
      <c r="E317" s="142"/>
      <c r="F317" s="11"/>
      <c r="G317" s="11"/>
      <c r="H317" s="11"/>
      <c r="I317" s="11"/>
      <c r="J317" s="32"/>
      <c r="K317" s="45">
        <f>ROUND(912.84/1000,4)</f>
        <v>0.91279999999999994</v>
      </c>
      <c r="L317" s="193"/>
      <c r="M317" s="136">
        <f>'Đơn giá chi tiết'!J2321</f>
        <v>64735990</v>
      </c>
      <c r="N317" s="136"/>
      <c r="O317" s="136">
        <f>'Đơn giá chi tiết'!J2328</f>
        <v>6570684</v>
      </c>
      <c r="P317" s="136">
        <f>'Đơn giá chi tiết'!J2331</f>
        <v>1989622</v>
      </c>
      <c r="Q317" s="166">
        <f t="shared" si="89"/>
        <v>59091012</v>
      </c>
      <c r="R317" s="166">
        <f t="shared" si="90"/>
        <v>0</v>
      </c>
      <c r="S317" s="166">
        <f t="shared" si="91"/>
        <v>5997720</v>
      </c>
      <c r="T317" s="166">
        <f t="shared" si="92"/>
        <v>1816127</v>
      </c>
      <c r="U317" s="34"/>
      <c r="V317" s="34"/>
      <c r="W317" s="34"/>
      <c r="X317" s="17" t="s">
        <v>82</v>
      </c>
      <c r="Y317" s="17" t="s">
        <v>321</v>
      </c>
    </row>
    <row r="318" spans="1:25" ht="30" x14ac:dyDescent="0.25">
      <c r="A318" s="124">
        <v>3</v>
      </c>
      <c r="B318" s="138" t="s">
        <v>286</v>
      </c>
      <c r="C318" s="144" t="s">
        <v>507</v>
      </c>
      <c r="D318" s="168" t="s">
        <v>1172</v>
      </c>
      <c r="E318" s="142"/>
      <c r="F318" s="11"/>
      <c r="G318" s="11"/>
      <c r="H318" s="11"/>
      <c r="I318" s="11"/>
      <c r="J318" s="32"/>
      <c r="K318" s="45">
        <f>ROUND(675.23/1000,4)</f>
        <v>0.67520000000000002</v>
      </c>
      <c r="L318" s="193"/>
      <c r="M318" s="136">
        <f>'Đơn giá chi tiết'!J2338</f>
        <v>16318605</v>
      </c>
      <c r="N318" s="136"/>
      <c r="O318" s="136">
        <f>'Đơn giá chi tiết'!J2346</f>
        <v>6570684</v>
      </c>
      <c r="P318" s="136">
        <f>'Đơn giá chi tiết'!J2349</f>
        <v>1989622</v>
      </c>
      <c r="Q318" s="166">
        <f t="shared" si="89"/>
        <v>11018322</v>
      </c>
      <c r="R318" s="166">
        <f t="shared" si="90"/>
        <v>0</v>
      </c>
      <c r="S318" s="166">
        <f t="shared" si="91"/>
        <v>4436526</v>
      </c>
      <c r="T318" s="166">
        <f t="shared" si="92"/>
        <v>1343393</v>
      </c>
      <c r="U318" s="34"/>
      <c r="V318" s="34"/>
      <c r="W318" s="34"/>
      <c r="X318" s="17" t="s">
        <v>82</v>
      </c>
      <c r="Y318" s="17" t="s">
        <v>321</v>
      </c>
    </row>
    <row r="319" spans="1:25" ht="30" x14ac:dyDescent="0.25">
      <c r="A319" s="124">
        <v>4</v>
      </c>
      <c r="B319" s="138" t="s">
        <v>286</v>
      </c>
      <c r="C319" s="144" t="s">
        <v>338</v>
      </c>
      <c r="D319" s="168" t="s">
        <v>1172</v>
      </c>
      <c r="E319" s="142"/>
      <c r="F319" s="11"/>
      <c r="G319" s="11"/>
      <c r="H319" s="11"/>
      <c r="I319" s="11"/>
      <c r="J319" s="32"/>
      <c r="K319" s="45">
        <f>ROUND(1078.04/1000,4)</f>
        <v>1.0780000000000001</v>
      </c>
      <c r="L319" s="193"/>
      <c r="M319" s="136">
        <f>'Đơn giá chi tiết'!J2356</f>
        <v>64735990</v>
      </c>
      <c r="N319" s="136"/>
      <c r="O319" s="136">
        <f>'Đơn giá chi tiết'!J2363</f>
        <v>6570684</v>
      </c>
      <c r="P319" s="136">
        <f>'Đơn giá chi tiết'!J2366</f>
        <v>1989622</v>
      </c>
      <c r="Q319" s="166">
        <f t="shared" si="89"/>
        <v>69785397</v>
      </c>
      <c r="R319" s="166">
        <f t="shared" si="90"/>
        <v>0</v>
      </c>
      <c r="S319" s="166">
        <f t="shared" si="91"/>
        <v>7083197</v>
      </c>
      <c r="T319" s="166">
        <f t="shared" si="92"/>
        <v>2144813</v>
      </c>
      <c r="U319" s="34"/>
      <c r="V319" s="34"/>
      <c r="W319" s="34"/>
      <c r="X319" s="17" t="s">
        <v>82</v>
      </c>
      <c r="Y319" s="17" t="s">
        <v>321</v>
      </c>
    </row>
    <row r="320" spans="1:25" ht="45" x14ac:dyDescent="0.25">
      <c r="A320" s="124">
        <v>5</v>
      </c>
      <c r="B320" s="52" t="s">
        <v>960</v>
      </c>
      <c r="C320" s="144" t="s">
        <v>935</v>
      </c>
      <c r="D320" s="168" t="s">
        <v>877</v>
      </c>
      <c r="E320" s="142"/>
      <c r="F320" s="11"/>
      <c r="G320" s="11"/>
      <c r="H320" s="11"/>
      <c r="I320" s="11"/>
      <c r="J320" s="32"/>
      <c r="K320" s="45">
        <v>17.221</v>
      </c>
      <c r="L320" s="193"/>
      <c r="M320" s="136">
        <f>'Đơn giá chi tiết'!J2373</f>
        <v>67795205</v>
      </c>
      <c r="N320" s="136"/>
      <c r="O320" s="136">
        <f>'Đơn giá chi tiết'!J2379</f>
        <v>22865479</v>
      </c>
      <c r="P320" s="136">
        <f>'Đơn giá chi tiết'!J2382</f>
        <v>9165969</v>
      </c>
      <c r="Q320" s="166">
        <f t="shared" si="89"/>
        <v>1167501225</v>
      </c>
      <c r="R320" s="166">
        <f t="shared" si="90"/>
        <v>0</v>
      </c>
      <c r="S320" s="166">
        <f t="shared" si="91"/>
        <v>393766414</v>
      </c>
      <c r="T320" s="166">
        <f t="shared" si="92"/>
        <v>157847152</v>
      </c>
      <c r="U320" s="34"/>
      <c r="V320" s="34"/>
      <c r="W320" s="34"/>
      <c r="X320" s="17" t="s">
        <v>458</v>
      </c>
      <c r="Y320" s="17" t="s">
        <v>1028</v>
      </c>
    </row>
    <row r="321" spans="1:25" ht="30" x14ac:dyDescent="0.25">
      <c r="A321" s="124">
        <v>6</v>
      </c>
      <c r="B321" s="52" t="s">
        <v>977</v>
      </c>
      <c r="C321" s="144" t="s">
        <v>230</v>
      </c>
      <c r="D321" s="168" t="s">
        <v>490</v>
      </c>
      <c r="E321" s="142"/>
      <c r="F321" s="11"/>
      <c r="G321" s="11"/>
      <c r="H321" s="11"/>
      <c r="I321" s="11"/>
      <c r="J321" s="32"/>
      <c r="K321" s="45">
        <f>ROUND(K320,4)</f>
        <v>17.221</v>
      </c>
      <c r="L321" s="193"/>
      <c r="M321" s="136">
        <f>'Đơn giá chi tiết'!J2395</f>
        <v>620062</v>
      </c>
      <c r="N321" s="136"/>
      <c r="O321" s="136">
        <f>'Đơn giá chi tiết'!J2402</f>
        <v>4025329</v>
      </c>
      <c r="P321" s="136">
        <f>'Đơn giá chi tiết'!J2405</f>
        <v>2566395</v>
      </c>
      <c r="Q321" s="166">
        <f t="shared" si="89"/>
        <v>10678088</v>
      </c>
      <c r="R321" s="166">
        <f t="shared" si="90"/>
        <v>0</v>
      </c>
      <c r="S321" s="166">
        <f t="shared" si="91"/>
        <v>69320191</v>
      </c>
      <c r="T321" s="166">
        <f t="shared" si="92"/>
        <v>44195888</v>
      </c>
      <c r="U321" s="34"/>
      <c r="V321" s="34"/>
      <c r="W321" s="34"/>
      <c r="X321" s="17" t="s">
        <v>458</v>
      </c>
      <c r="Y321" s="17" t="s">
        <v>1028</v>
      </c>
    </row>
    <row r="322" spans="1:25" ht="30" x14ac:dyDescent="0.25">
      <c r="A322" s="124">
        <v>7</v>
      </c>
      <c r="B322" s="138" t="s">
        <v>602</v>
      </c>
      <c r="C322" s="144" t="s">
        <v>122</v>
      </c>
      <c r="D322" s="168" t="s">
        <v>1172</v>
      </c>
      <c r="E322" s="142"/>
      <c r="F322" s="11"/>
      <c r="G322" s="11"/>
      <c r="H322" s="11"/>
      <c r="I322" s="11"/>
      <c r="J322" s="32"/>
      <c r="K322" s="45">
        <f>ROUND(K316+K317+K318+K319,4)</f>
        <v>3.3338000000000001</v>
      </c>
      <c r="L322" s="193"/>
      <c r="M322" s="136">
        <f>'Đơn giá chi tiết'!J2414</f>
        <v>773302</v>
      </c>
      <c r="N322" s="136"/>
      <c r="O322" s="136">
        <f>'Đơn giá chi tiết'!J2422</f>
        <v>4397208</v>
      </c>
      <c r="P322" s="136">
        <f>'Đơn giá chi tiết'!J2425</f>
        <v>2175493</v>
      </c>
      <c r="Q322" s="166">
        <f t="shared" si="89"/>
        <v>2578034</v>
      </c>
      <c r="R322" s="166">
        <f t="shared" si="90"/>
        <v>0</v>
      </c>
      <c r="S322" s="166">
        <f t="shared" si="91"/>
        <v>14659412</v>
      </c>
      <c r="T322" s="166">
        <f t="shared" si="92"/>
        <v>7252659</v>
      </c>
      <c r="U322" s="34"/>
      <c r="V322" s="34"/>
      <c r="W322" s="34"/>
      <c r="X322" s="17" t="s">
        <v>82</v>
      </c>
      <c r="Y322" s="17" t="s">
        <v>321</v>
      </c>
    </row>
    <row r="323" spans="1:25" x14ac:dyDescent="0.25">
      <c r="A323" s="57"/>
      <c r="B323" s="24"/>
      <c r="C323" s="24"/>
      <c r="D323" s="57"/>
      <c r="E323" s="51"/>
      <c r="F323" s="93"/>
      <c r="G323" s="93"/>
      <c r="H323" s="93"/>
      <c r="I323" s="93"/>
      <c r="J323" s="121"/>
      <c r="K323" s="121"/>
      <c r="L323" s="194"/>
      <c r="M323" s="51"/>
      <c r="N323" s="51"/>
      <c r="O323" s="51"/>
      <c r="P323" s="51"/>
      <c r="Q323" s="51"/>
      <c r="R323" s="51"/>
      <c r="S323" s="51"/>
      <c r="T323" s="51"/>
      <c r="U323" s="89"/>
      <c r="V323" s="89"/>
      <c r="W323" s="89"/>
      <c r="X323" s="78"/>
      <c r="Y323" s="78"/>
    </row>
    <row r="324" spans="1:25" ht="18" customHeight="1" x14ac:dyDescent="0.25">
      <c r="A324" s="128"/>
      <c r="B324" s="132" t="s">
        <v>855</v>
      </c>
      <c r="C324" s="5" t="s">
        <v>489</v>
      </c>
      <c r="D324" s="128"/>
      <c r="E324" s="115"/>
      <c r="F324" s="158"/>
      <c r="G324" s="158"/>
      <c r="H324" s="158"/>
      <c r="I324" s="158"/>
      <c r="J324" s="4"/>
      <c r="K324" s="4"/>
      <c r="L324" s="195"/>
      <c r="M324" s="115"/>
      <c r="N324" s="115"/>
      <c r="O324" s="115"/>
      <c r="P324" s="115"/>
      <c r="Q324" s="33">
        <f>SUM(Q316:Q322)</f>
        <v>1331549642</v>
      </c>
      <c r="R324" s="33">
        <f>SUM(R316:R322)</f>
        <v>0</v>
      </c>
      <c r="S324" s="33">
        <f>SUM(S316:S322)</f>
        <v>499651363</v>
      </c>
      <c r="T324" s="33">
        <f>SUM(T316:T322)</f>
        <v>215928702</v>
      </c>
      <c r="U324" s="86"/>
      <c r="V324" s="86"/>
      <c r="W324" s="86"/>
      <c r="X324" s="86"/>
      <c r="Y324" s="76"/>
    </row>
    <row r="325" spans="1:25" ht="16.5" customHeight="1" x14ac:dyDescent="0.25">
      <c r="A325" s="2"/>
      <c r="B325" s="146"/>
      <c r="C325" s="146"/>
      <c r="D325" s="2"/>
      <c r="E325" s="36"/>
      <c r="F325" s="36"/>
      <c r="G325" s="36"/>
      <c r="H325" s="36"/>
      <c r="I325" s="36"/>
      <c r="J325" s="36"/>
      <c r="K325" s="36"/>
      <c r="L325" s="196"/>
      <c r="M325" s="36"/>
      <c r="N325" s="36"/>
      <c r="O325" s="36"/>
      <c r="P325" s="36"/>
      <c r="Q325" s="36"/>
      <c r="R325" s="36"/>
      <c r="S325" s="36"/>
      <c r="T325" s="146"/>
      <c r="U325" s="146"/>
      <c r="V325" s="146"/>
      <c r="W325" s="146"/>
      <c r="X325" s="146"/>
      <c r="Y325" s="146"/>
    </row>
  </sheetData>
  <mergeCells count="34">
    <mergeCell ref="X314:X315"/>
    <mergeCell ref="Y314:Y315"/>
    <mergeCell ref="I314:I315"/>
    <mergeCell ref="J314:J315"/>
    <mergeCell ref="K314:K315"/>
    <mergeCell ref="M314:P314"/>
    <mergeCell ref="Q314:T314"/>
    <mergeCell ref="U314:W314"/>
    <mergeCell ref="A313:T313"/>
    <mergeCell ref="A314:A315"/>
    <mergeCell ref="B314:B315"/>
    <mergeCell ref="C314:C315"/>
    <mergeCell ref="D314:D315"/>
    <mergeCell ref="E314:E315"/>
    <mergeCell ref="F314:H314"/>
    <mergeCell ref="U4:W4"/>
    <mergeCell ref="X4:X5"/>
    <mergeCell ref="Y4:Y5"/>
    <mergeCell ref="A311:T311"/>
    <mergeCell ref="A312:T312"/>
    <mergeCell ref="A1:T1"/>
    <mergeCell ref="A2:T2"/>
    <mergeCell ref="A3:T3"/>
    <mergeCell ref="A4:A5"/>
    <mergeCell ref="B4:B5"/>
    <mergeCell ref="C4:C5"/>
    <mergeCell ref="D4:D5"/>
    <mergeCell ref="E4:E5"/>
    <mergeCell ref="F4:H4"/>
    <mergeCell ref="I4:I5"/>
    <mergeCell ref="J4:J5"/>
    <mergeCell ref="K4:K5"/>
    <mergeCell ref="M4:P4"/>
    <mergeCell ref="Q4:T4"/>
  </mergeCells>
  <pageMargins left="0.7" right="0.7" top="0.75" bottom="0.75" header="0.3" footer="0.3"/>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421"/>
  <sheetViews>
    <sheetView showZeros="0" workbookViewId="0">
      <selection sqref="A1:L1"/>
    </sheetView>
  </sheetViews>
  <sheetFormatPr defaultColWidth="9.140625" defaultRowHeight="15" x14ac:dyDescent="0.25"/>
  <cols>
    <col min="1" max="1" width="6.5703125" style="143" customWidth="1"/>
    <col min="2" max="2" width="11.140625" style="143" customWidth="1"/>
    <col min="3" max="3" width="11.140625" style="143" hidden="1" customWidth="1"/>
    <col min="4" max="4" width="46.28515625" style="143" customWidth="1"/>
    <col min="5" max="5" width="8.5703125" style="143" customWidth="1"/>
    <col min="6" max="6" width="7.42578125" style="143" customWidth="1"/>
    <col min="7" max="7" width="10.7109375" style="143" customWidth="1"/>
    <col min="8" max="8" width="11.85546875" style="143" customWidth="1"/>
    <col min="9" max="9" width="14.140625" style="143" customWidth="1"/>
    <col min="10" max="10" width="10.7109375" style="143" customWidth="1"/>
    <col min="11" max="11" width="11.85546875" style="143" customWidth="1"/>
    <col min="12" max="12" width="14.140625" style="143" customWidth="1"/>
    <col min="13" max="16384" width="9.140625" style="143"/>
  </cols>
  <sheetData>
    <row r="1" spans="1:12" ht="22.5" customHeight="1" x14ac:dyDescent="0.25">
      <c r="A1" s="310" t="s">
        <v>569</v>
      </c>
      <c r="B1" s="310"/>
      <c r="C1" s="310"/>
      <c r="D1" s="310"/>
      <c r="E1" s="310"/>
      <c r="F1" s="310"/>
      <c r="G1" s="310"/>
      <c r="H1" s="310"/>
      <c r="I1" s="310"/>
      <c r="J1" s="310"/>
      <c r="K1" s="310"/>
      <c r="L1" s="310"/>
    </row>
    <row r="2" spans="1:12" ht="20.25" customHeight="1" x14ac:dyDescent="0.25">
      <c r="A2" s="309" t="s">
        <v>421</v>
      </c>
      <c r="B2" s="309"/>
      <c r="C2" s="309"/>
      <c r="D2" s="309"/>
      <c r="E2" s="309"/>
      <c r="F2" s="309"/>
      <c r="G2" s="309"/>
      <c r="H2" s="309"/>
      <c r="I2" s="309"/>
      <c r="J2" s="309"/>
      <c r="K2" s="309"/>
      <c r="L2" s="309"/>
    </row>
    <row r="3" spans="1:12" ht="19.5" customHeight="1" x14ac:dyDescent="0.25">
      <c r="A3" s="311" t="s">
        <v>663</v>
      </c>
      <c r="B3" s="311"/>
      <c r="C3" s="311"/>
      <c r="D3" s="311"/>
      <c r="E3" s="311"/>
      <c r="F3" s="311"/>
      <c r="G3" s="311"/>
      <c r="H3" s="311"/>
      <c r="I3" s="311"/>
      <c r="J3" s="311"/>
      <c r="K3" s="311"/>
      <c r="L3" s="311"/>
    </row>
    <row r="4" spans="1:12" ht="18" customHeight="1" x14ac:dyDescent="0.25">
      <c r="A4" s="2"/>
      <c r="B4" s="146"/>
      <c r="C4" s="36"/>
      <c r="D4" s="146"/>
      <c r="E4" s="2"/>
      <c r="F4" s="36"/>
      <c r="G4" s="36"/>
      <c r="H4" s="36"/>
      <c r="I4" s="36"/>
      <c r="J4" s="36"/>
      <c r="K4" s="36"/>
      <c r="L4" s="36"/>
    </row>
    <row r="5" spans="1:12" ht="18.75" customHeight="1" x14ac:dyDescent="0.25">
      <c r="A5" s="304" t="s">
        <v>761</v>
      </c>
      <c r="B5" s="303" t="s">
        <v>178</v>
      </c>
      <c r="C5" s="304" t="s">
        <v>993</v>
      </c>
      <c r="D5" s="304" t="s">
        <v>71</v>
      </c>
      <c r="E5" s="304" t="s">
        <v>971</v>
      </c>
      <c r="F5" s="307" t="s">
        <v>1192</v>
      </c>
      <c r="G5" s="307" t="s">
        <v>437</v>
      </c>
      <c r="H5" s="307"/>
      <c r="I5" s="307"/>
      <c r="J5" s="307" t="s">
        <v>1064</v>
      </c>
      <c r="K5" s="307"/>
      <c r="L5" s="307"/>
    </row>
    <row r="6" spans="1:12" ht="18" customHeight="1" x14ac:dyDescent="0.25">
      <c r="A6" s="304"/>
      <c r="B6" s="303"/>
      <c r="C6" s="304"/>
      <c r="D6" s="304"/>
      <c r="E6" s="304"/>
      <c r="F6" s="307"/>
      <c r="G6" s="164" t="s">
        <v>479</v>
      </c>
      <c r="H6" s="164" t="s">
        <v>202</v>
      </c>
      <c r="I6" s="164" t="s">
        <v>378</v>
      </c>
      <c r="J6" s="164" t="s">
        <v>479</v>
      </c>
      <c r="K6" s="164" t="s">
        <v>202</v>
      </c>
      <c r="L6" s="164" t="s">
        <v>378</v>
      </c>
    </row>
    <row r="7" spans="1:12" ht="28.5" x14ac:dyDescent="0.25">
      <c r="A7" s="65">
        <f>'Công trình'!A7</f>
        <v>1</v>
      </c>
      <c r="B7" s="14" t="str">
        <f>'Công trình'!B7</f>
        <v>AF.11224</v>
      </c>
      <c r="C7" s="94"/>
      <c r="D7" s="14" t="str">
        <f>'Công trình'!C7</f>
        <v>Bê tông móng rộng &gt;250cm đá 1x2, vữa BT mác 250</v>
      </c>
      <c r="E7" s="46" t="str">
        <f>'Công trình'!D7</f>
        <v>m3</v>
      </c>
      <c r="F7" s="106">
        <f>'Công trình'!K7</f>
        <v>164.34</v>
      </c>
      <c r="G7" s="126"/>
      <c r="H7" s="126"/>
      <c r="I7" s="126"/>
      <c r="J7" s="126"/>
      <c r="K7" s="126"/>
      <c r="L7" s="126"/>
    </row>
    <row r="8" spans="1:12" x14ac:dyDescent="0.25">
      <c r="A8" s="56"/>
      <c r="B8" s="23"/>
      <c r="C8" s="88"/>
      <c r="D8" s="23" t="s">
        <v>479</v>
      </c>
      <c r="E8" s="56"/>
      <c r="F8" s="118"/>
      <c r="G8" s="118"/>
      <c r="H8" s="118"/>
      <c r="I8" s="118"/>
      <c r="J8" s="118"/>
      <c r="K8" s="118"/>
      <c r="L8" s="118"/>
    </row>
    <row r="9" spans="1:12" x14ac:dyDescent="0.25">
      <c r="A9" s="168"/>
      <c r="B9" s="144" t="str">
        <f>'Vật liệu'!B275</f>
        <v>V00784</v>
      </c>
      <c r="C9" s="34">
        <v>403</v>
      </c>
      <c r="D9" s="144" t="str">
        <f>" - " &amp; 'Vật liệu'!D275</f>
        <v xml:space="preserve"> - Đinh đỉa</v>
      </c>
      <c r="E9" s="168" t="str">
        <f>'Vật liệu'!E275</f>
        <v>cái</v>
      </c>
      <c r="F9" s="60"/>
      <c r="G9" s="60">
        <v>0.60299999999999998</v>
      </c>
      <c r="H9" s="60"/>
      <c r="I9" s="60"/>
      <c r="J9" s="60">
        <f>ROUND(F7*G9,4)</f>
        <v>99.096999999999994</v>
      </c>
      <c r="K9" s="60"/>
      <c r="L9" s="60"/>
    </row>
    <row r="10" spans="1:12" x14ac:dyDescent="0.25">
      <c r="A10" s="168"/>
      <c r="B10" s="144" t="str">
        <f>'Vật liệu'!B268</f>
        <v>V00772</v>
      </c>
      <c r="C10" s="34">
        <v>401</v>
      </c>
      <c r="D10" s="144" t="str">
        <f>" - " &amp; 'Vật liệu'!D268</f>
        <v xml:space="preserve"> - Đinh</v>
      </c>
      <c r="E10" s="168" t="str">
        <f>'Vật liệu'!E268</f>
        <v>kg</v>
      </c>
      <c r="F10" s="60"/>
      <c r="G10" s="60">
        <v>0.122</v>
      </c>
      <c r="H10" s="60"/>
      <c r="I10" s="60"/>
      <c r="J10" s="60">
        <f>ROUND(F7*G10,4)</f>
        <v>20.049499999999998</v>
      </c>
      <c r="K10" s="60"/>
      <c r="L10" s="60"/>
    </row>
    <row r="11" spans="1:12" x14ac:dyDescent="0.25">
      <c r="A11" s="168"/>
      <c r="B11" s="144" t="str">
        <f>'Vật liệu'!B721</f>
        <v>V00761</v>
      </c>
      <c r="C11" s="34">
        <v>397</v>
      </c>
      <c r="D11" s="144" t="str">
        <f>" - " &amp; 'Vật liệu'!D721</f>
        <v xml:space="preserve"> - Xi măng PC40</v>
      </c>
      <c r="E11" s="168" t="str">
        <f>'Vật liệu'!E721</f>
        <v>kg</v>
      </c>
      <c r="F11" s="60"/>
      <c r="G11" s="60">
        <v>335.17500000000001</v>
      </c>
      <c r="H11" s="60"/>
      <c r="I11" s="60"/>
      <c r="J11" s="60">
        <f>ROUND(F7*G11,4)</f>
        <v>55082.659500000002</v>
      </c>
      <c r="K11" s="60"/>
      <c r="L11" s="60"/>
    </row>
    <row r="12" spans="1:12" x14ac:dyDescent="0.25">
      <c r="A12" s="168"/>
      <c r="B12" s="144" t="str">
        <f>'Vật liệu'!B54</f>
        <v>V00112</v>
      </c>
      <c r="C12" s="34">
        <v>125</v>
      </c>
      <c r="D12" s="144" t="str">
        <f>" - " &amp; 'Vật liệu'!D54</f>
        <v xml:space="preserve"> - Cát vàng</v>
      </c>
      <c r="E12" s="168" t="str">
        <f>'Vật liệu'!E54</f>
        <v>m3</v>
      </c>
      <c r="F12" s="60"/>
      <c r="G12" s="60">
        <v>0.4869</v>
      </c>
      <c r="H12" s="60"/>
      <c r="I12" s="60"/>
      <c r="J12" s="60">
        <f>ROUND(F7*G12,4)</f>
        <v>80.017099999999999</v>
      </c>
      <c r="K12" s="60"/>
      <c r="L12" s="60"/>
    </row>
    <row r="13" spans="1:12" x14ac:dyDescent="0.25">
      <c r="A13" s="168"/>
      <c r="B13" s="144" t="str">
        <f>'Vật liệu'!B142</f>
        <v>V05207</v>
      </c>
      <c r="C13" s="34">
        <v>416</v>
      </c>
      <c r="D13" s="144" t="str">
        <f>" - " &amp; 'Vật liệu'!D142</f>
        <v xml:space="preserve"> - Đá 1x2</v>
      </c>
      <c r="E13" s="168" t="str">
        <f>'Vật liệu'!E142</f>
        <v>m3</v>
      </c>
      <c r="F13" s="60"/>
      <c r="G13" s="60">
        <v>0.90300000000000002</v>
      </c>
      <c r="H13" s="60"/>
      <c r="I13" s="60"/>
      <c r="J13" s="60">
        <f>ROUND(F7*G13,4)</f>
        <v>148.399</v>
      </c>
      <c r="K13" s="60"/>
      <c r="L13" s="60"/>
    </row>
    <row r="14" spans="1:12" x14ac:dyDescent="0.25">
      <c r="A14" s="168"/>
      <c r="B14" s="144" t="str">
        <f>'Vật liệu'!B353</f>
        <v>V00494</v>
      </c>
      <c r="C14" s="34">
        <v>148</v>
      </c>
      <c r="D14" s="144" t="str">
        <f>" - " &amp; 'Vật liệu'!D353</f>
        <v xml:space="preserve"> - Nước</v>
      </c>
      <c r="E14" s="168" t="str">
        <f>'Vật liệu'!E353</f>
        <v>lít</v>
      </c>
      <c r="F14" s="60"/>
      <c r="G14" s="60">
        <v>189.625</v>
      </c>
      <c r="H14" s="60"/>
      <c r="I14" s="60"/>
      <c r="J14" s="60">
        <f>ROUND(F7*G14,4)</f>
        <v>31162.9725</v>
      </c>
      <c r="K14" s="60"/>
      <c r="L14" s="60"/>
    </row>
    <row r="15" spans="1:12" x14ac:dyDescent="0.25">
      <c r="A15" s="168"/>
      <c r="B15" s="144" t="str">
        <f>'Vật liệu'!B314</f>
        <v>V00404</v>
      </c>
      <c r="C15" s="34">
        <v>144</v>
      </c>
      <c r="D15" s="144" t="str">
        <f>" - " &amp; 'Vật liệu'!D314</f>
        <v xml:space="preserve"> - Gỗ ván cầu công tác</v>
      </c>
      <c r="E15" s="168" t="str">
        <f>'Vật liệu'!E314</f>
        <v>m3</v>
      </c>
      <c r="F15" s="60"/>
      <c r="G15" s="60">
        <v>1.4999999999999999E-2</v>
      </c>
      <c r="H15" s="60"/>
      <c r="I15" s="60"/>
      <c r="J15" s="60">
        <f>ROUND(F7*G15,4)</f>
        <v>2.4651000000000001</v>
      </c>
      <c r="K15" s="60"/>
      <c r="L15" s="60"/>
    </row>
    <row r="16" spans="1:12" x14ac:dyDescent="0.25">
      <c r="A16" s="168"/>
      <c r="B16" s="144" t="str">
        <f>'Vật liệu'!B766</f>
        <v>V00750</v>
      </c>
      <c r="C16" s="34">
        <v>358</v>
      </c>
      <c r="D16" s="144" t="str">
        <f>" - " &amp; 'Vật liệu'!D766</f>
        <v xml:space="preserve"> - Vật liệu khác</v>
      </c>
      <c r="E16" s="168" t="str">
        <f>'Vật liệu'!E766</f>
        <v>%</v>
      </c>
      <c r="F16" s="60"/>
      <c r="G16" s="60">
        <v>1</v>
      </c>
      <c r="H16" s="60"/>
      <c r="I16" s="60"/>
      <c r="J16" s="60"/>
      <c r="K16" s="60"/>
      <c r="L16" s="60"/>
    </row>
    <row r="17" spans="1:12" x14ac:dyDescent="0.25">
      <c r="A17" s="56"/>
      <c r="B17" s="23"/>
      <c r="C17" s="88"/>
      <c r="D17" s="23" t="s">
        <v>202</v>
      </c>
      <c r="E17" s="56"/>
      <c r="F17" s="118"/>
      <c r="G17" s="118"/>
      <c r="H17" s="118"/>
      <c r="I17" s="118"/>
      <c r="J17" s="118"/>
      <c r="K17" s="118"/>
      <c r="L17" s="118"/>
    </row>
    <row r="18" spans="1:12" x14ac:dyDescent="0.25">
      <c r="A18" s="168"/>
      <c r="B18" s="144" t="str">
        <f>'Nhân công'!B6</f>
        <v>N0006</v>
      </c>
      <c r="C18" s="34">
        <v>545</v>
      </c>
      <c r="D18" s="144" t="s">
        <v>256</v>
      </c>
      <c r="E18" s="168" t="str">
        <f>'Nhân công'!G6</f>
        <v>công</v>
      </c>
      <c r="F18" s="60"/>
      <c r="G18" s="60"/>
      <c r="H18" s="60">
        <v>1.97</v>
      </c>
      <c r="I18" s="60"/>
      <c r="J18" s="60"/>
      <c r="K18" s="60">
        <f>ROUND(F7*H18,4)</f>
        <v>323.74979999999999</v>
      </c>
      <c r="L18" s="60"/>
    </row>
    <row r="19" spans="1:12" x14ac:dyDescent="0.25">
      <c r="A19" s="56"/>
      <c r="B19" s="23"/>
      <c r="C19" s="88"/>
      <c r="D19" s="23" t="s">
        <v>378</v>
      </c>
      <c r="E19" s="56"/>
      <c r="F19" s="118"/>
      <c r="G19" s="118"/>
      <c r="H19" s="118"/>
      <c r="I19" s="118"/>
      <c r="J19" s="118"/>
      <c r="K19" s="118"/>
      <c r="L19" s="118"/>
    </row>
    <row r="20" spans="1:12" x14ac:dyDescent="0.25">
      <c r="A20" s="168"/>
      <c r="B20" s="144" t="str">
        <f>'Máy thi công'!B232</f>
        <v>M9571</v>
      </c>
      <c r="C20" s="34">
        <v>750</v>
      </c>
      <c r="D20" s="144" t="str">
        <f>" - " &amp; 'Máy thi công'!D232</f>
        <v xml:space="preserve"> - Máy đầm bê tông, dầm dùi - công suất: 1,5 kW</v>
      </c>
      <c r="E20" s="168" t="str">
        <f>'Máy thi công'!E232</f>
        <v>ca</v>
      </c>
      <c r="F20" s="60"/>
      <c r="G20" s="60"/>
      <c r="H20" s="60"/>
      <c r="I20" s="60">
        <v>8.8999999999999996E-2</v>
      </c>
      <c r="J20" s="60"/>
      <c r="K20" s="60"/>
      <c r="L20" s="60">
        <f>ROUND(F7*I20,4)</f>
        <v>14.626300000000001</v>
      </c>
    </row>
    <row r="21" spans="1:12" x14ac:dyDescent="0.25">
      <c r="A21" s="168"/>
      <c r="B21" s="144" t="str">
        <f>'Máy thi công'!B306</f>
        <v>M9555</v>
      </c>
      <c r="C21" s="34">
        <v>744</v>
      </c>
      <c r="D21" s="144" t="str">
        <f>" - " &amp; 'Máy thi công'!D306</f>
        <v xml:space="preserve"> - Máy trộn bê tông - dung tích: 250 lít</v>
      </c>
      <c r="E21" s="168" t="str">
        <f>'Máy thi công'!E306</f>
        <v>ca</v>
      </c>
      <c r="F21" s="60"/>
      <c r="G21" s="60"/>
      <c r="H21" s="60"/>
      <c r="I21" s="60">
        <v>9.5000000000000001E-2</v>
      </c>
      <c r="J21" s="60"/>
      <c r="K21" s="60"/>
      <c r="L21" s="60">
        <f>ROUND(F7*I21,4)</f>
        <v>15.612299999999999</v>
      </c>
    </row>
    <row r="22" spans="1:12" ht="28.5" x14ac:dyDescent="0.25">
      <c r="A22" s="65">
        <f>'Công trình'!A8</f>
        <v>2</v>
      </c>
      <c r="B22" s="14" t="str">
        <f>'Công trình'!B8</f>
        <v>AF.12144</v>
      </c>
      <c r="C22" s="94"/>
      <c r="D22" s="14" t="str">
        <f>'Công trình'!C8</f>
        <v>Bê tông tường dày &gt;45cm, chiều cao &lt;=16m đá 1x2, vữa BT mác 250</v>
      </c>
      <c r="E22" s="46" t="str">
        <f>'Công trình'!D8</f>
        <v>m3</v>
      </c>
      <c r="F22" s="106">
        <f>'Công trình'!K8</f>
        <v>160.66999999999999</v>
      </c>
      <c r="G22" s="126"/>
      <c r="H22" s="126"/>
      <c r="I22" s="126"/>
      <c r="J22" s="126"/>
      <c r="K22" s="126"/>
      <c r="L22" s="126"/>
    </row>
    <row r="23" spans="1:12" x14ac:dyDescent="0.25">
      <c r="A23" s="56"/>
      <c r="B23" s="23"/>
      <c r="C23" s="88"/>
      <c r="D23" s="23" t="s">
        <v>479</v>
      </c>
      <c r="E23" s="56"/>
      <c r="F23" s="118"/>
      <c r="G23" s="118"/>
      <c r="H23" s="118"/>
      <c r="I23" s="118"/>
      <c r="J23" s="118"/>
      <c r="K23" s="118"/>
      <c r="L23" s="118"/>
    </row>
    <row r="24" spans="1:12" x14ac:dyDescent="0.25">
      <c r="A24" s="168"/>
      <c r="B24" s="144" t="str">
        <f>'Vật liệu'!B275</f>
        <v>V00784</v>
      </c>
      <c r="C24" s="34">
        <v>403</v>
      </c>
      <c r="D24" s="144" t="str">
        <f>" - " &amp; 'Vật liệu'!D275</f>
        <v xml:space="preserve"> - Đinh đỉa</v>
      </c>
      <c r="E24" s="168" t="str">
        <f>'Vật liệu'!E275</f>
        <v>cái</v>
      </c>
      <c r="F24" s="60"/>
      <c r="G24" s="60">
        <v>0.35199999999999998</v>
      </c>
      <c r="H24" s="60"/>
      <c r="I24" s="60"/>
      <c r="J24" s="60">
        <f>ROUND(F22*G24,4)</f>
        <v>56.555799999999998</v>
      </c>
      <c r="K24" s="60"/>
      <c r="L24" s="60"/>
    </row>
    <row r="25" spans="1:12" x14ac:dyDescent="0.25">
      <c r="A25" s="168"/>
      <c r="B25" s="144" t="str">
        <f>'Vật liệu'!B268</f>
        <v>V00772</v>
      </c>
      <c r="C25" s="34">
        <v>401</v>
      </c>
      <c r="D25" s="144" t="str">
        <f>" - " &amp; 'Vật liệu'!D268</f>
        <v xml:space="preserve"> - Đinh</v>
      </c>
      <c r="E25" s="168" t="str">
        <f>'Vật liệu'!E268</f>
        <v>kg</v>
      </c>
      <c r="F25" s="60"/>
      <c r="G25" s="60">
        <v>4.8000000000000001E-2</v>
      </c>
      <c r="H25" s="60"/>
      <c r="I25" s="60"/>
      <c r="J25" s="60">
        <f>ROUND(F22*G25,4)</f>
        <v>7.7122000000000002</v>
      </c>
      <c r="K25" s="60"/>
      <c r="L25" s="60"/>
    </row>
    <row r="26" spans="1:12" x14ac:dyDescent="0.25">
      <c r="A26" s="168"/>
      <c r="B26" s="144" t="str">
        <f>'Vật liệu'!B721</f>
        <v>V00761</v>
      </c>
      <c r="C26" s="34">
        <v>397</v>
      </c>
      <c r="D26" s="144" t="str">
        <f>" - " &amp; 'Vật liệu'!D721</f>
        <v xml:space="preserve"> - Xi măng PC40</v>
      </c>
      <c r="E26" s="168" t="str">
        <f>'Vật liệu'!E721</f>
        <v>kg</v>
      </c>
      <c r="F26" s="60"/>
      <c r="G26" s="60">
        <v>335.17500000000001</v>
      </c>
      <c r="H26" s="60"/>
      <c r="I26" s="60"/>
      <c r="J26" s="60">
        <f>ROUND(F22*G26,4)</f>
        <v>53852.567300000002</v>
      </c>
      <c r="K26" s="60"/>
      <c r="L26" s="60"/>
    </row>
    <row r="27" spans="1:12" x14ac:dyDescent="0.25">
      <c r="A27" s="168"/>
      <c r="B27" s="144" t="str">
        <f>'Vật liệu'!B54</f>
        <v>V00112</v>
      </c>
      <c r="C27" s="34">
        <v>125</v>
      </c>
      <c r="D27" s="144" t="str">
        <f>" - " &amp; 'Vật liệu'!D54</f>
        <v xml:space="preserve"> - Cát vàng</v>
      </c>
      <c r="E27" s="168" t="str">
        <f>'Vật liệu'!E54</f>
        <v>m3</v>
      </c>
      <c r="F27" s="60"/>
      <c r="G27" s="60">
        <v>0.4869</v>
      </c>
      <c r="H27" s="60"/>
      <c r="I27" s="60"/>
      <c r="J27" s="60">
        <f>ROUND(F22*G27,4)</f>
        <v>78.230199999999996</v>
      </c>
      <c r="K27" s="60"/>
      <c r="L27" s="60"/>
    </row>
    <row r="28" spans="1:12" x14ac:dyDescent="0.25">
      <c r="A28" s="168"/>
      <c r="B28" s="144" t="str">
        <f>'Vật liệu'!B142</f>
        <v>V05207</v>
      </c>
      <c r="C28" s="34">
        <v>416</v>
      </c>
      <c r="D28" s="144" t="str">
        <f>" - " &amp; 'Vật liệu'!D142</f>
        <v xml:space="preserve"> - Đá 1x2</v>
      </c>
      <c r="E28" s="168" t="str">
        <f>'Vật liệu'!E142</f>
        <v>m3</v>
      </c>
      <c r="F28" s="60"/>
      <c r="G28" s="60">
        <v>0.90300000000000002</v>
      </c>
      <c r="H28" s="60"/>
      <c r="I28" s="60"/>
      <c r="J28" s="60">
        <f>ROUND(F22*G28,4)</f>
        <v>145.08500000000001</v>
      </c>
      <c r="K28" s="60"/>
      <c r="L28" s="60"/>
    </row>
    <row r="29" spans="1:12" x14ac:dyDescent="0.25">
      <c r="A29" s="168"/>
      <c r="B29" s="144" t="str">
        <f>'Vật liệu'!B353</f>
        <v>V00494</v>
      </c>
      <c r="C29" s="34">
        <v>148</v>
      </c>
      <c r="D29" s="144" t="str">
        <f>" - " &amp; 'Vật liệu'!D353</f>
        <v xml:space="preserve"> - Nước</v>
      </c>
      <c r="E29" s="168" t="str">
        <f>'Vật liệu'!E353</f>
        <v>lít</v>
      </c>
      <c r="F29" s="60"/>
      <c r="G29" s="60">
        <v>189.625</v>
      </c>
      <c r="H29" s="60"/>
      <c r="I29" s="60"/>
      <c r="J29" s="60">
        <f>ROUND(F22*G29,4)</f>
        <v>30467.0488</v>
      </c>
      <c r="K29" s="60"/>
      <c r="L29" s="60"/>
    </row>
    <row r="30" spans="1:12" x14ac:dyDescent="0.25">
      <c r="A30" s="168"/>
      <c r="B30" s="144" t="str">
        <f>'Vật liệu'!B314</f>
        <v>V00404</v>
      </c>
      <c r="C30" s="34">
        <v>144</v>
      </c>
      <c r="D30" s="144" t="str">
        <f>" - " &amp; 'Vật liệu'!D314</f>
        <v xml:space="preserve"> - Gỗ ván cầu công tác</v>
      </c>
      <c r="E30" s="168" t="str">
        <f>'Vật liệu'!E314</f>
        <v>m3</v>
      </c>
      <c r="F30" s="60"/>
      <c r="G30" s="60">
        <v>0.02</v>
      </c>
      <c r="H30" s="60"/>
      <c r="I30" s="60"/>
      <c r="J30" s="60">
        <f>ROUND(F22*G30,4)</f>
        <v>3.2134</v>
      </c>
      <c r="K30" s="60"/>
      <c r="L30" s="60"/>
    </row>
    <row r="31" spans="1:12" x14ac:dyDescent="0.25">
      <c r="A31" s="168"/>
      <c r="B31" s="144" t="str">
        <f>'Vật liệu'!B766</f>
        <v>V00750</v>
      </c>
      <c r="C31" s="34">
        <v>360</v>
      </c>
      <c r="D31" s="144" t="str">
        <f>" - " &amp; 'Vật liệu'!D766</f>
        <v xml:space="preserve"> - Vật liệu khác</v>
      </c>
      <c r="E31" s="168" t="str">
        <f>'Vật liệu'!E766</f>
        <v>%</v>
      </c>
      <c r="F31" s="60"/>
      <c r="G31" s="60">
        <v>2</v>
      </c>
      <c r="H31" s="60"/>
      <c r="I31" s="60"/>
      <c r="J31" s="60"/>
      <c r="K31" s="60"/>
      <c r="L31" s="60"/>
    </row>
    <row r="32" spans="1:12" x14ac:dyDescent="0.25">
      <c r="A32" s="56"/>
      <c r="B32" s="23"/>
      <c r="C32" s="88"/>
      <c r="D32" s="23" t="s">
        <v>202</v>
      </c>
      <c r="E32" s="56"/>
      <c r="F32" s="118"/>
      <c r="G32" s="118"/>
      <c r="H32" s="118"/>
      <c r="I32" s="118"/>
      <c r="J32" s="118"/>
      <c r="K32" s="118"/>
      <c r="L32" s="118"/>
    </row>
    <row r="33" spans="1:12" x14ac:dyDescent="0.25">
      <c r="A33" s="168"/>
      <c r="B33" s="144" t="str">
        <f>'Nhân công'!B45</f>
        <v>N0009</v>
      </c>
      <c r="C33" s="34">
        <v>546</v>
      </c>
      <c r="D33" s="144" t="s">
        <v>1052</v>
      </c>
      <c r="E33" s="168" t="str">
        <f>'Nhân công'!G45</f>
        <v>công</v>
      </c>
      <c r="F33" s="60"/>
      <c r="G33" s="60"/>
      <c r="H33" s="60">
        <v>3.95</v>
      </c>
      <c r="I33" s="60"/>
      <c r="J33" s="60"/>
      <c r="K33" s="60">
        <f>ROUND(F22*H33,4)</f>
        <v>634.64649999999995</v>
      </c>
      <c r="L33" s="60"/>
    </row>
    <row r="34" spans="1:12" x14ac:dyDescent="0.25">
      <c r="A34" s="56"/>
      <c r="B34" s="23"/>
      <c r="C34" s="88"/>
      <c r="D34" s="23" t="s">
        <v>378</v>
      </c>
      <c r="E34" s="56"/>
      <c r="F34" s="118"/>
      <c r="G34" s="118"/>
      <c r="H34" s="118"/>
      <c r="I34" s="118"/>
      <c r="J34" s="118"/>
      <c r="K34" s="118"/>
      <c r="L34" s="118"/>
    </row>
    <row r="35" spans="1:12" x14ac:dyDescent="0.25">
      <c r="A35" s="168"/>
      <c r="B35" s="144" t="str">
        <f>'Máy thi công'!B358</f>
        <v>M9560</v>
      </c>
      <c r="C35" s="34">
        <v>746</v>
      </c>
      <c r="D35" s="144" t="str">
        <f>" - " &amp; 'Máy thi công'!D358</f>
        <v xml:space="preserve"> - Máy vận thăng - sức nâng: 0,8 t - H nâng 80 m</v>
      </c>
      <c r="E35" s="168" t="str">
        <f>'Máy thi công'!E358</f>
        <v>ca</v>
      </c>
      <c r="F35" s="60"/>
      <c r="G35" s="60"/>
      <c r="H35" s="60"/>
      <c r="I35" s="60">
        <v>0.11</v>
      </c>
      <c r="J35" s="60"/>
      <c r="K35" s="60"/>
      <c r="L35" s="60">
        <f>ROUND(F22*I35,4)</f>
        <v>17.6737</v>
      </c>
    </row>
    <row r="36" spans="1:12" x14ac:dyDescent="0.25">
      <c r="A36" s="168"/>
      <c r="B36" s="144" t="str">
        <f>'Máy thi công'!B232</f>
        <v>M9571</v>
      </c>
      <c r="C36" s="34">
        <v>750</v>
      </c>
      <c r="D36" s="144" t="str">
        <f>" - " &amp; 'Máy thi công'!D232</f>
        <v xml:space="preserve"> - Máy đầm bê tông, dầm dùi - công suất: 1,5 kW</v>
      </c>
      <c r="E36" s="168" t="str">
        <f>'Máy thi công'!E232</f>
        <v>ca</v>
      </c>
      <c r="F36" s="60"/>
      <c r="G36" s="60"/>
      <c r="H36" s="60"/>
      <c r="I36" s="60">
        <v>0.18</v>
      </c>
      <c r="J36" s="60"/>
      <c r="K36" s="60"/>
      <c r="L36" s="60">
        <f>ROUND(F22*I36,4)</f>
        <v>28.9206</v>
      </c>
    </row>
    <row r="37" spans="1:12" x14ac:dyDescent="0.25">
      <c r="A37" s="168"/>
      <c r="B37" s="144" t="str">
        <f>'Máy thi công'!B306</f>
        <v>M9555</v>
      </c>
      <c r="C37" s="34">
        <v>744</v>
      </c>
      <c r="D37" s="144" t="str">
        <f>" - " &amp; 'Máy thi công'!D306</f>
        <v xml:space="preserve"> - Máy trộn bê tông - dung tích: 250 lít</v>
      </c>
      <c r="E37" s="168" t="str">
        <f>'Máy thi công'!E306</f>
        <v>ca</v>
      </c>
      <c r="F37" s="60"/>
      <c r="G37" s="60"/>
      <c r="H37" s="60"/>
      <c r="I37" s="60">
        <v>9.5000000000000001E-2</v>
      </c>
      <c r="J37" s="60"/>
      <c r="K37" s="60"/>
      <c r="L37" s="60">
        <f>ROUND(F22*I37,4)</f>
        <v>15.2637</v>
      </c>
    </row>
    <row r="38" spans="1:12" x14ac:dyDescent="0.25">
      <c r="A38" s="65">
        <f>'Công trình'!A9</f>
        <v>3</v>
      </c>
      <c r="B38" s="14" t="str">
        <f>'Công trình'!B9</f>
        <v>AF.11333</v>
      </c>
      <c r="C38" s="94"/>
      <c r="D38" s="14" t="str">
        <f>'Công trình'!C9</f>
        <v>Bê tông bịt đáy đá 4x6, vữa BT mác 200</v>
      </c>
      <c r="E38" s="46" t="str">
        <f>'Công trình'!D9</f>
        <v>m3</v>
      </c>
      <c r="F38" s="106">
        <f>'Công trình'!K9</f>
        <v>260</v>
      </c>
      <c r="G38" s="126"/>
      <c r="H38" s="126"/>
      <c r="I38" s="126"/>
      <c r="J38" s="126"/>
      <c r="K38" s="126"/>
      <c r="L38" s="126"/>
    </row>
    <row r="39" spans="1:12" x14ac:dyDescent="0.25">
      <c r="A39" s="56"/>
      <c r="B39" s="23"/>
      <c r="C39" s="88"/>
      <c r="D39" s="23" t="s">
        <v>479</v>
      </c>
      <c r="E39" s="56"/>
      <c r="F39" s="118"/>
      <c r="G39" s="118"/>
      <c r="H39" s="118"/>
      <c r="I39" s="118"/>
      <c r="J39" s="118"/>
      <c r="K39" s="118"/>
      <c r="L39" s="118"/>
    </row>
    <row r="40" spans="1:12" x14ac:dyDescent="0.25">
      <c r="A40" s="168"/>
      <c r="B40" s="144" t="str">
        <f>'Vật liệu'!B721</f>
        <v>V00761</v>
      </c>
      <c r="C40" s="34">
        <v>397</v>
      </c>
      <c r="D40" s="144" t="str">
        <f>" - " &amp; 'Vật liệu'!D721</f>
        <v xml:space="preserve"> - Xi măng PC40</v>
      </c>
      <c r="E40" s="168" t="str">
        <f>'Vật liệu'!E721</f>
        <v>kg</v>
      </c>
      <c r="F40" s="60"/>
      <c r="G40" s="60">
        <v>257.5</v>
      </c>
      <c r="H40" s="60"/>
      <c r="I40" s="60"/>
      <c r="J40" s="60">
        <f>ROUND(F38*G40,4)</f>
        <v>66950</v>
      </c>
      <c r="K40" s="60"/>
      <c r="L40" s="60"/>
    </row>
    <row r="41" spans="1:12" x14ac:dyDescent="0.25">
      <c r="A41" s="168"/>
      <c r="B41" s="144" t="str">
        <f>'Vật liệu'!B54</f>
        <v>V00112</v>
      </c>
      <c r="C41" s="34">
        <v>125</v>
      </c>
      <c r="D41" s="144" t="str">
        <f>" - " &amp; 'Vật liệu'!D54</f>
        <v xml:space="preserve"> - Cát vàng</v>
      </c>
      <c r="E41" s="168" t="str">
        <f>'Vật liệu'!E54</f>
        <v>m3</v>
      </c>
      <c r="F41" s="60"/>
      <c r="G41" s="60">
        <v>0.51400000000000001</v>
      </c>
      <c r="H41" s="60"/>
      <c r="I41" s="60"/>
      <c r="J41" s="60">
        <f>ROUND(F38*G41,4)</f>
        <v>133.63999999999999</v>
      </c>
      <c r="K41" s="60"/>
      <c r="L41" s="60"/>
    </row>
    <row r="42" spans="1:12" x14ac:dyDescent="0.25">
      <c r="A42" s="168"/>
      <c r="B42" s="144" t="str">
        <f>'Vật liệu'!B172</f>
        <v>V05209</v>
      </c>
      <c r="C42" s="34">
        <v>419</v>
      </c>
      <c r="D42" s="144" t="str">
        <f>" - " &amp; 'Vật liệu'!D172</f>
        <v xml:space="preserve"> - Đá 4x6</v>
      </c>
      <c r="E42" s="168" t="str">
        <f>'Vật liệu'!E172</f>
        <v>m3</v>
      </c>
      <c r="F42" s="60"/>
      <c r="G42" s="60">
        <v>0.92190000000000005</v>
      </c>
      <c r="H42" s="60"/>
      <c r="I42" s="60"/>
      <c r="J42" s="60">
        <f>ROUND(F38*G42,4)</f>
        <v>239.69399999999999</v>
      </c>
      <c r="K42" s="60"/>
      <c r="L42" s="60"/>
    </row>
    <row r="43" spans="1:12" x14ac:dyDescent="0.25">
      <c r="A43" s="168"/>
      <c r="B43" s="144" t="str">
        <f>'Vật liệu'!B353</f>
        <v>V00494</v>
      </c>
      <c r="C43" s="34">
        <v>148</v>
      </c>
      <c r="D43" s="144" t="str">
        <f>" - " &amp; 'Vật liệu'!D353</f>
        <v xml:space="preserve"> - Nước</v>
      </c>
      <c r="E43" s="168" t="str">
        <f>'Vật liệu'!E353</f>
        <v>lít</v>
      </c>
      <c r="F43" s="60"/>
      <c r="G43" s="60">
        <v>169.95</v>
      </c>
      <c r="H43" s="60"/>
      <c r="I43" s="60"/>
      <c r="J43" s="60">
        <f>ROUND(F38*G43,4)</f>
        <v>44187</v>
      </c>
      <c r="K43" s="60"/>
      <c r="L43" s="60"/>
    </row>
    <row r="44" spans="1:12" x14ac:dyDescent="0.25">
      <c r="A44" s="168"/>
      <c r="B44" s="144" t="str">
        <f>'Vật liệu'!B766</f>
        <v>V00750</v>
      </c>
      <c r="C44" s="34">
        <v>383</v>
      </c>
      <c r="D44" s="144" t="str">
        <f>" - " &amp; 'Vật liệu'!D766</f>
        <v xml:space="preserve"> - Vật liệu khác</v>
      </c>
      <c r="E44" s="168" t="str">
        <f>'Vật liệu'!E766</f>
        <v>%</v>
      </c>
      <c r="F44" s="60"/>
      <c r="G44" s="60">
        <v>1</v>
      </c>
      <c r="H44" s="60"/>
      <c r="I44" s="60"/>
      <c r="J44" s="60"/>
      <c r="K44" s="60"/>
      <c r="L44" s="60"/>
    </row>
    <row r="45" spans="1:12" x14ac:dyDescent="0.25">
      <c r="A45" s="56"/>
      <c r="B45" s="23"/>
      <c r="C45" s="88"/>
      <c r="D45" s="23" t="s">
        <v>202</v>
      </c>
      <c r="E45" s="56"/>
      <c r="F45" s="118"/>
      <c r="G45" s="118"/>
      <c r="H45" s="118"/>
      <c r="I45" s="118"/>
      <c r="J45" s="118"/>
      <c r="K45" s="118"/>
      <c r="L45" s="118"/>
    </row>
    <row r="46" spans="1:12" x14ac:dyDescent="0.25">
      <c r="A46" s="168"/>
      <c r="B46" s="144" t="str">
        <f>'Nhân công'!B6</f>
        <v>N0006</v>
      </c>
      <c r="C46" s="34">
        <v>545</v>
      </c>
      <c r="D46" s="144" t="s">
        <v>256</v>
      </c>
      <c r="E46" s="168" t="str">
        <f>'Nhân công'!G6</f>
        <v>công</v>
      </c>
      <c r="F46" s="60"/>
      <c r="G46" s="60"/>
      <c r="H46" s="60">
        <v>1.58</v>
      </c>
      <c r="I46" s="60"/>
      <c r="J46" s="60"/>
      <c r="K46" s="60">
        <f>ROUND(F38*H46,4)</f>
        <v>410.8</v>
      </c>
      <c r="L46" s="60"/>
    </row>
    <row r="47" spans="1:12" x14ac:dyDescent="0.25">
      <c r="A47" s="56"/>
      <c r="B47" s="23"/>
      <c r="C47" s="88"/>
      <c r="D47" s="23" t="s">
        <v>378</v>
      </c>
      <c r="E47" s="56"/>
      <c r="F47" s="118"/>
      <c r="G47" s="118"/>
      <c r="H47" s="118"/>
      <c r="I47" s="118"/>
      <c r="J47" s="118"/>
      <c r="K47" s="118"/>
      <c r="L47" s="118"/>
    </row>
    <row r="48" spans="1:12" x14ac:dyDescent="0.25">
      <c r="A48" s="168"/>
      <c r="B48" s="144" t="str">
        <f>'Máy thi công'!B226</f>
        <v>M112.1101</v>
      </c>
      <c r="C48" s="34">
        <v>699</v>
      </c>
      <c r="D48" s="144" t="str">
        <f>" - " &amp; 'Máy thi công'!D226</f>
        <v xml:space="preserve"> - Máy đầm bê tông, đầm bàn - công suất: 1,0 kW</v>
      </c>
      <c r="E48" s="168" t="str">
        <f>'Máy thi công'!E226</f>
        <v>ca</v>
      </c>
      <c r="F48" s="60"/>
      <c r="G48" s="60"/>
      <c r="H48" s="60"/>
      <c r="I48" s="60">
        <v>8.8999999999999996E-2</v>
      </c>
      <c r="J48" s="60"/>
      <c r="K48" s="60"/>
      <c r="L48" s="60">
        <f>ROUND(F38*I48,4)</f>
        <v>23.14</v>
      </c>
    </row>
    <row r="49" spans="1:12" x14ac:dyDescent="0.25">
      <c r="A49" s="168"/>
      <c r="B49" s="144" t="str">
        <f>'Máy thi công'!B306</f>
        <v>M9555</v>
      </c>
      <c r="C49" s="34">
        <v>744</v>
      </c>
      <c r="D49" s="144" t="str">
        <f>" - " &amp; 'Máy thi công'!D306</f>
        <v xml:space="preserve"> - Máy trộn bê tông - dung tích: 250 lít</v>
      </c>
      <c r="E49" s="168" t="str">
        <f>'Máy thi công'!E306</f>
        <v>ca</v>
      </c>
      <c r="F49" s="60"/>
      <c r="G49" s="60"/>
      <c r="H49" s="60"/>
      <c r="I49" s="60">
        <v>9.5000000000000001E-2</v>
      </c>
      <c r="J49" s="60"/>
      <c r="K49" s="60"/>
      <c r="L49" s="60">
        <f>ROUND(F38*I49,4)</f>
        <v>24.7</v>
      </c>
    </row>
    <row r="50" spans="1:12" ht="28.5" x14ac:dyDescent="0.25">
      <c r="A50" s="65">
        <f>'Công trình'!A10</f>
        <v>4</v>
      </c>
      <c r="B50" s="14" t="str">
        <f>'Công trình'!B10</f>
        <v>AF.11121</v>
      </c>
      <c r="C50" s="94"/>
      <c r="D50" s="14" t="str">
        <f>'Công trình'!C10</f>
        <v>Bê tông lót móng rộng &gt;250cm đá 4x6, vữa BT mác 100</v>
      </c>
      <c r="E50" s="46" t="str">
        <f>'Công trình'!D10</f>
        <v>m3</v>
      </c>
      <c r="F50" s="106">
        <f>'Công trình'!K10</f>
        <v>54.6</v>
      </c>
      <c r="G50" s="126"/>
      <c r="H50" s="126"/>
      <c r="I50" s="126"/>
      <c r="J50" s="126"/>
      <c r="K50" s="126"/>
      <c r="L50" s="126"/>
    </row>
    <row r="51" spans="1:12" x14ac:dyDescent="0.25">
      <c r="A51" s="56"/>
      <c r="B51" s="23"/>
      <c r="C51" s="88"/>
      <c r="D51" s="23" t="s">
        <v>479</v>
      </c>
      <c r="E51" s="56"/>
      <c r="F51" s="118"/>
      <c r="G51" s="118"/>
      <c r="H51" s="118"/>
      <c r="I51" s="118"/>
      <c r="J51" s="118"/>
      <c r="K51" s="118"/>
      <c r="L51" s="118"/>
    </row>
    <row r="52" spans="1:12" x14ac:dyDescent="0.25">
      <c r="A52" s="168"/>
      <c r="B52" s="144" t="str">
        <f>'Vật liệu'!B716</f>
        <v>V00759</v>
      </c>
      <c r="C52" s="34">
        <v>396</v>
      </c>
      <c r="D52" s="144" t="str">
        <f>" - " &amp; 'Vật liệu'!D716</f>
        <v xml:space="preserve"> - Xi măng PC30</v>
      </c>
      <c r="E52" s="168" t="str">
        <f>'Vật liệu'!E716</f>
        <v>kg</v>
      </c>
      <c r="F52" s="60"/>
      <c r="G52" s="60">
        <v>200.85</v>
      </c>
      <c r="H52" s="60"/>
      <c r="I52" s="60"/>
      <c r="J52" s="60">
        <f>ROUND(F50*G52,4)</f>
        <v>10966.41</v>
      </c>
      <c r="K52" s="60"/>
      <c r="L52" s="60"/>
    </row>
    <row r="53" spans="1:12" x14ac:dyDescent="0.25">
      <c r="A53" s="168"/>
      <c r="B53" s="144" t="str">
        <f>'Vật liệu'!B54</f>
        <v>V00112</v>
      </c>
      <c r="C53" s="34">
        <v>125</v>
      </c>
      <c r="D53" s="144" t="str">
        <f>" - " &amp; 'Vật liệu'!D54</f>
        <v xml:space="preserve"> - Cát vàng</v>
      </c>
      <c r="E53" s="168" t="str">
        <f>'Vật liệu'!E54</f>
        <v>m3</v>
      </c>
      <c r="F53" s="60"/>
      <c r="G53" s="60">
        <v>0.53149999999999997</v>
      </c>
      <c r="H53" s="60"/>
      <c r="I53" s="60"/>
      <c r="J53" s="60">
        <f>ROUND(F50*G53,4)</f>
        <v>29.0199</v>
      </c>
      <c r="K53" s="60"/>
      <c r="L53" s="60"/>
    </row>
    <row r="54" spans="1:12" x14ac:dyDescent="0.25">
      <c r="A54" s="168"/>
      <c r="B54" s="144" t="str">
        <f>'Vật liệu'!B172</f>
        <v>V05209</v>
      </c>
      <c r="C54" s="34">
        <v>419</v>
      </c>
      <c r="D54" s="144" t="str">
        <f>" - " &amp; 'Vật liệu'!D172</f>
        <v xml:space="preserve"> - Đá 4x6</v>
      </c>
      <c r="E54" s="168" t="str">
        <f>'Vật liệu'!E172</f>
        <v>m3</v>
      </c>
      <c r="F54" s="60"/>
      <c r="G54" s="60">
        <v>0.93630000000000002</v>
      </c>
      <c r="H54" s="60"/>
      <c r="I54" s="60"/>
      <c r="J54" s="60">
        <f>ROUND(F50*G54,4)</f>
        <v>51.122</v>
      </c>
      <c r="K54" s="60"/>
      <c r="L54" s="60"/>
    </row>
    <row r="55" spans="1:12" x14ac:dyDescent="0.25">
      <c r="A55" s="168"/>
      <c r="B55" s="144" t="str">
        <f>'Vật liệu'!B353</f>
        <v>V00494</v>
      </c>
      <c r="C55" s="34">
        <v>148</v>
      </c>
      <c r="D55" s="144" t="str">
        <f>" - " &amp; 'Vật liệu'!D353</f>
        <v xml:space="preserve"> - Nước</v>
      </c>
      <c r="E55" s="168" t="str">
        <f>'Vật liệu'!E353</f>
        <v>lít</v>
      </c>
      <c r="F55" s="60"/>
      <c r="G55" s="60">
        <v>169.95</v>
      </c>
      <c r="H55" s="60"/>
      <c r="I55" s="60"/>
      <c r="J55" s="60">
        <f>ROUND(F50*G55,4)</f>
        <v>9279.27</v>
      </c>
      <c r="K55" s="60"/>
      <c r="L55" s="60"/>
    </row>
    <row r="56" spans="1:12" x14ac:dyDescent="0.25">
      <c r="A56" s="56"/>
      <c r="B56" s="23"/>
      <c r="C56" s="88"/>
      <c r="D56" s="23" t="s">
        <v>202</v>
      </c>
      <c r="E56" s="56"/>
      <c r="F56" s="118"/>
      <c r="G56" s="118"/>
      <c r="H56" s="118"/>
      <c r="I56" s="118"/>
      <c r="J56" s="118"/>
      <c r="K56" s="118"/>
      <c r="L56" s="118"/>
    </row>
    <row r="57" spans="1:12" x14ac:dyDescent="0.25">
      <c r="A57" s="168"/>
      <c r="B57" s="144" t="str">
        <f>'Nhân công'!B6</f>
        <v>N0006</v>
      </c>
      <c r="C57" s="34">
        <v>545</v>
      </c>
      <c r="D57" s="144" t="s">
        <v>256</v>
      </c>
      <c r="E57" s="168" t="str">
        <f>'Nhân công'!G6</f>
        <v>công</v>
      </c>
      <c r="F57" s="60"/>
      <c r="G57" s="60"/>
      <c r="H57" s="60">
        <v>1.18</v>
      </c>
      <c r="I57" s="60"/>
      <c r="J57" s="60"/>
      <c r="K57" s="60">
        <f>ROUND(F50*H57,4)</f>
        <v>64.427999999999997</v>
      </c>
      <c r="L57" s="60"/>
    </row>
    <row r="58" spans="1:12" x14ac:dyDescent="0.25">
      <c r="A58" s="56"/>
      <c r="B58" s="23"/>
      <c r="C58" s="88"/>
      <c r="D58" s="23" t="s">
        <v>378</v>
      </c>
      <c r="E58" s="56"/>
      <c r="F58" s="118"/>
      <c r="G58" s="118"/>
      <c r="H58" s="118"/>
      <c r="I58" s="118"/>
      <c r="J58" s="118"/>
      <c r="K58" s="118"/>
      <c r="L58" s="118"/>
    </row>
    <row r="59" spans="1:12" x14ac:dyDescent="0.25">
      <c r="A59" s="168"/>
      <c r="B59" s="144" t="str">
        <f>'Máy thi công'!B226</f>
        <v>M112.1101</v>
      </c>
      <c r="C59" s="34">
        <v>699</v>
      </c>
      <c r="D59" s="144" t="str">
        <f>" - " &amp; 'Máy thi công'!D226</f>
        <v xml:space="preserve"> - Máy đầm bê tông, đầm bàn - công suất: 1,0 kW</v>
      </c>
      <c r="E59" s="168" t="str">
        <f>'Máy thi công'!E226</f>
        <v>ca</v>
      </c>
      <c r="F59" s="60"/>
      <c r="G59" s="60"/>
      <c r="H59" s="60"/>
      <c r="I59" s="60">
        <v>8.8999999999999996E-2</v>
      </c>
      <c r="J59" s="60"/>
      <c r="K59" s="60"/>
      <c r="L59" s="60">
        <f>ROUND(F50*I59,4)</f>
        <v>4.8593999999999999</v>
      </c>
    </row>
    <row r="60" spans="1:12" x14ac:dyDescent="0.25">
      <c r="A60" s="168"/>
      <c r="B60" s="144" t="str">
        <f>'Máy thi công'!B306</f>
        <v>M9555</v>
      </c>
      <c r="C60" s="34">
        <v>744</v>
      </c>
      <c r="D60" s="144" t="str">
        <f>" - " &amp; 'Máy thi công'!D306</f>
        <v xml:space="preserve"> - Máy trộn bê tông - dung tích: 250 lít</v>
      </c>
      <c r="E60" s="168" t="str">
        <f>'Máy thi công'!E306</f>
        <v>ca</v>
      </c>
      <c r="F60" s="60"/>
      <c r="G60" s="60"/>
      <c r="H60" s="60"/>
      <c r="I60" s="60">
        <v>9.5000000000000001E-2</v>
      </c>
      <c r="J60" s="60"/>
      <c r="K60" s="60"/>
      <c r="L60" s="60">
        <f>ROUND(F50*I60,4)</f>
        <v>5.1870000000000003</v>
      </c>
    </row>
    <row r="61" spans="1:12" ht="28.5" x14ac:dyDescent="0.25">
      <c r="A61" s="65">
        <f>'Công trình'!A11</f>
        <v>5</v>
      </c>
      <c r="B61" s="14" t="str">
        <f>'Công trình'!B11</f>
        <v>AF.61120</v>
      </c>
      <c r="C61" s="94"/>
      <c r="D61" s="14" t="str">
        <f>'Công trình'!C11</f>
        <v>Sản xuất, lắp dựng cốt thép móng đường kính &lt;=18mm</v>
      </c>
      <c r="E61" s="46" t="str">
        <f>'Công trình'!D11</f>
        <v>tấn</v>
      </c>
      <c r="F61" s="106">
        <f>'Công trình'!K11</f>
        <v>9.0458999999999996</v>
      </c>
      <c r="G61" s="126"/>
      <c r="H61" s="126"/>
      <c r="I61" s="126"/>
      <c r="J61" s="126"/>
      <c r="K61" s="126"/>
      <c r="L61" s="126"/>
    </row>
    <row r="62" spans="1:12" x14ac:dyDescent="0.25">
      <c r="A62" s="56"/>
      <c r="B62" s="23"/>
      <c r="C62" s="88"/>
      <c r="D62" s="23" t="s">
        <v>479</v>
      </c>
      <c r="E62" s="56"/>
      <c r="F62" s="118"/>
      <c r="G62" s="118"/>
      <c r="H62" s="118"/>
      <c r="I62" s="118"/>
      <c r="J62" s="118"/>
      <c r="K62" s="118"/>
      <c r="L62" s="118"/>
    </row>
    <row r="63" spans="1:12" x14ac:dyDescent="0.25">
      <c r="A63" s="168"/>
      <c r="B63" s="144" t="str">
        <f>'Vật liệu'!B450</f>
        <v>V00515</v>
      </c>
      <c r="C63" s="34">
        <v>154</v>
      </c>
      <c r="D63" s="144" t="str">
        <f>" - " &amp; 'Vật liệu'!D450</f>
        <v xml:space="preserve"> - Que hàn</v>
      </c>
      <c r="E63" s="168" t="str">
        <f>'Vật liệu'!E450</f>
        <v>kg</v>
      </c>
      <c r="F63" s="60"/>
      <c r="G63" s="60">
        <v>4.6399999999999997</v>
      </c>
      <c r="H63" s="60"/>
      <c r="I63" s="60"/>
      <c r="J63" s="60">
        <f>ROUND(F61*G63,4)</f>
        <v>41.972999999999999</v>
      </c>
      <c r="K63" s="60"/>
      <c r="L63" s="60"/>
    </row>
    <row r="64" spans="1:12" x14ac:dyDescent="0.25">
      <c r="A64" s="168"/>
      <c r="B64" s="144" t="str">
        <f>'Vật liệu'!B221</f>
        <v>V00226</v>
      </c>
      <c r="C64" s="34">
        <v>135</v>
      </c>
      <c r="D64" s="144" t="str">
        <f>" - " &amp; 'Vật liệu'!D221</f>
        <v xml:space="preserve"> - Dây thép</v>
      </c>
      <c r="E64" s="168" t="str">
        <f>'Vật liệu'!E221</f>
        <v>kg</v>
      </c>
      <c r="F64" s="60"/>
      <c r="G64" s="60">
        <v>14.28</v>
      </c>
      <c r="H64" s="60"/>
      <c r="I64" s="60"/>
      <c r="J64" s="60">
        <f>ROUND(F61*G64,4)</f>
        <v>129.1755</v>
      </c>
      <c r="K64" s="60"/>
      <c r="L64" s="60"/>
    </row>
    <row r="65" spans="1:12" x14ac:dyDescent="0.25">
      <c r="A65" s="168"/>
      <c r="B65" s="144" t="str">
        <f>'Vật liệu'!B665</f>
        <v>V48495</v>
      </c>
      <c r="C65" s="34">
        <v>485</v>
      </c>
      <c r="D65" s="144" t="str">
        <f>" - " &amp; 'Vật liệu'!D665</f>
        <v xml:space="preserve"> - Thép tròn đường kính &lt;=18mm</v>
      </c>
      <c r="E65" s="168" t="str">
        <f>'Vật liệu'!E665</f>
        <v>kg</v>
      </c>
      <c r="F65" s="60"/>
      <c r="G65" s="60">
        <v>1020</v>
      </c>
      <c r="H65" s="60"/>
      <c r="I65" s="60"/>
      <c r="J65" s="60">
        <f>ROUND(F61*G65,4)</f>
        <v>9226.8179999999993</v>
      </c>
      <c r="K65" s="60"/>
      <c r="L65" s="60"/>
    </row>
    <row r="66" spans="1:12" x14ac:dyDescent="0.25">
      <c r="A66" s="56"/>
      <c r="B66" s="23"/>
      <c r="C66" s="88"/>
      <c r="D66" s="23" t="s">
        <v>202</v>
      </c>
      <c r="E66" s="56"/>
      <c r="F66" s="118"/>
      <c r="G66" s="118"/>
      <c r="H66" s="118"/>
      <c r="I66" s="118"/>
      <c r="J66" s="118"/>
      <c r="K66" s="118"/>
      <c r="L66" s="118"/>
    </row>
    <row r="67" spans="1:12" x14ac:dyDescent="0.25">
      <c r="A67" s="168"/>
      <c r="B67" s="144" t="str">
        <f>'Nhân công'!B45</f>
        <v>N0009</v>
      </c>
      <c r="C67" s="34">
        <v>546</v>
      </c>
      <c r="D67" s="144" t="s">
        <v>1052</v>
      </c>
      <c r="E67" s="168" t="str">
        <f>'Nhân công'!G45</f>
        <v>công</v>
      </c>
      <c r="F67" s="60"/>
      <c r="G67" s="60"/>
      <c r="H67" s="60">
        <v>8.34</v>
      </c>
      <c r="I67" s="60"/>
      <c r="J67" s="60"/>
      <c r="K67" s="60">
        <f>ROUND(F61*H67,4)</f>
        <v>75.442800000000005</v>
      </c>
      <c r="L67" s="60"/>
    </row>
    <row r="68" spans="1:12" x14ac:dyDescent="0.25">
      <c r="A68" s="56"/>
      <c r="B68" s="23"/>
      <c r="C68" s="88"/>
      <c r="D68" s="23" t="s">
        <v>378</v>
      </c>
      <c r="E68" s="56"/>
      <c r="F68" s="118"/>
      <c r="G68" s="118"/>
      <c r="H68" s="118"/>
      <c r="I68" s="118"/>
      <c r="J68" s="118"/>
      <c r="K68" s="118"/>
      <c r="L68" s="118"/>
    </row>
    <row r="69" spans="1:12" x14ac:dyDescent="0.25">
      <c r="A69" s="168"/>
      <c r="B69" s="144" t="str">
        <f>'Máy thi công'!B184</f>
        <v>M9521</v>
      </c>
      <c r="C69" s="34">
        <v>737</v>
      </c>
      <c r="D69" s="144" t="str">
        <f>" - " &amp; 'Máy thi công'!D184</f>
        <v xml:space="preserve"> - Máy cắt uốn cốt thép - công suất: 5 kW</v>
      </c>
      <c r="E69" s="168" t="str">
        <f>'Máy thi công'!E184</f>
        <v>ca</v>
      </c>
      <c r="F69" s="60"/>
      <c r="G69" s="60"/>
      <c r="H69" s="60"/>
      <c r="I69" s="60">
        <v>0.32</v>
      </c>
      <c r="J69" s="60"/>
      <c r="K69" s="60"/>
      <c r="L69" s="60">
        <f>ROUND(F61*I69,4)</f>
        <v>2.8946999999999998</v>
      </c>
    </row>
    <row r="70" spans="1:12" x14ac:dyDescent="0.25">
      <c r="A70" s="168"/>
      <c r="B70" s="144" t="str">
        <f>'Máy thi công'!B6</f>
        <v>M9438</v>
      </c>
      <c r="C70" s="34">
        <v>714</v>
      </c>
      <c r="D70" s="144" t="str">
        <f>" - " &amp; 'Máy thi công'!D6</f>
        <v xml:space="preserve"> - Biến thế hàn xoay chiều - công suất: 23 kW</v>
      </c>
      <c r="E70" s="168" t="str">
        <f>'Máy thi công'!E6</f>
        <v>ca</v>
      </c>
      <c r="F70" s="60"/>
      <c r="G70" s="60"/>
      <c r="H70" s="60"/>
      <c r="I70" s="60">
        <v>1.1200000000000001</v>
      </c>
      <c r="J70" s="60"/>
      <c r="K70" s="60"/>
      <c r="L70" s="60">
        <f>ROUND(F61*I70,4)</f>
        <v>10.131399999999999</v>
      </c>
    </row>
    <row r="71" spans="1:12" ht="28.5" x14ac:dyDescent="0.25">
      <c r="A71" s="65">
        <f>'Công trình'!A12</f>
        <v>6</v>
      </c>
      <c r="B71" s="14" t="str">
        <f>'Công trình'!B12</f>
        <v>AF.61130</v>
      </c>
      <c r="C71" s="94"/>
      <c r="D71" s="14" t="str">
        <f>'Công trình'!C12</f>
        <v>Sản xuất, lắp dựng cốt thép móng đường kính &gt;18mm</v>
      </c>
      <c r="E71" s="46" t="str">
        <f>'Công trình'!D12</f>
        <v>tấn</v>
      </c>
      <c r="F71" s="106">
        <f>'Công trình'!K12</f>
        <v>2.6252</v>
      </c>
      <c r="G71" s="126"/>
      <c r="H71" s="126"/>
      <c r="I71" s="126"/>
      <c r="J71" s="126"/>
      <c r="K71" s="126"/>
      <c r="L71" s="126"/>
    </row>
    <row r="72" spans="1:12" x14ac:dyDescent="0.25">
      <c r="A72" s="56"/>
      <c r="B72" s="23"/>
      <c r="C72" s="88"/>
      <c r="D72" s="23" t="s">
        <v>479</v>
      </c>
      <c r="E72" s="56"/>
      <c r="F72" s="118"/>
      <c r="G72" s="118"/>
      <c r="H72" s="118"/>
      <c r="I72" s="118"/>
      <c r="J72" s="118"/>
      <c r="K72" s="118"/>
      <c r="L72" s="118"/>
    </row>
    <row r="73" spans="1:12" x14ac:dyDescent="0.25">
      <c r="A73" s="168"/>
      <c r="B73" s="144" t="str">
        <f>'Vật liệu'!B450</f>
        <v>V00515</v>
      </c>
      <c r="C73" s="34">
        <v>154</v>
      </c>
      <c r="D73" s="144" t="str">
        <f>" - " &amp; 'Vật liệu'!D450</f>
        <v xml:space="preserve"> - Que hàn</v>
      </c>
      <c r="E73" s="168" t="str">
        <f>'Vật liệu'!E450</f>
        <v>kg</v>
      </c>
      <c r="F73" s="60"/>
      <c r="G73" s="60">
        <v>5.3</v>
      </c>
      <c r="H73" s="60"/>
      <c r="I73" s="60"/>
      <c r="J73" s="60">
        <f>ROUND(F71*G73,4)</f>
        <v>13.913600000000001</v>
      </c>
      <c r="K73" s="60"/>
      <c r="L73" s="60"/>
    </row>
    <row r="74" spans="1:12" x14ac:dyDescent="0.25">
      <c r="A74" s="168"/>
      <c r="B74" s="144" t="str">
        <f>'Vật liệu'!B221</f>
        <v>V00226</v>
      </c>
      <c r="C74" s="34">
        <v>135</v>
      </c>
      <c r="D74" s="144" t="str">
        <f>" - " &amp; 'Vật liệu'!D221</f>
        <v xml:space="preserve"> - Dây thép</v>
      </c>
      <c r="E74" s="168" t="str">
        <f>'Vật liệu'!E221</f>
        <v>kg</v>
      </c>
      <c r="F74" s="60"/>
      <c r="G74" s="60">
        <v>14.28</v>
      </c>
      <c r="H74" s="60"/>
      <c r="I74" s="60"/>
      <c r="J74" s="60">
        <f>ROUND(F71*G74,4)</f>
        <v>37.487900000000003</v>
      </c>
      <c r="K74" s="60"/>
      <c r="L74" s="60"/>
    </row>
    <row r="75" spans="1:12" x14ac:dyDescent="0.25">
      <c r="A75" s="168"/>
      <c r="B75" s="144" t="str">
        <f>'Vật liệu'!B689</f>
        <v>V48498</v>
      </c>
      <c r="C75" s="34">
        <v>488</v>
      </c>
      <c r="D75" s="144" t="str">
        <f>" - " &amp; 'Vật liệu'!D689</f>
        <v xml:space="preserve"> - Thép tròn đường kính &gt;18mm</v>
      </c>
      <c r="E75" s="168" t="str">
        <f>'Vật liệu'!E689</f>
        <v>kg</v>
      </c>
      <c r="F75" s="60"/>
      <c r="G75" s="60">
        <v>1020</v>
      </c>
      <c r="H75" s="60"/>
      <c r="I75" s="60"/>
      <c r="J75" s="60">
        <f>ROUND(F71*G75,4)</f>
        <v>2677.7040000000002</v>
      </c>
      <c r="K75" s="60"/>
      <c r="L75" s="60"/>
    </row>
    <row r="76" spans="1:12" x14ac:dyDescent="0.25">
      <c r="A76" s="56"/>
      <c r="B76" s="23"/>
      <c r="C76" s="88"/>
      <c r="D76" s="23" t="s">
        <v>202</v>
      </c>
      <c r="E76" s="56"/>
      <c r="F76" s="118"/>
      <c r="G76" s="118"/>
      <c r="H76" s="118"/>
      <c r="I76" s="118"/>
      <c r="J76" s="118"/>
      <c r="K76" s="118"/>
      <c r="L76" s="118"/>
    </row>
    <row r="77" spans="1:12" x14ac:dyDescent="0.25">
      <c r="A77" s="168"/>
      <c r="B77" s="144" t="str">
        <f>'Nhân công'!B45</f>
        <v>N0009</v>
      </c>
      <c r="C77" s="34">
        <v>546</v>
      </c>
      <c r="D77" s="144" t="s">
        <v>1052</v>
      </c>
      <c r="E77" s="168" t="str">
        <f>'Nhân công'!G45</f>
        <v>công</v>
      </c>
      <c r="F77" s="60"/>
      <c r="G77" s="60"/>
      <c r="H77" s="60">
        <v>6.35</v>
      </c>
      <c r="I77" s="60"/>
      <c r="J77" s="60"/>
      <c r="K77" s="60">
        <f>ROUND(F71*H77,4)</f>
        <v>16.670000000000002</v>
      </c>
      <c r="L77" s="60"/>
    </row>
    <row r="78" spans="1:12" x14ac:dyDescent="0.25">
      <c r="A78" s="56"/>
      <c r="B78" s="23"/>
      <c r="C78" s="88"/>
      <c r="D78" s="23" t="s">
        <v>378</v>
      </c>
      <c r="E78" s="56"/>
      <c r="F78" s="118"/>
      <c r="G78" s="118"/>
      <c r="H78" s="118"/>
      <c r="I78" s="118"/>
      <c r="J78" s="118"/>
      <c r="K78" s="118"/>
      <c r="L78" s="118"/>
    </row>
    <row r="79" spans="1:12" x14ac:dyDescent="0.25">
      <c r="A79" s="168"/>
      <c r="B79" s="144" t="str">
        <f>'Máy thi công'!B184</f>
        <v>M9521</v>
      </c>
      <c r="C79" s="34">
        <v>737</v>
      </c>
      <c r="D79" s="144" t="str">
        <f>" - " &amp; 'Máy thi công'!D184</f>
        <v xml:space="preserve"> - Máy cắt uốn cốt thép - công suất: 5 kW</v>
      </c>
      <c r="E79" s="168" t="str">
        <f>'Máy thi công'!E184</f>
        <v>ca</v>
      </c>
      <c r="F79" s="60"/>
      <c r="G79" s="60"/>
      <c r="H79" s="60"/>
      <c r="I79" s="60">
        <v>0.16</v>
      </c>
      <c r="J79" s="60"/>
      <c r="K79" s="60"/>
      <c r="L79" s="60">
        <f>ROUND(F71*I79,4)</f>
        <v>0.42</v>
      </c>
    </row>
    <row r="80" spans="1:12" x14ac:dyDescent="0.25">
      <c r="A80" s="168"/>
      <c r="B80" s="144" t="str">
        <f>'Máy thi công'!B6</f>
        <v>M9438</v>
      </c>
      <c r="C80" s="34">
        <v>714</v>
      </c>
      <c r="D80" s="144" t="str">
        <f>" - " &amp; 'Máy thi công'!D6</f>
        <v xml:space="preserve"> - Biến thế hàn xoay chiều - công suất: 23 kW</v>
      </c>
      <c r="E80" s="168" t="str">
        <f>'Máy thi công'!E6</f>
        <v>ca</v>
      </c>
      <c r="F80" s="60"/>
      <c r="G80" s="60"/>
      <c r="H80" s="60"/>
      <c r="I80" s="60">
        <v>1.27</v>
      </c>
      <c r="J80" s="60"/>
      <c r="K80" s="60"/>
      <c r="L80" s="60">
        <f>ROUND(F71*I80,4)</f>
        <v>3.3340000000000001</v>
      </c>
    </row>
    <row r="81" spans="1:12" ht="28.5" x14ac:dyDescent="0.25">
      <c r="A81" s="65">
        <f>'Công trình'!A13</f>
        <v>7</v>
      </c>
      <c r="B81" s="14" t="str">
        <f>'Công trình'!B13</f>
        <v>AF.61321</v>
      </c>
      <c r="C81" s="94"/>
      <c r="D81" s="14" t="str">
        <f>'Công trình'!C13</f>
        <v>Sản xuất, lắp dựng cốt thép tường đường kính &lt;=18mm, chiều cao &lt;=4m</v>
      </c>
      <c r="E81" s="46" t="str">
        <f>'Công trình'!D13</f>
        <v>tấn</v>
      </c>
      <c r="F81" s="106">
        <f>'Công trình'!K13</f>
        <v>7.6254</v>
      </c>
      <c r="G81" s="126"/>
      <c r="H81" s="126"/>
      <c r="I81" s="126"/>
      <c r="J81" s="126"/>
      <c r="K81" s="126"/>
      <c r="L81" s="126"/>
    </row>
    <row r="82" spans="1:12" x14ac:dyDescent="0.25">
      <c r="A82" s="56"/>
      <c r="B82" s="23"/>
      <c r="C82" s="88"/>
      <c r="D82" s="23" t="s">
        <v>479</v>
      </c>
      <c r="E82" s="56"/>
      <c r="F82" s="118"/>
      <c r="G82" s="118"/>
      <c r="H82" s="118"/>
      <c r="I82" s="118"/>
      <c r="J82" s="118"/>
      <c r="K82" s="118"/>
      <c r="L82" s="118"/>
    </row>
    <row r="83" spans="1:12" x14ac:dyDescent="0.25">
      <c r="A83" s="168"/>
      <c r="B83" s="144" t="str">
        <f>'Vật liệu'!B450</f>
        <v>V00515</v>
      </c>
      <c r="C83" s="34">
        <v>154</v>
      </c>
      <c r="D83" s="144" t="str">
        <f>" - " &amp; 'Vật liệu'!D450</f>
        <v xml:space="preserve"> - Que hàn</v>
      </c>
      <c r="E83" s="168" t="str">
        <f>'Vật liệu'!E450</f>
        <v>kg</v>
      </c>
      <c r="F83" s="60"/>
      <c r="G83" s="60">
        <v>4.6399999999999997</v>
      </c>
      <c r="H83" s="60"/>
      <c r="I83" s="60"/>
      <c r="J83" s="60">
        <f>ROUND(F81*G83,4)</f>
        <v>35.381900000000002</v>
      </c>
      <c r="K83" s="60"/>
      <c r="L83" s="60"/>
    </row>
    <row r="84" spans="1:12" x14ac:dyDescent="0.25">
      <c r="A84" s="168"/>
      <c r="B84" s="144" t="str">
        <f>'Vật liệu'!B221</f>
        <v>V00226</v>
      </c>
      <c r="C84" s="34">
        <v>135</v>
      </c>
      <c r="D84" s="144" t="str">
        <f>" - " &amp; 'Vật liệu'!D221</f>
        <v xml:space="preserve"> - Dây thép</v>
      </c>
      <c r="E84" s="168" t="str">
        <f>'Vật liệu'!E221</f>
        <v>kg</v>
      </c>
      <c r="F84" s="60"/>
      <c r="G84" s="60">
        <v>14.28</v>
      </c>
      <c r="H84" s="60"/>
      <c r="I84" s="60"/>
      <c r="J84" s="60">
        <f>ROUND(F81*G84,4)</f>
        <v>108.8907</v>
      </c>
      <c r="K84" s="60"/>
      <c r="L84" s="60"/>
    </row>
    <row r="85" spans="1:12" x14ac:dyDescent="0.25">
      <c r="A85" s="168"/>
      <c r="B85" s="144" t="str">
        <f>'Vật liệu'!B665</f>
        <v>V48495</v>
      </c>
      <c r="C85" s="34">
        <v>485</v>
      </c>
      <c r="D85" s="144" t="str">
        <f>" - " &amp; 'Vật liệu'!D665</f>
        <v xml:space="preserve"> - Thép tròn đường kính &lt;=18mm</v>
      </c>
      <c r="E85" s="168" t="str">
        <f>'Vật liệu'!E665</f>
        <v>kg</v>
      </c>
      <c r="F85" s="60"/>
      <c r="G85" s="60">
        <v>1020</v>
      </c>
      <c r="H85" s="60"/>
      <c r="I85" s="60"/>
      <c r="J85" s="60">
        <f>ROUND(F81*G85,4)</f>
        <v>7777.9080000000004</v>
      </c>
      <c r="K85" s="60"/>
      <c r="L85" s="60"/>
    </row>
    <row r="86" spans="1:12" x14ac:dyDescent="0.25">
      <c r="A86" s="56"/>
      <c r="B86" s="23"/>
      <c r="C86" s="88"/>
      <c r="D86" s="23" t="s">
        <v>202</v>
      </c>
      <c r="E86" s="56"/>
      <c r="F86" s="118"/>
      <c r="G86" s="118"/>
      <c r="H86" s="118"/>
      <c r="I86" s="118"/>
      <c r="J86" s="118"/>
      <c r="K86" s="118"/>
      <c r="L86" s="118"/>
    </row>
    <row r="87" spans="1:12" x14ac:dyDescent="0.25">
      <c r="A87" s="168"/>
      <c r="B87" s="144" t="str">
        <f>'Nhân công'!B45</f>
        <v>N0009</v>
      </c>
      <c r="C87" s="34">
        <v>546</v>
      </c>
      <c r="D87" s="144" t="s">
        <v>1052</v>
      </c>
      <c r="E87" s="168" t="str">
        <f>'Nhân công'!G45</f>
        <v>công</v>
      </c>
      <c r="F87" s="60"/>
      <c r="G87" s="60"/>
      <c r="H87" s="60">
        <v>11.17</v>
      </c>
      <c r="I87" s="60"/>
      <c r="J87" s="60"/>
      <c r="K87" s="60">
        <f>ROUND(F81*H87,4)</f>
        <v>85.175700000000006</v>
      </c>
      <c r="L87" s="60"/>
    </row>
    <row r="88" spans="1:12" x14ac:dyDescent="0.25">
      <c r="A88" s="56"/>
      <c r="B88" s="23"/>
      <c r="C88" s="88"/>
      <c r="D88" s="23" t="s">
        <v>378</v>
      </c>
      <c r="E88" s="56"/>
      <c r="F88" s="118"/>
      <c r="G88" s="118"/>
      <c r="H88" s="118"/>
      <c r="I88" s="118"/>
      <c r="J88" s="118"/>
      <c r="K88" s="118"/>
      <c r="L88" s="118"/>
    </row>
    <row r="89" spans="1:12" x14ac:dyDescent="0.25">
      <c r="A89" s="168"/>
      <c r="B89" s="144" t="str">
        <f>'Máy thi công'!B184</f>
        <v>M9521</v>
      </c>
      <c r="C89" s="34">
        <v>737</v>
      </c>
      <c r="D89" s="144" t="str">
        <f>" - " &amp; 'Máy thi công'!D184</f>
        <v xml:space="preserve"> - Máy cắt uốn cốt thép - công suất: 5 kW</v>
      </c>
      <c r="E89" s="168" t="str">
        <f>'Máy thi công'!E184</f>
        <v>ca</v>
      </c>
      <c r="F89" s="60"/>
      <c r="G89" s="60"/>
      <c r="H89" s="60"/>
      <c r="I89" s="60">
        <v>0.32</v>
      </c>
      <c r="J89" s="60"/>
      <c r="K89" s="60"/>
      <c r="L89" s="60">
        <f>ROUND(F81*I89,4)</f>
        <v>2.4401000000000002</v>
      </c>
    </row>
    <row r="90" spans="1:12" x14ac:dyDescent="0.25">
      <c r="A90" s="168"/>
      <c r="B90" s="144" t="str">
        <f>'Máy thi công'!B6</f>
        <v>M9438</v>
      </c>
      <c r="C90" s="34">
        <v>714</v>
      </c>
      <c r="D90" s="144" t="str">
        <f>" - " &amp; 'Máy thi công'!D6</f>
        <v xml:space="preserve"> - Biến thế hàn xoay chiều - công suất: 23 kW</v>
      </c>
      <c r="E90" s="168" t="str">
        <f>'Máy thi công'!E6</f>
        <v>ca</v>
      </c>
      <c r="F90" s="60"/>
      <c r="G90" s="60"/>
      <c r="H90" s="60"/>
      <c r="I90" s="60">
        <v>1.1200000000000001</v>
      </c>
      <c r="J90" s="60"/>
      <c r="K90" s="60"/>
      <c r="L90" s="60">
        <f>ROUND(F81*I90,4)</f>
        <v>8.5404</v>
      </c>
    </row>
    <row r="91" spans="1:12" ht="28.5" x14ac:dyDescent="0.25">
      <c r="A91" s="65">
        <f>'Công trình'!A14</f>
        <v>8</v>
      </c>
      <c r="B91" s="14" t="str">
        <f>'Công trình'!B14</f>
        <v>AF.61331</v>
      </c>
      <c r="C91" s="94"/>
      <c r="D91" s="14" t="str">
        <f>'Công trình'!C14</f>
        <v>Sản xuất, lắp dựng cốt thép tường đường kính &gt;18mm, chiều cao &lt;=4m</v>
      </c>
      <c r="E91" s="46" t="str">
        <f>'Công trình'!D14</f>
        <v>tấn</v>
      </c>
      <c r="F91" s="106">
        <f>'Công trình'!K14</f>
        <v>2.952</v>
      </c>
      <c r="G91" s="126"/>
      <c r="H91" s="126"/>
      <c r="I91" s="126"/>
      <c r="J91" s="126"/>
      <c r="K91" s="126"/>
      <c r="L91" s="126"/>
    </row>
    <row r="92" spans="1:12" x14ac:dyDescent="0.25">
      <c r="A92" s="56"/>
      <c r="B92" s="23"/>
      <c r="C92" s="88"/>
      <c r="D92" s="23" t="s">
        <v>479</v>
      </c>
      <c r="E92" s="56"/>
      <c r="F92" s="118"/>
      <c r="G92" s="118"/>
      <c r="H92" s="118"/>
      <c r="I92" s="118"/>
      <c r="J92" s="118"/>
      <c r="K92" s="118"/>
      <c r="L92" s="118"/>
    </row>
    <row r="93" spans="1:12" x14ac:dyDescent="0.25">
      <c r="A93" s="168"/>
      <c r="B93" s="144" t="str">
        <f>'Vật liệu'!B450</f>
        <v>V00515</v>
      </c>
      <c r="C93" s="34">
        <v>154</v>
      </c>
      <c r="D93" s="144" t="str">
        <f>" - " &amp; 'Vật liệu'!D450</f>
        <v xml:space="preserve"> - Que hàn</v>
      </c>
      <c r="E93" s="168" t="str">
        <f>'Vật liệu'!E450</f>
        <v>kg</v>
      </c>
      <c r="F93" s="60"/>
      <c r="G93" s="60">
        <v>5.3</v>
      </c>
      <c r="H93" s="60"/>
      <c r="I93" s="60"/>
      <c r="J93" s="60">
        <f>ROUND(F91*G93,4)</f>
        <v>15.6456</v>
      </c>
      <c r="K93" s="60"/>
      <c r="L93" s="60"/>
    </row>
    <row r="94" spans="1:12" x14ac:dyDescent="0.25">
      <c r="A94" s="168"/>
      <c r="B94" s="144" t="str">
        <f>'Vật liệu'!B221</f>
        <v>V00226</v>
      </c>
      <c r="C94" s="34">
        <v>135</v>
      </c>
      <c r="D94" s="144" t="str">
        <f>" - " &amp; 'Vật liệu'!D221</f>
        <v xml:space="preserve"> - Dây thép</v>
      </c>
      <c r="E94" s="168" t="str">
        <f>'Vật liệu'!E221</f>
        <v>kg</v>
      </c>
      <c r="F94" s="60"/>
      <c r="G94" s="60">
        <v>14.28</v>
      </c>
      <c r="H94" s="60"/>
      <c r="I94" s="60"/>
      <c r="J94" s="60">
        <f>ROUND(F91*G94,4)</f>
        <v>42.154600000000002</v>
      </c>
      <c r="K94" s="60"/>
      <c r="L94" s="60"/>
    </row>
    <row r="95" spans="1:12" x14ac:dyDescent="0.25">
      <c r="A95" s="168"/>
      <c r="B95" s="144" t="str">
        <f>'Vật liệu'!B689</f>
        <v>V48498</v>
      </c>
      <c r="C95" s="34">
        <v>488</v>
      </c>
      <c r="D95" s="144" t="str">
        <f>" - " &amp; 'Vật liệu'!D689</f>
        <v xml:space="preserve"> - Thép tròn đường kính &gt;18mm</v>
      </c>
      <c r="E95" s="168" t="str">
        <f>'Vật liệu'!E689</f>
        <v>kg</v>
      </c>
      <c r="F95" s="60"/>
      <c r="G95" s="60">
        <v>1020</v>
      </c>
      <c r="H95" s="60"/>
      <c r="I95" s="60"/>
      <c r="J95" s="60">
        <f>ROUND(F91*G95,4)</f>
        <v>3011.04</v>
      </c>
      <c r="K95" s="60"/>
      <c r="L95" s="60"/>
    </row>
    <row r="96" spans="1:12" x14ac:dyDescent="0.25">
      <c r="A96" s="56"/>
      <c r="B96" s="23"/>
      <c r="C96" s="88"/>
      <c r="D96" s="23" t="s">
        <v>202</v>
      </c>
      <c r="E96" s="56"/>
      <c r="F96" s="118"/>
      <c r="G96" s="118"/>
      <c r="H96" s="118"/>
      <c r="I96" s="118"/>
      <c r="J96" s="118"/>
      <c r="K96" s="118"/>
      <c r="L96" s="118"/>
    </row>
    <row r="97" spans="1:12" x14ac:dyDescent="0.25">
      <c r="A97" s="168"/>
      <c r="B97" s="144" t="str">
        <f>'Nhân công'!B45</f>
        <v>N0009</v>
      </c>
      <c r="C97" s="34">
        <v>546</v>
      </c>
      <c r="D97" s="144" t="s">
        <v>1052</v>
      </c>
      <c r="E97" s="168" t="str">
        <f>'Nhân công'!G45</f>
        <v>công</v>
      </c>
      <c r="F97" s="60"/>
      <c r="G97" s="60"/>
      <c r="H97" s="60">
        <v>9.1</v>
      </c>
      <c r="I97" s="60"/>
      <c r="J97" s="60"/>
      <c r="K97" s="60">
        <f>ROUND(F91*H97,4)</f>
        <v>26.863199999999999</v>
      </c>
      <c r="L97" s="60"/>
    </row>
    <row r="98" spans="1:12" x14ac:dyDescent="0.25">
      <c r="A98" s="56"/>
      <c r="B98" s="23"/>
      <c r="C98" s="88"/>
      <c r="D98" s="23" t="s">
        <v>378</v>
      </c>
      <c r="E98" s="56"/>
      <c r="F98" s="118"/>
      <c r="G98" s="118"/>
      <c r="H98" s="118"/>
      <c r="I98" s="118"/>
      <c r="J98" s="118"/>
      <c r="K98" s="118"/>
      <c r="L98" s="118"/>
    </row>
    <row r="99" spans="1:12" x14ac:dyDescent="0.25">
      <c r="A99" s="168"/>
      <c r="B99" s="144" t="str">
        <f>'Máy thi công'!B184</f>
        <v>M9521</v>
      </c>
      <c r="C99" s="34">
        <v>737</v>
      </c>
      <c r="D99" s="144" t="str">
        <f>" - " &amp; 'Máy thi công'!D184</f>
        <v xml:space="preserve"> - Máy cắt uốn cốt thép - công suất: 5 kW</v>
      </c>
      <c r="E99" s="168" t="str">
        <f>'Máy thi công'!E184</f>
        <v>ca</v>
      </c>
      <c r="F99" s="60"/>
      <c r="G99" s="60"/>
      <c r="H99" s="60"/>
      <c r="I99" s="60">
        <v>0.16</v>
      </c>
      <c r="J99" s="60"/>
      <c r="K99" s="60"/>
      <c r="L99" s="60">
        <f>ROUND(F91*I99,4)</f>
        <v>0.4723</v>
      </c>
    </row>
    <row r="100" spans="1:12" x14ac:dyDescent="0.25">
      <c r="A100" s="168"/>
      <c r="B100" s="144" t="str">
        <f>'Máy thi công'!B6</f>
        <v>M9438</v>
      </c>
      <c r="C100" s="34">
        <v>714</v>
      </c>
      <c r="D100" s="144" t="str">
        <f>" - " &amp; 'Máy thi công'!D6</f>
        <v xml:space="preserve"> - Biến thế hàn xoay chiều - công suất: 23 kW</v>
      </c>
      <c r="E100" s="168" t="str">
        <f>'Máy thi công'!E6</f>
        <v>ca</v>
      </c>
      <c r="F100" s="60"/>
      <c r="G100" s="60"/>
      <c r="H100" s="60"/>
      <c r="I100" s="60">
        <v>1.27</v>
      </c>
      <c r="J100" s="60"/>
      <c r="K100" s="60"/>
      <c r="L100" s="60">
        <f>ROUND(F91*I100,4)</f>
        <v>3.7490000000000001</v>
      </c>
    </row>
    <row r="101" spans="1:12" ht="28.5" x14ac:dyDescent="0.25">
      <c r="A101" s="65">
        <f>'Công trình'!A15</f>
        <v>9</v>
      </c>
      <c r="B101" s="14" t="str">
        <f>'Công trình'!B15</f>
        <v>AF.82511</v>
      </c>
      <c r="C101" s="94"/>
      <c r="D101" s="14" t="str">
        <f>'Công trình'!C15</f>
        <v>Sản xuất, lắp dựng, tháo dỡ ván khuôn thép, ván khuôn móng</v>
      </c>
      <c r="E101" s="46" t="str">
        <f>'Công trình'!D15</f>
        <v>100m2</v>
      </c>
      <c r="F101" s="106">
        <f>'Công trình'!K15</f>
        <v>0.432</v>
      </c>
      <c r="G101" s="126"/>
      <c r="H101" s="126"/>
      <c r="I101" s="126"/>
      <c r="J101" s="126"/>
      <c r="K101" s="126"/>
      <c r="L101" s="126"/>
    </row>
    <row r="102" spans="1:12" x14ac:dyDescent="0.25">
      <c r="A102" s="56"/>
      <c r="B102" s="23"/>
      <c r="C102" s="88"/>
      <c r="D102" s="23" t="s">
        <v>479</v>
      </c>
      <c r="E102" s="56"/>
      <c r="F102" s="118"/>
      <c r="G102" s="118"/>
      <c r="H102" s="118"/>
      <c r="I102" s="118"/>
      <c r="J102" s="118"/>
      <c r="K102" s="118"/>
      <c r="L102" s="118"/>
    </row>
    <row r="103" spans="1:12" x14ac:dyDescent="0.25">
      <c r="A103" s="168"/>
      <c r="B103" s="144" t="str">
        <f>'Vật liệu'!B556</f>
        <v>V00641</v>
      </c>
      <c r="C103" s="34">
        <v>160</v>
      </c>
      <c r="D103" s="144" t="str">
        <f>" - " &amp; 'Vật liệu'!D556</f>
        <v xml:space="preserve"> - Thép hình</v>
      </c>
      <c r="E103" s="168" t="str">
        <f>'Vật liệu'!E556</f>
        <v>kg</v>
      </c>
      <c r="F103" s="60"/>
      <c r="G103" s="60">
        <v>32.020000000000003</v>
      </c>
      <c r="H103" s="60"/>
      <c r="I103" s="60"/>
      <c r="J103" s="60">
        <f>ROUND(F101*G103,4)</f>
        <v>13.832599999999999</v>
      </c>
      <c r="K103" s="60"/>
      <c r="L103" s="60"/>
    </row>
    <row r="104" spans="1:12" x14ac:dyDescent="0.25">
      <c r="A104" s="168"/>
      <c r="B104" s="144" t="str">
        <f>'Vật liệu'!B606</f>
        <v>V00671</v>
      </c>
      <c r="C104" s="34">
        <v>166</v>
      </c>
      <c r="D104" s="144" t="str">
        <f>" - " &amp; 'Vật liệu'!D606</f>
        <v xml:space="preserve"> - Thép tấm</v>
      </c>
      <c r="E104" s="168" t="str">
        <f>'Vật liệu'!E606</f>
        <v>kg</v>
      </c>
      <c r="F104" s="60"/>
      <c r="G104" s="60">
        <v>51.81</v>
      </c>
      <c r="H104" s="60"/>
      <c r="I104" s="60"/>
      <c r="J104" s="60">
        <f>ROUND(F101*G104,4)</f>
        <v>22.381900000000002</v>
      </c>
      <c r="K104" s="60"/>
      <c r="L104" s="60"/>
    </row>
    <row r="105" spans="1:12" x14ac:dyDescent="0.25">
      <c r="A105" s="168"/>
      <c r="B105" s="144" t="str">
        <f>'Vật liệu'!B766</f>
        <v>V00750</v>
      </c>
      <c r="C105" s="34">
        <v>179</v>
      </c>
      <c r="D105" s="144" t="str">
        <f>" - " &amp; 'Vật liệu'!D766</f>
        <v xml:space="preserve"> - Vật liệu khác</v>
      </c>
      <c r="E105" s="168" t="str">
        <f>'Vật liệu'!E766</f>
        <v>%</v>
      </c>
      <c r="F105" s="60"/>
      <c r="G105" s="60">
        <v>10</v>
      </c>
      <c r="H105" s="60"/>
      <c r="I105" s="60"/>
      <c r="J105" s="60"/>
      <c r="K105" s="60"/>
      <c r="L105" s="60"/>
    </row>
    <row r="106" spans="1:12" x14ac:dyDescent="0.25">
      <c r="A106" s="56"/>
      <c r="B106" s="23"/>
      <c r="C106" s="88"/>
      <c r="D106" s="23" t="s">
        <v>202</v>
      </c>
      <c r="E106" s="56"/>
      <c r="F106" s="118"/>
      <c r="G106" s="118"/>
      <c r="H106" s="118"/>
      <c r="I106" s="118"/>
      <c r="J106" s="118"/>
      <c r="K106" s="118"/>
      <c r="L106" s="118"/>
    </row>
    <row r="107" spans="1:12" x14ac:dyDescent="0.25">
      <c r="A107" s="168"/>
      <c r="B107" s="144" t="str">
        <f>'Nhân công'!B130</f>
        <v>N0011</v>
      </c>
      <c r="C107" s="34">
        <v>550</v>
      </c>
      <c r="D107" s="144" t="s">
        <v>671</v>
      </c>
      <c r="E107" s="168" t="str">
        <f>'Nhân công'!G130</f>
        <v>công</v>
      </c>
      <c r="F107" s="60"/>
      <c r="G107" s="60"/>
      <c r="H107" s="60">
        <v>12.25</v>
      </c>
      <c r="I107" s="60"/>
      <c r="J107" s="60"/>
      <c r="K107" s="60">
        <f>ROUND(F101*H107,4)</f>
        <v>5.2919999999999998</v>
      </c>
      <c r="L107" s="60"/>
    </row>
    <row r="108" spans="1:12" ht="28.5" x14ac:dyDescent="0.25">
      <c r="A108" s="65">
        <f>'Công trình'!A16</f>
        <v>10</v>
      </c>
      <c r="B108" s="14" t="str">
        <f>'Công trình'!B16</f>
        <v>AF.82111</v>
      </c>
      <c r="C108" s="94"/>
      <c r="D108" s="14" t="str">
        <f>'Công trình'!C16</f>
        <v>Sản xuất, lắp dựng tháo dỡ ván khuôn thép tường, chiều cao &lt;=16m</v>
      </c>
      <c r="E108" s="46" t="str">
        <f>'Công trình'!D16</f>
        <v>100m2</v>
      </c>
      <c r="F108" s="106">
        <f>'Công trình'!K16</f>
        <v>3.5792000000000002</v>
      </c>
      <c r="G108" s="126"/>
      <c r="H108" s="126"/>
      <c r="I108" s="126"/>
      <c r="J108" s="126"/>
      <c r="K108" s="126"/>
      <c r="L108" s="126"/>
    </row>
    <row r="109" spans="1:12" x14ac:dyDescent="0.25">
      <c r="A109" s="56"/>
      <c r="B109" s="23"/>
      <c r="C109" s="88"/>
      <c r="D109" s="23" t="s">
        <v>479</v>
      </c>
      <c r="E109" s="56"/>
      <c r="F109" s="118"/>
      <c r="G109" s="118"/>
      <c r="H109" s="118"/>
      <c r="I109" s="118"/>
      <c r="J109" s="118"/>
      <c r="K109" s="118"/>
      <c r="L109" s="118"/>
    </row>
    <row r="110" spans="1:12" x14ac:dyDescent="0.25">
      <c r="A110" s="168"/>
      <c r="B110" s="144" t="str">
        <f>'Vật liệu'!B450</f>
        <v>V00515</v>
      </c>
      <c r="C110" s="34">
        <v>154</v>
      </c>
      <c r="D110" s="144" t="str">
        <f>" - " &amp; 'Vật liệu'!D450</f>
        <v xml:space="preserve"> - Que hàn</v>
      </c>
      <c r="E110" s="168" t="str">
        <f>'Vật liệu'!E450</f>
        <v>kg</v>
      </c>
      <c r="F110" s="60"/>
      <c r="G110" s="60">
        <v>5.6</v>
      </c>
      <c r="H110" s="60"/>
      <c r="I110" s="60"/>
      <c r="J110" s="60">
        <f>ROUND(F108*G110,4)</f>
        <v>20.043500000000002</v>
      </c>
      <c r="K110" s="60"/>
      <c r="L110" s="60"/>
    </row>
    <row r="111" spans="1:12" x14ac:dyDescent="0.25">
      <c r="A111" s="168"/>
      <c r="B111" s="144" t="str">
        <f>'Vật liệu'!B294</f>
        <v>V00390</v>
      </c>
      <c r="C111" s="34">
        <v>140</v>
      </c>
      <c r="D111" s="144" t="str">
        <f>" - " &amp; 'Vật liệu'!D294</f>
        <v xml:space="preserve"> - Gỗ chống</v>
      </c>
      <c r="E111" s="168" t="str">
        <f>'Vật liệu'!E294</f>
        <v>m3</v>
      </c>
      <c r="F111" s="60"/>
      <c r="G111" s="60">
        <v>0.496</v>
      </c>
      <c r="H111" s="60"/>
      <c r="I111" s="60"/>
      <c r="J111" s="60">
        <f>ROUND(F108*G111,4)</f>
        <v>1.7753000000000001</v>
      </c>
      <c r="K111" s="60"/>
      <c r="L111" s="60"/>
    </row>
    <row r="112" spans="1:12" x14ac:dyDescent="0.25">
      <c r="A112" s="168"/>
      <c r="B112" s="144" t="str">
        <f>'Vật liệu'!B606</f>
        <v>V00671</v>
      </c>
      <c r="C112" s="34">
        <v>166</v>
      </c>
      <c r="D112" s="144" t="str">
        <f>" - " &amp; 'Vật liệu'!D606</f>
        <v xml:space="preserve"> - Thép tấm</v>
      </c>
      <c r="E112" s="168" t="str">
        <f>'Vật liệu'!E606</f>
        <v>kg</v>
      </c>
      <c r="F112" s="60"/>
      <c r="G112" s="60">
        <v>51.81</v>
      </c>
      <c r="H112" s="60"/>
      <c r="I112" s="60"/>
      <c r="J112" s="60">
        <f>ROUND(F108*G112,4)</f>
        <v>185.4384</v>
      </c>
      <c r="K112" s="60"/>
      <c r="L112" s="60"/>
    </row>
    <row r="113" spans="1:12" x14ac:dyDescent="0.25">
      <c r="A113" s="168"/>
      <c r="B113" s="144" t="str">
        <f>'Vật liệu'!B556</f>
        <v>V00641</v>
      </c>
      <c r="C113" s="34">
        <v>160</v>
      </c>
      <c r="D113" s="144" t="str">
        <f>" - " &amp; 'Vật liệu'!D556</f>
        <v xml:space="preserve"> - Thép hình</v>
      </c>
      <c r="E113" s="168" t="str">
        <f>'Vật liệu'!E556</f>
        <v>kg</v>
      </c>
      <c r="F113" s="60"/>
      <c r="G113" s="60">
        <v>48.84</v>
      </c>
      <c r="H113" s="60"/>
      <c r="I113" s="60"/>
      <c r="J113" s="60">
        <f>ROUND(F108*G113,4)</f>
        <v>174.8081</v>
      </c>
      <c r="K113" s="60"/>
      <c r="L113" s="60"/>
    </row>
    <row r="114" spans="1:12" x14ac:dyDescent="0.25">
      <c r="A114" s="168"/>
      <c r="B114" s="144" t="str">
        <f>'Vật liệu'!B766</f>
        <v>V00750</v>
      </c>
      <c r="C114" s="34">
        <v>180</v>
      </c>
      <c r="D114" s="144" t="str">
        <f>" - " &amp; 'Vật liệu'!D766</f>
        <v xml:space="preserve"> - Vật liệu khác</v>
      </c>
      <c r="E114" s="168" t="str">
        <f>'Vật liệu'!E766</f>
        <v>%</v>
      </c>
      <c r="F114" s="60"/>
      <c r="G114" s="60">
        <v>5</v>
      </c>
      <c r="H114" s="60"/>
      <c r="I114" s="60"/>
      <c r="J114" s="60"/>
      <c r="K114" s="60"/>
      <c r="L114" s="60"/>
    </row>
    <row r="115" spans="1:12" x14ac:dyDescent="0.25">
      <c r="A115" s="56"/>
      <c r="B115" s="23"/>
      <c r="C115" s="88"/>
      <c r="D115" s="23" t="s">
        <v>202</v>
      </c>
      <c r="E115" s="56"/>
      <c r="F115" s="118"/>
      <c r="G115" s="118"/>
      <c r="H115" s="118"/>
      <c r="I115" s="118"/>
      <c r="J115" s="118"/>
      <c r="K115" s="118"/>
      <c r="L115" s="118"/>
    </row>
    <row r="116" spans="1:12" x14ac:dyDescent="0.25">
      <c r="A116" s="168"/>
      <c r="B116" s="144" t="str">
        <f>'Nhân công'!B130</f>
        <v>N0011</v>
      </c>
      <c r="C116" s="34">
        <v>550</v>
      </c>
      <c r="D116" s="144" t="s">
        <v>671</v>
      </c>
      <c r="E116" s="168" t="str">
        <f>'Nhân công'!G130</f>
        <v>công</v>
      </c>
      <c r="F116" s="60"/>
      <c r="G116" s="60"/>
      <c r="H116" s="60">
        <v>38.28</v>
      </c>
      <c r="I116" s="60"/>
      <c r="J116" s="60"/>
      <c r="K116" s="60">
        <f>ROUND(F108*H116,4)</f>
        <v>137.01179999999999</v>
      </c>
      <c r="L116" s="60"/>
    </row>
    <row r="117" spans="1:12" x14ac:dyDescent="0.25">
      <c r="A117" s="56"/>
      <c r="B117" s="23"/>
      <c r="C117" s="88"/>
      <c r="D117" s="23" t="s">
        <v>378</v>
      </c>
      <c r="E117" s="56"/>
      <c r="F117" s="118"/>
      <c r="G117" s="118"/>
      <c r="H117" s="118"/>
      <c r="I117" s="118"/>
      <c r="J117" s="118"/>
      <c r="K117" s="118"/>
      <c r="L117" s="118"/>
    </row>
    <row r="118" spans="1:12" x14ac:dyDescent="0.25">
      <c r="A118" s="168"/>
      <c r="B118" s="144" t="str">
        <f>'Máy thi công'!B358</f>
        <v>M9560</v>
      </c>
      <c r="C118" s="34">
        <v>746</v>
      </c>
      <c r="D118" s="144" t="str">
        <f>" - " &amp; 'Máy thi công'!D358</f>
        <v xml:space="preserve"> - Máy vận thăng - sức nâng: 0,8 t - H nâng 80 m</v>
      </c>
      <c r="E118" s="168" t="str">
        <f>'Máy thi công'!E358</f>
        <v>ca</v>
      </c>
      <c r="F118" s="60"/>
      <c r="G118" s="60"/>
      <c r="H118" s="60"/>
      <c r="I118" s="60">
        <v>0</v>
      </c>
      <c r="J118" s="60"/>
      <c r="K118" s="60"/>
      <c r="L118" s="60">
        <f>ROUND(F108*I118,4)</f>
        <v>0</v>
      </c>
    </row>
    <row r="119" spans="1:12" x14ac:dyDescent="0.25">
      <c r="A119" s="168"/>
      <c r="B119" s="144" t="str">
        <f>'Máy thi công'!B6</f>
        <v>M9438</v>
      </c>
      <c r="C119" s="34">
        <v>714</v>
      </c>
      <c r="D119" s="144" t="str">
        <f>" - " &amp; 'Máy thi công'!D6</f>
        <v xml:space="preserve"> - Biến thế hàn xoay chiều - công suất: 23 kW</v>
      </c>
      <c r="E119" s="168" t="str">
        <f>'Máy thi công'!E6</f>
        <v>ca</v>
      </c>
      <c r="F119" s="60"/>
      <c r="G119" s="60"/>
      <c r="H119" s="60"/>
      <c r="I119" s="60">
        <v>1.5</v>
      </c>
      <c r="J119" s="60"/>
      <c r="K119" s="60"/>
      <c r="L119" s="60">
        <f>ROUND(F108*I119,4)</f>
        <v>5.3688000000000002</v>
      </c>
    </row>
    <row r="120" spans="1:12" x14ac:dyDescent="0.25">
      <c r="A120" s="168"/>
      <c r="B120" s="144" t="str">
        <f>'Máy thi công'!B398</f>
        <v>M0111</v>
      </c>
      <c r="C120" s="34">
        <v>562</v>
      </c>
      <c r="D120" s="144" t="str">
        <f>" - " &amp; 'Máy thi công'!D398</f>
        <v xml:space="preserve"> - Máy khác</v>
      </c>
      <c r="E120" s="168" t="str">
        <f>'Máy thi công'!E398</f>
        <v>%</v>
      </c>
      <c r="F120" s="60"/>
      <c r="G120" s="60"/>
      <c r="H120" s="60"/>
      <c r="I120" s="60">
        <v>2</v>
      </c>
      <c r="J120" s="60"/>
      <c r="K120" s="60"/>
      <c r="L120" s="60"/>
    </row>
    <row r="121" spans="1:12" ht="28.5" x14ac:dyDescent="0.25">
      <c r="A121" s="65">
        <f>'Công trình'!A18</f>
        <v>11</v>
      </c>
      <c r="B121" s="14" t="str">
        <f>'Công trình'!B18</f>
        <v>AF.12314</v>
      </c>
      <c r="C121" s="94"/>
      <c r="D121" s="14" t="str">
        <f>'Công trình'!C18</f>
        <v>Bê tông xà dầm, giằng nhà đá 1x2, vữa BT mác 250</v>
      </c>
      <c r="E121" s="46" t="str">
        <f>'Công trình'!D18</f>
        <v>m3</v>
      </c>
      <c r="F121" s="106">
        <f>'Công trình'!K18</f>
        <v>64.81</v>
      </c>
      <c r="G121" s="126"/>
      <c r="H121" s="126"/>
      <c r="I121" s="126"/>
      <c r="J121" s="126"/>
      <c r="K121" s="126"/>
      <c r="L121" s="126"/>
    </row>
    <row r="122" spans="1:12" x14ac:dyDescent="0.25">
      <c r="A122" s="56"/>
      <c r="B122" s="23"/>
      <c r="C122" s="88"/>
      <c r="D122" s="23" t="s">
        <v>479</v>
      </c>
      <c r="E122" s="56"/>
      <c r="F122" s="118"/>
      <c r="G122" s="118"/>
      <c r="H122" s="118"/>
      <c r="I122" s="118"/>
      <c r="J122" s="118"/>
      <c r="K122" s="118"/>
      <c r="L122" s="118"/>
    </row>
    <row r="123" spans="1:12" x14ac:dyDescent="0.25">
      <c r="A123" s="168"/>
      <c r="B123" s="144" t="str">
        <f>'Vật liệu'!B721</f>
        <v>V00761</v>
      </c>
      <c r="C123" s="34">
        <v>397</v>
      </c>
      <c r="D123" s="144" t="str">
        <f>" - " &amp; 'Vật liệu'!D721</f>
        <v xml:space="preserve"> - Xi măng PC40</v>
      </c>
      <c r="E123" s="168" t="str">
        <f>'Vật liệu'!E721</f>
        <v>kg</v>
      </c>
      <c r="F123" s="60"/>
      <c r="G123" s="60">
        <v>335.17500000000001</v>
      </c>
      <c r="H123" s="60"/>
      <c r="I123" s="60"/>
      <c r="J123" s="60">
        <f>ROUND(F121*G123,4)</f>
        <v>21722.691800000001</v>
      </c>
      <c r="K123" s="60"/>
      <c r="L123" s="60"/>
    </row>
    <row r="124" spans="1:12" x14ac:dyDescent="0.25">
      <c r="A124" s="168"/>
      <c r="B124" s="144" t="str">
        <f>'Vật liệu'!B54</f>
        <v>V00112</v>
      </c>
      <c r="C124" s="34">
        <v>125</v>
      </c>
      <c r="D124" s="144" t="str">
        <f>" - " &amp; 'Vật liệu'!D54</f>
        <v xml:space="preserve"> - Cát vàng</v>
      </c>
      <c r="E124" s="168" t="str">
        <f>'Vật liệu'!E54</f>
        <v>m3</v>
      </c>
      <c r="F124" s="60"/>
      <c r="G124" s="60">
        <v>0.4869</v>
      </c>
      <c r="H124" s="60"/>
      <c r="I124" s="60"/>
      <c r="J124" s="60">
        <f>ROUND(F121*G124,4)</f>
        <v>31.556000000000001</v>
      </c>
      <c r="K124" s="60"/>
      <c r="L124" s="60"/>
    </row>
    <row r="125" spans="1:12" x14ac:dyDescent="0.25">
      <c r="A125" s="168"/>
      <c r="B125" s="144" t="str">
        <f>'Vật liệu'!B142</f>
        <v>V05207</v>
      </c>
      <c r="C125" s="34">
        <v>416</v>
      </c>
      <c r="D125" s="144" t="str">
        <f>" - " &amp; 'Vật liệu'!D142</f>
        <v xml:space="preserve"> - Đá 1x2</v>
      </c>
      <c r="E125" s="168" t="str">
        <f>'Vật liệu'!E142</f>
        <v>m3</v>
      </c>
      <c r="F125" s="60"/>
      <c r="G125" s="60">
        <v>0.90300000000000002</v>
      </c>
      <c r="H125" s="60"/>
      <c r="I125" s="60"/>
      <c r="J125" s="60">
        <f>ROUND(F121*G125,4)</f>
        <v>58.523400000000002</v>
      </c>
      <c r="K125" s="60"/>
      <c r="L125" s="60"/>
    </row>
    <row r="126" spans="1:12" x14ac:dyDescent="0.25">
      <c r="A126" s="168"/>
      <c r="B126" s="144" t="str">
        <f>'Vật liệu'!B353</f>
        <v>V00494</v>
      </c>
      <c r="C126" s="34">
        <v>148</v>
      </c>
      <c r="D126" s="144" t="str">
        <f>" - " &amp; 'Vật liệu'!D353</f>
        <v xml:space="preserve"> - Nước</v>
      </c>
      <c r="E126" s="168" t="str">
        <f>'Vật liệu'!E353</f>
        <v>lít</v>
      </c>
      <c r="F126" s="60"/>
      <c r="G126" s="60">
        <v>189.625</v>
      </c>
      <c r="H126" s="60"/>
      <c r="I126" s="60"/>
      <c r="J126" s="60">
        <f>ROUND(F121*G126,4)</f>
        <v>12289.596299999999</v>
      </c>
      <c r="K126" s="60"/>
      <c r="L126" s="60"/>
    </row>
    <row r="127" spans="1:12" x14ac:dyDescent="0.25">
      <c r="A127" s="168"/>
      <c r="B127" s="144" t="str">
        <f>'Vật liệu'!B766</f>
        <v>V00750</v>
      </c>
      <c r="C127" s="34">
        <v>185</v>
      </c>
      <c r="D127" s="144" t="str">
        <f>" - " &amp; 'Vật liệu'!D766</f>
        <v xml:space="preserve"> - Vật liệu khác</v>
      </c>
      <c r="E127" s="168" t="str">
        <f>'Vật liệu'!E766</f>
        <v>%</v>
      </c>
      <c r="F127" s="60"/>
      <c r="G127" s="60">
        <v>1</v>
      </c>
      <c r="H127" s="60"/>
      <c r="I127" s="60"/>
      <c r="J127" s="60"/>
      <c r="K127" s="60"/>
      <c r="L127" s="60"/>
    </row>
    <row r="128" spans="1:12" x14ac:dyDescent="0.25">
      <c r="A128" s="56"/>
      <c r="B128" s="23"/>
      <c r="C128" s="88"/>
      <c r="D128" s="23" t="s">
        <v>202</v>
      </c>
      <c r="E128" s="56"/>
      <c r="F128" s="118"/>
      <c r="G128" s="118"/>
      <c r="H128" s="118"/>
      <c r="I128" s="118"/>
      <c r="J128" s="118"/>
      <c r="K128" s="118"/>
      <c r="L128" s="118"/>
    </row>
    <row r="129" spans="1:12" x14ac:dyDescent="0.25">
      <c r="A129" s="168"/>
      <c r="B129" s="144" t="str">
        <f>'Nhân công'!B45</f>
        <v>N0009</v>
      </c>
      <c r="C129" s="34">
        <v>546</v>
      </c>
      <c r="D129" s="144" t="s">
        <v>1052</v>
      </c>
      <c r="E129" s="168" t="str">
        <f>'Nhân công'!G45</f>
        <v>công</v>
      </c>
      <c r="F129" s="60"/>
      <c r="G129" s="60"/>
      <c r="H129" s="60">
        <v>3.56</v>
      </c>
      <c r="I129" s="60"/>
      <c r="J129" s="60"/>
      <c r="K129" s="60">
        <f>ROUND(F121*H129,4)</f>
        <v>230.7236</v>
      </c>
      <c r="L129" s="60"/>
    </row>
    <row r="130" spans="1:12" x14ac:dyDescent="0.25">
      <c r="A130" s="56"/>
      <c r="B130" s="23"/>
      <c r="C130" s="88"/>
      <c r="D130" s="23" t="s">
        <v>378</v>
      </c>
      <c r="E130" s="56"/>
      <c r="F130" s="118"/>
      <c r="G130" s="118"/>
      <c r="H130" s="118"/>
      <c r="I130" s="118"/>
      <c r="J130" s="118"/>
      <c r="K130" s="118"/>
      <c r="L130" s="118"/>
    </row>
    <row r="131" spans="1:12" x14ac:dyDescent="0.25">
      <c r="A131" s="168"/>
      <c r="B131" s="144" t="str">
        <f>'Máy thi công'!B358</f>
        <v>M9560</v>
      </c>
      <c r="C131" s="34">
        <v>746</v>
      </c>
      <c r="D131" s="144" t="str">
        <f>" - " &amp; 'Máy thi công'!D358</f>
        <v xml:space="preserve"> - Máy vận thăng - sức nâng: 0,8 t - H nâng 80 m</v>
      </c>
      <c r="E131" s="168" t="str">
        <f>'Máy thi công'!E358</f>
        <v>ca</v>
      </c>
      <c r="F131" s="60"/>
      <c r="G131" s="60"/>
      <c r="H131" s="60"/>
      <c r="I131" s="60">
        <v>0</v>
      </c>
      <c r="J131" s="60"/>
      <c r="K131" s="60"/>
      <c r="L131" s="60">
        <f>ROUND(F121*I131,4)</f>
        <v>0</v>
      </c>
    </row>
    <row r="132" spans="1:12" x14ac:dyDescent="0.25">
      <c r="A132" s="168"/>
      <c r="B132" s="144" t="str">
        <f>'Máy thi công'!B232</f>
        <v>M9571</v>
      </c>
      <c r="C132" s="34">
        <v>750</v>
      </c>
      <c r="D132" s="144" t="str">
        <f>" - " &amp; 'Máy thi công'!D232</f>
        <v xml:space="preserve"> - Máy đầm bê tông, dầm dùi - công suất: 1,5 kW</v>
      </c>
      <c r="E132" s="168" t="str">
        <f>'Máy thi công'!E232</f>
        <v>ca</v>
      </c>
      <c r="F132" s="60"/>
      <c r="G132" s="60"/>
      <c r="H132" s="60"/>
      <c r="I132" s="60">
        <v>0.18</v>
      </c>
      <c r="J132" s="60"/>
      <c r="K132" s="60"/>
      <c r="L132" s="60">
        <f>ROUND(F121*I132,4)</f>
        <v>11.665800000000001</v>
      </c>
    </row>
    <row r="133" spans="1:12" x14ac:dyDescent="0.25">
      <c r="A133" s="168"/>
      <c r="B133" s="144" t="str">
        <f>'Máy thi công'!B306</f>
        <v>M9555</v>
      </c>
      <c r="C133" s="34">
        <v>744</v>
      </c>
      <c r="D133" s="144" t="str">
        <f>" - " &amp; 'Máy thi công'!D306</f>
        <v xml:space="preserve"> - Máy trộn bê tông - dung tích: 250 lít</v>
      </c>
      <c r="E133" s="168" t="str">
        <f>'Máy thi công'!E306</f>
        <v>ca</v>
      </c>
      <c r="F133" s="60"/>
      <c r="G133" s="60"/>
      <c r="H133" s="60"/>
      <c r="I133" s="60">
        <v>9.5000000000000001E-2</v>
      </c>
      <c r="J133" s="60"/>
      <c r="K133" s="60"/>
      <c r="L133" s="60">
        <f>ROUND(F121*I133,4)</f>
        <v>6.157</v>
      </c>
    </row>
    <row r="134" spans="1:12" ht="28.5" x14ac:dyDescent="0.25">
      <c r="A134" s="65">
        <f>'Công trình'!A19</f>
        <v>12</v>
      </c>
      <c r="B134" s="14" t="str">
        <f>'Công trình'!B19</f>
        <v>AF.82111</v>
      </c>
      <c r="C134" s="94"/>
      <c r="D134" s="14" t="str">
        <f>'Công trình'!C19</f>
        <v>Sản xuất, lắp dựng tháo dỡ ván khuôn thép dầm, giằng, chiều cao &lt;=16m</v>
      </c>
      <c r="E134" s="46" t="str">
        <f>'Công trình'!D19</f>
        <v>100m2</v>
      </c>
      <c r="F134" s="106">
        <f>'Công trình'!K19</f>
        <v>3.2591000000000001</v>
      </c>
      <c r="G134" s="126"/>
      <c r="H134" s="126"/>
      <c r="I134" s="126"/>
      <c r="J134" s="126"/>
      <c r="K134" s="126"/>
      <c r="L134" s="126"/>
    </row>
    <row r="135" spans="1:12" x14ac:dyDescent="0.25">
      <c r="A135" s="56"/>
      <c r="B135" s="23"/>
      <c r="C135" s="88"/>
      <c r="D135" s="23" t="s">
        <v>479</v>
      </c>
      <c r="E135" s="56"/>
      <c r="F135" s="118"/>
      <c r="G135" s="118"/>
      <c r="H135" s="118"/>
      <c r="I135" s="118"/>
      <c r="J135" s="118"/>
      <c r="K135" s="118"/>
      <c r="L135" s="118"/>
    </row>
    <row r="136" spans="1:12" x14ac:dyDescent="0.25">
      <c r="A136" s="168"/>
      <c r="B136" s="144" t="str">
        <f>'Vật liệu'!B450</f>
        <v>V00515</v>
      </c>
      <c r="C136" s="34">
        <v>154</v>
      </c>
      <c r="D136" s="144" t="str">
        <f>" - " &amp; 'Vật liệu'!D450</f>
        <v xml:space="preserve"> - Que hàn</v>
      </c>
      <c r="E136" s="168" t="str">
        <f>'Vật liệu'!E450</f>
        <v>kg</v>
      </c>
      <c r="F136" s="60"/>
      <c r="G136" s="60">
        <v>5.6</v>
      </c>
      <c r="H136" s="60"/>
      <c r="I136" s="60"/>
      <c r="J136" s="60">
        <f>ROUND(F134*G136,4)</f>
        <v>18.251000000000001</v>
      </c>
      <c r="K136" s="60"/>
      <c r="L136" s="60"/>
    </row>
    <row r="137" spans="1:12" x14ac:dyDescent="0.25">
      <c r="A137" s="168"/>
      <c r="B137" s="144" t="str">
        <f>'Vật liệu'!B294</f>
        <v>V00390</v>
      </c>
      <c r="C137" s="34">
        <v>140</v>
      </c>
      <c r="D137" s="144" t="str">
        <f>" - " &amp; 'Vật liệu'!D294</f>
        <v xml:space="preserve"> - Gỗ chống</v>
      </c>
      <c r="E137" s="168" t="str">
        <f>'Vật liệu'!E294</f>
        <v>m3</v>
      </c>
      <c r="F137" s="60"/>
      <c r="G137" s="60">
        <v>0.496</v>
      </c>
      <c r="H137" s="60"/>
      <c r="I137" s="60"/>
      <c r="J137" s="60">
        <f>ROUND(F134*G137,4)</f>
        <v>1.6165</v>
      </c>
      <c r="K137" s="60"/>
      <c r="L137" s="60"/>
    </row>
    <row r="138" spans="1:12" x14ac:dyDescent="0.25">
      <c r="A138" s="168"/>
      <c r="B138" s="144" t="str">
        <f>'Vật liệu'!B606</f>
        <v>V00671</v>
      </c>
      <c r="C138" s="34">
        <v>166</v>
      </c>
      <c r="D138" s="144" t="str">
        <f>" - " &amp; 'Vật liệu'!D606</f>
        <v xml:space="preserve"> - Thép tấm</v>
      </c>
      <c r="E138" s="168" t="str">
        <f>'Vật liệu'!E606</f>
        <v>kg</v>
      </c>
      <c r="F138" s="60"/>
      <c r="G138" s="60">
        <v>51.81</v>
      </c>
      <c r="H138" s="60"/>
      <c r="I138" s="60"/>
      <c r="J138" s="60">
        <f>ROUND(F134*G138,4)</f>
        <v>168.85400000000001</v>
      </c>
      <c r="K138" s="60"/>
      <c r="L138" s="60"/>
    </row>
    <row r="139" spans="1:12" x14ac:dyDescent="0.25">
      <c r="A139" s="168"/>
      <c r="B139" s="144" t="str">
        <f>'Vật liệu'!B556</f>
        <v>V00641</v>
      </c>
      <c r="C139" s="34">
        <v>160</v>
      </c>
      <c r="D139" s="144" t="str">
        <f>" - " &amp; 'Vật liệu'!D556</f>
        <v xml:space="preserve"> - Thép hình</v>
      </c>
      <c r="E139" s="168" t="str">
        <f>'Vật liệu'!E556</f>
        <v>kg</v>
      </c>
      <c r="F139" s="60"/>
      <c r="G139" s="60">
        <v>48.84</v>
      </c>
      <c r="H139" s="60"/>
      <c r="I139" s="60"/>
      <c r="J139" s="60">
        <f>ROUND(F134*G139,4)</f>
        <v>159.17439999999999</v>
      </c>
      <c r="K139" s="60"/>
      <c r="L139" s="60"/>
    </row>
    <row r="140" spans="1:12" x14ac:dyDescent="0.25">
      <c r="A140" s="168"/>
      <c r="B140" s="144" t="str">
        <f>'Vật liệu'!B766</f>
        <v>V00750</v>
      </c>
      <c r="C140" s="34">
        <v>186</v>
      </c>
      <c r="D140" s="144" t="str">
        <f>" - " &amp; 'Vật liệu'!D766</f>
        <v xml:space="preserve"> - Vật liệu khác</v>
      </c>
      <c r="E140" s="168" t="str">
        <f>'Vật liệu'!E766</f>
        <v>%</v>
      </c>
      <c r="F140" s="60"/>
      <c r="G140" s="60">
        <v>5</v>
      </c>
      <c r="H140" s="60"/>
      <c r="I140" s="60"/>
      <c r="J140" s="60"/>
      <c r="K140" s="60"/>
      <c r="L140" s="60"/>
    </row>
    <row r="141" spans="1:12" x14ac:dyDescent="0.25">
      <c r="A141" s="56"/>
      <c r="B141" s="23"/>
      <c r="C141" s="88"/>
      <c r="D141" s="23" t="s">
        <v>202</v>
      </c>
      <c r="E141" s="56"/>
      <c r="F141" s="118"/>
      <c r="G141" s="118"/>
      <c r="H141" s="118"/>
      <c r="I141" s="118"/>
      <c r="J141" s="118"/>
      <c r="K141" s="118"/>
      <c r="L141" s="118"/>
    </row>
    <row r="142" spans="1:12" x14ac:dyDescent="0.25">
      <c r="A142" s="168"/>
      <c r="B142" s="144" t="str">
        <f>'Nhân công'!B130</f>
        <v>N0011</v>
      </c>
      <c r="C142" s="34">
        <v>550</v>
      </c>
      <c r="D142" s="144" t="s">
        <v>671</v>
      </c>
      <c r="E142" s="168" t="str">
        <f>'Nhân công'!G130</f>
        <v>công</v>
      </c>
      <c r="F142" s="60"/>
      <c r="G142" s="60"/>
      <c r="H142" s="60">
        <v>38.28</v>
      </c>
      <c r="I142" s="60"/>
      <c r="J142" s="60"/>
      <c r="K142" s="60">
        <f>ROUND(F134*H142,4)</f>
        <v>124.75830000000001</v>
      </c>
      <c r="L142" s="60"/>
    </row>
    <row r="143" spans="1:12" x14ac:dyDescent="0.25">
      <c r="A143" s="56"/>
      <c r="B143" s="23"/>
      <c r="C143" s="88"/>
      <c r="D143" s="23" t="s">
        <v>378</v>
      </c>
      <c r="E143" s="56"/>
      <c r="F143" s="118"/>
      <c r="G143" s="118"/>
      <c r="H143" s="118"/>
      <c r="I143" s="118"/>
      <c r="J143" s="118"/>
      <c r="K143" s="118"/>
      <c r="L143" s="118"/>
    </row>
    <row r="144" spans="1:12" x14ac:dyDescent="0.25">
      <c r="A144" s="168"/>
      <c r="B144" s="144" t="str">
        <f>'Máy thi công'!B358</f>
        <v>M9560</v>
      </c>
      <c r="C144" s="34">
        <v>746</v>
      </c>
      <c r="D144" s="144" t="str">
        <f>" - " &amp; 'Máy thi công'!D358</f>
        <v xml:space="preserve"> - Máy vận thăng - sức nâng: 0,8 t - H nâng 80 m</v>
      </c>
      <c r="E144" s="168" t="str">
        <f>'Máy thi công'!E358</f>
        <v>ca</v>
      </c>
      <c r="F144" s="60"/>
      <c r="G144" s="60"/>
      <c r="H144" s="60"/>
      <c r="I144" s="60">
        <v>0</v>
      </c>
      <c r="J144" s="60"/>
      <c r="K144" s="60"/>
      <c r="L144" s="60">
        <f>ROUND(F134*I144,4)</f>
        <v>0</v>
      </c>
    </row>
    <row r="145" spans="1:12" x14ac:dyDescent="0.25">
      <c r="A145" s="168"/>
      <c r="B145" s="144" t="str">
        <f>'Máy thi công'!B6</f>
        <v>M9438</v>
      </c>
      <c r="C145" s="34">
        <v>714</v>
      </c>
      <c r="D145" s="144" t="str">
        <f>" - " &amp; 'Máy thi công'!D6</f>
        <v xml:space="preserve"> - Biến thế hàn xoay chiều - công suất: 23 kW</v>
      </c>
      <c r="E145" s="168" t="str">
        <f>'Máy thi công'!E6</f>
        <v>ca</v>
      </c>
      <c r="F145" s="60"/>
      <c r="G145" s="60"/>
      <c r="H145" s="60"/>
      <c r="I145" s="60">
        <v>1.5</v>
      </c>
      <c r="J145" s="60"/>
      <c r="K145" s="60"/>
      <c r="L145" s="60">
        <f>ROUND(F134*I145,4)</f>
        <v>4.8887</v>
      </c>
    </row>
    <row r="146" spans="1:12" x14ac:dyDescent="0.25">
      <c r="A146" s="168"/>
      <c r="B146" s="144" t="str">
        <f>'Máy thi công'!B398</f>
        <v>M0111</v>
      </c>
      <c r="C146" s="34">
        <v>566</v>
      </c>
      <c r="D146" s="144" t="str">
        <f>" - " &amp; 'Máy thi công'!D398</f>
        <v xml:space="preserve"> - Máy khác</v>
      </c>
      <c r="E146" s="168" t="str">
        <f>'Máy thi công'!E398</f>
        <v>%</v>
      </c>
      <c r="F146" s="60"/>
      <c r="G146" s="60"/>
      <c r="H146" s="60"/>
      <c r="I146" s="60">
        <v>2</v>
      </c>
      <c r="J146" s="60"/>
      <c r="K146" s="60"/>
      <c r="L146" s="60"/>
    </row>
    <row r="147" spans="1:12" ht="28.5" x14ac:dyDescent="0.25">
      <c r="A147" s="65">
        <f>'Công trình'!A20</f>
        <v>13</v>
      </c>
      <c r="B147" s="14" t="str">
        <f>'Công trình'!B20</f>
        <v>AF.61511</v>
      </c>
      <c r="C147" s="94"/>
      <c r="D147" s="14" t="str">
        <f>'Công trình'!C20</f>
        <v>Sản xuất, lắp dựng cốt thép xà dầm, giằng đường kính &lt;=10mm, chiều cao &lt;=4m</v>
      </c>
      <c r="E147" s="46" t="str">
        <f>'Công trình'!D20</f>
        <v>tấn</v>
      </c>
      <c r="F147" s="106">
        <f>'Công trình'!K20</f>
        <v>1.1047</v>
      </c>
      <c r="G147" s="126"/>
      <c r="H147" s="126"/>
      <c r="I147" s="126"/>
      <c r="J147" s="126"/>
      <c r="K147" s="126"/>
      <c r="L147" s="126"/>
    </row>
    <row r="148" spans="1:12" x14ac:dyDescent="0.25">
      <c r="A148" s="56"/>
      <c r="B148" s="23"/>
      <c r="C148" s="88"/>
      <c r="D148" s="23" t="s">
        <v>479</v>
      </c>
      <c r="E148" s="56"/>
      <c r="F148" s="118"/>
      <c r="G148" s="118"/>
      <c r="H148" s="118"/>
      <c r="I148" s="118"/>
      <c r="J148" s="118"/>
      <c r="K148" s="118"/>
      <c r="L148" s="118"/>
    </row>
    <row r="149" spans="1:12" x14ac:dyDescent="0.25">
      <c r="A149" s="168"/>
      <c r="B149" s="144" t="str">
        <f>'Vật liệu'!B221</f>
        <v>V00226</v>
      </c>
      <c r="C149" s="34">
        <v>135</v>
      </c>
      <c r="D149" s="144" t="str">
        <f>" - " &amp; 'Vật liệu'!D221</f>
        <v xml:space="preserve"> - Dây thép</v>
      </c>
      <c r="E149" s="168" t="str">
        <f>'Vật liệu'!E221</f>
        <v>kg</v>
      </c>
      <c r="F149" s="60"/>
      <c r="G149" s="60">
        <v>21.42</v>
      </c>
      <c r="H149" s="60"/>
      <c r="I149" s="60"/>
      <c r="J149" s="60">
        <f>ROUND(F147*G149,4)</f>
        <v>23.662700000000001</v>
      </c>
      <c r="K149" s="60"/>
      <c r="L149" s="60"/>
    </row>
    <row r="150" spans="1:12" x14ac:dyDescent="0.25">
      <c r="A150" s="168"/>
      <c r="B150" s="144" t="str">
        <f>'Vật liệu'!B650</f>
        <v>V48494</v>
      </c>
      <c r="C150" s="34">
        <v>484</v>
      </c>
      <c r="D150" s="144" t="str">
        <f>" - " &amp; 'Vật liệu'!D650</f>
        <v xml:space="preserve"> - Thép tròn đường kính &lt;=10 mm</v>
      </c>
      <c r="E150" s="168" t="str">
        <f>'Vật liệu'!E650</f>
        <v>kg</v>
      </c>
      <c r="F150" s="60"/>
      <c r="G150" s="60">
        <v>1005</v>
      </c>
      <c r="H150" s="60"/>
      <c r="I150" s="60"/>
      <c r="J150" s="60">
        <f>ROUND(F147*G150,4)</f>
        <v>1110.2235000000001</v>
      </c>
      <c r="K150" s="60"/>
      <c r="L150" s="60"/>
    </row>
    <row r="151" spans="1:12" x14ac:dyDescent="0.25">
      <c r="A151" s="56"/>
      <c r="B151" s="23"/>
      <c r="C151" s="88"/>
      <c r="D151" s="23" t="s">
        <v>202</v>
      </c>
      <c r="E151" s="56"/>
      <c r="F151" s="118"/>
      <c r="G151" s="118"/>
      <c r="H151" s="118"/>
      <c r="I151" s="118"/>
      <c r="J151" s="118"/>
      <c r="K151" s="118"/>
      <c r="L151" s="118"/>
    </row>
    <row r="152" spans="1:12" x14ac:dyDescent="0.25">
      <c r="A152" s="168"/>
      <c r="B152" s="144" t="str">
        <f>'Nhân công'!B45</f>
        <v>N0009</v>
      </c>
      <c r="C152" s="34">
        <v>546</v>
      </c>
      <c r="D152" s="144" t="s">
        <v>1052</v>
      </c>
      <c r="E152" s="168" t="str">
        <f>'Nhân công'!G45</f>
        <v>công</v>
      </c>
      <c r="F152" s="60"/>
      <c r="G152" s="60"/>
      <c r="H152" s="60">
        <v>16.2</v>
      </c>
      <c r="I152" s="60"/>
      <c r="J152" s="60"/>
      <c r="K152" s="60">
        <f>ROUND(F147*H152,4)</f>
        <v>17.896100000000001</v>
      </c>
      <c r="L152" s="60"/>
    </row>
    <row r="153" spans="1:12" x14ac:dyDescent="0.25">
      <c r="A153" s="56"/>
      <c r="B153" s="23"/>
      <c r="C153" s="88"/>
      <c r="D153" s="23" t="s">
        <v>378</v>
      </c>
      <c r="E153" s="56"/>
      <c r="F153" s="118"/>
      <c r="G153" s="118"/>
      <c r="H153" s="118"/>
      <c r="I153" s="118"/>
      <c r="J153" s="118"/>
      <c r="K153" s="118"/>
      <c r="L153" s="118"/>
    </row>
    <row r="154" spans="1:12" x14ac:dyDescent="0.25">
      <c r="A154" s="168"/>
      <c r="B154" s="144" t="str">
        <f>'Máy thi công'!B184</f>
        <v>M9521</v>
      </c>
      <c r="C154" s="34">
        <v>737</v>
      </c>
      <c r="D154" s="144" t="str">
        <f>" - " &amp; 'Máy thi công'!D184</f>
        <v xml:space="preserve"> - Máy cắt uốn cốt thép - công suất: 5 kW</v>
      </c>
      <c r="E154" s="168" t="str">
        <f>'Máy thi công'!E184</f>
        <v>ca</v>
      </c>
      <c r="F154" s="60"/>
      <c r="G154" s="60"/>
      <c r="H154" s="60"/>
      <c r="I154" s="60">
        <v>0.4</v>
      </c>
      <c r="J154" s="60"/>
      <c r="K154" s="60"/>
      <c r="L154" s="60">
        <f>ROUND(F147*I154,4)</f>
        <v>0.44190000000000002</v>
      </c>
    </row>
    <row r="155" spans="1:12" ht="28.5" x14ac:dyDescent="0.25">
      <c r="A155" s="65">
        <f>'Công trình'!A22</f>
        <v>14</v>
      </c>
      <c r="B155" s="14" t="str">
        <f>'Công trình'!B22</f>
        <v>AF.61521</v>
      </c>
      <c r="C155" s="94"/>
      <c r="D155" s="14" t="str">
        <f>'Công trình'!C22</f>
        <v>Sản xuất, lắp dựng cốt thép xà dầm, giằng đường kính &lt;=18mm, chiều cao &lt;=4m</v>
      </c>
      <c r="E155" s="46" t="str">
        <f>'Công trình'!D22</f>
        <v>tấn</v>
      </c>
      <c r="F155" s="106">
        <f>'Công trình'!K22</f>
        <v>2.1598000000000002</v>
      </c>
      <c r="G155" s="126"/>
      <c r="H155" s="126"/>
      <c r="I155" s="126"/>
      <c r="J155" s="126"/>
      <c r="K155" s="126"/>
      <c r="L155" s="126"/>
    </row>
    <row r="156" spans="1:12" x14ac:dyDescent="0.25">
      <c r="A156" s="56"/>
      <c r="B156" s="23"/>
      <c r="C156" s="88"/>
      <c r="D156" s="23" t="s">
        <v>479</v>
      </c>
      <c r="E156" s="56"/>
      <c r="F156" s="118"/>
      <c r="G156" s="118"/>
      <c r="H156" s="118"/>
      <c r="I156" s="118"/>
      <c r="J156" s="118"/>
      <c r="K156" s="118"/>
      <c r="L156" s="118"/>
    </row>
    <row r="157" spans="1:12" x14ac:dyDescent="0.25">
      <c r="A157" s="168"/>
      <c r="B157" s="144" t="str">
        <f>'Vật liệu'!B450</f>
        <v>V00515</v>
      </c>
      <c r="C157" s="34">
        <v>154</v>
      </c>
      <c r="D157" s="144" t="str">
        <f>" - " &amp; 'Vật liệu'!D450</f>
        <v xml:space="preserve"> - Que hàn</v>
      </c>
      <c r="E157" s="168" t="str">
        <f>'Vật liệu'!E450</f>
        <v>kg</v>
      </c>
      <c r="F157" s="60"/>
      <c r="G157" s="60">
        <v>4.7</v>
      </c>
      <c r="H157" s="60"/>
      <c r="I157" s="60"/>
      <c r="J157" s="60">
        <f>ROUND(F155*G157,4)</f>
        <v>10.1511</v>
      </c>
      <c r="K157" s="60"/>
      <c r="L157" s="60"/>
    </row>
    <row r="158" spans="1:12" x14ac:dyDescent="0.25">
      <c r="A158" s="168"/>
      <c r="B158" s="144" t="str">
        <f>'Vật liệu'!B221</f>
        <v>V00226</v>
      </c>
      <c r="C158" s="34">
        <v>135</v>
      </c>
      <c r="D158" s="144" t="str">
        <f>" - " &amp; 'Vật liệu'!D221</f>
        <v xml:space="preserve"> - Dây thép</v>
      </c>
      <c r="E158" s="168" t="str">
        <f>'Vật liệu'!E221</f>
        <v>kg</v>
      </c>
      <c r="F158" s="60"/>
      <c r="G158" s="60">
        <v>14.28</v>
      </c>
      <c r="H158" s="60"/>
      <c r="I158" s="60"/>
      <c r="J158" s="60">
        <f>ROUND(F155*G158,4)</f>
        <v>30.841899999999999</v>
      </c>
      <c r="K158" s="60"/>
      <c r="L158" s="60"/>
    </row>
    <row r="159" spans="1:12" x14ac:dyDescent="0.25">
      <c r="A159" s="168"/>
      <c r="B159" s="144" t="str">
        <f>'Vật liệu'!B665</f>
        <v>V48495</v>
      </c>
      <c r="C159" s="34">
        <v>485</v>
      </c>
      <c r="D159" s="144" t="str">
        <f>" - " &amp; 'Vật liệu'!D665</f>
        <v xml:space="preserve"> - Thép tròn đường kính &lt;=18mm</v>
      </c>
      <c r="E159" s="168" t="str">
        <f>'Vật liệu'!E665</f>
        <v>kg</v>
      </c>
      <c r="F159" s="60"/>
      <c r="G159" s="60">
        <v>1020</v>
      </c>
      <c r="H159" s="60"/>
      <c r="I159" s="60"/>
      <c r="J159" s="60">
        <f>ROUND(F155*G159,4)</f>
        <v>2202.9960000000001</v>
      </c>
      <c r="K159" s="60"/>
      <c r="L159" s="60"/>
    </row>
    <row r="160" spans="1:12" x14ac:dyDescent="0.25">
      <c r="A160" s="56"/>
      <c r="B160" s="23"/>
      <c r="C160" s="88"/>
      <c r="D160" s="23" t="s">
        <v>202</v>
      </c>
      <c r="E160" s="56"/>
      <c r="F160" s="118"/>
      <c r="G160" s="118"/>
      <c r="H160" s="118"/>
      <c r="I160" s="118"/>
      <c r="J160" s="118"/>
      <c r="K160" s="118"/>
      <c r="L160" s="118"/>
    </row>
    <row r="161" spans="1:12" x14ac:dyDescent="0.25">
      <c r="A161" s="168"/>
      <c r="B161" s="144" t="str">
        <f>'Nhân công'!B45</f>
        <v>N0009</v>
      </c>
      <c r="C161" s="34">
        <v>546</v>
      </c>
      <c r="D161" s="144" t="s">
        <v>1052</v>
      </c>
      <c r="E161" s="168" t="str">
        <f>'Nhân công'!G45</f>
        <v>công</v>
      </c>
      <c r="F161" s="60"/>
      <c r="G161" s="60"/>
      <c r="H161" s="60">
        <v>10.039999999999999</v>
      </c>
      <c r="I161" s="60"/>
      <c r="J161" s="60"/>
      <c r="K161" s="60">
        <f>ROUND(F155*H161,4)</f>
        <v>21.6844</v>
      </c>
      <c r="L161" s="60"/>
    </row>
    <row r="162" spans="1:12" x14ac:dyDescent="0.25">
      <c r="A162" s="56"/>
      <c r="B162" s="23"/>
      <c r="C162" s="88"/>
      <c r="D162" s="23" t="s">
        <v>378</v>
      </c>
      <c r="E162" s="56"/>
      <c r="F162" s="118"/>
      <c r="G162" s="118"/>
      <c r="H162" s="118"/>
      <c r="I162" s="118"/>
      <c r="J162" s="118"/>
      <c r="K162" s="118"/>
      <c r="L162" s="118"/>
    </row>
    <row r="163" spans="1:12" x14ac:dyDescent="0.25">
      <c r="A163" s="168"/>
      <c r="B163" s="144" t="str">
        <f>'Máy thi công'!B184</f>
        <v>M9521</v>
      </c>
      <c r="C163" s="34">
        <v>737</v>
      </c>
      <c r="D163" s="144" t="str">
        <f>" - " &amp; 'Máy thi công'!D184</f>
        <v xml:space="preserve"> - Máy cắt uốn cốt thép - công suất: 5 kW</v>
      </c>
      <c r="E163" s="168" t="str">
        <f>'Máy thi công'!E184</f>
        <v>ca</v>
      </c>
      <c r="F163" s="60"/>
      <c r="G163" s="60"/>
      <c r="H163" s="60"/>
      <c r="I163" s="60">
        <v>0.32</v>
      </c>
      <c r="J163" s="60"/>
      <c r="K163" s="60"/>
      <c r="L163" s="60">
        <f>ROUND(F155*I163,4)</f>
        <v>0.69110000000000005</v>
      </c>
    </row>
    <row r="164" spans="1:12" x14ac:dyDescent="0.25">
      <c r="A164" s="168"/>
      <c r="B164" s="144" t="str">
        <f>'Máy thi công'!B6</f>
        <v>M9438</v>
      </c>
      <c r="C164" s="34">
        <v>714</v>
      </c>
      <c r="D164" s="144" t="str">
        <f>" - " &amp; 'Máy thi công'!D6</f>
        <v xml:space="preserve"> - Biến thế hàn xoay chiều - công suất: 23 kW</v>
      </c>
      <c r="E164" s="168" t="str">
        <f>'Máy thi công'!E6</f>
        <v>ca</v>
      </c>
      <c r="F164" s="60"/>
      <c r="G164" s="60"/>
      <c r="H164" s="60"/>
      <c r="I164" s="60">
        <v>1.133</v>
      </c>
      <c r="J164" s="60"/>
      <c r="K164" s="60"/>
      <c r="L164" s="60">
        <f>ROUND(F155*I164,4)</f>
        <v>2.4470999999999998</v>
      </c>
    </row>
    <row r="165" spans="1:12" x14ac:dyDescent="0.25">
      <c r="A165" s="65">
        <f>'Công trình'!A24</f>
        <v>15</v>
      </c>
      <c r="B165" s="14" t="str">
        <f>'Công trình'!B24</f>
        <v>AF.61130</v>
      </c>
      <c r="C165" s="94"/>
      <c r="D165" s="14" t="str">
        <f>'Công trình'!C24</f>
        <v>Neo dầm mang cống bằng thép D32 SUS304</v>
      </c>
      <c r="E165" s="46" t="str">
        <f>'Công trình'!D24</f>
        <v>tấn</v>
      </c>
      <c r="F165" s="106">
        <f>'Công trình'!K24</f>
        <v>0.62080000000000002</v>
      </c>
      <c r="G165" s="126"/>
      <c r="H165" s="126"/>
      <c r="I165" s="126"/>
      <c r="J165" s="126"/>
      <c r="K165" s="126"/>
      <c r="L165" s="126"/>
    </row>
    <row r="166" spans="1:12" x14ac:dyDescent="0.25">
      <c r="A166" s="56"/>
      <c r="B166" s="23"/>
      <c r="C166" s="88"/>
      <c r="D166" s="23" t="s">
        <v>479</v>
      </c>
      <c r="E166" s="56"/>
      <c r="F166" s="118"/>
      <c r="G166" s="118"/>
      <c r="H166" s="118"/>
      <c r="I166" s="118"/>
      <c r="J166" s="118"/>
      <c r="K166" s="118"/>
      <c r="L166" s="118"/>
    </row>
    <row r="167" spans="1:12" x14ac:dyDescent="0.25">
      <c r="A167" s="168"/>
      <c r="B167" s="144" t="str">
        <f>'Vật liệu'!B450</f>
        <v>V00515</v>
      </c>
      <c r="C167" s="34">
        <v>154</v>
      </c>
      <c r="D167" s="144" t="str">
        <f>" - " &amp; 'Vật liệu'!D450</f>
        <v xml:space="preserve"> - Que hàn</v>
      </c>
      <c r="E167" s="168" t="str">
        <f>'Vật liệu'!E450</f>
        <v>kg</v>
      </c>
      <c r="F167" s="60"/>
      <c r="G167" s="60">
        <v>0</v>
      </c>
      <c r="H167" s="60"/>
      <c r="I167" s="60"/>
      <c r="J167" s="60">
        <f>ROUND(F165*G167,4)</f>
        <v>0</v>
      </c>
      <c r="K167" s="60"/>
      <c r="L167" s="60"/>
    </row>
    <row r="168" spans="1:12" x14ac:dyDescent="0.25">
      <c r="A168" s="168"/>
      <c r="B168" s="144" t="str">
        <f>'Vật liệu'!B221</f>
        <v>V00226</v>
      </c>
      <c r="C168" s="34">
        <v>135</v>
      </c>
      <c r="D168" s="144" t="str">
        <f>" - " &amp; 'Vật liệu'!D221</f>
        <v xml:space="preserve"> - Dây thép</v>
      </c>
      <c r="E168" s="168" t="str">
        <f>'Vật liệu'!E221</f>
        <v>kg</v>
      </c>
      <c r="F168" s="60"/>
      <c r="G168" s="60">
        <v>0</v>
      </c>
      <c r="H168" s="60"/>
      <c r="I168" s="60"/>
      <c r="J168" s="60">
        <f>ROUND(F165*G168,4)</f>
        <v>0</v>
      </c>
      <c r="K168" s="60"/>
      <c r="L168" s="60"/>
    </row>
    <row r="169" spans="1:12" ht="30" x14ac:dyDescent="0.25">
      <c r="A169" s="168"/>
      <c r="B169" s="144" t="str">
        <f>'Vật liệu'!B549</f>
        <v>V48498d32sus</v>
      </c>
      <c r="C169" s="34">
        <v>493</v>
      </c>
      <c r="D169" s="144" t="str">
        <f>" - " &amp; 'Vật liệu'!D549</f>
        <v xml:space="preserve"> - Thép D32 SUS304</v>
      </c>
      <c r="E169" s="168" t="str">
        <f>'Vật liệu'!E549</f>
        <v>kg</v>
      </c>
      <c r="F169" s="60"/>
      <c r="G169" s="60">
        <v>1020</v>
      </c>
      <c r="H169" s="60"/>
      <c r="I169" s="60"/>
      <c r="J169" s="60">
        <f>ROUND(F165*G169,4)</f>
        <v>633.21600000000001</v>
      </c>
      <c r="K169" s="60"/>
      <c r="L169" s="60"/>
    </row>
    <row r="170" spans="1:12" x14ac:dyDescent="0.25">
      <c r="A170" s="56"/>
      <c r="B170" s="23"/>
      <c r="C170" s="88"/>
      <c r="D170" s="23" t="s">
        <v>202</v>
      </c>
      <c r="E170" s="56"/>
      <c r="F170" s="118"/>
      <c r="G170" s="118"/>
      <c r="H170" s="118"/>
      <c r="I170" s="118"/>
      <c r="J170" s="118"/>
      <c r="K170" s="118"/>
      <c r="L170" s="118"/>
    </row>
    <row r="171" spans="1:12" x14ac:dyDescent="0.25">
      <c r="A171" s="168"/>
      <c r="B171" s="144" t="str">
        <f>'Nhân công'!B45</f>
        <v>N0009</v>
      </c>
      <c r="C171" s="34">
        <v>546</v>
      </c>
      <c r="D171" s="144" t="s">
        <v>1052</v>
      </c>
      <c r="E171" s="168" t="str">
        <f>'Nhân công'!G45</f>
        <v>công</v>
      </c>
      <c r="F171" s="60"/>
      <c r="G171" s="60"/>
      <c r="H171" s="60">
        <v>6.35</v>
      </c>
      <c r="I171" s="60"/>
      <c r="J171" s="60"/>
      <c r="K171" s="60">
        <f>ROUND(F165*H171,4)</f>
        <v>3.9420999999999999</v>
      </c>
      <c r="L171" s="60"/>
    </row>
    <row r="172" spans="1:12" x14ac:dyDescent="0.25">
      <c r="A172" s="56"/>
      <c r="B172" s="23"/>
      <c r="C172" s="88"/>
      <c r="D172" s="23" t="s">
        <v>378</v>
      </c>
      <c r="E172" s="56"/>
      <c r="F172" s="118"/>
      <c r="G172" s="118"/>
      <c r="H172" s="118"/>
      <c r="I172" s="118"/>
      <c r="J172" s="118"/>
      <c r="K172" s="118"/>
      <c r="L172" s="118"/>
    </row>
    <row r="173" spans="1:12" x14ac:dyDescent="0.25">
      <c r="A173" s="168"/>
      <c r="B173" s="144" t="str">
        <f>'Máy thi công'!B184</f>
        <v>M9521</v>
      </c>
      <c r="C173" s="34">
        <v>737</v>
      </c>
      <c r="D173" s="144" t="str">
        <f>" - " &amp; 'Máy thi công'!D184</f>
        <v xml:space="preserve"> - Máy cắt uốn cốt thép - công suất: 5 kW</v>
      </c>
      <c r="E173" s="168" t="str">
        <f>'Máy thi công'!E184</f>
        <v>ca</v>
      </c>
      <c r="F173" s="60"/>
      <c r="G173" s="60"/>
      <c r="H173" s="60"/>
      <c r="I173" s="60">
        <v>0.16</v>
      </c>
      <c r="J173" s="60"/>
      <c r="K173" s="60"/>
      <c r="L173" s="60">
        <f>ROUND(F165*I173,4)</f>
        <v>9.9299999999999999E-2</v>
      </c>
    </row>
    <row r="174" spans="1:12" x14ac:dyDescent="0.25">
      <c r="A174" s="168"/>
      <c r="B174" s="144" t="str">
        <f>'Máy thi công'!B6</f>
        <v>M9438</v>
      </c>
      <c r="C174" s="34">
        <v>714</v>
      </c>
      <c r="D174" s="144" t="str">
        <f>" - " &amp; 'Máy thi công'!D6</f>
        <v xml:space="preserve"> - Biến thế hàn xoay chiều - công suất: 23 kW</v>
      </c>
      <c r="E174" s="168" t="str">
        <f>'Máy thi công'!E6</f>
        <v>ca</v>
      </c>
      <c r="F174" s="60"/>
      <c r="G174" s="60"/>
      <c r="H174" s="60"/>
      <c r="I174" s="60">
        <v>1.27</v>
      </c>
      <c r="J174" s="60"/>
      <c r="K174" s="60"/>
      <c r="L174" s="60">
        <f>ROUND(F165*I174,4)</f>
        <v>0.78839999999999999</v>
      </c>
    </row>
    <row r="175" spans="1:12" x14ac:dyDescent="0.25">
      <c r="A175" s="65">
        <f>'Công trình'!A25</f>
        <v>16</v>
      </c>
      <c r="B175" s="14" t="str">
        <f>'Công trình'!B25</f>
        <v>TT</v>
      </c>
      <c r="C175" s="94"/>
      <c r="D175" s="14" t="str">
        <f>'Công trình'!C25</f>
        <v>Bulong D32</v>
      </c>
      <c r="E175" s="46" t="str">
        <f>'Công trình'!D25</f>
        <v>bộ</v>
      </c>
      <c r="F175" s="106">
        <f>'Công trình'!K25</f>
        <v>8</v>
      </c>
      <c r="G175" s="126"/>
      <c r="H175" s="126"/>
      <c r="I175" s="126"/>
      <c r="J175" s="126"/>
      <c r="K175" s="126"/>
      <c r="L175" s="126"/>
    </row>
    <row r="176" spans="1:12" x14ac:dyDescent="0.25">
      <c r="A176" s="56"/>
      <c r="B176" s="23"/>
      <c r="C176" s="88"/>
      <c r="D176" s="23" t="s">
        <v>479</v>
      </c>
      <c r="E176" s="56"/>
      <c r="F176" s="118"/>
      <c r="G176" s="118"/>
      <c r="H176" s="118"/>
      <c r="I176" s="118"/>
      <c r="J176" s="118"/>
      <c r="K176" s="118"/>
      <c r="L176" s="118"/>
    </row>
    <row r="177" spans="1:12" x14ac:dyDescent="0.25">
      <c r="A177" s="168"/>
      <c r="B177" s="144" t="str">
        <f>'Vật liệu'!B32</f>
        <v>V12675d32</v>
      </c>
      <c r="C177" s="34">
        <v>452</v>
      </c>
      <c r="D177" s="144" t="str">
        <f>" - " &amp; 'Vật liệu'!D32</f>
        <v xml:space="preserve"> - Bulông D32</v>
      </c>
      <c r="E177" s="168" t="str">
        <f>'Vật liệu'!E32</f>
        <v>cái</v>
      </c>
      <c r="F177" s="60"/>
      <c r="G177" s="60">
        <v>1</v>
      </c>
      <c r="H177" s="60"/>
      <c r="I177" s="60"/>
      <c r="J177" s="60">
        <f>ROUND(F175*G177,4)</f>
        <v>8</v>
      </c>
      <c r="K177" s="60"/>
      <c r="L177" s="60"/>
    </row>
    <row r="178" spans="1:12" ht="42.75" x14ac:dyDescent="0.25">
      <c r="A178" s="65">
        <f>'Công trình'!A26</f>
        <v>17</v>
      </c>
      <c r="B178" s="14" t="str">
        <f>'Công trình'!B26</f>
        <v>AC.12412</v>
      </c>
      <c r="C178" s="94"/>
      <c r="D178" s="14" t="str">
        <f>'Công trình'!C26</f>
        <v>Đóng cọc cừ máng bê tông dự ứng lực trên cạn bằng búa rung kết hợp tách mũi nước áp lực SW600A, chiều cao máng cọc 60-84cm, L=18M</v>
      </c>
      <c r="E178" s="46" t="str">
        <f>'Công trình'!D26</f>
        <v>100m</v>
      </c>
      <c r="F178" s="106">
        <f>'Công trình'!K26</f>
        <v>9.7200000000000006</v>
      </c>
      <c r="G178" s="126"/>
      <c r="H178" s="126"/>
      <c r="I178" s="126"/>
      <c r="J178" s="126"/>
      <c r="K178" s="126"/>
      <c r="L178" s="126"/>
    </row>
    <row r="179" spans="1:12" x14ac:dyDescent="0.25">
      <c r="A179" s="56"/>
      <c r="B179" s="23"/>
      <c r="C179" s="88"/>
      <c r="D179" s="23" t="s">
        <v>479</v>
      </c>
      <c r="E179" s="56"/>
      <c r="F179" s="118"/>
      <c r="G179" s="118"/>
      <c r="H179" s="118"/>
      <c r="I179" s="118"/>
      <c r="J179" s="118"/>
      <c r="K179" s="118"/>
      <c r="L179" s="118"/>
    </row>
    <row r="180" spans="1:12" x14ac:dyDescent="0.25">
      <c r="A180" s="168"/>
      <c r="B180" s="144" t="str">
        <f>'Vật liệu'!B423</f>
        <v>V32106</v>
      </c>
      <c r="C180" s="34">
        <v>464</v>
      </c>
      <c r="D180" s="144" t="str">
        <f>" - " &amp; 'Vật liệu'!D423</f>
        <v xml:space="preserve"> - Ống cao su cao áp f34</v>
      </c>
      <c r="E180" s="168" t="str">
        <f>'Vật liệu'!E423</f>
        <v>m</v>
      </c>
      <c r="F180" s="60"/>
      <c r="G180" s="60">
        <v>13.33</v>
      </c>
      <c r="H180" s="60"/>
      <c r="I180" s="60"/>
      <c r="J180" s="60">
        <f>ROUND(F178*G180,4)</f>
        <v>129.5676</v>
      </c>
      <c r="K180" s="60"/>
      <c r="L180" s="60"/>
    </row>
    <row r="181" spans="1:12" x14ac:dyDescent="0.25">
      <c r="A181" s="168"/>
      <c r="B181" s="144" t="str">
        <f>'Vật liệu'!B138</f>
        <v>V00124</v>
      </c>
      <c r="C181" s="34">
        <v>130</v>
      </c>
      <c r="D181" s="144" t="str">
        <f>" - " &amp; 'Vật liệu'!D138</f>
        <v xml:space="preserve"> - Cút thép đầu cọc D34/15</v>
      </c>
      <c r="E181" s="168" t="str">
        <f>'Vật liệu'!E138</f>
        <v>cái</v>
      </c>
      <c r="F181" s="60"/>
      <c r="G181" s="60">
        <v>0.67</v>
      </c>
      <c r="H181" s="60"/>
      <c r="I181" s="60"/>
      <c r="J181" s="60">
        <f>ROUND(F178*G181,4)</f>
        <v>6.5124000000000004</v>
      </c>
      <c r="K181" s="60"/>
      <c r="L181" s="60"/>
    </row>
    <row r="182" spans="1:12" x14ac:dyDescent="0.25">
      <c r="A182" s="168"/>
      <c r="B182" s="144" t="str">
        <f>'Vật liệu'!B545</f>
        <v>V48197</v>
      </c>
      <c r="C182" s="34">
        <v>478</v>
      </c>
      <c r="D182" s="144" t="str">
        <f>" - " &amp; 'Vật liệu'!D545</f>
        <v xml:space="preserve"> - SW600A</v>
      </c>
      <c r="E182" s="168" t="str">
        <f>'Vật liệu'!E545</f>
        <v>m</v>
      </c>
      <c r="F182" s="60"/>
      <c r="G182" s="60">
        <v>101</v>
      </c>
      <c r="H182" s="60"/>
      <c r="I182" s="60"/>
      <c r="J182" s="60">
        <f>ROUND(F178*G182,4)</f>
        <v>981.72</v>
      </c>
      <c r="K182" s="60"/>
      <c r="L182" s="60"/>
    </row>
    <row r="183" spans="1:12" x14ac:dyDescent="0.25">
      <c r="A183" s="168"/>
      <c r="B183" s="144" t="str">
        <f>'Vật liệu'!B602</f>
        <v>V00649</v>
      </c>
      <c r="C183" s="34">
        <v>163</v>
      </c>
      <c r="D183" s="144" t="str">
        <f>" - " &amp; 'Vật liệu'!D602</f>
        <v xml:space="preserve"> - Thép hình định vị cọc</v>
      </c>
      <c r="E183" s="168" t="str">
        <f>'Vật liệu'!E602</f>
        <v>kg</v>
      </c>
      <c r="F183" s="60"/>
      <c r="G183" s="60">
        <v>0</v>
      </c>
      <c r="H183" s="60"/>
      <c r="I183" s="60"/>
      <c r="J183" s="60">
        <f>ROUND(F178*G183,4)</f>
        <v>0</v>
      </c>
      <c r="K183" s="60"/>
      <c r="L183" s="60"/>
    </row>
    <row r="184" spans="1:12" x14ac:dyDescent="0.25">
      <c r="A184" s="168"/>
      <c r="B184" s="144" t="str">
        <f>'Vật liệu'!B425</f>
        <v>V17198</v>
      </c>
      <c r="C184" s="34">
        <v>463</v>
      </c>
      <c r="D184" s="144" t="str">
        <f>" - " &amp; 'Vật liệu'!D425</f>
        <v xml:space="preserve"> - Ống cao su cao áp f60</v>
      </c>
      <c r="E184" s="168" t="str">
        <f>'Vật liệu'!E425</f>
        <v>m</v>
      </c>
      <c r="F184" s="60"/>
      <c r="G184" s="60">
        <v>1.67</v>
      </c>
      <c r="H184" s="60"/>
      <c r="I184" s="60"/>
      <c r="J184" s="60">
        <f>ROUND(F178*G184,4)</f>
        <v>16.232399999999998</v>
      </c>
      <c r="K184" s="60"/>
      <c r="L184" s="60"/>
    </row>
    <row r="185" spans="1:12" x14ac:dyDescent="0.25">
      <c r="A185" s="168"/>
      <c r="B185" s="144" t="str">
        <f>'Vật liệu'!B766</f>
        <v>V00750</v>
      </c>
      <c r="C185" s="34">
        <v>187</v>
      </c>
      <c r="D185" s="144" t="str">
        <f>" - " &amp; 'Vật liệu'!D766</f>
        <v xml:space="preserve"> - Vật liệu khác</v>
      </c>
      <c r="E185" s="168" t="str">
        <f>'Vật liệu'!E766</f>
        <v>%</v>
      </c>
      <c r="F185" s="60"/>
      <c r="G185" s="60">
        <v>5</v>
      </c>
      <c r="H185" s="60"/>
      <c r="I185" s="60"/>
      <c r="J185" s="60"/>
      <c r="K185" s="60"/>
      <c r="L185" s="60"/>
    </row>
    <row r="186" spans="1:12" x14ac:dyDescent="0.25">
      <c r="A186" s="56"/>
      <c r="B186" s="23"/>
      <c r="C186" s="88"/>
      <c r="D186" s="23" t="s">
        <v>202</v>
      </c>
      <c r="E186" s="56"/>
      <c r="F186" s="118"/>
      <c r="G186" s="118"/>
      <c r="H186" s="118"/>
      <c r="I186" s="118"/>
      <c r="J186" s="118"/>
      <c r="K186" s="118"/>
      <c r="L186" s="118"/>
    </row>
    <row r="187" spans="1:12" x14ac:dyDescent="0.25">
      <c r="A187" s="168"/>
      <c r="B187" s="144" t="str">
        <f>'Nhân công'!B185</f>
        <v>N0020</v>
      </c>
      <c r="C187" s="34">
        <v>555</v>
      </c>
      <c r="D187" s="144" t="s">
        <v>625</v>
      </c>
      <c r="E187" s="168" t="str">
        <f>'Nhân công'!G185</f>
        <v>công</v>
      </c>
      <c r="F187" s="60"/>
      <c r="G187" s="60"/>
      <c r="H187" s="60">
        <v>20.5</v>
      </c>
      <c r="I187" s="60"/>
      <c r="J187" s="60"/>
      <c r="K187" s="60">
        <f>ROUND(F178*H187,4)</f>
        <v>199.26</v>
      </c>
      <c r="L187" s="60"/>
    </row>
    <row r="188" spans="1:12" x14ac:dyDescent="0.25">
      <c r="A188" s="56"/>
      <c r="B188" s="23"/>
      <c r="C188" s="88"/>
      <c r="D188" s="23" t="s">
        <v>378</v>
      </c>
      <c r="E188" s="56"/>
      <c r="F188" s="118"/>
      <c r="G188" s="118"/>
      <c r="H188" s="118"/>
      <c r="I188" s="118"/>
      <c r="J188" s="118"/>
      <c r="K188" s="118"/>
      <c r="L188" s="118"/>
    </row>
    <row r="189" spans="1:12" x14ac:dyDescent="0.25">
      <c r="A189" s="168"/>
      <c r="B189" s="144" t="str">
        <f>'Máy thi công'!B144</f>
        <v>M9471</v>
      </c>
      <c r="C189" s="34">
        <v>730</v>
      </c>
      <c r="D189" s="144" t="str">
        <f>" - " &amp; 'Máy thi công'!D144</f>
        <v xml:space="preserve"> - Cần trục bánh xích - sức nâng: 50 t</v>
      </c>
      <c r="E189" s="168" t="str">
        <f>'Máy thi công'!E144</f>
        <v>ca</v>
      </c>
      <c r="F189" s="60"/>
      <c r="G189" s="60"/>
      <c r="H189" s="60"/>
      <c r="I189" s="60">
        <v>4.8499999999999996</v>
      </c>
      <c r="J189" s="60"/>
      <c r="K189" s="60"/>
      <c r="L189" s="60">
        <f>ROUND(F178*I189,4)</f>
        <v>47.142000000000003</v>
      </c>
    </row>
    <row r="190" spans="1:12" x14ac:dyDescent="0.25">
      <c r="A190" s="168"/>
      <c r="B190" s="144" t="str">
        <f>'Máy thi công'!B107</f>
        <v>M9447</v>
      </c>
      <c r="C190" s="34">
        <v>721</v>
      </c>
      <c r="D190" s="144" t="str">
        <f>" - " &amp; 'Máy thi công'!D107</f>
        <v xml:space="preserve"> - Búa rung - công suất: 40 kW</v>
      </c>
      <c r="E190" s="168" t="str">
        <f>'Máy thi công'!E107</f>
        <v>ca</v>
      </c>
      <c r="F190" s="60"/>
      <c r="G190" s="60"/>
      <c r="H190" s="60"/>
      <c r="I190" s="60">
        <v>4.8499999999999996</v>
      </c>
      <c r="J190" s="60"/>
      <c r="K190" s="60"/>
      <c r="L190" s="60">
        <f>ROUND(F178*I190,4)</f>
        <v>47.142000000000003</v>
      </c>
    </row>
    <row r="191" spans="1:12" x14ac:dyDescent="0.25">
      <c r="A191" s="168"/>
      <c r="B191" s="144" t="str">
        <f>'Máy thi công'!B171</f>
        <v>M9512</v>
      </c>
      <c r="C191" s="34">
        <v>736</v>
      </c>
      <c r="D191" s="144" t="str">
        <f>" - " &amp; 'Máy thi công'!D171</f>
        <v xml:space="preserve"> - Máy bơm áp lực xói nước đầu cọc (300 cv)</v>
      </c>
      <c r="E191" s="168" t="str">
        <f>'Máy thi công'!E171</f>
        <v>ca</v>
      </c>
      <c r="F191" s="60"/>
      <c r="G191" s="60"/>
      <c r="H191" s="60"/>
      <c r="I191" s="60">
        <v>4.8499999999999996</v>
      </c>
      <c r="J191" s="60"/>
      <c r="K191" s="60"/>
      <c r="L191" s="60">
        <f>ROUND(F178*I191,4)</f>
        <v>47.142000000000003</v>
      </c>
    </row>
    <row r="192" spans="1:12" x14ac:dyDescent="0.25">
      <c r="A192" s="168"/>
      <c r="B192" s="144" t="str">
        <f>'Máy thi công'!B398</f>
        <v>M0111</v>
      </c>
      <c r="C192" s="34">
        <v>567</v>
      </c>
      <c r="D192" s="144" t="str">
        <f>" - " &amp; 'Máy thi công'!D398</f>
        <v xml:space="preserve"> - Máy khác</v>
      </c>
      <c r="E192" s="168" t="str">
        <f>'Máy thi công'!E398</f>
        <v>%</v>
      </c>
      <c r="F192" s="60"/>
      <c r="G192" s="60"/>
      <c r="H192" s="60"/>
      <c r="I192" s="60">
        <v>0.5</v>
      </c>
      <c r="J192" s="60"/>
      <c r="K192" s="60"/>
      <c r="L192" s="60"/>
    </row>
    <row r="193" spans="1:12" x14ac:dyDescent="0.25">
      <c r="A193" s="65">
        <f>'Công trình'!A28</f>
        <v>18</v>
      </c>
      <c r="B193" s="14" t="str">
        <f>'Công trình'!B28</f>
        <v>AL.16122</v>
      </c>
      <c r="C193" s="94"/>
      <c r="D193" s="14" t="str">
        <f>'Công trình'!C28</f>
        <v>Rải vải địa kỹ thuật làm móng công trình</v>
      </c>
      <c r="E193" s="46" t="str">
        <f>'Công trình'!D28</f>
        <v>100m2</v>
      </c>
      <c r="F193" s="106">
        <f>'Công trình'!K28</f>
        <v>8.1</v>
      </c>
      <c r="G193" s="126"/>
      <c r="H193" s="126"/>
      <c r="I193" s="126"/>
      <c r="J193" s="126"/>
      <c r="K193" s="126"/>
      <c r="L193" s="126"/>
    </row>
    <row r="194" spans="1:12" x14ac:dyDescent="0.25">
      <c r="A194" s="56"/>
      <c r="B194" s="23"/>
      <c r="C194" s="88"/>
      <c r="D194" s="23" t="s">
        <v>479</v>
      </c>
      <c r="E194" s="56"/>
      <c r="F194" s="118"/>
      <c r="G194" s="118"/>
      <c r="H194" s="118"/>
      <c r="I194" s="118"/>
      <c r="J194" s="118"/>
      <c r="K194" s="118"/>
      <c r="L194" s="118"/>
    </row>
    <row r="195" spans="1:12" x14ac:dyDescent="0.25">
      <c r="A195" s="168"/>
      <c r="B195" s="144" t="str">
        <f>'Vật liệu'!B709</f>
        <v>V00749</v>
      </c>
      <c r="C195" s="34">
        <v>174</v>
      </c>
      <c r="D195" s="144" t="str">
        <f>" - " &amp; 'Vật liệu'!D709</f>
        <v xml:space="preserve"> - Vải địa kỹ thuật</v>
      </c>
      <c r="E195" s="168" t="str">
        <f>'Vật liệu'!E709</f>
        <v>m2</v>
      </c>
      <c r="F195" s="60"/>
      <c r="G195" s="60">
        <v>110</v>
      </c>
      <c r="H195" s="60"/>
      <c r="I195" s="60"/>
      <c r="J195" s="60">
        <f>ROUND(F193*G195,4)</f>
        <v>891</v>
      </c>
      <c r="K195" s="60"/>
      <c r="L195" s="60"/>
    </row>
    <row r="196" spans="1:12" x14ac:dyDescent="0.25">
      <c r="A196" s="168"/>
      <c r="B196" s="144" t="str">
        <f>'Vật liệu'!B766</f>
        <v>V00750</v>
      </c>
      <c r="C196" s="34">
        <v>189</v>
      </c>
      <c r="D196" s="144" t="str">
        <f>" - " &amp; 'Vật liệu'!D766</f>
        <v xml:space="preserve"> - Vật liệu khác</v>
      </c>
      <c r="E196" s="168" t="str">
        <f>'Vật liệu'!E766</f>
        <v>%</v>
      </c>
      <c r="F196" s="60"/>
      <c r="G196" s="60">
        <v>0.2</v>
      </c>
      <c r="H196" s="60"/>
      <c r="I196" s="60"/>
      <c r="J196" s="60"/>
      <c r="K196" s="60"/>
      <c r="L196" s="60"/>
    </row>
    <row r="197" spans="1:12" x14ac:dyDescent="0.25">
      <c r="A197" s="56"/>
      <c r="B197" s="23"/>
      <c r="C197" s="88"/>
      <c r="D197" s="23" t="s">
        <v>202</v>
      </c>
      <c r="E197" s="56"/>
      <c r="F197" s="118"/>
      <c r="G197" s="118"/>
      <c r="H197" s="118"/>
      <c r="I197" s="118"/>
      <c r="J197" s="118"/>
      <c r="K197" s="118"/>
      <c r="L197" s="118"/>
    </row>
    <row r="198" spans="1:12" x14ac:dyDescent="0.25">
      <c r="A198" s="168"/>
      <c r="B198" s="144" t="str">
        <f>'Nhân công'!B103</f>
        <v>N0015</v>
      </c>
      <c r="C198" s="34">
        <v>554</v>
      </c>
      <c r="D198" s="144" t="s">
        <v>1014</v>
      </c>
      <c r="E198" s="168" t="str">
        <f>'Nhân công'!G103</f>
        <v>công</v>
      </c>
      <c r="F198" s="60"/>
      <c r="G198" s="60"/>
      <c r="H198" s="60">
        <v>1.08</v>
      </c>
      <c r="I198" s="60"/>
      <c r="J198" s="60"/>
      <c r="K198" s="60">
        <f>ROUND(F193*H198,4)</f>
        <v>8.7479999999999993</v>
      </c>
      <c r="L198" s="60"/>
    </row>
    <row r="199" spans="1:12" ht="28.5" x14ac:dyDescent="0.25">
      <c r="A199" s="65">
        <f>'Công trình'!A30</f>
        <v>19</v>
      </c>
      <c r="B199" s="14" t="str">
        <f>'Công trình'!B30</f>
        <v>AF.12113</v>
      </c>
      <c r="C199" s="94"/>
      <c r="D199" s="14" t="str">
        <f>'Công trình'!C30</f>
        <v>Bê tông tường dày &lt;=45cm, chiều cao &lt;=4m đá 1x2, vữa BT mác 200</v>
      </c>
      <c r="E199" s="46" t="str">
        <f>'Công trình'!D30</f>
        <v>m3</v>
      </c>
      <c r="F199" s="106">
        <f>'Công trình'!K30</f>
        <v>26.18</v>
      </c>
      <c r="G199" s="126"/>
      <c r="H199" s="126"/>
      <c r="I199" s="126"/>
      <c r="J199" s="126"/>
      <c r="K199" s="126"/>
      <c r="L199" s="126"/>
    </row>
    <row r="200" spans="1:12" x14ac:dyDescent="0.25">
      <c r="A200" s="56"/>
      <c r="B200" s="23"/>
      <c r="C200" s="88"/>
      <c r="D200" s="23" t="s">
        <v>479</v>
      </c>
      <c r="E200" s="56"/>
      <c r="F200" s="118"/>
      <c r="G200" s="118"/>
      <c r="H200" s="118"/>
      <c r="I200" s="118"/>
      <c r="J200" s="118"/>
      <c r="K200" s="118"/>
      <c r="L200" s="118"/>
    </row>
    <row r="201" spans="1:12" x14ac:dyDescent="0.25">
      <c r="A201" s="168"/>
      <c r="B201" s="144" t="str">
        <f>'Vật liệu'!B275</f>
        <v>V00784</v>
      </c>
      <c r="C201" s="34">
        <v>403</v>
      </c>
      <c r="D201" s="144" t="str">
        <f>" - " &amp; 'Vật liệu'!D275</f>
        <v xml:space="preserve"> - Đinh đỉa</v>
      </c>
      <c r="E201" s="168" t="str">
        <f>'Vật liệu'!E275</f>
        <v>cái</v>
      </c>
      <c r="F201" s="60"/>
      <c r="G201" s="60">
        <v>0.871</v>
      </c>
      <c r="H201" s="60"/>
      <c r="I201" s="60"/>
      <c r="J201" s="60">
        <f>ROUND(F199*G201,4)</f>
        <v>22.802800000000001</v>
      </c>
      <c r="K201" s="60"/>
      <c r="L201" s="60"/>
    </row>
    <row r="202" spans="1:12" x14ac:dyDescent="0.25">
      <c r="A202" s="168"/>
      <c r="B202" s="144" t="str">
        <f>'Vật liệu'!B268</f>
        <v>V00772</v>
      </c>
      <c r="C202" s="34">
        <v>401</v>
      </c>
      <c r="D202" s="144" t="str">
        <f>" - " &amp; 'Vật liệu'!D268</f>
        <v xml:space="preserve"> - Đinh</v>
      </c>
      <c r="E202" s="168" t="str">
        <f>'Vật liệu'!E268</f>
        <v>kg</v>
      </c>
      <c r="F202" s="60"/>
      <c r="G202" s="60">
        <v>0.19900000000000001</v>
      </c>
      <c r="H202" s="60"/>
      <c r="I202" s="60"/>
      <c r="J202" s="60">
        <f>ROUND(F199*G202,4)</f>
        <v>5.2098000000000004</v>
      </c>
      <c r="K202" s="60"/>
      <c r="L202" s="60"/>
    </row>
    <row r="203" spans="1:12" x14ac:dyDescent="0.25">
      <c r="A203" s="168"/>
      <c r="B203" s="144" t="str">
        <f>'Vật liệu'!B721</f>
        <v>V00761</v>
      </c>
      <c r="C203" s="34">
        <v>397</v>
      </c>
      <c r="D203" s="144" t="str">
        <f>" - " &amp; 'Vật liệu'!D721</f>
        <v xml:space="preserve"> - Xi măng PC40</v>
      </c>
      <c r="E203" s="168" t="str">
        <f>'Vật liệu'!E721</f>
        <v>kg</v>
      </c>
      <c r="F203" s="60"/>
      <c r="G203" s="60">
        <v>288.02499999999998</v>
      </c>
      <c r="H203" s="60"/>
      <c r="I203" s="60"/>
      <c r="J203" s="60">
        <f>ROUND(F199*G203,4)</f>
        <v>7540.4944999999998</v>
      </c>
      <c r="K203" s="60"/>
      <c r="L203" s="60"/>
    </row>
    <row r="204" spans="1:12" x14ac:dyDescent="0.25">
      <c r="A204" s="168"/>
      <c r="B204" s="144" t="str">
        <f>'Vật liệu'!B54</f>
        <v>V00112</v>
      </c>
      <c r="C204" s="34">
        <v>125</v>
      </c>
      <c r="D204" s="144" t="str">
        <f>" - " &amp; 'Vật liệu'!D54</f>
        <v xml:space="preserve"> - Cát vàng</v>
      </c>
      <c r="E204" s="168" t="str">
        <f>'Vật liệu'!E54</f>
        <v>m3</v>
      </c>
      <c r="F204" s="60"/>
      <c r="G204" s="60">
        <v>0.50529999999999997</v>
      </c>
      <c r="H204" s="60"/>
      <c r="I204" s="60"/>
      <c r="J204" s="60">
        <f>ROUND(F199*G204,4)</f>
        <v>13.2288</v>
      </c>
      <c r="K204" s="60"/>
      <c r="L204" s="60"/>
    </row>
    <row r="205" spans="1:12" x14ac:dyDescent="0.25">
      <c r="A205" s="168"/>
      <c r="B205" s="144" t="str">
        <f>'Vật liệu'!B142</f>
        <v>V05207</v>
      </c>
      <c r="C205" s="34">
        <v>416</v>
      </c>
      <c r="D205" s="144" t="str">
        <f>" - " &amp; 'Vật liệu'!D142</f>
        <v xml:space="preserve"> - Đá 1x2</v>
      </c>
      <c r="E205" s="168" t="str">
        <f>'Vật liệu'!E142</f>
        <v>m3</v>
      </c>
      <c r="F205" s="60"/>
      <c r="G205" s="60">
        <v>0.9133</v>
      </c>
      <c r="H205" s="60"/>
      <c r="I205" s="60"/>
      <c r="J205" s="60">
        <f>ROUND(F199*G205,4)</f>
        <v>23.9102</v>
      </c>
      <c r="K205" s="60"/>
      <c r="L205" s="60"/>
    </row>
    <row r="206" spans="1:12" x14ac:dyDescent="0.25">
      <c r="A206" s="168"/>
      <c r="B206" s="144" t="str">
        <f>'Vật liệu'!B353</f>
        <v>V00494</v>
      </c>
      <c r="C206" s="34">
        <v>148</v>
      </c>
      <c r="D206" s="144" t="str">
        <f>" - " &amp; 'Vật liệu'!D353</f>
        <v xml:space="preserve"> - Nước</v>
      </c>
      <c r="E206" s="168" t="str">
        <f>'Vật liệu'!E353</f>
        <v>lít</v>
      </c>
      <c r="F206" s="60"/>
      <c r="G206" s="60">
        <v>189.625</v>
      </c>
      <c r="H206" s="60"/>
      <c r="I206" s="60"/>
      <c r="J206" s="60">
        <f>ROUND(F199*G206,4)</f>
        <v>4964.3824999999997</v>
      </c>
      <c r="K206" s="60"/>
      <c r="L206" s="60"/>
    </row>
    <row r="207" spans="1:12" x14ac:dyDescent="0.25">
      <c r="A207" s="168"/>
      <c r="B207" s="144" t="str">
        <f>'Vật liệu'!B314</f>
        <v>V00404</v>
      </c>
      <c r="C207" s="34">
        <v>144</v>
      </c>
      <c r="D207" s="144" t="str">
        <f>" - " &amp; 'Vật liệu'!D314</f>
        <v xml:space="preserve"> - Gỗ ván cầu công tác</v>
      </c>
      <c r="E207" s="168" t="str">
        <f>'Vật liệu'!E314</f>
        <v>m3</v>
      </c>
      <c r="F207" s="60"/>
      <c r="G207" s="60">
        <v>4.9000000000000002E-2</v>
      </c>
      <c r="H207" s="60"/>
      <c r="I207" s="60"/>
      <c r="J207" s="60">
        <f>ROUND(F199*G207,4)</f>
        <v>1.2827999999999999</v>
      </c>
      <c r="K207" s="60"/>
      <c r="L207" s="60"/>
    </row>
    <row r="208" spans="1:12" x14ac:dyDescent="0.25">
      <c r="A208" s="168"/>
      <c r="B208" s="144" t="str">
        <f>'Vật liệu'!B766</f>
        <v>V00750</v>
      </c>
      <c r="C208" s="34">
        <v>190</v>
      </c>
      <c r="D208" s="144" t="str">
        <f>" - " &amp; 'Vật liệu'!D766</f>
        <v xml:space="preserve"> - Vật liệu khác</v>
      </c>
      <c r="E208" s="168" t="str">
        <f>'Vật liệu'!E766</f>
        <v>%</v>
      </c>
      <c r="F208" s="60"/>
      <c r="G208" s="60">
        <v>2</v>
      </c>
      <c r="H208" s="60"/>
      <c r="I208" s="60"/>
      <c r="J208" s="60"/>
      <c r="K208" s="60"/>
      <c r="L208" s="60"/>
    </row>
    <row r="209" spans="1:12" x14ac:dyDescent="0.25">
      <c r="A209" s="56"/>
      <c r="B209" s="23"/>
      <c r="C209" s="88"/>
      <c r="D209" s="23" t="s">
        <v>202</v>
      </c>
      <c r="E209" s="56"/>
      <c r="F209" s="118"/>
      <c r="G209" s="118"/>
      <c r="H209" s="118"/>
      <c r="I209" s="118"/>
      <c r="J209" s="118"/>
      <c r="K209" s="118"/>
      <c r="L209" s="118"/>
    </row>
    <row r="210" spans="1:12" x14ac:dyDescent="0.25">
      <c r="A210" s="168"/>
      <c r="B210" s="144" t="str">
        <f>'Nhân công'!B45</f>
        <v>N0009</v>
      </c>
      <c r="C210" s="34">
        <v>546</v>
      </c>
      <c r="D210" s="144" t="s">
        <v>1052</v>
      </c>
      <c r="E210" s="168" t="str">
        <f>'Nhân công'!G45</f>
        <v>công</v>
      </c>
      <c r="F210" s="60"/>
      <c r="G210" s="60"/>
      <c r="H210" s="60">
        <v>3.56</v>
      </c>
      <c r="I210" s="60"/>
      <c r="J210" s="60"/>
      <c r="K210" s="60">
        <f>ROUND(F199*H210,4)</f>
        <v>93.200800000000001</v>
      </c>
      <c r="L210" s="60"/>
    </row>
    <row r="211" spans="1:12" x14ac:dyDescent="0.25">
      <c r="A211" s="56"/>
      <c r="B211" s="23"/>
      <c r="C211" s="88"/>
      <c r="D211" s="23" t="s">
        <v>378</v>
      </c>
      <c r="E211" s="56"/>
      <c r="F211" s="118"/>
      <c r="G211" s="118"/>
      <c r="H211" s="118"/>
      <c r="I211" s="118"/>
      <c r="J211" s="118"/>
      <c r="K211" s="118"/>
      <c r="L211" s="118"/>
    </row>
    <row r="212" spans="1:12" x14ac:dyDescent="0.25">
      <c r="A212" s="168"/>
      <c r="B212" s="144" t="str">
        <f>'Máy thi công'!B232</f>
        <v>M9571</v>
      </c>
      <c r="C212" s="34">
        <v>750</v>
      </c>
      <c r="D212" s="144" t="str">
        <f>" - " &amp; 'Máy thi công'!D232</f>
        <v xml:space="preserve"> - Máy đầm bê tông, dầm dùi - công suất: 1,5 kW</v>
      </c>
      <c r="E212" s="168" t="str">
        <f>'Máy thi công'!E232</f>
        <v>ca</v>
      </c>
      <c r="F212" s="60"/>
      <c r="G212" s="60"/>
      <c r="H212" s="60"/>
      <c r="I212" s="60">
        <v>0.18</v>
      </c>
      <c r="J212" s="60"/>
      <c r="K212" s="60"/>
      <c r="L212" s="60">
        <f>ROUND(F199*I212,4)</f>
        <v>4.7123999999999997</v>
      </c>
    </row>
    <row r="213" spans="1:12" x14ac:dyDescent="0.25">
      <c r="A213" s="168"/>
      <c r="B213" s="144" t="str">
        <f>'Máy thi công'!B306</f>
        <v>M9555</v>
      </c>
      <c r="C213" s="34">
        <v>744</v>
      </c>
      <c r="D213" s="144" t="str">
        <f>" - " &amp; 'Máy thi công'!D306</f>
        <v xml:space="preserve"> - Máy trộn bê tông - dung tích: 250 lít</v>
      </c>
      <c r="E213" s="168" t="str">
        <f>'Máy thi công'!E306</f>
        <v>ca</v>
      </c>
      <c r="F213" s="60"/>
      <c r="G213" s="60"/>
      <c r="H213" s="60"/>
      <c r="I213" s="60">
        <v>9.5000000000000001E-2</v>
      </c>
      <c r="J213" s="60"/>
      <c r="K213" s="60"/>
      <c r="L213" s="60">
        <f>ROUND(F199*I213,4)</f>
        <v>2.4870999999999999</v>
      </c>
    </row>
    <row r="214" spans="1:12" ht="28.5" x14ac:dyDescent="0.25">
      <c r="A214" s="65">
        <f>'Công trình'!A31</f>
        <v>20</v>
      </c>
      <c r="B214" s="14" t="str">
        <f>'Công trình'!B31</f>
        <v>AF.82111</v>
      </c>
      <c r="C214" s="94"/>
      <c r="D214" s="14" t="str">
        <f>'Công trình'!C31</f>
        <v>Sản xuất, lắp dựng tháo dỡ ván khuôn thép tường, chiều cao &lt;=16m</v>
      </c>
      <c r="E214" s="46" t="str">
        <f>'Công trình'!D31</f>
        <v>100m2</v>
      </c>
      <c r="F214" s="106">
        <f>'Công trình'!K31</f>
        <v>1.1636</v>
      </c>
      <c r="G214" s="126"/>
      <c r="H214" s="126"/>
      <c r="I214" s="126"/>
      <c r="J214" s="126"/>
      <c r="K214" s="126"/>
      <c r="L214" s="126"/>
    </row>
    <row r="215" spans="1:12" x14ac:dyDescent="0.25">
      <c r="A215" s="56"/>
      <c r="B215" s="23"/>
      <c r="C215" s="88"/>
      <c r="D215" s="23" t="s">
        <v>479</v>
      </c>
      <c r="E215" s="56"/>
      <c r="F215" s="118"/>
      <c r="G215" s="118"/>
      <c r="H215" s="118"/>
      <c r="I215" s="118"/>
      <c r="J215" s="118"/>
      <c r="K215" s="118"/>
      <c r="L215" s="118"/>
    </row>
    <row r="216" spans="1:12" x14ac:dyDescent="0.25">
      <c r="A216" s="168"/>
      <c r="B216" s="144" t="str">
        <f>'Vật liệu'!B450</f>
        <v>V00515</v>
      </c>
      <c r="C216" s="34">
        <v>154</v>
      </c>
      <c r="D216" s="144" t="str">
        <f>" - " &amp; 'Vật liệu'!D450</f>
        <v xml:space="preserve"> - Que hàn</v>
      </c>
      <c r="E216" s="168" t="str">
        <f>'Vật liệu'!E450</f>
        <v>kg</v>
      </c>
      <c r="F216" s="60"/>
      <c r="G216" s="60">
        <v>5.6</v>
      </c>
      <c r="H216" s="60"/>
      <c r="I216" s="60"/>
      <c r="J216" s="60">
        <f>ROUND(F214*G216,4)</f>
        <v>6.5162000000000004</v>
      </c>
      <c r="K216" s="60"/>
      <c r="L216" s="60"/>
    </row>
    <row r="217" spans="1:12" x14ac:dyDescent="0.25">
      <c r="A217" s="168"/>
      <c r="B217" s="144" t="str">
        <f>'Vật liệu'!B294</f>
        <v>V00390</v>
      </c>
      <c r="C217" s="34">
        <v>140</v>
      </c>
      <c r="D217" s="144" t="str">
        <f>" - " &amp; 'Vật liệu'!D294</f>
        <v xml:space="preserve"> - Gỗ chống</v>
      </c>
      <c r="E217" s="168" t="str">
        <f>'Vật liệu'!E294</f>
        <v>m3</v>
      </c>
      <c r="F217" s="60"/>
      <c r="G217" s="60">
        <v>0.496</v>
      </c>
      <c r="H217" s="60"/>
      <c r="I217" s="60"/>
      <c r="J217" s="60">
        <f>ROUND(F214*G217,4)</f>
        <v>0.57709999999999995</v>
      </c>
      <c r="K217" s="60"/>
      <c r="L217" s="60"/>
    </row>
    <row r="218" spans="1:12" x14ac:dyDescent="0.25">
      <c r="A218" s="168"/>
      <c r="B218" s="144" t="str">
        <f>'Vật liệu'!B606</f>
        <v>V00671</v>
      </c>
      <c r="C218" s="34">
        <v>166</v>
      </c>
      <c r="D218" s="144" t="str">
        <f>" - " &amp; 'Vật liệu'!D606</f>
        <v xml:space="preserve"> - Thép tấm</v>
      </c>
      <c r="E218" s="168" t="str">
        <f>'Vật liệu'!E606</f>
        <v>kg</v>
      </c>
      <c r="F218" s="60"/>
      <c r="G218" s="60">
        <v>51.81</v>
      </c>
      <c r="H218" s="60"/>
      <c r="I218" s="60"/>
      <c r="J218" s="60">
        <f>ROUND(F214*G218,4)</f>
        <v>60.286099999999998</v>
      </c>
      <c r="K218" s="60"/>
      <c r="L218" s="60"/>
    </row>
    <row r="219" spans="1:12" x14ac:dyDescent="0.25">
      <c r="A219" s="168"/>
      <c r="B219" s="144" t="str">
        <f>'Vật liệu'!B556</f>
        <v>V00641</v>
      </c>
      <c r="C219" s="34">
        <v>160</v>
      </c>
      <c r="D219" s="144" t="str">
        <f>" - " &amp; 'Vật liệu'!D556</f>
        <v xml:space="preserve"> - Thép hình</v>
      </c>
      <c r="E219" s="168" t="str">
        <f>'Vật liệu'!E556</f>
        <v>kg</v>
      </c>
      <c r="F219" s="60"/>
      <c r="G219" s="60">
        <v>48.84</v>
      </c>
      <c r="H219" s="60"/>
      <c r="I219" s="60"/>
      <c r="J219" s="60">
        <f>ROUND(F214*G219,4)</f>
        <v>56.830199999999998</v>
      </c>
      <c r="K219" s="60"/>
      <c r="L219" s="60"/>
    </row>
    <row r="220" spans="1:12" x14ac:dyDescent="0.25">
      <c r="A220" s="168"/>
      <c r="B220" s="144" t="str">
        <f>'Vật liệu'!B766</f>
        <v>V00750</v>
      </c>
      <c r="C220" s="34">
        <v>191</v>
      </c>
      <c r="D220" s="144" t="str">
        <f>" - " &amp; 'Vật liệu'!D766</f>
        <v xml:space="preserve"> - Vật liệu khác</v>
      </c>
      <c r="E220" s="168" t="str">
        <f>'Vật liệu'!E766</f>
        <v>%</v>
      </c>
      <c r="F220" s="60"/>
      <c r="G220" s="60">
        <v>5</v>
      </c>
      <c r="H220" s="60"/>
      <c r="I220" s="60"/>
      <c r="J220" s="60"/>
      <c r="K220" s="60"/>
      <c r="L220" s="60"/>
    </row>
    <row r="221" spans="1:12" x14ac:dyDescent="0.25">
      <c r="A221" s="56"/>
      <c r="B221" s="23"/>
      <c r="C221" s="88"/>
      <c r="D221" s="23" t="s">
        <v>202</v>
      </c>
      <c r="E221" s="56"/>
      <c r="F221" s="118"/>
      <c r="G221" s="118"/>
      <c r="H221" s="118"/>
      <c r="I221" s="118"/>
      <c r="J221" s="118"/>
      <c r="K221" s="118"/>
      <c r="L221" s="118"/>
    </row>
    <row r="222" spans="1:12" x14ac:dyDescent="0.25">
      <c r="A222" s="168"/>
      <c r="B222" s="144" t="str">
        <f>'Nhân công'!B130</f>
        <v>N0011</v>
      </c>
      <c r="C222" s="34">
        <v>550</v>
      </c>
      <c r="D222" s="144" t="s">
        <v>671</v>
      </c>
      <c r="E222" s="168" t="str">
        <f>'Nhân công'!G130</f>
        <v>công</v>
      </c>
      <c r="F222" s="60"/>
      <c r="G222" s="60"/>
      <c r="H222" s="60">
        <v>38.28</v>
      </c>
      <c r="I222" s="60"/>
      <c r="J222" s="60"/>
      <c r="K222" s="60">
        <f>ROUND(F214*H222,4)</f>
        <v>44.5426</v>
      </c>
      <c r="L222" s="60"/>
    </row>
    <row r="223" spans="1:12" x14ac:dyDescent="0.25">
      <c r="A223" s="56"/>
      <c r="B223" s="23"/>
      <c r="C223" s="88"/>
      <c r="D223" s="23" t="s">
        <v>378</v>
      </c>
      <c r="E223" s="56"/>
      <c r="F223" s="118"/>
      <c r="G223" s="118"/>
      <c r="H223" s="118"/>
      <c r="I223" s="118"/>
      <c r="J223" s="118"/>
      <c r="K223" s="118"/>
      <c r="L223" s="118"/>
    </row>
    <row r="224" spans="1:12" x14ac:dyDescent="0.25">
      <c r="A224" s="168"/>
      <c r="B224" s="144" t="str">
        <f>'Máy thi công'!B358</f>
        <v>M9560</v>
      </c>
      <c r="C224" s="34">
        <v>746</v>
      </c>
      <c r="D224" s="144" t="str">
        <f>" - " &amp; 'Máy thi công'!D358</f>
        <v xml:space="preserve"> - Máy vận thăng - sức nâng: 0,8 t - H nâng 80 m</v>
      </c>
      <c r="E224" s="168" t="str">
        <f>'Máy thi công'!E358</f>
        <v>ca</v>
      </c>
      <c r="F224" s="60"/>
      <c r="G224" s="60"/>
      <c r="H224" s="60"/>
      <c r="I224" s="60">
        <v>0</v>
      </c>
      <c r="J224" s="60"/>
      <c r="K224" s="60"/>
      <c r="L224" s="60">
        <f>ROUND(F214*I224,4)</f>
        <v>0</v>
      </c>
    </row>
    <row r="225" spans="1:12" x14ac:dyDescent="0.25">
      <c r="A225" s="168"/>
      <c r="B225" s="144" t="str">
        <f>'Máy thi công'!B6</f>
        <v>M9438</v>
      </c>
      <c r="C225" s="34">
        <v>714</v>
      </c>
      <c r="D225" s="144" t="str">
        <f>" - " &amp; 'Máy thi công'!D6</f>
        <v xml:space="preserve"> - Biến thế hàn xoay chiều - công suất: 23 kW</v>
      </c>
      <c r="E225" s="168" t="str">
        <f>'Máy thi công'!E6</f>
        <v>ca</v>
      </c>
      <c r="F225" s="60"/>
      <c r="G225" s="60"/>
      <c r="H225" s="60"/>
      <c r="I225" s="60">
        <v>1.5</v>
      </c>
      <c r="J225" s="60"/>
      <c r="K225" s="60"/>
      <c r="L225" s="60">
        <f>ROUND(F214*I225,4)</f>
        <v>1.7454000000000001</v>
      </c>
    </row>
    <row r="226" spans="1:12" x14ac:dyDescent="0.25">
      <c r="A226" s="168"/>
      <c r="B226" s="144" t="str">
        <f>'Máy thi công'!B398</f>
        <v>M0111</v>
      </c>
      <c r="C226" s="34">
        <v>569</v>
      </c>
      <c r="D226" s="144" t="str">
        <f>" - " &amp; 'Máy thi công'!D398</f>
        <v xml:space="preserve"> - Máy khác</v>
      </c>
      <c r="E226" s="168" t="str">
        <f>'Máy thi công'!E398</f>
        <v>%</v>
      </c>
      <c r="F226" s="60"/>
      <c r="G226" s="60"/>
      <c r="H226" s="60"/>
      <c r="I226" s="60">
        <v>2</v>
      </c>
      <c r="J226" s="60"/>
      <c r="K226" s="60"/>
      <c r="L226" s="60"/>
    </row>
    <row r="227" spans="1:12" ht="28.5" x14ac:dyDescent="0.25">
      <c r="A227" s="65">
        <f>'Công trình'!A32</f>
        <v>21</v>
      </c>
      <c r="B227" s="14" t="str">
        <f>'Công trình'!B32</f>
        <v>AF.61311</v>
      </c>
      <c r="C227" s="94"/>
      <c r="D227" s="14" t="str">
        <f>'Công trình'!C32</f>
        <v>Sản xuất, lắp dựng cốt thép tường đường kính &lt;=10mm, chiều cao &lt;=4m</v>
      </c>
      <c r="E227" s="46" t="str">
        <f>'Công trình'!D32</f>
        <v>tấn</v>
      </c>
      <c r="F227" s="106">
        <f>'Công trình'!K32</f>
        <v>0.87519999999999998</v>
      </c>
      <c r="G227" s="126"/>
      <c r="H227" s="126"/>
      <c r="I227" s="126"/>
      <c r="J227" s="126"/>
      <c r="K227" s="126"/>
      <c r="L227" s="126"/>
    </row>
    <row r="228" spans="1:12" x14ac:dyDescent="0.25">
      <c r="A228" s="56"/>
      <c r="B228" s="23"/>
      <c r="C228" s="88"/>
      <c r="D228" s="23" t="s">
        <v>479</v>
      </c>
      <c r="E228" s="56"/>
      <c r="F228" s="118"/>
      <c r="G228" s="118"/>
      <c r="H228" s="118"/>
      <c r="I228" s="118"/>
      <c r="J228" s="118"/>
      <c r="K228" s="118"/>
      <c r="L228" s="118"/>
    </row>
    <row r="229" spans="1:12" x14ac:dyDescent="0.25">
      <c r="A229" s="168"/>
      <c r="B229" s="144" t="str">
        <f>'Vật liệu'!B221</f>
        <v>V00226</v>
      </c>
      <c r="C229" s="34">
        <v>135</v>
      </c>
      <c r="D229" s="144" t="str">
        <f>" - " &amp; 'Vật liệu'!D221</f>
        <v xml:space="preserve"> - Dây thép</v>
      </c>
      <c r="E229" s="168" t="str">
        <f>'Vật liệu'!E221</f>
        <v>kg</v>
      </c>
      <c r="F229" s="60"/>
      <c r="G229" s="60">
        <v>21.42</v>
      </c>
      <c r="H229" s="60"/>
      <c r="I229" s="60"/>
      <c r="J229" s="60">
        <f>ROUND(F227*G229,4)</f>
        <v>18.7468</v>
      </c>
      <c r="K229" s="60"/>
      <c r="L229" s="60"/>
    </row>
    <row r="230" spans="1:12" x14ac:dyDescent="0.25">
      <c r="A230" s="168"/>
      <c r="B230" s="144" t="str">
        <f>'Vật liệu'!B650</f>
        <v>V48494</v>
      </c>
      <c r="C230" s="34">
        <v>484</v>
      </c>
      <c r="D230" s="144" t="str">
        <f>" - " &amp; 'Vật liệu'!D650</f>
        <v xml:space="preserve"> - Thép tròn đường kính &lt;=10 mm</v>
      </c>
      <c r="E230" s="168" t="str">
        <f>'Vật liệu'!E650</f>
        <v>kg</v>
      </c>
      <c r="F230" s="60"/>
      <c r="G230" s="60">
        <v>1005</v>
      </c>
      <c r="H230" s="60"/>
      <c r="I230" s="60"/>
      <c r="J230" s="60">
        <f>ROUND(F227*G230,4)</f>
        <v>879.57600000000002</v>
      </c>
      <c r="K230" s="60"/>
      <c r="L230" s="60"/>
    </row>
    <row r="231" spans="1:12" x14ac:dyDescent="0.25">
      <c r="A231" s="56"/>
      <c r="B231" s="23"/>
      <c r="C231" s="88"/>
      <c r="D231" s="23" t="s">
        <v>202</v>
      </c>
      <c r="E231" s="56"/>
      <c r="F231" s="118"/>
      <c r="G231" s="118"/>
      <c r="H231" s="118"/>
      <c r="I231" s="118"/>
      <c r="J231" s="118"/>
      <c r="K231" s="118"/>
      <c r="L231" s="118"/>
    </row>
    <row r="232" spans="1:12" x14ac:dyDescent="0.25">
      <c r="A232" s="168"/>
      <c r="B232" s="144" t="str">
        <f>'Nhân công'!B45</f>
        <v>N0009</v>
      </c>
      <c r="C232" s="34">
        <v>546</v>
      </c>
      <c r="D232" s="144" t="s">
        <v>1052</v>
      </c>
      <c r="E232" s="168" t="str">
        <f>'Nhân công'!G45</f>
        <v>công</v>
      </c>
      <c r="F232" s="60"/>
      <c r="G232" s="60"/>
      <c r="H232" s="60">
        <v>13.63</v>
      </c>
      <c r="I232" s="60"/>
      <c r="J232" s="60"/>
      <c r="K232" s="60">
        <f>ROUND(F227*H232,4)</f>
        <v>11.929</v>
      </c>
      <c r="L232" s="60"/>
    </row>
    <row r="233" spans="1:12" x14ac:dyDescent="0.25">
      <c r="A233" s="56"/>
      <c r="B233" s="23"/>
      <c r="C233" s="88"/>
      <c r="D233" s="23" t="s">
        <v>378</v>
      </c>
      <c r="E233" s="56"/>
      <c r="F233" s="118"/>
      <c r="G233" s="118"/>
      <c r="H233" s="118"/>
      <c r="I233" s="118"/>
      <c r="J233" s="118"/>
      <c r="K233" s="118"/>
      <c r="L233" s="118"/>
    </row>
    <row r="234" spans="1:12" x14ac:dyDescent="0.25">
      <c r="A234" s="168"/>
      <c r="B234" s="144" t="str">
        <f>'Máy thi công'!B184</f>
        <v>M9521</v>
      </c>
      <c r="C234" s="34">
        <v>737</v>
      </c>
      <c r="D234" s="144" t="str">
        <f>" - " &amp; 'Máy thi công'!D184</f>
        <v xml:space="preserve"> - Máy cắt uốn cốt thép - công suất: 5 kW</v>
      </c>
      <c r="E234" s="168" t="str">
        <f>'Máy thi công'!E184</f>
        <v>ca</v>
      </c>
      <c r="F234" s="60"/>
      <c r="G234" s="60"/>
      <c r="H234" s="60"/>
      <c r="I234" s="60">
        <v>0.4</v>
      </c>
      <c r="J234" s="60"/>
      <c r="K234" s="60"/>
      <c r="L234" s="60">
        <f>ROUND(F227*I234,4)</f>
        <v>0.35010000000000002</v>
      </c>
    </row>
    <row r="235" spans="1:12" ht="28.5" x14ac:dyDescent="0.25">
      <c r="A235" s="65">
        <f>'Công trình'!A33</f>
        <v>22</v>
      </c>
      <c r="B235" s="14" t="str">
        <f>'Công trình'!B33</f>
        <v>AF.61321</v>
      </c>
      <c r="C235" s="94"/>
      <c r="D235" s="14" t="str">
        <f>'Công trình'!C33</f>
        <v>Sản xuất, lắp dựng cốt thép tường đường kính &lt;=18mm, chiều cao &lt;=4m</v>
      </c>
      <c r="E235" s="46" t="str">
        <f>'Công trình'!D33</f>
        <v>tấn</v>
      </c>
      <c r="F235" s="106">
        <f>'Công trình'!K33</f>
        <v>0.84519999999999995</v>
      </c>
      <c r="G235" s="126"/>
      <c r="H235" s="126"/>
      <c r="I235" s="126"/>
      <c r="J235" s="126"/>
      <c r="K235" s="126"/>
      <c r="L235" s="126"/>
    </row>
    <row r="236" spans="1:12" x14ac:dyDescent="0.25">
      <c r="A236" s="56"/>
      <c r="B236" s="23"/>
      <c r="C236" s="88"/>
      <c r="D236" s="23" t="s">
        <v>479</v>
      </c>
      <c r="E236" s="56"/>
      <c r="F236" s="118"/>
      <c r="G236" s="118"/>
      <c r="H236" s="118"/>
      <c r="I236" s="118"/>
      <c r="J236" s="118"/>
      <c r="K236" s="118"/>
      <c r="L236" s="118"/>
    </row>
    <row r="237" spans="1:12" x14ac:dyDescent="0.25">
      <c r="A237" s="168"/>
      <c r="B237" s="144" t="str">
        <f>'Vật liệu'!B450</f>
        <v>V00515</v>
      </c>
      <c r="C237" s="34">
        <v>154</v>
      </c>
      <c r="D237" s="144" t="str">
        <f>" - " &amp; 'Vật liệu'!D450</f>
        <v xml:space="preserve"> - Que hàn</v>
      </c>
      <c r="E237" s="168" t="str">
        <f>'Vật liệu'!E450</f>
        <v>kg</v>
      </c>
      <c r="F237" s="60"/>
      <c r="G237" s="60">
        <v>4.6399999999999997</v>
      </c>
      <c r="H237" s="60"/>
      <c r="I237" s="60"/>
      <c r="J237" s="60">
        <f>ROUND(F235*G237,4)</f>
        <v>3.9217</v>
      </c>
      <c r="K237" s="60"/>
      <c r="L237" s="60"/>
    </row>
    <row r="238" spans="1:12" x14ac:dyDescent="0.25">
      <c r="A238" s="168"/>
      <c r="B238" s="144" t="str">
        <f>'Vật liệu'!B221</f>
        <v>V00226</v>
      </c>
      <c r="C238" s="34">
        <v>135</v>
      </c>
      <c r="D238" s="144" t="str">
        <f>" - " &amp; 'Vật liệu'!D221</f>
        <v xml:space="preserve"> - Dây thép</v>
      </c>
      <c r="E238" s="168" t="str">
        <f>'Vật liệu'!E221</f>
        <v>kg</v>
      </c>
      <c r="F238" s="60"/>
      <c r="G238" s="60">
        <v>14.28</v>
      </c>
      <c r="H238" s="60"/>
      <c r="I238" s="60"/>
      <c r="J238" s="60">
        <f>ROUND(F235*G238,4)</f>
        <v>12.0695</v>
      </c>
      <c r="K238" s="60"/>
      <c r="L238" s="60"/>
    </row>
    <row r="239" spans="1:12" x14ac:dyDescent="0.25">
      <c r="A239" s="168"/>
      <c r="B239" s="144" t="str">
        <f>'Vật liệu'!B665</f>
        <v>V48495</v>
      </c>
      <c r="C239" s="34">
        <v>485</v>
      </c>
      <c r="D239" s="144" t="str">
        <f>" - " &amp; 'Vật liệu'!D665</f>
        <v xml:space="preserve"> - Thép tròn đường kính &lt;=18mm</v>
      </c>
      <c r="E239" s="168" t="str">
        <f>'Vật liệu'!E665</f>
        <v>kg</v>
      </c>
      <c r="F239" s="60"/>
      <c r="G239" s="60">
        <v>1020</v>
      </c>
      <c r="H239" s="60"/>
      <c r="I239" s="60"/>
      <c r="J239" s="60">
        <f>ROUND(F235*G239,4)</f>
        <v>862.10400000000004</v>
      </c>
      <c r="K239" s="60"/>
      <c r="L239" s="60"/>
    </row>
    <row r="240" spans="1:12" x14ac:dyDescent="0.25">
      <c r="A240" s="56"/>
      <c r="B240" s="23"/>
      <c r="C240" s="88"/>
      <c r="D240" s="23" t="s">
        <v>202</v>
      </c>
      <c r="E240" s="56"/>
      <c r="F240" s="118"/>
      <c r="G240" s="118"/>
      <c r="H240" s="118"/>
      <c r="I240" s="118"/>
      <c r="J240" s="118"/>
      <c r="K240" s="118"/>
      <c r="L240" s="118"/>
    </row>
    <row r="241" spans="1:12" x14ac:dyDescent="0.25">
      <c r="A241" s="168"/>
      <c r="B241" s="144" t="str">
        <f>'Nhân công'!B45</f>
        <v>N0009</v>
      </c>
      <c r="C241" s="34">
        <v>546</v>
      </c>
      <c r="D241" s="144" t="s">
        <v>1052</v>
      </c>
      <c r="E241" s="168" t="str">
        <f>'Nhân công'!G45</f>
        <v>công</v>
      </c>
      <c r="F241" s="60"/>
      <c r="G241" s="60"/>
      <c r="H241" s="60">
        <v>11.17</v>
      </c>
      <c r="I241" s="60"/>
      <c r="J241" s="60"/>
      <c r="K241" s="60">
        <f>ROUND(F235*H241,4)</f>
        <v>9.4408999999999992</v>
      </c>
      <c r="L241" s="60"/>
    </row>
    <row r="242" spans="1:12" x14ac:dyDescent="0.25">
      <c r="A242" s="56"/>
      <c r="B242" s="23"/>
      <c r="C242" s="88"/>
      <c r="D242" s="23" t="s">
        <v>378</v>
      </c>
      <c r="E242" s="56"/>
      <c r="F242" s="118"/>
      <c r="G242" s="118"/>
      <c r="H242" s="118"/>
      <c r="I242" s="118"/>
      <c r="J242" s="118"/>
      <c r="K242" s="118"/>
      <c r="L242" s="118"/>
    </row>
    <row r="243" spans="1:12" x14ac:dyDescent="0.25">
      <c r="A243" s="168"/>
      <c r="B243" s="144" t="str">
        <f>'Máy thi công'!B184</f>
        <v>M9521</v>
      </c>
      <c r="C243" s="34">
        <v>737</v>
      </c>
      <c r="D243" s="144" t="str">
        <f>" - " &amp; 'Máy thi công'!D184</f>
        <v xml:space="preserve"> - Máy cắt uốn cốt thép - công suất: 5 kW</v>
      </c>
      <c r="E243" s="168" t="str">
        <f>'Máy thi công'!E184</f>
        <v>ca</v>
      </c>
      <c r="F243" s="60"/>
      <c r="G243" s="60"/>
      <c r="H243" s="60"/>
      <c r="I243" s="60">
        <v>0.32</v>
      </c>
      <c r="J243" s="60"/>
      <c r="K243" s="60"/>
      <c r="L243" s="60">
        <f>ROUND(F235*I243,4)</f>
        <v>0.27050000000000002</v>
      </c>
    </row>
    <row r="244" spans="1:12" x14ac:dyDescent="0.25">
      <c r="A244" s="168"/>
      <c r="B244" s="144" t="str">
        <f>'Máy thi công'!B6</f>
        <v>M9438</v>
      </c>
      <c r="C244" s="34">
        <v>714</v>
      </c>
      <c r="D244" s="144" t="str">
        <f>" - " &amp; 'Máy thi công'!D6</f>
        <v xml:space="preserve"> - Biến thế hàn xoay chiều - công suất: 23 kW</v>
      </c>
      <c r="E244" s="168" t="str">
        <f>'Máy thi công'!E6</f>
        <v>ca</v>
      </c>
      <c r="F244" s="60"/>
      <c r="G244" s="60"/>
      <c r="H244" s="60"/>
      <c r="I244" s="60">
        <v>1.1200000000000001</v>
      </c>
      <c r="J244" s="60"/>
      <c r="K244" s="60"/>
      <c r="L244" s="60">
        <f>ROUND(F235*I244,4)</f>
        <v>0.9466</v>
      </c>
    </row>
    <row r="245" spans="1:12" x14ac:dyDescent="0.25">
      <c r="A245" s="65">
        <f>'Công trình'!A34</f>
        <v>23</v>
      </c>
      <c r="B245" s="14" t="str">
        <f>'Công trình'!B34</f>
        <v>AF.12313</v>
      </c>
      <c r="C245" s="94"/>
      <c r="D245" s="14" t="str">
        <f>'Công trình'!C34</f>
        <v>Bê tông dầm, giằng đá 1x2, vữa BT mác 200</v>
      </c>
      <c r="E245" s="46" t="str">
        <f>'Công trình'!D34</f>
        <v>m3</v>
      </c>
      <c r="F245" s="106">
        <f>'Công trình'!K34</f>
        <v>10.32</v>
      </c>
      <c r="G245" s="126"/>
      <c r="H245" s="126"/>
      <c r="I245" s="126"/>
      <c r="J245" s="126"/>
      <c r="K245" s="126"/>
      <c r="L245" s="126"/>
    </row>
    <row r="246" spans="1:12" x14ac:dyDescent="0.25">
      <c r="A246" s="56"/>
      <c r="B246" s="23"/>
      <c r="C246" s="88"/>
      <c r="D246" s="23" t="s">
        <v>479</v>
      </c>
      <c r="E246" s="56"/>
      <c r="F246" s="118"/>
      <c r="G246" s="118"/>
      <c r="H246" s="118"/>
      <c r="I246" s="118"/>
      <c r="J246" s="118"/>
      <c r="K246" s="118"/>
      <c r="L246" s="118"/>
    </row>
    <row r="247" spans="1:12" x14ac:dyDescent="0.25">
      <c r="A247" s="168"/>
      <c r="B247" s="144" t="str">
        <f>'Vật liệu'!B721</f>
        <v>V00761</v>
      </c>
      <c r="C247" s="34">
        <v>397</v>
      </c>
      <c r="D247" s="144" t="str">
        <f>" - " &amp; 'Vật liệu'!D721</f>
        <v xml:space="preserve"> - Xi măng PC40</v>
      </c>
      <c r="E247" s="168" t="str">
        <f>'Vật liệu'!E721</f>
        <v>kg</v>
      </c>
      <c r="F247" s="60"/>
      <c r="G247" s="60">
        <v>288.02499999999998</v>
      </c>
      <c r="H247" s="60"/>
      <c r="I247" s="60"/>
      <c r="J247" s="60">
        <f>ROUND(F245*G247,4)</f>
        <v>2972.4180000000001</v>
      </c>
      <c r="K247" s="60"/>
      <c r="L247" s="60"/>
    </row>
    <row r="248" spans="1:12" x14ac:dyDescent="0.25">
      <c r="A248" s="168"/>
      <c r="B248" s="144" t="str">
        <f>'Vật liệu'!B54</f>
        <v>V00112</v>
      </c>
      <c r="C248" s="34">
        <v>125</v>
      </c>
      <c r="D248" s="144" t="str">
        <f>" - " &amp; 'Vật liệu'!D54</f>
        <v xml:space="preserve"> - Cát vàng</v>
      </c>
      <c r="E248" s="168" t="str">
        <f>'Vật liệu'!E54</f>
        <v>m3</v>
      </c>
      <c r="F248" s="60"/>
      <c r="G248" s="60">
        <v>0.50529999999999997</v>
      </c>
      <c r="H248" s="60"/>
      <c r="I248" s="60"/>
      <c r="J248" s="60">
        <f>ROUND(F245*G248,4)</f>
        <v>5.2146999999999997</v>
      </c>
      <c r="K248" s="60"/>
      <c r="L248" s="60"/>
    </row>
    <row r="249" spans="1:12" x14ac:dyDescent="0.25">
      <c r="A249" s="168"/>
      <c r="B249" s="144" t="str">
        <f>'Vật liệu'!B142</f>
        <v>V05207</v>
      </c>
      <c r="C249" s="34">
        <v>416</v>
      </c>
      <c r="D249" s="144" t="str">
        <f>" - " &amp; 'Vật liệu'!D142</f>
        <v xml:space="preserve"> - Đá 1x2</v>
      </c>
      <c r="E249" s="168" t="str">
        <f>'Vật liệu'!E142</f>
        <v>m3</v>
      </c>
      <c r="F249" s="60"/>
      <c r="G249" s="60">
        <v>0.9133</v>
      </c>
      <c r="H249" s="60"/>
      <c r="I249" s="60"/>
      <c r="J249" s="60">
        <f>ROUND(F245*G249,4)</f>
        <v>9.4253</v>
      </c>
      <c r="K249" s="60"/>
      <c r="L249" s="60"/>
    </row>
    <row r="250" spans="1:12" x14ac:dyDescent="0.25">
      <c r="A250" s="168"/>
      <c r="B250" s="144" t="str">
        <f>'Vật liệu'!B353</f>
        <v>V00494</v>
      </c>
      <c r="C250" s="34">
        <v>148</v>
      </c>
      <c r="D250" s="144" t="str">
        <f>" - " &amp; 'Vật liệu'!D353</f>
        <v xml:space="preserve"> - Nước</v>
      </c>
      <c r="E250" s="168" t="str">
        <f>'Vật liệu'!E353</f>
        <v>lít</v>
      </c>
      <c r="F250" s="60"/>
      <c r="G250" s="60">
        <v>189.625</v>
      </c>
      <c r="H250" s="60"/>
      <c r="I250" s="60"/>
      <c r="J250" s="60">
        <f>ROUND(F245*G250,4)</f>
        <v>1956.93</v>
      </c>
      <c r="K250" s="60"/>
      <c r="L250" s="60"/>
    </row>
    <row r="251" spans="1:12" x14ac:dyDescent="0.25">
      <c r="A251" s="168"/>
      <c r="B251" s="144" t="str">
        <f>'Vật liệu'!B766</f>
        <v>V00750</v>
      </c>
      <c r="C251" s="34">
        <v>393</v>
      </c>
      <c r="D251" s="144" t="str">
        <f>" - " &amp; 'Vật liệu'!D766</f>
        <v xml:space="preserve"> - Vật liệu khác</v>
      </c>
      <c r="E251" s="168" t="str">
        <f>'Vật liệu'!E766</f>
        <v>%</v>
      </c>
      <c r="F251" s="60"/>
      <c r="G251" s="60">
        <v>1</v>
      </c>
      <c r="H251" s="60"/>
      <c r="I251" s="60"/>
      <c r="J251" s="60"/>
      <c r="K251" s="60"/>
      <c r="L251" s="60"/>
    </row>
    <row r="252" spans="1:12" x14ac:dyDescent="0.25">
      <c r="A252" s="56"/>
      <c r="B252" s="23"/>
      <c r="C252" s="88"/>
      <c r="D252" s="23" t="s">
        <v>202</v>
      </c>
      <c r="E252" s="56"/>
      <c r="F252" s="118"/>
      <c r="G252" s="118"/>
      <c r="H252" s="118"/>
      <c r="I252" s="118"/>
      <c r="J252" s="118"/>
      <c r="K252" s="118"/>
      <c r="L252" s="118"/>
    </row>
    <row r="253" spans="1:12" x14ac:dyDescent="0.25">
      <c r="A253" s="168"/>
      <c r="B253" s="144" t="str">
        <f>'Nhân công'!B45</f>
        <v>N0009</v>
      </c>
      <c r="C253" s="34">
        <v>546</v>
      </c>
      <c r="D253" s="144" t="s">
        <v>1052</v>
      </c>
      <c r="E253" s="168" t="str">
        <f>'Nhân công'!G45</f>
        <v>công</v>
      </c>
      <c r="F253" s="60"/>
      <c r="G253" s="60"/>
      <c r="H253" s="60">
        <v>3.56</v>
      </c>
      <c r="I253" s="60"/>
      <c r="J253" s="60"/>
      <c r="K253" s="60">
        <f>ROUND(F245*H253,4)</f>
        <v>36.739199999999997</v>
      </c>
      <c r="L253" s="60"/>
    </row>
    <row r="254" spans="1:12" x14ac:dyDescent="0.25">
      <c r="A254" s="56"/>
      <c r="B254" s="23"/>
      <c r="C254" s="88"/>
      <c r="D254" s="23" t="s">
        <v>378</v>
      </c>
      <c r="E254" s="56"/>
      <c r="F254" s="118"/>
      <c r="G254" s="118"/>
      <c r="H254" s="118"/>
      <c r="I254" s="118"/>
      <c r="J254" s="118"/>
      <c r="K254" s="118"/>
      <c r="L254" s="118"/>
    </row>
    <row r="255" spans="1:12" x14ac:dyDescent="0.25">
      <c r="A255" s="168"/>
      <c r="B255" s="144" t="str">
        <f>'Máy thi công'!B358</f>
        <v>M9560</v>
      </c>
      <c r="C255" s="34">
        <v>746</v>
      </c>
      <c r="D255" s="144" t="str">
        <f>" - " &amp; 'Máy thi công'!D358</f>
        <v xml:space="preserve"> - Máy vận thăng - sức nâng: 0,8 t - H nâng 80 m</v>
      </c>
      <c r="E255" s="168" t="str">
        <f>'Máy thi công'!E358</f>
        <v>ca</v>
      </c>
      <c r="F255" s="60"/>
      <c r="G255" s="60"/>
      <c r="H255" s="60"/>
      <c r="I255" s="60">
        <v>0</v>
      </c>
      <c r="J255" s="60"/>
      <c r="K255" s="60"/>
      <c r="L255" s="60">
        <f>ROUND(F245*I255,4)</f>
        <v>0</v>
      </c>
    </row>
    <row r="256" spans="1:12" x14ac:dyDescent="0.25">
      <c r="A256" s="168"/>
      <c r="B256" s="144" t="str">
        <f>'Máy thi công'!B232</f>
        <v>M9571</v>
      </c>
      <c r="C256" s="34">
        <v>750</v>
      </c>
      <c r="D256" s="144" t="str">
        <f>" - " &amp; 'Máy thi công'!D232</f>
        <v xml:space="preserve"> - Máy đầm bê tông, dầm dùi - công suất: 1,5 kW</v>
      </c>
      <c r="E256" s="168" t="str">
        <f>'Máy thi công'!E232</f>
        <v>ca</v>
      </c>
      <c r="F256" s="60"/>
      <c r="G256" s="60"/>
      <c r="H256" s="60"/>
      <c r="I256" s="60">
        <v>0.18</v>
      </c>
      <c r="J256" s="60"/>
      <c r="K256" s="60"/>
      <c r="L256" s="60">
        <f>ROUND(F245*I256,4)</f>
        <v>1.8575999999999999</v>
      </c>
    </row>
    <row r="257" spans="1:12" x14ac:dyDescent="0.25">
      <c r="A257" s="168"/>
      <c r="B257" s="144" t="str">
        <f>'Máy thi công'!B306</f>
        <v>M9555</v>
      </c>
      <c r="C257" s="34">
        <v>744</v>
      </c>
      <c r="D257" s="144" t="str">
        <f>" - " &amp; 'Máy thi công'!D306</f>
        <v xml:space="preserve"> - Máy trộn bê tông - dung tích: 250 lít</v>
      </c>
      <c r="E257" s="168" t="str">
        <f>'Máy thi công'!E306</f>
        <v>ca</v>
      </c>
      <c r="F257" s="60"/>
      <c r="G257" s="60"/>
      <c r="H257" s="60"/>
      <c r="I257" s="60">
        <v>9.5000000000000001E-2</v>
      </c>
      <c r="J257" s="60"/>
      <c r="K257" s="60"/>
      <c r="L257" s="60">
        <f>ROUND(F245*I257,4)</f>
        <v>0.98040000000000005</v>
      </c>
    </row>
    <row r="258" spans="1:12" ht="42.75" x14ac:dyDescent="0.25">
      <c r="A258" s="65">
        <f>'Công trình'!A35</f>
        <v>24</v>
      </c>
      <c r="B258" s="14" t="str">
        <f>'Công trình'!B35</f>
        <v>AF.82111</v>
      </c>
      <c r="C258" s="94"/>
      <c r="D258" s="14" t="str">
        <f>'Công trình'!C35</f>
        <v>Sản xuất, lắp dựng tháo dỡ ván khuôn thép, cây chống gỗ tường, cột vuông (chữ nhật), xà dầm, giằng, chiều cao &lt;=16m</v>
      </c>
      <c r="E258" s="46" t="str">
        <f>'Công trình'!D35</f>
        <v>100m2</v>
      </c>
      <c r="F258" s="106">
        <f>'Công trình'!K35</f>
        <v>0.58160000000000001</v>
      </c>
      <c r="G258" s="126"/>
      <c r="H258" s="126"/>
      <c r="I258" s="126"/>
      <c r="J258" s="126"/>
      <c r="K258" s="126"/>
      <c r="L258" s="126"/>
    </row>
    <row r="259" spans="1:12" x14ac:dyDescent="0.25">
      <c r="A259" s="56"/>
      <c r="B259" s="23"/>
      <c r="C259" s="88"/>
      <c r="D259" s="23" t="s">
        <v>479</v>
      </c>
      <c r="E259" s="56"/>
      <c r="F259" s="118"/>
      <c r="G259" s="118"/>
      <c r="H259" s="118"/>
      <c r="I259" s="118"/>
      <c r="J259" s="118"/>
      <c r="K259" s="118"/>
      <c r="L259" s="118"/>
    </row>
    <row r="260" spans="1:12" x14ac:dyDescent="0.25">
      <c r="A260" s="168"/>
      <c r="B260" s="144" t="str">
        <f>'Vật liệu'!B450</f>
        <v>V00515</v>
      </c>
      <c r="C260" s="34">
        <v>154</v>
      </c>
      <c r="D260" s="144" t="str">
        <f>" - " &amp; 'Vật liệu'!D450</f>
        <v xml:space="preserve"> - Que hàn</v>
      </c>
      <c r="E260" s="168" t="str">
        <f>'Vật liệu'!E450</f>
        <v>kg</v>
      </c>
      <c r="F260" s="60"/>
      <c r="G260" s="60">
        <v>5.6</v>
      </c>
      <c r="H260" s="60"/>
      <c r="I260" s="60"/>
      <c r="J260" s="60">
        <f>ROUND(F258*G260,4)</f>
        <v>3.2570000000000001</v>
      </c>
      <c r="K260" s="60"/>
      <c r="L260" s="60"/>
    </row>
    <row r="261" spans="1:12" x14ac:dyDescent="0.25">
      <c r="A261" s="168"/>
      <c r="B261" s="144" t="str">
        <f>'Vật liệu'!B294</f>
        <v>V00390</v>
      </c>
      <c r="C261" s="34">
        <v>140</v>
      </c>
      <c r="D261" s="144" t="str">
        <f>" - " &amp; 'Vật liệu'!D294</f>
        <v xml:space="preserve"> - Gỗ chống</v>
      </c>
      <c r="E261" s="168" t="str">
        <f>'Vật liệu'!E294</f>
        <v>m3</v>
      </c>
      <c r="F261" s="60"/>
      <c r="G261" s="60">
        <v>0.496</v>
      </c>
      <c r="H261" s="60"/>
      <c r="I261" s="60"/>
      <c r="J261" s="60">
        <f>ROUND(F258*G261,4)</f>
        <v>0.28849999999999998</v>
      </c>
      <c r="K261" s="60"/>
      <c r="L261" s="60"/>
    </row>
    <row r="262" spans="1:12" x14ac:dyDescent="0.25">
      <c r="A262" s="168"/>
      <c r="B262" s="144" t="str">
        <f>'Vật liệu'!B606</f>
        <v>V00671</v>
      </c>
      <c r="C262" s="34">
        <v>166</v>
      </c>
      <c r="D262" s="144" t="str">
        <f>" - " &amp; 'Vật liệu'!D606</f>
        <v xml:space="preserve"> - Thép tấm</v>
      </c>
      <c r="E262" s="168" t="str">
        <f>'Vật liệu'!E606</f>
        <v>kg</v>
      </c>
      <c r="F262" s="60"/>
      <c r="G262" s="60">
        <v>51.81</v>
      </c>
      <c r="H262" s="60"/>
      <c r="I262" s="60"/>
      <c r="J262" s="60">
        <f>ROUND(F258*G262,4)</f>
        <v>30.1327</v>
      </c>
      <c r="K262" s="60"/>
      <c r="L262" s="60"/>
    </row>
    <row r="263" spans="1:12" x14ac:dyDescent="0.25">
      <c r="A263" s="168"/>
      <c r="B263" s="144" t="str">
        <f>'Vật liệu'!B556</f>
        <v>V00641</v>
      </c>
      <c r="C263" s="34">
        <v>160</v>
      </c>
      <c r="D263" s="144" t="str">
        <f>" - " &amp; 'Vật liệu'!D556</f>
        <v xml:space="preserve"> - Thép hình</v>
      </c>
      <c r="E263" s="168" t="str">
        <f>'Vật liệu'!E556</f>
        <v>kg</v>
      </c>
      <c r="F263" s="60"/>
      <c r="G263" s="60">
        <v>48.84</v>
      </c>
      <c r="H263" s="60"/>
      <c r="I263" s="60"/>
      <c r="J263" s="60">
        <f>ROUND(F258*G263,4)</f>
        <v>28.4053</v>
      </c>
      <c r="K263" s="60"/>
      <c r="L263" s="60"/>
    </row>
    <row r="264" spans="1:12" x14ac:dyDescent="0.25">
      <c r="A264" s="168"/>
      <c r="B264" s="144" t="str">
        <f>'Vật liệu'!B766</f>
        <v>V00750</v>
      </c>
      <c r="C264" s="34">
        <v>394</v>
      </c>
      <c r="D264" s="144" t="str">
        <f>" - " &amp; 'Vật liệu'!D766</f>
        <v xml:space="preserve"> - Vật liệu khác</v>
      </c>
      <c r="E264" s="168" t="str">
        <f>'Vật liệu'!E766</f>
        <v>%</v>
      </c>
      <c r="F264" s="60"/>
      <c r="G264" s="60">
        <v>5</v>
      </c>
      <c r="H264" s="60"/>
      <c r="I264" s="60"/>
      <c r="J264" s="60"/>
      <c r="K264" s="60"/>
      <c r="L264" s="60"/>
    </row>
    <row r="265" spans="1:12" x14ac:dyDescent="0.25">
      <c r="A265" s="56"/>
      <c r="B265" s="23"/>
      <c r="C265" s="88"/>
      <c r="D265" s="23" t="s">
        <v>202</v>
      </c>
      <c r="E265" s="56"/>
      <c r="F265" s="118"/>
      <c r="G265" s="118"/>
      <c r="H265" s="118"/>
      <c r="I265" s="118"/>
      <c r="J265" s="118"/>
      <c r="K265" s="118"/>
      <c r="L265" s="118"/>
    </row>
    <row r="266" spans="1:12" x14ac:dyDescent="0.25">
      <c r="A266" s="168"/>
      <c r="B266" s="144" t="str">
        <f>'Nhân công'!B130</f>
        <v>N0011</v>
      </c>
      <c r="C266" s="34">
        <v>550</v>
      </c>
      <c r="D266" s="144" t="s">
        <v>671</v>
      </c>
      <c r="E266" s="168" t="str">
        <f>'Nhân công'!G130</f>
        <v>công</v>
      </c>
      <c r="F266" s="60"/>
      <c r="G266" s="60"/>
      <c r="H266" s="60">
        <v>38.28</v>
      </c>
      <c r="I266" s="60"/>
      <c r="J266" s="60"/>
      <c r="K266" s="60">
        <f>ROUND(F258*H266,4)</f>
        <v>22.2636</v>
      </c>
      <c r="L266" s="60"/>
    </row>
    <row r="267" spans="1:12" x14ac:dyDescent="0.25">
      <c r="A267" s="56"/>
      <c r="B267" s="23"/>
      <c r="C267" s="88"/>
      <c r="D267" s="23" t="s">
        <v>378</v>
      </c>
      <c r="E267" s="56"/>
      <c r="F267" s="118"/>
      <c r="G267" s="118"/>
      <c r="H267" s="118"/>
      <c r="I267" s="118"/>
      <c r="J267" s="118"/>
      <c r="K267" s="118"/>
      <c r="L267" s="118"/>
    </row>
    <row r="268" spans="1:12" x14ac:dyDescent="0.25">
      <c r="A268" s="168"/>
      <c r="B268" s="144" t="str">
        <f>'Máy thi công'!B358</f>
        <v>M9560</v>
      </c>
      <c r="C268" s="34">
        <v>746</v>
      </c>
      <c r="D268" s="144" t="str">
        <f>" - " &amp; 'Máy thi công'!D358</f>
        <v xml:space="preserve"> - Máy vận thăng - sức nâng: 0,8 t - H nâng 80 m</v>
      </c>
      <c r="E268" s="168" t="str">
        <f>'Máy thi công'!E358</f>
        <v>ca</v>
      </c>
      <c r="F268" s="60"/>
      <c r="G268" s="60"/>
      <c r="H268" s="60"/>
      <c r="I268" s="60">
        <v>0</v>
      </c>
      <c r="J268" s="60"/>
      <c r="K268" s="60"/>
      <c r="L268" s="60">
        <f>ROUND(F258*I268,4)</f>
        <v>0</v>
      </c>
    </row>
    <row r="269" spans="1:12" x14ac:dyDescent="0.25">
      <c r="A269" s="168"/>
      <c r="B269" s="144" t="str">
        <f>'Máy thi công'!B6</f>
        <v>M9438</v>
      </c>
      <c r="C269" s="34">
        <v>714</v>
      </c>
      <c r="D269" s="144" t="str">
        <f>" - " &amp; 'Máy thi công'!D6</f>
        <v xml:space="preserve"> - Biến thế hàn xoay chiều - công suất: 23 kW</v>
      </c>
      <c r="E269" s="168" t="str">
        <f>'Máy thi công'!E6</f>
        <v>ca</v>
      </c>
      <c r="F269" s="60"/>
      <c r="G269" s="60"/>
      <c r="H269" s="60"/>
      <c r="I269" s="60">
        <v>1.5</v>
      </c>
      <c r="J269" s="60"/>
      <c r="K269" s="60"/>
      <c r="L269" s="60">
        <f>ROUND(F258*I269,4)</f>
        <v>0.87239999999999995</v>
      </c>
    </row>
    <row r="270" spans="1:12" x14ac:dyDescent="0.25">
      <c r="A270" s="168"/>
      <c r="B270" s="144" t="str">
        <f>'Máy thi công'!B398</f>
        <v>M0111</v>
      </c>
      <c r="C270" s="34">
        <v>693</v>
      </c>
      <c r="D270" s="144" t="str">
        <f>" - " &amp; 'Máy thi công'!D398</f>
        <v xml:space="preserve"> - Máy khác</v>
      </c>
      <c r="E270" s="168" t="str">
        <f>'Máy thi công'!E398</f>
        <v>%</v>
      </c>
      <c r="F270" s="60"/>
      <c r="G270" s="60"/>
      <c r="H270" s="60"/>
      <c r="I270" s="60">
        <v>2</v>
      </c>
      <c r="J270" s="60"/>
      <c r="K270" s="60"/>
      <c r="L270" s="60"/>
    </row>
    <row r="271" spans="1:12" ht="28.5" x14ac:dyDescent="0.25">
      <c r="A271" s="65">
        <f>'Công trình'!A36</f>
        <v>25</v>
      </c>
      <c r="B271" s="14" t="str">
        <f>'Công trình'!B36</f>
        <v>AF.61511</v>
      </c>
      <c r="C271" s="94"/>
      <c r="D271" s="14" t="str">
        <f>'Công trình'!C36</f>
        <v>Sản xuất, lắp dựng cốt thép xà dầm, giằng đường kính &lt;=10mm, chiều cao &lt;=4m</v>
      </c>
      <c r="E271" s="46" t="str">
        <f>'Công trình'!D36</f>
        <v>tấn</v>
      </c>
      <c r="F271" s="106">
        <f>'Công trình'!K36</f>
        <v>0.37580000000000002</v>
      </c>
      <c r="G271" s="126"/>
      <c r="H271" s="126"/>
      <c r="I271" s="126"/>
      <c r="J271" s="126"/>
      <c r="K271" s="126"/>
      <c r="L271" s="126"/>
    </row>
    <row r="272" spans="1:12" x14ac:dyDescent="0.25">
      <c r="A272" s="56"/>
      <c r="B272" s="23"/>
      <c r="C272" s="88"/>
      <c r="D272" s="23" t="s">
        <v>479</v>
      </c>
      <c r="E272" s="56"/>
      <c r="F272" s="118"/>
      <c r="G272" s="118"/>
      <c r="H272" s="118"/>
      <c r="I272" s="118"/>
      <c r="J272" s="118"/>
      <c r="K272" s="118"/>
      <c r="L272" s="118"/>
    </row>
    <row r="273" spans="1:12" x14ac:dyDescent="0.25">
      <c r="A273" s="168"/>
      <c r="B273" s="144" t="str">
        <f>'Vật liệu'!B221</f>
        <v>V00226</v>
      </c>
      <c r="C273" s="34">
        <v>135</v>
      </c>
      <c r="D273" s="144" t="str">
        <f>" - " &amp; 'Vật liệu'!D221</f>
        <v xml:space="preserve"> - Dây thép</v>
      </c>
      <c r="E273" s="168" t="str">
        <f>'Vật liệu'!E221</f>
        <v>kg</v>
      </c>
      <c r="F273" s="60"/>
      <c r="G273" s="60">
        <v>21.42</v>
      </c>
      <c r="H273" s="60"/>
      <c r="I273" s="60"/>
      <c r="J273" s="60">
        <f>ROUND(F271*G273,4)</f>
        <v>8.0495999999999999</v>
      </c>
      <c r="K273" s="60"/>
      <c r="L273" s="60"/>
    </row>
    <row r="274" spans="1:12" x14ac:dyDescent="0.25">
      <c r="A274" s="168"/>
      <c r="B274" s="144" t="str">
        <f>'Vật liệu'!B650</f>
        <v>V48494</v>
      </c>
      <c r="C274" s="34">
        <v>484</v>
      </c>
      <c r="D274" s="144" t="str">
        <f>" - " &amp; 'Vật liệu'!D650</f>
        <v xml:space="preserve"> - Thép tròn đường kính &lt;=10 mm</v>
      </c>
      <c r="E274" s="168" t="str">
        <f>'Vật liệu'!E650</f>
        <v>kg</v>
      </c>
      <c r="F274" s="60"/>
      <c r="G274" s="60">
        <v>1005</v>
      </c>
      <c r="H274" s="60"/>
      <c r="I274" s="60"/>
      <c r="J274" s="60">
        <f>ROUND(F271*G274,4)</f>
        <v>377.67899999999997</v>
      </c>
      <c r="K274" s="60"/>
      <c r="L274" s="60"/>
    </row>
    <row r="275" spans="1:12" x14ac:dyDescent="0.25">
      <c r="A275" s="56"/>
      <c r="B275" s="23"/>
      <c r="C275" s="88"/>
      <c r="D275" s="23" t="s">
        <v>202</v>
      </c>
      <c r="E275" s="56"/>
      <c r="F275" s="118"/>
      <c r="G275" s="118"/>
      <c r="H275" s="118"/>
      <c r="I275" s="118"/>
      <c r="J275" s="118"/>
      <c r="K275" s="118"/>
      <c r="L275" s="118"/>
    </row>
    <row r="276" spans="1:12" x14ac:dyDescent="0.25">
      <c r="A276" s="168"/>
      <c r="B276" s="144" t="str">
        <f>'Nhân công'!B45</f>
        <v>N0009</v>
      </c>
      <c r="C276" s="34">
        <v>546</v>
      </c>
      <c r="D276" s="144" t="s">
        <v>1052</v>
      </c>
      <c r="E276" s="168" t="str">
        <f>'Nhân công'!G45</f>
        <v>công</v>
      </c>
      <c r="F276" s="60"/>
      <c r="G276" s="60"/>
      <c r="H276" s="60">
        <v>16.2</v>
      </c>
      <c r="I276" s="60"/>
      <c r="J276" s="60"/>
      <c r="K276" s="60">
        <f>ROUND(F271*H276,4)</f>
        <v>6.0880000000000001</v>
      </c>
      <c r="L276" s="60"/>
    </row>
    <row r="277" spans="1:12" x14ac:dyDescent="0.25">
      <c r="A277" s="56"/>
      <c r="B277" s="23"/>
      <c r="C277" s="88"/>
      <c r="D277" s="23" t="s">
        <v>378</v>
      </c>
      <c r="E277" s="56"/>
      <c r="F277" s="118"/>
      <c r="G277" s="118"/>
      <c r="H277" s="118"/>
      <c r="I277" s="118"/>
      <c r="J277" s="118"/>
      <c r="K277" s="118"/>
      <c r="L277" s="118"/>
    </row>
    <row r="278" spans="1:12" x14ac:dyDescent="0.25">
      <c r="A278" s="168"/>
      <c r="B278" s="144" t="str">
        <f>'Máy thi công'!B184</f>
        <v>M9521</v>
      </c>
      <c r="C278" s="34">
        <v>737</v>
      </c>
      <c r="D278" s="144" t="str">
        <f>" - " &amp; 'Máy thi công'!D184</f>
        <v xml:space="preserve"> - Máy cắt uốn cốt thép - công suất: 5 kW</v>
      </c>
      <c r="E278" s="168" t="str">
        <f>'Máy thi công'!E184</f>
        <v>ca</v>
      </c>
      <c r="F278" s="60"/>
      <c r="G278" s="60"/>
      <c r="H278" s="60"/>
      <c r="I278" s="60">
        <v>0.4</v>
      </c>
      <c r="J278" s="60"/>
      <c r="K278" s="60"/>
      <c r="L278" s="60">
        <f>ROUND(F271*I278,4)</f>
        <v>0.15029999999999999</v>
      </c>
    </row>
    <row r="279" spans="1:12" ht="28.5" x14ac:dyDescent="0.25">
      <c r="A279" s="65">
        <f>'Công trình'!A37</f>
        <v>26</v>
      </c>
      <c r="B279" s="14" t="str">
        <f>'Công trình'!B37</f>
        <v>AF.61521</v>
      </c>
      <c r="C279" s="94"/>
      <c r="D279" s="14" t="str">
        <f>'Công trình'!C37</f>
        <v>Sản xuất, lắp dựng cốt thép xà dầm, giằng đường kính &lt;=18mm, chiều cao &lt;=4m</v>
      </c>
      <c r="E279" s="46" t="str">
        <f>'Công trình'!D37</f>
        <v>tấn</v>
      </c>
      <c r="F279" s="106">
        <f>'Công trình'!K37</f>
        <v>0.27239999999999998</v>
      </c>
      <c r="G279" s="126"/>
      <c r="H279" s="126"/>
      <c r="I279" s="126"/>
      <c r="J279" s="126"/>
      <c r="K279" s="126"/>
      <c r="L279" s="126"/>
    </row>
    <row r="280" spans="1:12" x14ac:dyDescent="0.25">
      <c r="A280" s="56"/>
      <c r="B280" s="23"/>
      <c r="C280" s="88"/>
      <c r="D280" s="23" t="s">
        <v>479</v>
      </c>
      <c r="E280" s="56"/>
      <c r="F280" s="118"/>
      <c r="G280" s="118"/>
      <c r="H280" s="118"/>
      <c r="I280" s="118"/>
      <c r="J280" s="118"/>
      <c r="K280" s="118"/>
      <c r="L280" s="118"/>
    </row>
    <row r="281" spans="1:12" x14ac:dyDescent="0.25">
      <c r="A281" s="168"/>
      <c r="B281" s="144" t="str">
        <f>'Vật liệu'!B450</f>
        <v>V00515</v>
      </c>
      <c r="C281" s="34">
        <v>154</v>
      </c>
      <c r="D281" s="144" t="str">
        <f>" - " &amp; 'Vật liệu'!D450</f>
        <v xml:space="preserve"> - Que hàn</v>
      </c>
      <c r="E281" s="168" t="str">
        <f>'Vật liệu'!E450</f>
        <v>kg</v>
      </c>
      <c r="F281" s="60"/>
      <c r="G281" s="60">
        <v>4.7</v>
      </c>
      <c r="H281" s="60"/>
      <c r="I281" s="60"/>
      <c r="J281" s="60">
        <f>ROUND(F279*G281,4)</f>
        <v>1.2803</v>
      </c>
      <c r="K281" s="60"/>
      <c r="L281" s="60"/>
    </row>
    <row r="282" spans="1:12" x14ac:dyDescent="0.25">
      <c r="A282" s="168"/>
      <c r="B282" s="144" t="str">
        <f>'Vật liệu'!B221</f>
        <v>V00226</v>
      </c>
      <c r="C282" s="34">
        <v>135</v>
      </c>
      <c r="D282" s="144" t="str">
        <f>" - " &amp; 'Vật liệu'!D221</f>
        <v xml:space="preserve"> - Dây thép</v>
      </c>
      <c r="E282" s="168" t="str">
        <f>'Vật liệu'!E221</f>
        <v>kg</v>
      </c>
      <c r="F282" s="60"/>
      <c r="G282" s="60">
        <v>14.28</v>
      </c>
      <c r="H282" s="60"/>
      <c r="I282" s="60"/>
      <c r="J282" s="60">
        <f>ROUND(F279*G282,4)</f>
        <v>3.8898999999999999</v>
      </c>
      <c r="K282" s="60"/>
      <c r="L282" s="60"/>
    </row>
    <row r="283" spans="1:12" x14ac:dyDescent="0.25">
      <c r="A283" s="168"/>
      <c r="B283" s="144" t="str">
        <f>'Vật liệu'!B665</f>
        <v>V48495</v>
      </c>
      <c r="C283" s="34">
        <v>485</v>
      </c>
      <c r="D283" s="144" t="str">
        <f>" - " &amp; 'Vật liệu'!D665</f>
        <v xml:space="preserve"> - Thép tròn đường kính &lt;=18mm</v>
      </c>
      <c r="E283" s="168" t="str">
        <f>'Vật liệu'!E665</f>
        <v>kg</v>
      </c>
      <c r="F283" s="60"/>
      <c r="G283" s="60">
        <v>1020</v>
      </c>
      <c r="H283" s="60"/>
      <c r="I283" s="60"/>
      <c r="J283" s="60">
        <f>ROUND(F279*G283,4)</f>
        <v>277.84800000000001</v>
      </c>
      <c r="K283" s="60"/>
      <c r="L283" s="60"/>
    </row>
    <row r="284" spans="1:12" x14ac:dyDescent="0.25">
      <c r="A284" s="56"/>
      <c r="B284" s="23"/>
      <c r="C284" s="88"/>
      <c r="D284" s="23" t="s">
        <v>202</v>
      </c>
      <c r="E284" s="56"/>
      <c r="F284" s="118"/>
      <c r="G284" s="118"/>
      <c r="H284" s="118"/>
      <c r="I284" s="118"/>
      <c r="J284" s="118"/>
      <c r="K284" s="118"/>
      <c r="L284" s="118"/>
    </row>
    <row r="285" spans="1:12" x14ac:dyDescent="0.25">
      <c r="A285" s="168"/>
      <c r="B285" s="144" t="str">
        <f>'Nhân công'!B45</f>
        <v>N0009</v>
      </c>
      <c r="C285" s="34">
        <v>546</v>
      </c>
      <c r="D285" s="144" t="s">
        <v>1052</v>
      </c>
      <c r="E285" s="168" t="str">
        <f>'Nhân công'!G45</f>
        <v>công</v>
      </c>
      <c r="F285" s="60"/>
      <c r="G285" s="60"/>
      <c r="H285" s="60">
        <v>10.039999999999999</v>
      </c>
      <c r="I285" s="60"/>
      <c r="J285" s="60"/>
      <c r="K285" s="60">
        <f>ROUND(F279*H285,4)</f>
        <v>2.7349000000000001</v>
      </c>
      <c r="L285" s="60"/>
    </row>
    <row r="286" spans="1:12" x14ac:dyDescent="0.25">
      <c r="A286" s="56"/>
      <c r="B286" s="23"/>
      <c r="C286" s="88"/>
      <c r="D286" s="23" t="s">
        <v>378</v>
      </c>
      <c r="E286" s="56"/>
      <c r="F286" s="118"/>
      <c r="G286" s="118"/>
      <c r="H286" s="118"/>
      <c r="I286" s="118"/>
      <c r="J286" s="118"/>
      <c r="K286" s="118"/>
      <c r="L286" s="118"/>
    </row>
    <row r="287" spans="1:12" x14ac:dyDescent="0.25">
      <c r="A287" s="168"/>
      <c r="B287" s="144" t="str">
        <f>'Máy thi công'!B184</f>
        <v>M9521</v>
      </c>
      <c r="C287" s="34">
        <v>737</v>
      </c>
      <c r="D287" s="144" t="str">
        <f>" - " &amp; 'Máy thi công'!D184</f>
        <v xml:space="preserve"> - Máy cắt uốn cốt thép - công suất: 5 kW</v>
      </c>
      <c r="E287" s="168" t="str">
        <f>'Máy thi công'!E184</f>
        <v>ca</v>
      </c>
      <c r="F287" s="60"/>
      <c r="G287" s="60"/>
      <c r="H287" s="60"/>
      <c r="I287" s="60">
        <v>0.32</v>
      </c>
      <c r="J287" s="60"/>
      <c r="K287" s="60"/>
      <c r="L287" s="60">
        <f>ROUND(F279*I287,4)</f>
        <v>8.72E-2</v>
      </c>
    </row>
    <row r="288" spans="1:12" x14ac:dyDescent="0.25">
      <c r="A288" s="168"/>
      <c r="B288" s="144" t="str">
        <f>'Máy thi công'!B6</f>
        <v>M9438</v>
      </c>
      <c r="C288" s="34">
        <v>714</v>
      </c>
      <c r="D288" s="144" t="str">
        <f>" - " &amp; 'Máy thi công'!D6</f>
        <v xml:space="preserve"> - Biến thế hàn xoay chiều - công suất: 23 kW</v>
      </c>
      <c r="E288" s="168" t="str">
        <f>'Máy thi công'!E6</f>
        <v>ca</v>
      </c>
      <c r="F288" s="60"/>
      <c r="G288" s="60"/>
      <c r="H288" s="60"/>
      <c r="I288" s="60">
        <v>1.133</v>
      </c>
      <c r="J288" s="60"/>
      <c r="K288" s="60"/>
      <c r="L288" s="60">
        <f>ROUND(F279*I288,4)</f>
        <v>0.30859999999999999</v>
      </c>
    </row>
    <row r="289" spans="1:12" ht="28.5" x14ac:dyDescent="0.25">
      <c r="A289" s="65">
        <f>'Công trình'!A39</f>
        <v>27</v>
      </c>
      <c r="B289" s="14" t="str">
        <f>'Công trình'!B39</f>
        <v>AI.13111</v>
      </c>
      <c r="C289" s="94"/>
      <c r="D289" s="14" t="str">
        <f>'Công trình'!C39</f>
        <v>Sản xuất cấu kiện thép đặt sẵn trong bê tông, khối lượng &lt;=10kg/cấu kiện</v>
      </c>
      <c r="E289" s="46" t="str">
        <f>'Công trình'!D39</f>
        <v>tấn</v>
      </c>
      <c r="F289" s="106">
        <f>'Công trình'!K39</f>
        <v>1.04E-2</v>
      </c>
      <c r="G289" s="126"/>
      <c r="H289" s="126"/>
      <c r="I289" s="126"/>
      <c r="J289" s="126"/>
      <c r="K289" s="126"/>
      <c r="L289" s="126"/>
    </row>
    <row r="290" spans="1:12" x14ac:dyDescent="0.25">
      <c r="A290" s="56"/>
      <c r="B290" s="23"/>
      <c r="C290" s="88"/>
      <c r="D290" s="23" t="s">
        <v>479</v>
      </c>
      <c r="E290" s="56"/>
      <c r="F290" s="118"/>
      <c r="G290" s="118"/>
      <c r="H290" s="118"/>
      <c r="I290" s="118"/>
      <c r="J290" s="118"/>
      <c r="K290" s="118"/>
      <c r="L290" s="118"/>
    </row>
    <row r="291" spans="1:12" x14ac:dyDescent="0.25">
      <c r="A291" s="168"/>
      <c r="B291" s="144" t="str">
        <f>'Vật liệu'!B186</f>
        <v>V00824</v>
      </c>
      <c r="C291" s="34">
        <v>407</v>
      </c>
      <c r="D291" s="144" t="str">
        <f>" - " &amp; 'Vật liệu'!D186</f>
        <v xml:space="preserve"> - Đá mài</v>
      </c>
      <c r="E291" s="168" t="str">
        <f>'Vật liệu'!E186</f>
        <v>viên</v>
      </c>
      <c r="F291" s="60"/>
      <c r="G291" s="60">
        <v>0.7</v>
      </c>
      <c r="H291" s="60"/>
      <c r="I291" s="60"/>
      <c r="J291" s="60">
        <f>ROUND(F289*G291,4)</f>
        <v>7.3000000000000001E-3</v>
      </c>
      <c r="K291" s="60"/>
      <c r="L291" s="60"/>
    </row>
    <row r="292" spans="1:12" x14ac:dyDescent="0.25">
      <c r="A292" s="168"/>
      <c r="B292" s="144" t="str">
        <f>'Vật liệu'!B450</f>
        <v>V00515</v>
      </c>
      <c r="C292" s="34">
        <v>154</v>
      </c>
      <c r="D292" s="144" t="str">
        <f>" - " &amp; 'Vật liệu'!D450</f>
        <v xml:space="preserve"> - Que hàn</v>
      </c>
      <c r="E292" s="168" t="str">
        <f>'Vật liệu'!E450</f>
        <v>kg</v>
      </c>
      <c r="F292" s="60"/>
      <c r="G292" s="60">
        <v>19.38</v>
      </c>
      <c r="H292" s="60"/>
      <c r="I292" s="60"/>
      <c r="J292" s="60">
        <f>ROUND(F289*G292,4)</f>
        <v>0.2016</v>
      </c>
      <c r="K292" s="60"/>
      <c r="L292" s="60"/>
    </row>
    <row r="293" spans="1:12" x14ac:dyDescent="0.25">
      <c r="A293" s="168"/>
      <c r="B293" s="144" t="str">
        <f>'Vật liệu'!B200</f>
        <v>V00833</v>
      </c>
      <c r="C293" s="34">
        <v>411</v>
      </c>
      <c r="D293" s="144" t="str">
        <f>" - " &amp; 'Vật liệu'!D200</f>
        <v xml:space="preserve"> - Đất đèn</v>
      </c>
      <c r="E293" s="168" t="str">
        <f>'Vật liệu'!E200</f>
        <v>kg</v>
      </c>
      <c r="F293" s="60"/>
      <c r="G293" s="60">
        <v>14.8</v>
      </c>
      <c r="H293" s="60"/>
      <c r="I293" s="60"/>
      <c r="J293" s="60">
        <f>ROUND(F289*G293,4)</f>
        <v>0.15390000000000001</v>
      </c>
      <c r="K293" s="60"/>
      <c r="L293" s="60"/>
    </row>
    <row r="294" spans="1:12" x14ac:dyDescent="0.25">
      <c r="A294" s="168"/>
      <c r="B294" s="144" t="str">
        <f>'Vật liệu'!B606</f>
        <v>V00671</v>
      </c>
      <c r="C294" s="34">
        <v>166</v>
      </c>
      <c r="D294" s="144" t="str">
        <f>" - " &amp; 'Vật liệu'!D606</f>
        <v xml:space="preserve"> - Thép tấm</v>
      </c>
      <c r="E294" s="168" t="str">
        <f>'Vật liệu'!E606</f>
        <v>kg</v>
      </c>
      <c r="F294" s="60"/>
      <c r="G294" s="60">
        <v>825</v>
      </c>
      <c r="H294" s="60"/>
      <c r="I294" s="60"/>
      <c r="J294" s="60">
        <f>ROUND(F289*G294,4)</f>
        <v>8.58</v>
      </c>
      <c r="K294" s="60"/>
      <c r="L294" s="60"/>
    </row>
    <row r="295" spans="1:12" x14ac:dyDescent="0.25">
      <c r="A295" s="168"/>
      <c r="B295" s="144" t="str">
        <f>'Vật liệu'!B684</f>
        <v>V48497</v>
      </c>
      <c r="C295" s="34">
        <v>487</v>
      </c>
      <c r="D295" s="144" t="str">
        <f>" - " &amp; 'Vật liệu'!D684</f>
        <v xml:space="preserve"> - Thép tròn đường kính &gt;14</v>
      </c>
      <c r="E295" s="168" t="str">
        <f>'Vật liệu'!E684</f>
        <v>kg</v>
      </c>
      <c r="F295" s="60"/>
      <c r="G295" s="60">
        <v>275.5</v>
      </c>
      <c r="H295" s="60"/>
      <c r="I295" s="60"/>
      <c r="J295" s="60">
        <f>ROUND(F289*G295,4)</f>
        <v>2.8652000000000002</v>
      </c>
      <c r="K295" s="60"/>
      <c r="L295" s="60"/>
    </row>
    <row r="296" spans="1:12" x14ac:dyDescent="0.25">
      <c r="A296" s="168"/>
      <c r="B296" s="144" t="str">
        <f>'Vật liệu'!B401</f>
        <v>V00770</v>
      </c>
      <c r="C296" s="34">
        <v>400</v>
      </c>
      <c r="D296" s="144" t="str">
        <f>" - " &amp; 'Vật liệu'!D401</f>
        <v xml:space="preserve"> - Ô xy</v>
      </c>
      <c r="E296" s="168" t="str">
        <f>'Vật liệu'!E401</f>
        <v>Chai</v>
      </c>
      <c r="F296" s="60"/>
      <c r="G296" s="60">
        <v>3.3</v>
      </c>
      <c r="H296" s="60"/>
      <c r="I296" s="60"/>
      <c r="J296" s="60">
        <f>ROUND(F289*G296,4)</f>
        <v>3.4299999999999997E-2</v>
      </c>
      <c r="K296" s="60"/>
      <c r="L296" s="60"/>
    </row>
    <row r="297" spans="1:12" x14ac:dyDescent="0.25">
      <c r="A297" s="168"/>
      <c r="B297" s="144" t="str">
        <f>'Vật liệu'!B766</f>
        <v>V00750</v>
      </c>
      <c r="C297" s="34">
        <v>192</v>
      </c>
      <c r="D297" s="144" t="str">
        <f>" - " &amp; 'Vật liệu'!D766</f>
        <v xml:space="preserve"> - Vật liệu khác</v>
      </c>
      <c r="E297" s="168" t="str">
        <f>'Vật liệu'!E766</f>
        <v>%</v>
      </c>
      <c r="F297" s="60"/>
      <c r="G297" s="60">
        <v>2.5</v>
      </c>
      <c r="H297" s="60"/>
      <c r="I297" s="60"/>
      <c r="J297" s="60"/>
      <c r="K297" s="60"/>
      <c r="L297" s="60"/>
    </row>
    <row r="298" spans="1:12" x14ac:dyDescent="0.25">
      <c r="A298" s="56"/>
      <c r="B298" s="23"/>
      <c r="C298" s="88"/>
      <c r="D298" s="23" t="s">
        <v>202</v>
      </c>
      <c r="E298" s="56"/>
      <c r="F298" s="118"/>
      <c r="G298" s="118"/>
      <c r="H298" s="118"/>
      <c r="I298" s="118"/>
      <c r="J298" s="118"/>
      <c r="K298" s="118"/>
      <c r="L298" s="118"/>
    </row>
    <row r="299" spans="1:12" x14ac:dyDescent="0.25">
      <c r="A299" s="168"/>
      <c r="B299" s="144" t="str">
        <f>'Nhân công'!B221</f>
        <v>N0013</v>
      </c>
      <c r="C299" s="34">
        <v>553</v>
      </c>
      <c r="D299" s="144" t="s">
        <v>275</v>
      </c>
      <c r="E299" s="168" t="str">
        <f>'Nhân công'!G221</f>
        <v>công</v>
      </c>
      <c r="F299" s="60"/>
      <c r="G299" s="60"/>
      <c r="H299" s="60">
        <v>34.9</v>
      </c>
      <c r="I299" s="60"/>
      <c r="J299" s="60"/>
      <c r="K299" s="60">
        <f>ROUND(F289*H299,4)</f>
        <v>0.36299999999999999</v>
      </c>
      <c r="L299" s="60"/>
    </row>
    <row r="300" spans="1:12" x14ac:dyDescent="0.25">
      <c r="A300" s="56"/>
      <c r="B300" s="23"/>
      <c r="C300" s="88"/>
      <c r="D300" s="23" t="s">
        <v>378</v>
      </c>
      <c r="E300" s="56"/>
      <c r="F300" s="118"/>
      <c r="G300" s="118"/>
      <c r="H300" s="118"/>
      <c r="I300" s="118"/>
      <c r="J300" s="118"/>
      <c r="K300" s="118"/>
      <c r="L300" s="118"/>
    </row>
    <row r="301" spans="1:12" x14ac:dyDescent="0.25">
      <c r="A301" s="168"/>
      <c r="B301" s="144" t="str">
        <f>'Máy thi công'!B273</f>
        <v>M112.1501</v>
      </c>
      <c r="C301" s="34">
        <v>701</v>
      </c>
      <c r="D301" s="144" t="str">
        <f>" - " &amp; 'Máy thi công'!D273</f>
        <v xml:space="preserve"> - Máy khoan đứng - công suất: 2,5 kW</v>
      </c>
      <c r="E301" s="168" t="str">
        <f>'Máy thi công'!E273</f>
        <v>ca</v>
      </c>
      <c r="F301" s="60"/>
      <c r="G301" s="60"/>
      <c r="H301" s="60"/>
      <c r="I301" s="60">
        <v>1.55</v>
      </c>
      <c r="J301" s="60"/>
      <c r="K301" s="60"/>
      <c r="L301" s="60">
        <f>ROUND(F289*I301,4)</f>
        <v>1.61E-2</v>
      </c>
    </row>
    <row r="302" spans="1:12" x14ac:dyDescent="0.25">
      <c r="A302" s="168"/>
      <c r="B302" s="144" t="str">
        <f>'Máy thi công'!B6</f>
        <v>M9438</v>
      </c>
      <c r="C302" s="34">
        <v>714</v>
      </c>
      <c r="D302" s="144" t="str">
        <f>" - " &amp; 'Máy thi công'!D6</f>
        <v xml:space="preserve"> - Biến thế hàn xoay chiều - công suất: 23 kW</v>
      </c>
      <c r="E302" s="168" t="str">
        <f>'Máy thi công'!E6</f>
        <v>ca</v>
      </c>
      <c r="F302" s="60"/>
      <c r="G302" s="60"/>
      <c r="H302" s="60"/>
      <c r="I302" s="60">
        <v>3.23</v>
      </c>
      <c r="J302" s="60"/>
      <c r="K302" s="60"/>
      <c r="L302" s="60">
        <f>ROUND(F289*I302,4)</f>
        <v>3.3599999999999998E-2</v>
      </c>
    </row>
    <row r="303" spans="1:12" x14ac:dyDescent="0.25">
      <c r="A303" s="168"/>
      <c r="B303" s="144" t="str">
        <f>'Máy thi công'!B285</f>
        <v>M112.3702</v>
      </c>
      <c r="C303" s="34">
        <v>705</v>
      </c>
      <c r="D303" s="144" t="str">
        <f>" - " &amp; 'Máy thi công'!D285</f>
        <v xml:space="preserve"> - Máy mài - công suất: 2,7 kW</v>
      </c>
      <c r="E303" s="168" t="str">
        <f>'Máy thi công'!E285</f>
        <v>ca</v>
      </c>
      <c r="F303" s="60"/>
      <c r="G303" s="60"/>
      <c r="H303" s="60"/>
      <c r="I303" s="60">
        <v>1.55</v>
      </c>
      <c r="J303" s="60"/>
      <c r="K303" s="60"/>
      <c r="L303" s="60">
        <f>ROUND(F289*I303,4)</f>
        <v>1.61E-2</v>
      </c>
    </row>
    <row r="304" spans="1:12" x14ac:dyDescent="0.25">
      <c r="A304" s="168"/>
      <c r="B304" s="144" t="str">
        <f>'Máy thi công'!B398</f>
        <v>M0111</v>
      </c>
      <c r="C304" s="34">
        <v>570</v>
      </c>
      <c r="D304" s="144" t="str">
        <f>" - " &amp; 'Máy thi công'!D398</f>
        <v xml:space="preserve"> - Máy khác</v>
      </c>
      <c r="E304" s="168" t="str">
        <f>'Máy thi công'!E398</f>
        <v>%</v>
      </c>
      <c r="F304" s="60"/>
      <c r="G304" s="60"/>
      <c r="H304" s="60"/>
      <c r="I304" s="60">
        <v>2</v>
      </c>
      <c r="J304" s="60"/>
      <c r="K304" s="60"/>
      <c r="L304" s="60"/>
    </row>
    <row r="305" spans="1:12" x14ac:dyDescent="0.25">
      <c r="A305" s="65">
        <f>'Công trình'!A40</f>
        <v>28</v>
      </c>
      <c r="B305" s="14" t="str">
        <f>'Công trình'!B40</f>
        <v>TT</v>
      </c>
      <c r="C305" s="94"/>
      <c r="D305" s="14" t="str">
        <f>'Công trình'!C40</f>
        <v>Bulong M10</v>
      </c>
      <c r="E305" s="46" t="str">
        <f>'Công trình'!D40</f>
        <v>bộ</v>
      </c>
      <c r="F305" s="106">
        <f>'Công trình'!K40</f>
        <v>28</v>
      </c>
      <c r="G305" s="126"/>
      <c r="H305" s="126"/>
      <c r="I305" s="126"/>
      <c r="J305" s="126"/>
      <c r="K305" s="126"/>
      <c r="L305" s="126"/>
    </row>
    <row r="306" spans="1:12" x14ac:dyDescent="0.25">
      <c r="A306" s="56"/>
      <c r="B306" s="23"/>
      <c r="C306" s="88"/>
      <c r="D306" s="23" t="s">
        <v>479</v>
      </c>
      <c r="E306" s="56"/>
      <c r="F306" s="118"/>
      <c r="G306" s="118"/>
      <c r="H306" s="118"/>
      <c r="I306" s="118"/>
      <c r="J306" s="118"/>
      <c r="K306" s="118"/>
      <c r="L306" s="118"/>
    </row>
    <row r="307" spans="1:12" x14ac:dyDescent="0.25">
      <c r="A307" s="168"/>
      <c r="B307" s="144" t="str">
        <f>'Vật liệu'!B34</f>
        <v>V12675</v>
      </c>
      <c r="C307" s="34">
        <v>448</v>
      </c>
      <c r="D307" s="144" t="str">
        <f>" - " &amp; 'Vật liệu'!D34</f>
        <v xml:space="preserve"> - Bulông M10</v>
      </c>
      <c r="E307" s="168" t="str">
        <f>'Vật liệu'!E34</f>
        <v>cái</v>
      </c>
      <c r="F307" s="60"/>
      <c r="G307" s="60">
        <v>1</v>
      </c>
      <c r="H307" s="60"/>
      <c r="I307" s="60"/>
      <c r="J307" s="60">
        <f>ROUND(F305*G307,4)</f>
        <v>28</v>
      </c>
      <c r="K307" s="60"/>
      <c r="L307" s="60"/>
    </row>
    <row r="308" spans="1:12" x14ac:dyDescent="0.25">
      <c r="A308" s="65">
        <f>'Công trình'!A41</f>
        <v>29</v>
      </c>
      <c r="B308" s="14" t="str">
        <f>'Công trình'!B41</f>
        <v>TT</v>
      </c>
      <c r="C308" s="94"/>
      <c r="D308" s="14" t="str">
        <f>'Công trình'!C41</f>
        <v xml:space="preserve">Mốc đồng </v>
      </c>
      <c r="E308" s="46" t="str">
        <f>'Công trình'!D41</f>
        <v>kg</v>
      </c>
      <c r="F308" s="106">
        <f>'Công trình'!K41</f>
        <v>11.75</v>
      </c>
      <c r="G308" s="126"/>
      <c r="H308" s="126"/>
      <c r="I308" s="126"/>
      <c r="J308" s="126"/>
      <c r="K308" s="126"/>
      <c r="L308" s="126"/>
    </row>
    <row r="309" spans="1:12" x14ac:dyDescent="0.25">
      <c r="A309" s="56"/>
      <c r="B309" s="23"/>
      <c r="C309" s="88"/>
      <c r="D309" s="23" t="s">
        <v>479</v>
      </c>
      <c r="E309" s="56"/>
      <c r="F309" s="118"/>
      <c r="G309" s="118"/>
      <c r="H309" s="118"/>
      <c r="I309" s="118"/>
      <c r="J309" s="118"/>
      <c r="K309" s="118"/>
      <c r="L309" s="118"/>
    </row>
    <row r="310" spans="1:12" x14ac:dyDescent="0.25">
      <c r="A310" s="168"/>
      <c r="B310" s="144" t="str">
        <f>'Vật liệu'!B347</f>
        <v>mdong</v>
      </c>
      <c r="C310" s="34">
        <v>536</v>
      </c>
      <c r="D310" s="144" t="str">
        <f>" - " &amp; 'Vật liệu'!D347</f>
        <v xml:space="preserve"> - Mốc đồng</v>
      </c>
      <c r="E310" s="168" t="str">
        <f>'Vật liệu'!E347</f>
        <v>kg</v>
      </c>
      <c r="F310" s="60"/>
      <c r="G310" s="60">
        <v>1</v>
      </c>
      <c r="H310" s="60"/>
      <c r="I310" s="60"/>
      <c r="J310" s="60">
        <f>ROUND(F308*G310,4)</f>
        <v>11.75</v>
      </c>
      <c r="K310" s="60"/>
      <c r="L310" s="60"/>
    </row>
    <row r="311" spans="1:12" ht="28.5" x14ac:dyDescent="0.25">
      <c r="A311" s="65">
        <f>'Công trình'!A42</f>
        <v>30</v>
      </c>
      <c r="B311" s="14" t="str">
        <f>'Công trình'!B42</f>
        <v>AC.11121</v>
      </c>
      <c r="C311" s="94"/>
      <c r="D311" s="14" t="str">
        <f>'Công trình'!C42</f>
        <v>Đóng cọc tràm chiều dài cọc ngập đất &gt;2,5m đất cấp I</v>
      </c>
      <c r="E311" s="46" t="str">
        <f>'Công trình'!D42</f>
        <v>100m</v>
      </c>
      <c r="F311" s="106">
        <f>'Công trình'!K42</f>
        <v>0.27</v>
      </c>
      <c r="G311" s="126"/>
      <c r="H311" s="126"/>
      <c r="I311" s="126"/>
      <c r="J311" s="126"/>
      <c r="K311" s="126"/>
      <c r="L311" s="126"/>
    </row>
    <row r="312" spans="1:12" x14ac:dyDescent="0.25">
      <c r="A312" s="56"/>
      <c r="B312" s="23"/>
      <c r="C312" s="88"/>
      <c r="D312" s="23" t="s">
        <v>479</v>
      </c>
      <c r="E312" s="56"/>
      <c r="F312" s="118"/>
      <c r="G312" s="118"/>
      <c r="H312" s="118"/>
      <c r="I312" s="118"/>
      <c r="J312" s="118"/>
      <c r="K312" s="118"/>
      <c r="L312" s="118"/>
    </row>
    <row r="313" spans="1:12" x14ac:dyDescent="0.25">
      <c r="A313" s="168"/>
      <c r="B313" s="144" t="str">
        <f>'Vật liệu'!B307</f>
        <v>V00402</v>
      </c>
      <c r="C313" s="34">
        <v>142</v>
      </c>
      <c r="D313" s="144" t="str">
        <f>" - " &amp; 'Vật liệu'!D307</f>
        <v xml:space="preserve"> - Gỗ ván</v>
      </c>
      <c r="E313" s="168" t="str">
        <f>'Vật liệu'!E307</f>
        <v>m3</v>
      </c>
      <c r="F313" s="60"/>
      <c r="G313" s="60">
        <v>0.01</v>
      </c>
      <c r="H313" s="60"/>
      <c r="I313" s="60"/>
      <c r="J313" s="60">
        <f>ROUND(F311*G313,4)</f>
        <v>2.7000000000000001E-3</v>
      </c>
      <c r="K313" s="60"/>
      <c r="L313" s="60"/>
    </row>
    <row r="314" spans="1:12" x14ac:dyDescent="0.25">
      <c r="A314" s="168"/>
      <c r="B314" s="144" t="str">
        <f>'Vật liệu'!B124</f>
        <v>V32325</v>
      </c>
      <c r="C314" s="34">
        <v>466</v>
      </c>
      <c r="D314" s="144" t="str">
        <f>" - " &amp; 'Vật liệu'!D124</f>
        <v xml:space="preserve"> - Cọc tràm</v>
      </c>
      <c r="E314" s="168" t="str">
        <f>'Vật liệu'!E124</f>
        <v>m</v>
      </c>
      <c r="F314" s="60"/>
      <c r="G314" s="60">
        <v>105</v>
      </c>
      <c r="H314" s="60"/>
      <c r="I314" s="60"/>
      <c r="J314" s="60">
        <f>ROUND(F311*G314,4)</f>
        <v>28.35</v>
      </c>
      <c r="K314" s="60"/>
      <c r="L314" s="60"/>
    </row>
    <row r="315" spans="1:12" x14ac:dyDescent="0.25">
      <c r="A315" s="168"/>
      <c r="B315" s="144" t="str">
        <f>'Vật liệu'!B101</f>
        <v>V00116</v>
      </c>
      <c r="C315" s="34">
        <v>129</v>
      </c>
      <c r="D315" s="144" t="str">
        <f>" - " &amp; 'Vật liệu'!D101</f>
        <v xml:space="preserve"> - Cây chống</v>
      </c>
      <c r="E315" s="168" t="str">
        <f>'Vật liệu'!E101</f>
        <v>cây</v>
      </c>
      <c r="F315" s="60"/>
      <c r="G315" s="60">
        <v>1.65</v>
      </c>
      <c r="H315" s="60"/>
      <c r="I315" s="60"/>
      <c r="J315" s="60">
        <f>ROUND(F311*G315,4)</f>
        <v>0.44550000000000001</v>
      </c>
      <c r="K315" s="60"/>
      <c r="L315" s="60"/>
    </row>
    <row r="316" spans="1:12" x14ac:dyDescent="0.25">
      <c r="A316" s="168"/>
      <c r="B316" s="144" t="str">
        <f>'Vật liệu'!B766</f>
        <v>V00750</v>
      </c>
      <c r="C316" s="34">
        <v>193</v>
      </c>
      <c r="D316" s="144" t="str">
        <f>" - " &amp; 'Vật liệu'!D766</f>
        <v xml:space="preserve"> - Vật liệu khác</v>
      </c>
      <c r="E316" s="168" t="str">
        <f>'Vật liệu'!E766</f>
        <v>%</v>
      </c>
      <c r="F316" s="60"/>
      <c r="G316" s="60">
        <v>5</v>
      </c>
      <c r="H316" s="60"/>
      <c r="I316" s="60"/>
      <c r="J316" s="60"/>
      <c r="K316" s="60"/>
      <c r="L316" s="60"/>
    </row>
    <row r="317" spans="1:12" x14ac:dyDescent="0.25">
      <c r="A317" s="56"/>
      <c r="B317" s="23"/>
      <c r="C317" s="88"/>
      <c r="D317" s="23" t="s">
        <v>202</v>
      </c>
      <c r="E317" s="56"/>
      <c r="F317" s="118"/>
      <c r="G317" s="118"/>
      <c r="H317" s="118"/>
      <c r="I317" s="118"/>
      <c r="J317" s="118"/>
      <c r="K317" s="118"/>
      <c r="L317" s="118"/>
    </row>
    <row r="318" spans="1:12" x14ac:dyDescent="0.25">
      <c r="A318" s="168"/>
      <c r="B318" s="144" t="str">
        <f>'Nhân công'!B103</f>
        <v>N0015</v>
      </c>
      <c r="C318" s="34">
        <v>554</v>
      </c>
      <c r="D318" s="144" t="s">
        <v>1014</v>
      </c>
      <c r="E318" s="168" t="str">
        <f>'Nhân công'!G103</f>
        <v>công</v>
      </c>
      <c r="F318" s="60"/>
      <c r="G318" s="60"/>
      <c r="H318" s="60">
        <v>2.5299999999999998</v>
      </c>
      <c r="I318" s="60"/>
      <c r="J318" s="60"/>
      <c r="K318" s="60">
        <f>ROUND(F311*H318,4)</f>
        <v>0.68310000000000004</v>
      </c>
      <c r="L318" s="60"/>
    </row>
    <row r="319" spans="1:12" ht="28.5" x14ac:dyDescent="0.25">
      <c r="A319" s="65">
        <f>'Công trình'!A43</f>
        <v>31</v>
      </c>
      <c r="B319" s="14" t="str">
        <f>'Công trình'!B43</f>
        <v>AF.11212</v>
      </c>
      <c r="C319" s="94"/>
      <c r="D319" s="14" t="str">
        <f>'Công trình'!C43</f>
        <v>Bê tông móng rộng &lt;=250cm đá 1x2, vữa BT mác 150</v>
      </c>
      <c r="E319" s="46" t="str">
        <f>'Công trình'!D43</f>
        <v>m3</v>
      </c>
      <c r="F319" s="106">
        <f>'Công trình'!K43</f>
        <v>0.06</v>
      </c>
      <c r="G319" s="126"/>
      <c r="H319" s="126"/>
      <c r="I319" s="126"/>
      <c r="J319" s="126"/>
      <c r="K319" s="126"/>
      <c r="L319" s="126"/>
    </row>
    <row r="320" spans="1:12" x14ac:dyDescent="0.25">
      <c r="A320" s="56"/>
      <c r="B320" s="23"/>
      <c r="C320" s="88"/>
      <c r="D320" s="23" t="s">
        <v>479</v>
      </c>
      <c r="E320" s="56"/>
      <c r="F320" s="118"/>
      <c r="G320" s="118"/>
      <c r="H320" s="118"/>
      <c r="I320" s="118"/>
      <c r="J320" s="118"/>
      <c r="K320" s="118"/>
      <c r="L320" s="118"/>
    </row>
    <row r="321" spans="1:12" x14ac:dyDescent="0.25">
      <c r="A321" s="168"/>
      <c r="B321" s="144" t="str">
        <f>'Vật liệu'!B721</f>
        <v>V00761</v>
      </c>
      <c r="C321" s="34">
        <v>397</v>
      </c>
      <c r="D321" s="144" t="str">
        <f>" - " &amp; 'Vật liệu'!D721</f>
        <v xml:space="preserve"> - Xi măng PC40</v>
      </c>
      <c r="E321" s="168" t="str">
        <f>'Vật liệu'!E721</f>
        <v>kg</v>
      </c>
      <c r="F321" s="60"/>
      <c r="G321" s="60">
        <v>238.82499999999999</v>
      </c>
      <c r="H321" s="60"/>
      <c r="I321" s="60"/>
      <c r="J321" s="60">
        <f>ROUND(F319*G321,4)</f>
        <v>14.329499999999999</v>
      </c>
      <c r="K321" s="60"/>
      <c r="L321" s="60"/>
    </row>
    <row r="322" spans="1:12" x14ac:dyDescent="0.25">
      <c r="A322" s="168"/>
      <c r="B322" s="144" t="str">
        <f>'Vật liệu'!B54</f>
        <v>V00112</v>
      </c>
      <c r="C322" s="34">
        <v>125</v>
      </c>
      <c r="D322" s="144" t="str">
        <f>" - " &amp; 'Vật liệu'!D54</f>
        <v xml:space="preserve"> - Cát vàng</v>
      </c>
      <c r="E322" s="168" t="str">
        <f>'Vật liệu'!E54</f>
        <v>m3</v>
      </c>
      <c r="F322" s="60"/>
      <c r="G322" s="60">
        <v>0.52280000000000004</v>
      </c>
      <c r="H322" s="60"/>
      <c r="I322" s="60"/>
      <c r="J322" s="60">
        <f>ROUND(F319*G322,4)</f>
        <v>3.1399999999999997E-2</v>
      </c>
      <c r="K322" s="60"/>
      <c r="L322" s="60"/>
    </row>
    <row r="323" spans="1:12" x14ac:dyDescent="0.25">
      <c r="A323" s="168"/>
      <c r="B323" s="144" t="str">
        <f>'Vật liệu'!B142</f>
        <v>V05207</v>
      </c>
      <c r="C323" s="34">
        <v>416</v>
      </c>
      <c r="D323" s="144" t="str">
        <f>" - " &amp; 'Vật liệu'!D142</f>
        <v xml:space="preserve"> - Đá 1x2</v>
      </c>
      <c r="E323" s="168" t="str">
        <f>'Vật liệu'!E142</f>
        <v>m3</v>
      </c>
      <c r="F323" s="60"/>
      <c r="G323" s="60">
        <v>0.92559999999999998</v>
      </c>
      <c r="H323" s="60"/>
      <c r="I323" s="60"/>
      <c r="J323" s="60">
        <f>ROUND(F319*G323,4)</f>
        <v>5.5500000000000001E-2</v>
      </c>
      <c r="K323" s="60"/>
      <c r="L323" s="60"/>
    </row>
    <row r="324" spans="1:12" x14ac:dyDescent="0.25">
      <c r="A324" s="168"/>
      <c r="B324" s="144" t="str">
        <f>'Vật liệu'!B353</f>
        <v>V00494</v>
      </c>
      <c r="C324" s="34">
        <v>148</v>
      </c>
      <c r="D324" s="144" t="str">
        <f>" - " &amp; 'Vật liệu'!D353</f>
        <v xml:space="preserve"> - Nước</v>
      </c>
      <c r="E324" s="168" t="str">
        <f>'Vật liệu'!E353</f>
        <v>lít</v>
      </c>
      <c r="F324" s="60"/>
      <c r="G324" s="60">
        <v>189.625</v>
      </c>
      <c r="H324" s="60"/>
      <c r="I324" s="60"/>
      <c r="J324" s="60">
        <f>ROUND(F319*G324,4)</f>
        <v>11.3775</v>
      </c>
      <c r="K324" s="60"/>
      <c r="L324" s="60"/>
    </row>
    <row r="325" spans="1:12" x14ac:dyDescent="0.25">
      <c r="A325" s="168"/>
      <c r="B325" s="144" t="str">
        <f>'Vật liệu'!B766</f>
        <v>V00750</v>
      </c>
      <c r="C325" s="34">
        <v>194</v>
      </c>
      <c r="D325" s="144" t="str">
        <f>" - " &amp; 'Vật liệu'!D766</f>
        <v xml:space="preserve"> - Vật liệu khác</v>
      </c>
      <c r="E325" s="168" t="str">
        <f>'Vật liệu'!E766</f>
        <v>%</v>
      </c>
      <c r="F325" s="60"/>
      <c r="G325" s="60">
        <v>1</v>
      </c>
      <c r="H325" s="60"/>
      <c r="I325" s="60"/>
      <c r="J325" s="60"/>
      <c r="K325" s="60"/>
      <c r="L325" s="60"/>
    </row>
    <row r="326" spans="1:12" x14ac:dyDescent="0.25">
      <c r="A326" s="56"/>
      <c r="B326" s="23"/>
      <c r="C326" s="88"/>
      <c r="D326" s="23" t="s">
        <v>202</v>
      </c>
      <c r="E326" s="56"/>
      <c r="F326" s="118"/>
      <c r="G326" s="118"/>
      <c r="H326" s="118"/>
      <c r="I326" s="118"/>
      <c r="J326" s="118"/>
      <c r="K326" s="118"/>
      <c r="L326" s="118"/>
    </row>
    <row r="327" spans="1:12" x14ac:dyDescent="0.25">
      <c r="A327" s="168"/>
      <c r="B327" s="144" t="str">
        <f>'Nhân công'!B6</f>
        <v>N0006</v>
      </c>
      <c r="C327" s="34">
        <v>545</v>
      </c>
      <c r="D327" s="144" t="s">
        <v>256</v>
      </c>
      <c r="E327" s="168" t="str">
        <f>'Nhân công'!G6</f>
        <v>công</v>
      </c>
      <c r="F327" s="60"/>
      <c r="G327" s="60"/>
      <c r="H327" s="60">
        <v>1.64</v>
      </c>
      <c r="I327" s="60"/>
      <c r="J327" s="60"/>
      <c r="K327" s="60">
        <f>ROUND(F319*H327,4)</f>
        <v>9.8400000000000001E-2</v>
      </c>
      <c r="L327" s="60"/>
    </row>
    <row r="328" spans="1:12" x14ac:dyDescent="0.25">
      <c r="A328" s="56"/>
      <c r="B328" s="23"/>
      <c r="C328" s="88"/>
      <c r="D328" s="23" t="s">
        <v>378</v>
      </c>
      <c r="E328" s="56"/>
      <c r="F328" s="118"/>
      <c r="G328" s="118"/>
      <c r="H328" s="118"/>
      <c r="I328" s="118"/>
      <c r="J328" s="118"/>
      <c r="K328" s="118"/>
      <c r="L328" s="118"/>
    </row>
    <row r="329" spans="1:12" x14ac:dyDescent="0.25">
      <c r="A329" s="168"/>
      <c r="B329" s="144" t="str">
        <f>'Máy thi công'!B232</f>
        <v>M9571</v>
      </c>
      <c r="C329" s="34">
        <v>750</v>
      </c>
      <c r="D329" s="144" t="str">
        <f>" - " &amp; 'Máy thi công'!D232</f>
        <v xml:space="preserve"> - Máy đầm bê tông, dầm dùi - công suất: 1,5 kW</v>
      </c>
      <c r="E329" s="168" t="str">
        <f>'Máy thi công'!E232</f>
        <v>ca</v>
      </c>
      <c r="F329" s="60"/>
      <c r="G329" s="60"/>
      <c r="H329" s="60"/>
      <c r="I329" s="60">
        <v>8.8999999999999996E-2</v>
      </c>
      <c r="J329" s="60"/>
      <c r="K329" s="60"/>
      <c r="L329" s="60">
        <f>ROUND(F319*I329,4)</f>
        <v>5.3E-3</v>
      </c>
    </row>
    <row r="330" spans="1:12" x14ac:dyDescent="0.25">
      <c r="A330" s="168"/>
      <c r="B330" s="144" t="str">
        <f>'Máy thi công'!B306</f>
        <v>M9555</v>
      </c>
      <c r="C330" s="34">
        <v>744</v>
      </c>
      <c r="D330" s="144" t="str">
        <f>" - " &amp; 'Máy thi công'!D306</f>
        <v xml:space="preserve"> - Máy trộn bê tông - dung tích: 250 lít</v>
      </c>
      <c r="E330" s="168" t="str">
        <f>'Máy thi công'!E306</f>
        <v>ca</v>
      </c>
      <c r="F330" s="60"/>
      <c r="G330" s="60"/>
      <c r="H330" s="60"/>
      <c r="I330" s="60">
        <v>9.5000000000000001E-2</v>
      </c>
      <c r="J330" s="60"/>
      <c r="K330" s="60"/>
      <c r="L330" s="60">
        <f>ROUND(F319*I330,4)</f>
        <v>5.7000000000000002E-3</v>
      </c>
    </row>
    <row r="331" spans="1:12" ht="28.5" x14ac:dyDescent="0.25">
      <c r="A331" s="65">
        <f>'Công trình'!A44</f>
        <v>32</v>
      </c>
      <c r="B331" s="14" t="str">
        <f>'Công trình'!B44</f>
        <v>AF.11213</v>
      </c>
      <c r="C331" s="94"/>
      <c r="D331" s="14" t="str">
        <f>'Công trình'!C44</f>
        <v>Bê tông móng rộng &lt;=250cm đá 1x2, vữa BT mác 200</v>
      </c>
      <c r="E331" s="46" t="str">
        <f>'Công trình'!D44</f>
        <v>m3</v>
      </c>
      <c r="F331" s="106">
        <f>'Công trình'!K44</f>
        <v>0.2</v>
      </c>
      <c r="G331" s="126"/>
      <c r="H331" s="126"/>
      <c r="I331" s="126"/>
      <c r="J331" s="126"/>
      <c r="K331" s="126"/>
      <c r="L331" s="126"/>
    </row>
    <row r="332" spans="1:12" x14ac:dyDescent="0.25">
      <c r="A332" s="56"/>
      <c r="B332" s="23"/>
      <c r="C332" s="88"/>
      <c r="D332" s="23" t="s">
        <v>479</v>
      </c>
      <c r="E332" s="56"/>
      <c r="F332" s="118"/>
      <c r="G332" s="118"/>
      <c r="H332" s="118"/>
      <c r="I332" s="118"/>
      <c r="J332" s="118"/>
      <c r="K332" s="118"/>
      <c r="L332" s="118"/>
    </row>
    <row r="333" spans="1:12" x14ac:dyDescent="0.25">
      <c r="A333" s="168"/>
      <c r="B333" s="144" t="str">
        <f>'Vật liệu'!B721</f>
        <v>V00761</v>
      </c>
      <c r="C333" s="34">
        <v>397</v>
      </c>
      <c r="D333" s="144" t="str">
        <f>" - " &amp; 'Vật liệu'!D721</f>
        <v xml:space="preserve"> - Xi măng PC40</v>
      </c>
      <c r="E333" s="168" t="str">
        <f>'Vật liệu'!E721</f>
        <v>kg</v>
      </c>
      <c r="F333" s="60"/>
      <c r="G333" s="60">
        <v>288.02499999999998</v>
      </c>
      <c r="H333" s="60"/>
      <c r="I333" s="60"/>
      <c r="J333" s="60">
        <f>ROUND(F331*G333,4)</f>
        <v>57.604999999999997</v>
      </c>
      <c r="K333" s="60"/>
      <c r="L333" s="60"/>
    </row>
    <row r="334" spans="1:12" x14ac:dyDescent="0.25">
      <c r="A334" s="168"/>
      <c r="B334" s="144" t="str">
        <f>'Vật liệu'!B54</f>
        <v>V00112</v>
      </c>
      <c r="C334" s="34">
        <v>125</v>
      </c>
      <c r="D334" s="144" t="str">
        <f>" - " &amp; 'Vật liệu'!D54</f>
        <v xml:space="preserve"> - Cát vàng</v>
      </c>
      <c r="E334" s="168" t="str">
        <f>'Vật liệu'!E54</f>
        <v>m3</v>
      </c>
      <c r="F334" s="60"/>
      <c r="G334" s="60">
        <v>0.50529999999999997</v>
      </c>
      <c r="H334" s="60"/>
      <c r="I334" s="60"/>
      <c r="J334" s="60">
        <f>ROUND(F331*G334,4)</f>
        <v>0.1011</v>
      </c>
      <c r="K334" s="60"/>
      <c r="L334" s="60"/>
    </row>
    <row r="335" spans="1:12" x14ac:dyDescent="0.25">
      <c r="A335" s="168"/>
      <c r="B335" s="144" t="str">
        <f>'Vật liệu'!B142</f>
        <v>V05207</v>
      </c>
      <c r="C335" s="34">
        <v>416</v>
      </c>
      <c r="D335" s="144" t="str">
        <f>" - " &amp; 'Vật liệu'!D142</f>
        <v xml:space="preserve"> - Đá 1x2</v>
      </c>
      <c r="E335" s="168" t="str">
        <f>'Vật liệu'!E142</f>
        <v>m3</v>
      </c>
      <c r="F335" s="60"/>
      <c r="G335" s="60">
        <v>0.9133</v>
      </c>
      <c r="H335" s="60"/>
      <c r="I335" s="60"/>
      <c r="J335" s="60">
        <f>ROUND(F331*G335,4)</f>
        <v>0.1827</v>
      </c>
      <c r="K335" s="60"/>
      <c r="L335" s="60"/>
    </row>
    <row r="336" spans="1:12" x14ac:dyDescent="0.25">
      <c r="A336" s="168"/>
      <c r="B336" s="144" t="str">
        <f>'Vật liệu'!B353</f>
        <v>V00494</v>
      </c>
      <c r="C336" s="34">
        <v>148</v>
      </c>
      <c r="D336" s="144" t="str">
        <f>" - " &amp; 'Vật liệu'!D353</f>
        <v xml:space="preserve"> - Nước</v>
      </c>
      <c r="E336" s="168" t="str">
        <f>'Vật liệu'!E353</f>
        <v>lít</v>
      </c>
      <c r="F336" s="60"/>
      <c r="G336" s="60">
        <v>189.625</v>
      </c>
      <c r="H336" s="60"/>
      <c r="I336" s="60"/>
      <c r="J336" s="60">
        <f>ROUND(F331*G336,4)</f>
        <v>37.924999999999997</v>
      </c>
      <c r="K336" s="60"/>
      <c r="L336" s="60"/>
    </row>
    <row r="337" spans="1:12" x14ac:dyDescent="0.25">
      <c r="A337" s="168"/>
      <c r="B337" s="144" t="str">
        <f>'Vật liệu'!B766</f>
        <v>V00750</v>
      </c>
      <c r="C337" s="34">
        <v>195</v>
      </c>
      <c r="D337" s="144" t="str">
        <f>" - " &amp; 'Vật liệu'!D766</f>
        <v xml:space="preserve"> - Vật liệu khác</v>
      </c>
      <c r="E337" s="168" t="str">
        <f>'Vật liệu'!E766</f>
        <v>%</v>
      </c>
      <c r="F337" s="60"/>
      <c r="G337" s="60">
        <v>1</v>
      </c>
      <c r="H337" s="60"/>
      <c r="I337" s="60"/>
      <c r="J337" s="60"/>
      <c r="K337" s="60"/>
      <c r="L337" s="60"/>
    </row>
    <row r="338" spans="1:12" x14ac:dyDescent="0.25">
      <c r="A338" s="56"/>
      <c r="B338" s="23"/>
      <c r="C338" s="88"/>
      <c r="D338" s="23" t="s">
        <v>202</v>
      </c>
      <c r="E338" s="56"/>
      <c r="F338" s="118"/>
      <c r="G338" s="118"/>
      <c r="H338" s="118"/>
      <c r="I338" s="118"/>
      <c r="J338" s="118"/>
      <c r="K338" s="118"/>
      <c r="L338" s="118"/>
    </row>
    <row r="339" spans="1:12" x14ac:dyDescent="0.25">
      <c r="A339" s="168"/>
      <c r="B339" s="144" t="str">
        <f>'Nhân công'!B6</f>
        <v>N0006</v>
      </c>
      <c r="C339" s="34">
        <v>545</v>
      </c>
      <c r="D339" s="144" t="s">
        <v>256</v>
      </c>
      <c r="E339" s="168" t="str">
        <f>'Nhân công'!G6</f>
        <v>công</v>
      </c>
      <c r="F339" s="60"/>
      <c r="G339" s="60"/>
      <c r="H339" s="60">
        <v>1.64</v>
      </c>
      <c r="I339" s="60"/>
      <c r="J339" s="60"/>
      <c r="K339" s="60">
        <f>ROUND(F331*H339,4)</f>
        <v>0.32800000000000001</v>
      </c>
      <c r="L339" s="60"/>
    </row>
    <row r="340" spans="1:12" x14ac:dyDescent="0.25">
      <c r="A340" s="56"/>
      <c r="B340" s="23"/>
      <c r="C340" s="88"/>
      <c r="D340" s="23" t="s">
        <v>378</v>
      </c>
      <c r="E340" s="56"/>
      <c r="F340" s="118"/>
      <c r="G340" s="118"/>
      <c r="H340" s="118"/>
      <c r="I340" s="118"/>
      <c r="J340" s="118"/>
      <c r="K340" s="118"/>
      <c r="L340" s="118"/>
    </row>
    <row r="341" spans="1:12" x14ac:dyDescent="0.25">
      <c r="A341" s="168"/>
      <c r="B341" s="144" t="str">
        <f>'Máy thi công'!B232</f>
        <v>M9571</v>
      </c>
      <c r="C341" s="34">
        <v>750</v>
      </c>
      <c r="D341" s="144" t="str">
        <f>" - " &amp; 'Máy thi công'!D232</f>
        <v xml:space="preserve"> - Máy đầm bê tông, dầm dùi - công suất: 1,5 kW</v>
      </c>
      <c r="E341" s="168" t="str">
        <f>'Máy thi công'!E232</f>
        <v>ca</v>
      </c>
      <c r="F341" s="60"/>
      <c r="G341" s="60"/>
      <c r="H341" s="60"/>
      <c r="I341" s="60">
        <v>8.8999999999999996E-2</v>
      </c>
      <c r="J341" s="60"/>
      <c r="K341" s="60"/>
      <c r="L341" s="60">
        <f>ROUND(F331*I341,4)</f>
        <v>1.78E-2</v>
      </c>
    </row>
    <row r="342" spans="1:12" x14ac:dyDescent="0.25">
      <c r="A342" s="168"/>
      <c r="B342" s="144" t="str">
        <f>'Máy thi công'!B306</f>
        <v>M9555</v>
      </c>
      <c r="C342" s="34">
        <v>744</v>
      </c>
      <c r="D342" s="144" t="str">
        <f>" - " &amp; 'Máy thi công'!D306</f>
        <v xml:space="preserve"> - Máy trộn bê tông - dung tích: 250 lít</v>
      </c>
      <c r="E342" s="168" t="str">
        <f>'Máy thi công'!E306</f>
        <v>ca</v>
      </c>
      <c r="F342" s="60"/>
      <c r="G342" s="60"/>
      <c r="H342" s="60"/>
      <c r="I342" s="60">
        <v>9.5000000000000001E-2</v>
      </c>
      <c r="J342" s="60"/>
      <c r="K342" s="60"/>
      <c r="L342" s="60">
        <f>ROUND(F331*I342,4)</f>
        <v>1.9E-2</v>
      </c>
    </row>
    <row r="343" spans="1:12" ht="28.5" x14ac:dyDescent="0.25">
      <c r="A343" s="65">
        <f>'Công trình'!A45</f>
        <v>33</v>
      </c>
      <c r="B343" s="14" t="str">
        <f>'Công trình'!B45</f>
        <v>AK.84422</v>
      </c>
      <c r="C343" s="94"/>
      <c r="D343" s="14" t="str">
        <f>'Công trình'!C45</f>
        <v>Sơn dầm, trần, cột, tường 1 nước lót + 2 nước phủ bằng sơn ICI Dulux</v>
      </c>
      <c r="E343" s="46" t="str">
        <f>'Công trình'!D45</f>
        <v>m2</v>
      </c>
      <c r="F343" s="106">
        <f>'Công trình'!K45</f>
        <v>4</v>
      </c>
      <c r="G343" s="126"/>
      <c r="H343" s="126"/>
      <c r="I343" s="126"/>
      <c r="J343" s="126"/>
      <c r="K343" s="126"/>
      <c r="L343" s="126"/>
    </row>
    <row r="344" spans="1:12" x14ac:dyDescent="0.25">
      <c r="A344" s="56"/>
      <c r="B344" s="23"/>
      <c r="C344" s="88"/>
      <c r="D344" s="23" t="s">
        <v>479</v>
      </c>
      <c r="E344" s="56"/>
      <c r="F344" s="118"/>
      <c r="G344" s="118"/>
      <c r="H344" s="118"/>
      <c r="I344" s="118"/>
      <c r="J344" s="118"/>
      <c r="K344" s="118"/>
      <c r="L344" s="118"/>
    </row>
    <row r="345" spans="1:12" x14ac:dyDescent="0.25">
      <c r="A345" s="168"/>
      <c r="B345" s="144" t="str">
        <f>'Vật liệu'!B533</f>
        <v>V00552</v>
      </c>
      <c r="C345" s="34">
        <v>157</v>
      </c>
      <c r="D345" s="144" t="str">
        <f>" - " &amp; 'Vật liệu'!D533</f>
        <v xml:space="preserve"> - Sơn ICI Dulux Supreme cao cấp trong nhà</v>
      </c>
      <c r="E345" s="168" t="str">
        <f>'Vật liệu'!E533</f>
        <v>kg</v>
      </c>
      <c r="F345" s="60"/>
      <c r="G345" s="60">
        <v>0.192</v>
      </c>
      <c r="H345" s="60"/>
      <c r="I345" s="60"/>
      <c r="J345" s="60">
        <f>ROUND(F343*G345,4)</f>
        <v>0.76800000000000002</v>
      </c>
      <c r="K345" s="60"/>
      <c r="L345" s="60"/>
    </row>
    <row r="346" spans="1:12" x14ac:dyDescent="0.25">
      <c r="A346" s="168"/>
      <c r="B346" s="144" t="str">
        <f>'Vật liệu'!B535</f>
        <v>V08617</v>
      </c>
      <c r="C346" s="34">
        <v>440</v>
      </c>
      <c r="D346" s="144" t="str">
        <f>" - " &amp; 'Vật liệu'!D535</f>
        <v xml:space="preserve"> - Sơn lót ICI Dulux Sealer-2000, chống kiềm</v>
      </c>
      <c r="E346" s="168" t="str">
        <f>'Vật liệu'!E535</f>
        <v>kg</v>
      </c>
      <c r="F346" s="60"/>
      <c r="G346" s="60">
        <v>0.16200000000000001</v>
      </c>
      <c r="H346" s="60"/>
      <c r="I346" s="60"/>
      <c r="J346" s="60">
        <f>ROUND(F343*G346,4)</f>
        <v>0.64800000000000002</v>
      </c>
      <c r="K346" s="60"/>
      <c r="L346" s="60"/>
    </row>
    <row r="347" spans="1:12" x14ac:dyDescent="0.25">
      <c r="A347" s="168"/>
      <c r="B347" s="144" t="str">
        <f>'Vật liệu'!B766</f>
        <v>V00750</v>
      </c>
      <c r="C347" s="34">
        <v>196</v>
      </c>
      <c r="D347" s="144" t="str">
        <f>" - " &amp; 'Vật liệu'!D766</f>
        <v xml:space="preserve"> - Vật liệu khác</v>
      </c>
      <c r="E347" s="168" t="str">
        <f>'Vật liệu'!E766</f>
        <v>%</v>
      </c>
      <c r="F347" s="60"/>
      <c r="G347" s="60">
        <v>1</v>
      </c>
      <c r="H347" s="60"/>
      <c r="I347" s="60"/>
      <c r="J347" s="60"/>
      <c r="K347" s="60"/>
      <c r="L347" s="60"/>
    </row>
    <row r="348" spans="1:12" x14ac:dyDescent="0.25">
      <c r="A348" s="56"/>
      <c r="B348" s="23"/>
      <c r="C348" s="88"/>
      <c r="D348" s="23" t="s">
        <v>202</v>
      </c>
      <c r="E348" s="56"/>
      <c r="F348" s="118"/>
      <c r="G348" s="118"/>
      <c r="H348" s="118"/>
      <c r="I348" s="118"/>
      <c r="J348" s="118"/>
      <c r="K348" s="118"/>
      <c r="L348" s="118"/>
    </row>
    <row r="349" spans="1:12" x14ac:dyDescent="0.25">
      <c r="A349" s="168"/>
      <c r="B349" s="144" t="str">
        <f>'Nhân công'!B45</f>
        <v>N0009</v>
      </c>
      <c r="C349" s="34">
        <v>546</v>
      </c>
      <c r="D349" s="144" t="s">
        <v>1052</v>
      </c>
      <c r="E349" s="168" t="str">
        <f>'Nhân công'!G45</f>
        <v>công</v>
      </c>
      <c r="F349" s="60"/>
      <c r="G349" s="60"/>
      <c r="H349" s="60">
        <v>6.6000000000000003E-2</v>
      </c>
      <c r="I349" s="60"/>
      <c r="J349" s="60"/>
      <c r="K349" s="60">
        <f>ROUND(F343*H349,4)</f>
        <v>0.26400000000000001</v>
      </c>
      <c r="L349" s="60"/>
    </row>
    <row r="350" spans="1:12" x14ac:dyDescent="0.25">
      <c r="A350" s="65">
        <f>'Công trình'!A47</f>
        <v>34</v>
      </c>
      <c r="B350" s="14" t="str">
        <f>'Công trình'!B47</f>
        <v>035.41</v>
      </c>
      <c r="C350" s="94"/>
      <c r="D350" s="14" t="str">
        <f>'Công trình'!C47</f>
        <v>Thả rọ thép đá hộc, loai rọ 2x1x0.5 trên cạn</v>
      </c>
      <c r="E350" s="46" t="str">
        <f>'Công trình'!D47</f>
        <v>rọ</v>
      </c>
      <c r="F350" s="106">
        <f>'Công trình'!K47</f>
        <v>200</v>
      </c>
      <c r="G350" s="126"/>
      <c r="H350" s="126"/>
      <c r="I350" s="126"/>
      <c r="J350" s="126"/>
      <c r="K350" s="126"/>
      <c r="L350" s="126"/>
    </row>
    <row r="351" spans="1:12" x14ac:dyDescent="0.25">
      <c r="A351" s="56"/>
      <c r="B351" s="23"/>
      <c r="C351" s="88"/>
      <c r="D351" s="23" t="s">
        <v>479</v>
      </c>
      <c r="E351" s="56"/>
      <c r="F351" s="118"/>
      <c r="G351" s="118"/>
      <c r="H351" s="118"/>
      <c r="I351" s="118"/>
      <c r="J351" s="118"/>
      <c r="K351" s="118"/>
      <c r="L351" s="118"/>
    </row>
    <row r="352" spans="1:12" x14ac:dyDescent="0.25">
      <c r="A352" s="168"/>
      <c r="B352" s="144" t="str">
        <f>'Vật liệu'!B182</f>
        <v>V35307</v>
      </c>
      <c r="C352" s="34">
        <v>470</v>
      </c>
      <c r="D352" s="144" t="str">
        <f>" - " &amp; 'Vật liệu'!D182</f>
        <v xml:space="preserve"> - Đá hộc 30x30</v>
      </c>
      <c r="E352" s="168" t="str">
        <f>'Vật liệu'!E182</f>
        <v>m3</v>
      </c>
      <c r="F352" s="60"/>
      <c r="G352" s="60">
        <v>1.1000000000000001</v>
      </c>
      <c r="H352" s="60"/>
      <c r="I352" s="60"/>
      <c r="J352" s="60">
        <f>ROUND(F350*G352,4)</f>
        <v>220</v>
      </c>
      <c r="K352" s="60"/>
      <c r="L352" s="60"/>
    </row>
    <row r="353" spans="1:12" ht="30" x14ac:dyDescent="0.25">
      <c r="A353" s="168"/>
      <c r="B353" s="144" t="str">
        <f>'Vật liệu'!B262</f>
        <v>V37377</v>
      </c>
      <c r="C353" s="34">
        <v>471</v>
      </c>
      <c r="D353" s="144" t="str">
        <f>" - " &amp; 'Vật liệu'!D262</f>
        <v xml:space="preserve"> - Dây thép bọc PVC dây đan 2,7x3,7mm, dây viền 3,4x4,4mm</v>
      </c>
      <c r="E353" s="168" t="str">
        <f>'Vật liệu'!E262</f>
        <v>m2</v>
      </c>
      <c r="F353" s="60"/>
      <c r="G353" s="60">
        <v>7</v>
      </c>
      <c r="H353" s="60"/>
      <c r="I353" s="60"/>
      <c r="J353" s="60">
        <f>ROUND(F350*G353,4)</f>
        <v>1400</v>
      </c>
      <c r="K353" s="60"/>
      <c r="L353" s="60"/>
    </row>
    <row r="354" spans="1:12" x14ac:dyDescent="0.25">
      <c r="A354" s="56"/>
      <c r="B354" s="23"/>
      <c r="C354" s="88"/>
      <c r="D354" s="23" t="s">
        <v>202</v>
      </c>
      <c r="E354" s="56"/>
      <c r="F354" s="118"/>
      <c r="G354" s="118"/>
      <c r="H354" s="118"/>
      <c r="I354" s="118"/>
      <c r="J354" s="118"/>
      <c r="K354" s="118"/>
      <c r="L354" s="118"/>
    </row>
    <row r="355" spans="1:12" x14ac:dyDescent="0.25">
      <c r="A355" s="168"/>
      <c r="B355" s="144" t="str">
        <f>'Nhân công'!B45</f>
        <v>N0009</v>
      </c>
      <c r="C355" s="34">
        <v>546</v>
      </c>
      <c r="D355" s="144" t="s">
        <v>1052</v>
      </c>
      <c r="E355" s="168" t="str">
        <f>'Nhân công'!G45</f>
        <v>công</v>
      </c>
      <c r="F355" s="60"/>
      <c r="G355" s="60"/>
      <c r="H355" s="60">
        <v>1.6185</v>
      </c>
      <c r="I355" s="60"/>
      <c r="J355" s="60"/>
      <c r="K355" s="60">
        <f>ROUND(F350*H355,4)</f>
        <v>323.7</v>
      </c>
      <c r="L355" s="60"/>
    </row>
    <row r="356" spans="1:12" x14ac:dyDescent="0.25">
      <c r="A356" s="65">
        <f>'Công trình'!A48</f>
        <v>35</v>
      </c>
      <c r="B356" s="14" t="str">
        <f>'Công trình'!B48</f>
        <v>035.41</v>
      </c>
      <c r="C356" s="94"/>
      <c r="D356" s="14" t="str">
        <f>'Công trình'!C48</f>
        <v>Thả rọ thép đá hộc, loai rọ 2x1x0.3 trên cạn</v>
      </c>
      <c r="E356" s="46" t="str">
        <f>'Công trình'!D48</f>
        <v>rọ</v>
      </c>
      <c r="F356" s="106">
        <f>'Công trình'!K48</f>
        <v>989.58500000000004</v>
      </c>
      <c r="G356" s="126"/>
      <c r="H356" s="126"/>
      <c r="I356" s="126"/>
      <c r="J356" s="126"/>
      <c r="K356" s="126"/>
      <c r="L356" s="126"/>
    </row>
    <row r="357" spans="1:12" x14ac:dyDescent="0.25">
      <c r="A357" s="56"/>
      <c r="B357" s="23"/>
      <c r="C357" s="88"/>
      <c r="D357" s="23" t="s">
        <v>479</v>
      </c>
      <c r="E357" s="56"/>
      <c r="F357" s="118"/>
      <c r="G357" s="118"/>
      <c r="H357" s="118"/>
      <c r="I357" s="118"/>
      <c r="J357" s="118"/>
      <c r="K357" s="118"/>
      <c r="L357" s="118"/>
    </row>
    <row r="358" spans="1:12" x14ac:dyDescent="0.25">
      <c r="A358" s="168"/>
      <c r="B358" s="144" t="str">
        <f>'Vật liệu'!B182</f>
        <v>V35307</v>
      </c>
      <c r="C358" s="34">
        <v>470</v>
      </c>
      <c r="D358" s="144" t="str">
        <f>" - " &amp; 'Vật liệu'!D182</f>
        <v xml:space="preserve"> - Đá hộc 30x30</v>
      </c>
      <c r="E358" s="168" t="str">
        <f>'Vật liệu'!E182</f>
        <v>m3</v>
      </c>
      <c r="F358" s="60"/>
      <c r="G358" s="60">
        <v>0.66</v>
      </c>
      <c r="H358" s="60"/>
      <c r="I358" s="60"/>
      <c r="J358" s="60">
        <f>ROUND(F356*G358,4)</f>
        <v>653.12609999999995</v>
      </c>
      <c r="K358" s="60"/>
      <c r="L358" s="60"/>
    </row>
    <row r="359" spans="1:12" ht="30" x14ac:dyDescent="0.25">
      <c r="A359" s="168"/>
      <c r="B359" s="144" t="str">
        <f>'Vật liệu'!B262</f>
        <v>V37377</v>
      </c>
      <c r="C359" s="34">
        <v>471</v>
      </c>
      <c r="D359" s="144" t="str">
        <f>" - " &amp; 'Vật liệu'!D262</f>
        <v xml:space="preserve"> - Dây thép bọc PVC dây đan 2,7x3,7mm, dây viền 3,4x4,4mm</v>
      </c>
      <c r="E359" s="168" t="str">
        <f>'Vật liệu'!E262</f>
        <v>m2</v>
      </c>
      <c r="F359" s="60"/>
      <c r="G359" s="60">
        <v>6.1</v>
      </c>
      <c r="H359" s="60"/>
      <c r="I359" s="60"/>
      <c r="J359" s="60">
        <f>ROUND(F356*G359,4)</f>
        <v>6036.4684999999999</v>
      </c>
      <c r="K359" s="60"/>
      <c r="L359" s="60"/>
    </row>
    <row r="360" spans="1:12" x14ac:dyDescent="0.25">
      <c r="A360" s="56"/>
      <c r="B360" s="23"/>
      <c r="C360" s="88"/>
      <c r="D360" s="23" t="s">
        <v>202</v>
      </c>
      <c r="E360" s="56"/>
      <c r="F360" s="118"/>
      <c r="G360" s="118"/>
      <c r="H360" s="118"/>
      <c r="I360" s="118"/>
      <c r="J360" s="118"/>
      <c r="K360" s="118"/>
      <c r="L360" s="118"/>
    </row>
    <row r="361" spans="1:12" x14ac:dyDescent="0.25">
      <c r="A361" s="168"/>
      <c r="B361" s="144" t="str">
        <f>'Nhân công'!B45</f>
        <v>N0009</v>
      </c>
      <c r="C361" s="34">
        <v>546</v>
      </c>
      <c r="D361" s="144" t="s">
        <v>1052</v>
      </c>
      <c r="E361" s="168" t="str">
        <f>'Nhân công'!G45</f>
        <v>công</v>
      </c>
      <c r="F361" s="60"/>
      <c r="G361" s="60"/>
      <c r="H361" s="60">
        <v>0.97109999999999996</v>
      </c>
      <c r="I361" s="60"/>
      <c r="J361" s="60"/>
      <c r="K361" s="60">
        <f>ROUND(F356*H361,4)</f>
        <v>960.98599999999999</v>
      </c>
      <c r="L361" s="60"/>
    </row>
    <row r="362" spans="1:12" x14ac:dyDescent="0.25">
      <c r="A362" s="65">
        <f>'Công trình'!A49</f>
        <v>36</v>
      </c>
      <c r="B362" s="14" t="str">
        <f>'Công trình'!B49</f>
        <v>AL.16122</v>
      </c>
      <c r="C362" s="94"/>
      <c r="D362" s="14" t="str">
        <f>'Công trình'!C49</f>
        <v>Rải vải địa kỹ thuật làm móng công trình</v>
      </c>
      <c r="E362" s="46" t="str">
        <f>'Công trình'!D49</f>
        <v>100m2</v>
      </c>
      <c r="F362" s="106">
        <f>'Công trình'!K49</f>
        <v>23.791699999999999</v>
      </c>
      <c r="G362" s="126"/>
      <c r="H362" s="126"/>
      <c r="I362" s="126"/>
      <c r="J362" s="126"/>
      <c r="K362" s="126"/>
      <c r="L362" s="126"/>
    </row>
    <row r="363" spans="1:12" x14ac:dyDescent="0.25">
      <c r="A363" s="56"/>
      <c r="B363" s="23"/>
      <c r="C363" s="88"/>
      <c r="D363" s="23" t="s">
        <v>479</v>
      </c>
      <c r="E363" s="56"/>
      <c r="F363" s="118"/>
      <c r="G363" s="118"/>
      <c r="H363" s="118"/>
      <c r="I363" s="118"/>
      <c r="J363" s="118"/>
      <c r="K363" s="118"/>
      <c r="L363" s="118"/>
    </row>
    <row r="364" spans="1:12" x14ac:dyDescent="0.25">
      <c r="A364" s="168"/>
      <c r="B364" s="144" t="str">
        <f>'Vật liệu'!B709</f>
        <v>V00749</v>
      </c>
      <c r="C364" s="34">
        <v>174</v>
      </c>
      <c r="D364" s="144" t="str">
        <f>" - " &amp; 'Vật liệu'!D709</f>
        <v xml:space="preserve"> - Vải địa kỹ thuật</v>
      </c>
      <c r="E364" s="168" t="str">
        <f>'Vật liệu'!E709</f>
        <v>m2</v>
      </c>
      <c r="F364" s="60"/>
      <c r="G364" s="60">
        <v>110</v>
      </c>
      <c r="H364" s="60"/>
      <c r="I364" s="60"/>
      <c r="J364" s="60">
        <f>ROUND(F362*G364,4)</f>
        <v>2617.087</v>
      </c>
      <c r="K364" s="60"/>
      <c r="L364" s="60"/>
    </row>
    <row r="365" spans="1:12" x14ac:dyDescent="0.25">
      <c r="A365" s="168"/>
      <c r="B365" s="144" t="str">
        <f>'Vật liệu'!B766</f>
        <v>V00750</v>
      </c>
      <c r="C365" s="34">
        <v>198</v>
      </c>
      <c r="D365" s="144" t="str">
        <f>" - " &amp; 'Vật liệu'!D766</f>
        <v xml:space="preserve"> - Vật liệu khác</v>
      </c>
      <c r="E365" s="168" t="str">
        <f>'Vật liệu'!E766</f>
        <v>%</v>
      </c>
      <c r="F365" s="60"/>
      <c r="G365" s="60">
        <v>0.2</v>
      </c>
      <c r="H365" s="60"/>
      <c r="I365" s="60"/>
      <c r="J365" s="60"/>
      <c r="K365" s="60"/>
      <c r="L365" s="60"/>
    </row>
    <row r="366" spans="1:12" x14ac:dyDescent="0.25">
      <c r="A366" s="56"/>
      <c r="B366" s="23"/>
      <c r="C366" s="88"/>
      <c r="D366" s="23" t="s">
        <v>202</v>
      </c>
      <c r="E366" s="56"/>
      <c r="F366" s="118"/>
      <c r="G366" s="118"/>
      <c r="H366" s="118"/>
      <c r="I366" s="118"/>
      <c r="J366" s="118"/>
      <c r="K366" s="118"/>
      <c r="L366" s="118"/>
    </row>
    <row r="367" spans="1:12" x14ac:dyDescent="0.25">
      <c r="A367" s="168"/>
      <c r="B367" s="144" t="str">
        <f>'Nhân công'!B103</f>
        <v>N0015</v>
      </c>
      <c r="C367" s="34">
        <v>554</v>
      </c>
      <c r="D367" s="144" t="s">
        <v>1014</v>
      </c>
      <c r="E367" s="168" t="str">
        <f>'Nhân công'!G103</f>
        <v>công</v>
      </c>
      <c r="F367" s="60"/>
      <c r="G367" s="60"/>
      <c r="H367" s="60">
        <v>1.08</v>
      </c>
      <c r="I367" s="60"/>
      <c r="J367" s="60"/>
      <c r="K367" s="60">
        <f>ROUND(F362*H367,4)</f>
        <v>25.695</v>
      </c>
      <c r="L367" s="60"/>
    </row>
    <row r="368" spans="1:12" ht="28.5" x14ac:dyDescent="0.25">
      <c r="A368" s="65">
        <f>'Công trình'!A50</f>
        <v>37</v>
      </c>
      <c r="B368" s="14" t="str">
        <f>'Công trình'!B50</f>
        <v>AC.11121</v>
      </c>
      <c r="C368" s="94"/>
      <c r="D368" s="14" t="str">
        <f>'Công trình'!C50</f>
        <v>Đóng cọc tràm chiều dài cọc ngập đất &gt;2,5m đất cấp I</v>
      </c>
      <c r="E368" s="46" t="str">
        <f>'Công trình'!D50</f>
        <v>100m</v>
      </c>
      <c r="F368" s="106">
        <f>'Công trình'!K50</f>
        <v>133.785</v>
      </c>
      <c r="G368" s="126"/>
      <c r="H368" s="126"/>
      <c r="I368" s="126"/>
      <c r="J368" s="126"/>
      <c r="K368" s="126"/>
      <c r="L368" s="126"/>
    </row>
    <row r="369" spans="1:12" x14ac:dyDescent="0.25">
      <c r="A369" s="56"/>
      <c r="B369" s="23"/>
      <c r="C369" s="88"/>
      <c r="D369" s="23" t="s">
        <v>479</v>
      </c>
      <c r="E369" s="56"/>
      <c r="F369" s="118"/>
      <c r="G369" s="118"/>
      <c r="H369" s="118"/>
      <c r="I369" s="118"/>
      <c r="J369" s="118"/>
      <c r="K369" s="118"/>
      <c r="L369" s="118"/>
    </row>
    <row r="370" spans="1:12" x14ac:dyDescent="0.25">
      <c r="A370" s="168"/>
      <c r="B370" s="144" t="str">
        <f>'Vật liệu'!B307</f>
        <v>V00402</v>
      </c>
      <c r="C370" s="34">
        <v>142</v>
      </c>
      <c r="D370" s="144" t="str">
        <f>" - " &amp; 'Vật liệu'!D307</f>
        <v xml:space="preserve"> - Gỗ ván</v>
      </c>
      <c r="E370" s="168" t="str">
        <f>'Vật liệu'!E307</f>
        <v>m3</v>
      </c>
      <c r="F370" s="60"/>
      <c r="G370" s="60">
        <v>0.01</v>
      </c>
      <c r="H370" s="60"/>
      <c r="I370" s="60"/>
      <c r="J370" s="60">
        <f>ROUND(F368*G370,4)</f>
        <v>1.3379000000000001</v>
      </c>
      <c r="K370" s="60"/>
      <c r="L370" s="60"/>
    </row>
    <row r="371" spans="1:12" x14ac:dyDescent="0.25">
      <c r="A371" s="168"/>
      <c r="B371" s="144" t="str">
        <f>'Vật liệu'!B124</f>
        <v>V32325</v>
      </c>
      <c r="C371" s="34">
        <v>466</v>
      </c>
      <c r="D371" s="144" t="str">
        <f>" - " &amp; 'Vật liệu'!D124</f>
        <v xml:space="preserve"> - Cọc tràm</v>
      </c>
      <c r="E371" s="168" t="str">
        <f>'Vật liệu'!E124</f>
        <v>m</v>
      </c>
      <c r="F371" s="60"/>
      <c r="G371" s="60">
        <v>105</v>
      </c>
      <c r="H371" s="60"/>
      <c r="I371" s="60"/>
      <c r="J371" s="60">
        <f>ROUND(F368*G371,4)</f>
        <v>14047.424999999999</v>
      </c>
      <c r="K371" s="60"/>
      <c r="L371" s="60"/>
    </row>
    <row r="372" spans="1:12" x14ac:dyDescent="0.25">
      <c r="A372" s="168"/>
      <c r="B372" s="144" t="str">
        <f>'Vật liệu'!B101</f>
        <v>V00116</v>
      </c>
      <c r="C372" s="34">
        <v>129</v>
      </c>
      <c r="D372" s="144" t="str">
        <f>" - " &amp; 'Vật liệu'!D101</f>
        <v xml:space="preserve"> - Cây chống</v>
      </c>
      <c r="E372" s="168" t="str">
        <f>'Vật liệu'!E101</f>
        <v>cây</v>
      </c>
      <c r="F372" s="60"/>
      <c r="G372" s="60">
        <v>1.65</v>
      </c>
      <c r="H372" s="60"/>
      <c r="I372" s="60"/>
      <c r="J372" s="60">
        <f>ROUND(F368*G372,4)</f>
        <v>220.74529999999999</v>
      </c>
      <c r="K372" s="60"/>
      <c r="L372" s="60"/>
    </row>
    <row r="373" spans="1:12" x14ac:dyDescent="0.25">
      <c r="A373" s="168"/>
      <c r="B373" s="144" t="str">
        <f>'Vật liệu'!B766</f>
        <v>V00750</v>
      </c>
      <c r="C373" s="34">
        <v>199</v>
      </c>
      <c r="D373" s="144" t="str">
        <f>" - " &amp; 'Vật liệu'!D766</f>
        <v xml:space="preserve"> - Vật liệu khác</v>
      </c>
      <c r="E373" s="168" t="str">
        <f>'Vật liệu'!E766</f>
        <v>%</v>
      </c>
      <c r="F373" s="60"/>
      <c r="G373" s="60">
        <v>5</v>
      </c>
      <c r="H373" s="60"/>
      <c r="I373" s="60"/>
      <c r="J373" s="60"/>
      <c r="K373" s="60"/>
      <c r="L373" s="60"/>
    </row>
    <row r="374" spans="1:12" x14ac:dyDescent="0.25">
      <c r="A374" s="56"/>
      <c r="B374" s="23"/>
      <c r="C374" s="88"/>
      <c r="D374" s="23" t="s">
        <v>202</v>
      </c>
      <c r="E374" s="56"/>
      <c r="F374" s="118"/>
      <c r="G374" s="118"/>
      <c r="H374" s="118"/>
      <c r="I374" s="118"/>
      <c r="J374" s="118"/>
      <c r="K374" s="118"/>
      <c r="L374" s="118"/>
    </row>
    <row r="375" spans="1:12" x14ac:dyDescent="0.25">
      <c r="A375" s="168"/>
      <c r="B375" s="144" t="str">
        <f>'Nhân công'!B103</f>
        <v>N0015</v>
      </c>
      <c r="C375" s="34">
        <v>554</v>
      </c>
      <c r="D375" s="144" t="s">
        <v>1014</v>
      </c>
      <c r="E375" s="168" t="str">
        <f>'Nhân công'!G103</f>
        <v>công</v>
      </c>
      <c r="F375" s="60"/>
      <c r="G375" s="60"/>
      <c r="H375" s="60">
        <v>2.5299999999999998</v>
      </c>
      <c r="I375" s="60"/>
      <c r="J375" s="60"/>
      <c r="K375" s="60">
        <f>ROUND(F368*H375,4)</f>
        <v>338.47609999999997</v>
      </c>
      <c r="L375" s="60"/>
    </row>
    <row r="376" spans="1:12" ht="28.5" x14ac:dyDescent="0.25">
      <c r="A376" s="65">
        <f>'Công trình'!A52</f>
        <v>38</v>
      </c>
      <c r="B376" s="14" t="str">
        <f>'Công trình'!B52</f>
        <v>AG.11412</v>
      </c>
      <c r="C376" s="94"/>
      <c r="D376" s="14" t="str">
        <f>'Công trình'!C52</f>
        <v>Sản xuất bê tông tấm BT tự chèn đúc sẵn đá 1x2, vữa BT mác 150</v>
      </c>
      <c r="E376" s="46" t="str">
        <f>'Công trình'!D52</f>
        <v>m3</v>
      </c>
      <c r="F376" s="106">
        <f>'Công trình'!K52</f>
        <v>91.815600000000003</v>
      </c>
      <c r="G376" s="126"/>
      <c r="H376" s="126"/>
      <c r="I376" s="126"/>
      <c r="J376" s="126"/>
      <c r="K376" s="126"/>
      <c r="L376" s="126"/>
    </row>
    <row r="377" spans="1:12" x14ac:dyDescent="0.25">
      <c r="A377" s="56"/>
      <c r="B377" s="23"/>
      <c r="C377" s="88"/>
      <c r="D377" s="23" t="s">
        <v>479</v>
      </c>
      <c r="E377" s="56"/>
      <c r="F377" s="118"/>
      <c r="G377" s="118"/>
      <c r="H377" s="118"/>
      <c r="I377" s="118"/>
      <c r="J377" s="118"/>
      <c r="K377" s="118"/>
      <c r="L377" s="118"/>
    </row>
    <row r="378" spans="1:12" x14ac:dyDescent="0.25">
      <c r="A378" s="168"/>
      <c r="B378" s="144" t="str">
        <f>'Vật liệu'!B721</f>
        <v>V00761</v>
      </c>
      <c r="C378" s="34">
        <v>397</v>
      </c>
      <c r="D378" s="144" t="str">
        <f>" - " &amp; 'Vật liệu'!D721</f>
        <v xml:space="preserve"> - Xi măng PC40</v>
      </c>
      <c r="E378" s="168" t="str">
        <f>'Vật liệu'!E721</f>
        <v>kg</v>
      </c>
      <c r="F378" s="60"/>
      <c r="G378" s="60">
        <v>236.495</v>
      </c>
      <c r="H378" s="60"/>
      <c r="I378" s="60"/>
      <c r="J378" s="60">
        <f>ROUND(F376*G378,4)</f>
        <v>21713.9303</v>
      </c>
      <c r="K378" s="60"/>
      <c r="L378" s="60"/>
    </row>
    <row r="379" spans="1:12" x14ac:dyDescent="0.25">
      <c r="A379" s="168"/>
      <c r="B379" s="144" t="str">
        <f>'Vật liệu'!B54</f>
        <v>V00112</v>
      </c>
      <c r="C379" s="34">
        <v>125</v>
      </c>
      <c r="D379" s="144" t="str">
        <f>" - " &amp; 'Vật liệu'!D54</f>
        <v xml:space="preserve"> - Cát vàng</v>
      </c>
      <c r="E379" s="168" t="str">
        <f>'Vật liệu'!E54</f>
        <v>m3</v>
      </c>
      <c r="F379" s="60"/>
      <c r="G379" s="60">
        <v>0.51770000000000005</v>
      </c>
      <c r="H379" s="60"/>
      <c r="I379" s="60"/>
      <c r="J379" s="60">
        <f>ROUND(F376*G379,4)</f>
        <v>47.532899999999998</v>
      </c>
      <c r="K379" s="60"/>
      <c r="L379" s="60"/>
    </row>
    <row r="380" spans="1:12" x14ac:dyDescent="0.25">
      <c r="A380" s="168"/>
      <c r="B380" s="144" t="str">
        <f>'Vật liệu'!B142</f>
        <v>V05207</v>
      </c>
      <c r="C380" s="34">
        <v>416</v>
      </c>
      <c r="D380" s="144" t="str">
        <f>" - " &amp; 'Vật liệu'!D142</f>
        <v xml:space="preserve"> - Đá 1x2</v>
      </c>
      <c r="E380" s="168" t="str">
        <f>'Vật liệu'!E142</f>
        <v>m3</v>
      </c>
      <c r="F380" s="60"/>
      <c r="G380" s="60">
        <v>0.91649999999999998</v>
      </c>
      <c r="H380" s="60"/>
      <c r="I380" s="60"/>
      <c r="J380" s="60">
        <f>ROUND(F376*G380,4)</f>
        <v>84.149000000000001</v>
      </c>
      <c r="K380" s="60"/>
      <c r="L380" s="60"/>
    </row>
    <row r="381" spans="1:12" x14ac:dyDescent="0.25">
      <c r="A381" s="168"/>
      <c r="B381" s="144" t="str">
        <f>'Vật liệu'!B353</f>
        <v>V00494</v>
      </c>
      <c r="C381" s="34">
        <v>148</v>
      </c>
      <c r="D381" s="144" t="str">
        <f>" - " &amp; 'Vật liệu'!D353</f>
        <v xml:space="preserve"> - Nước</v>
      </c>
      <c r="E381" s="168" t="str">
        <f>'Vật liệu'!E353</f>
        <v>lít</v>
      </c>
      <c r="F381" s="60"/>
      <c r="G381" s="60">
        <v>187.77500000000001</v>
      </c>
      <c r="H381" s="60"/>
      <c r="I381" s="60"/>
      <c r="J381" s="60">
        <f>ROUND(F376*G381,4)</f>
        <v>17240.674299999999</v>
      </c>
      <c r="K381" s="60"/>
      <c r="L381" s="60"/>
    </row>
    <row r="382" spans="1:12" x14ac:dyDescent="0.25">
      <c r="A382" s="168"/>
      <c r="B382" s="144" t="str">
        <f>'Vật liệu'!B766</f>
        <v>V00750</v>
      </c>
      <c r="C382" s="34">
        <v>200</v>
      </c>
      <c r="D382" s="144" t="str">
        <f>" - " &amp; 'Vật liệu'!D766</f>
        <v xml:space="preserve"> - Vật liệu khác</v>
      </c>
      <c r="E382" s="168" t="str">
        <f>'Vật liệu'!E766</f>
        <v>%</v>
      </c>
      <c r="F382" s="60"/>
      <c r="G382" s="60">
        <v>0.5</v>
      </c>
      <c r="H382" s="60"/>
      <c r="I382" s="60"/>
      <c r="J382" s="60"/>
      <c r="K382" s="60"/>
      <c r="L382" s="60"/>
    </row>
    <row r="383" spans="1:12" x14ac:dyDescent="0.25">
      <c r="A383" s="56"/>
      <c r="B383" s="23"/>
      <c r="C383" s="88"/>
      <c r="D383" s="23" t="s">
        <v>202</v>
      </c>
      <c r="E383" s="56"/>
      <c r="F383" s="118"/>
      <c r="G383" s="118"/>
      <c r="H383" s="118"/>
      <c r="I383" s="118"/>
      <c r="J383" s="118"/>
      <c r="K383" s="118"/>
      <c r="L383" s="118"/>
    </row>
    <row r="384" spans="1:12" x14ac:dyDescent="0.25">
      <c r="A384" s="168"/>
      <c r="B384" s="144" t="str">
        <f>'Nhân công'!B6</f>
        <v>N0006</v>
      </c>
      <c r="C384" s="34">
        <v>545</v>
      </c>
      <c r="D384" s="144" t="s">
        <v>256</v>
      </c>
      <c r="E384" s="168" t="str">
        <f>'Nhân công'!G6</f>
        <v>công</v>
      </c>
      <c r="F384" s="60"/>
      <c r="G384" s="60"/>
      <c r="H384" s="60">
        <v>2.57</v>
      </c>
      <c r="I384" s="60"/>
      <c r="J384" s="60"/>
      <c r="K384" s="60">
        <f>ROUND(F376*H384,4)</f>
        <v>235.96610000000001</v>
      </c>
      <c r="L384" s="60"/>
    </row>
    <row r="385" spans="1:12" x14ac:dyDescent="0.25">
      <c r="A385" s="56"/>
      <c r="B385" s="23"/>
      <c r="C385" s="88"/>
      <c r="D385" s="23" t="s">
        <v>378</v>
      </c>
      <c r="E385" s="56"/>
      <c r="F385" s="118"/>
      <c r="G385" s="118"/>
      <c r="H385" s="118"/>
      <c r="I385" s="118"/>
      <c r="J385" s="118"/>
      <c r="K385" s="118"/>
      <c r="L385" s="118"/>
    </row>
    <row r="386" spans="1:12" x14ac:dyDescent="0.25">
      <c r="A386" s="168"/>
      <c r="B386" s="144" t="str">
        <f>'Máy thi công'!B306</f>
        <v>M9555</v>
      </c>
      <c r="C386" s="34">
        <v>744</v>
      </c>
      <c r="D386" s="144" t="str">
        <f>" - " &amp; 'Máy thi công'!D306</f>
        <v xml:space="preserve"> - Máy trộn bê tông - dung tích: 250 lít</v>
      </c>
      <c r="E386" s="168" t="str">
        <f>'Máy thi công'!E306</f>
        <v>ca</v>
      </c>
      <c r="F386" s="60"/>
      <c r="G386" s="60"/>
      <c r="H386" s="60"/>
      <c r="I386" s="60">
        <v>9.5000000000000001E-2</v>
      </c>
      <c r="J386" s="60"/>
      <c r="K386" s="60"/>
      <c r="L386" s="60">
        <f>ROUND(F376*I386,4)</f>
        <v>8.7225000000000001</v>
      </c>
    </row>
    <row r="387" spans="1:12" x14ac:dyDescent="0.25">
      <c r="A387" s="65">
        <f>'Công trình'!A53</f>
        <v>39</v>
      </c>
      <c r="B387" s="14" t="str">
        <f>'Công trình'!B53</f>
        <v>AL.16122</v>
      </c>
      <c r="C387" s="94"/>
      <c r="D387" s="14" t="str">
        <f>'Công trình'!C53</f>
        <v>Rải vải địa kỹ thuật làm móng công trình</v>
      </c>
      <c r="E387" s="46" t="str">
        <f>'Công trình'!D53</f>
        <v>100m2</v>
      </c>
      <c r="F387" s="106">
        <f>'Công trình'!K53</f>
        <v>7.6513</v>
      </c>
      <c r="G387" s="126"/>
      <c r="H387" s="126"/>
      <c r="I387" s="126"/>
      <c r="J387" s="126"/>
      <c r="K387" s="126"/>
      <c r="L387" s="126"/>
    </row>
    <row r="388" spans="1:12" x14ac:dyDescent="0.25">
      <c r="A388" s="56"/>
      <c r="B388" s="23"/>
      <c r="C388" s="88"/>
      <c r="D388" s="23" t="s">
        <v>479</v>
      </c>
      <c r="E388" s="56"/>
      <c r="F388" s="118"/>
      <c r="G388" s="118"/>
      <c r="H388" s="118"/>
      <c r="I388" s="118"/>
      <c r="J388" s="118"/>
      <c r="K388" s="118"/>
      <c r="L388" s="118"/>
    </row>
    <row r="389" spans="1:12" x14ac:dyDescent="0.25">
      <c r="A389" s="168"/>
      <c r="B389" s="144" t="str">
        <f>'Vật liệu'!B709</f>
        <v>V00749</v>
      </c>
      <c r="C389" s="34">
        <v>174</v>
      </c>
      <c r="D389" s="144" t="str">
        <f>" - " &amp; 'Vật liệu'!D709</f>
        <v xml:space="preserve"> - Vải địa kỹ thuật</v>
      </c>
      <c r="E389" s="168" t="str">
        <f>'Vật liệu'!E709</f>
        <v>m2</v>
      </c>
      <c r="F389" s="60"/>
      <c r="G389" s="60">
        <v>110</v>
      </c>
      <c r="H389" s="60"/>
      <c r="I389" s="60"/>
      <c r="J389" s="60">
        <f>ROUND(F387*G389,4)</f>
        <v>841.64300000000003</v>
      </c>
      <c r="K389" s="60"/>
      <c r="L389" s="60"/>
    </row>
    <row r="390" spans="1:12" x14ac:dyDescent="0.25">
      <c r="A390" s="168"/>
      <c r="B390" s="144" t="str">
        <f>'Vật liệu'!B766</f>
        <v>V00750</v>
      </c>
      <c r="C390" s="34">
        <v>201</v>
      </c>
      <c r="D390" s="144" t="str">
        <f>" - " &amp; 'Vật liệu'!D766</f>
        <v xml:space="preserve"> - Vật liệu khác</v>
      </c>
      <c r="E390" s="168" t="str">
        <f>'Vật liệu'!E766</f>
        <v>%</v>
      </c>
      <c r="F390" s="60"/>
      <c r="G390" s="60">
        <v>0.2</v>
      </c>
      <c r="H390" s="60"/>
      <c r="I390" s="60"/>
      <c r="J390" s="60"/>
      <c r="K390" s="60"/>
      <c r="L390" s="60"/>
    </row>
    <row r="391" spans="1:12" x14ac:dyDescent="0.25">
      <c r="A391" s="56"/>
      <c r="B391" s="23"/>
      <c r="C391" s="88"/>
      <c r="D391" s="23" t="s">
        <v>202</v>
      </c>
      <c r="E391" s="56"/>
      <c r="F391" s="118"/>
      <c r="G391" s="118"/>
      <c r="H391" s="118"/>
      <c r="I391" s="118"/>
      <c r="J391" s="118"/>
      <c r="K391" s="118"/>
      <c r="L391" s="118"/>
    </row>
    <row r="392" spans="1:12" x14ac:dyDescent="0.25">
      <c r="A392" s="168"/>
      <c r="B392" s="144" t="str">
        <f>'Nhân công'!B103</f>
        <v>N0015</v>
      </c>
      <c r="C392" s="34">
        <v>554</v>
      </c>
      <c r="D392" s="144" t="s">
        <v>1014</v>
      </c>
      <c r="E392" s="168" t="str">
        <f>'Nhân công'!G103</f>
        <v>công</v>
      </c>
      <c r="F392" s="60"/>
      <c r="G392" s="60"/>
      <c r="H392" s="60">
        <v>1.08</v>
      </c>
      <c r="I392" s="60"/>
      <c r="J392" s="60"/>
      <c r="K392" s="60">
        <f>ROUND(F387*H392,4)</f>
        <v>8.2634000000000007</v>
      </c>
      <c r="L392" s="60"/>
    </row>
    <row r="393" spans="1:12" x14ac:dyDescent="0.25">
      <c r="A393" s="65">
        <f>'Công trình'!A54</f>
        <v>40</v>
      </c>
      <c r="B393" s="14" t="str">
        <f>'Công trình'!B54</f>
        <v>AB.13411</v>
      </c>
      <c r="C393" s="94"/>
      <c r="D393" s="14" t="str">
        <f>'Công trình'!C54</f>
        <v>Đắp cát nền móng công trình</v>
      </c>
      <c r="E393" s="46" t="str">
        <f>'Công trình'!D54</f>
        <v>m3</v>
      </c>
      <c r="F393" s="106">
        <f>'Công trình'!K54</f>
        <v>38.26</v>
      </c>
      <c r="G393" s="126"/>
      <c r="H393" s="126"/>
      <c r="I393" s="126"/>
      <c r="J393" s="126"/>
      <c r="K393" s="126"/>
      <c r="L393" s="126"/>
    </row>
    <row r="394" spans="1:12" x14ac:dyDescent="0.25">
      <c r="A394" s="56"/>
      <c r="B394" s="23"/>
      <c r="C394" s="88"/>
      <c r="D394" s="23" t="s">
        <v>479</v>
      </c>
      <c r="E394" s="56"/>
      <c r="F394" s="118"/>
      <c r="G394" s="118"/>
      <c r="H394" s="118"/>
      <c r="I394" s="118"/>
      <c r="J394" s="118"/>
      <c r="K394" s="118"/>
      <c r="L394" s="118"/>
    </row>
    <row r="395" spans="1:12" x14ac:dyDescent="0.25">
      <c r="A395" s="168"/>
      <c r="B395" s="144" t="str">
        <f>'Vật liệu'!B52</f>
        <v>V00113</v>
      </c>
      <c r="C395" s="34">
        <v>128</v>
      </c>
      <c r="D395" s="144" t="str">
        <f>" - " &amp; 'Vật liệu'!D52</f>
        <v xml:space="preserve"> - Cát thô</v>
      </c>
      <c r="E395" s="168" t="str">
        <f>'Vật liệu'!E52</f>
        <v>m3</v>
      </c>
      <c r="F395" s="60"/>
      <c r="G395" s="60">
        <v>1.22</v>
      </c>
      <c r="H395" s="60"/>
      <c r="I395" s="60"/>
      <c r="J395" s="60">
        <f>ROUND(F393*G395,4)</f>
        <v>46.677199999999999</v>
      </c>
      <c r="K395" s="60"/>
      <c r="L395" s="60"/>
    </row>
    <row r="396" spans="1:12" x14ac:dyDescent="0.25">
      <c r="A396" s="168"/>
      <c r="B396" s="144" t="str">
        <f>'Vật liệu'!B766</f>
        <v>V00750</v>
      </c>
      <c r="C396" s="34">
        <v>202</v>
      </c>
      <c r="D396" s="144" t="str">
        <f>" - " &amp; 'Vật liệu'!D766</f>
        <v xml:space="preserve"> - Vật liệu khác</v>
      </c>
      <c r="E396" s="168" t="str">
        <f>'Vật liệu'!E766</f>
        <v>%</v>
      </c>
      <c r="F396" s="60"/>
      <c r="G396" s="60">
        <v>2</v>
      </c>
      <c r="H396" s="60"/>
      <c r="I396" s="60"/>
      <c r="J396" s="60"/>
      <c r="K396" s="60"/>
      <c r="L396" s="60"/>
    </row>
    <row r="397" spans="1:12" x14ac:dyDescent="0.25">
      <c r="A397" s="56"/>
      <c r="B397" s="23"/>
      <c r="C397" s="88"/>
      <c r="D397" s="23" t="s">
        <v>202</v>
      </c>
      <c r="E397" s="56"/>
      <c r="F397" s="118"/>
      <c r="G397" s="118"/>
      <c r="H397" s="118"/>
      <c r="I397" s="118"/>
      <c r="J397" s="118"/>
      <c r="K397" s="118"/>
      <c r="L397" s="118"/>
    </row>
    <row r="398" spans="1:12" x14ac:dyDescent="0.25">
      <c r="A398" s="168"/>
      <c r="B398" s="144" t="str">
        <f>'Nhân công'!B6</f>
        <v>N0006</v>
      </c>
      <c r="C398" s="34">
        <v>545</v>
      </c>
      <c r="D398" s="144" t="s">
        <v>256</v>
      </c>
      <c r="E398" s="168" t="str">
        <f>'Nhân công'!G6</f>
        <v>công</v>
      </c>
      <c r="F398" s="60"/>
      <c r="G398" s="60"/>
      <c r="H398" s="60">
        <v>0.45</v>
      </c>
      <c r="I398" s="60"/>
      <c r="J398" s="60"/>
      <c r="K398" s="60">
        <f>ROUND(F393*H398,4)</f>
        <v>17.216999999999999</v>
      </c>
      <c r="L398" s="60"/>
    </row>
    <row r="399" spans="1:12" ht="28.5" x14ac:dyDescent="0.25">
      <c r="A399" s="65">
        <f>'Công trình'!A55</f>
        <v>41</v>
      </c>
      <c r="B399" s="14" t="str">
        <f>'Công trình'!B55</f>
        <v>AG.42111</v>
      </c>
      <c r="C399" s="94"/>
      <c r="D399" s="14" t="str">
        <f>'Công trình'!C55</f>
        <v>Lắp các loại cấu kiện BT đúc sẵn bằng thủ công trọng lượng &lt;=50kg, vữa XM mác 100</v>
      </c>
      <c r="E399" s="46" t="str">
        <f>'Công trình'!D55</f>
        <v>cái</v>
      </c>
      <c r="F399" s="106">
        <f>'Công trình'!K55</f>
        <v>4830.3662000000004</v>
      </c>
      <c r="G399" s="126"/>
      <c r="H399" s="126"/>
      <c r="I399" s="126"/>
      <c r="J399" s="126"/>
      <c r="K399" s="126"/>
      <c r="L399" s="126"/>
    </row>
    <row r="400" spans="1:12" x14ac:dyDescent="0.25">
      <c r="A400" s="56"/>
      <c r="B400" s="23"/>
      <c r="C400" s="88"/>
      <c r="D400" s="23" t="s">
        <v>479</v>
      </c>
      <c r="E400" s="56"/>
      <c r="F400" s="118"/>
      <c r="G400" s="118"/>
      <c r="H400" s="118"/>
      <c r="I400" s="118"/>
      <c r="J400" s="118"/>
      <c r="K400" s="118"/>
      <c r="L400" s="118"/>
    </row>
    <row r="401" spans="1:12" x14ac:dyDescent="0.25">
      <c r="A401" s="168"/>
      <c r="B401" s="144" t="str">
        <f>'Vật liệu'!B721</f>
        <v>V00761</v>
      </c>
      <c r="C401" s="34">
        <v>397</v>
      </c>
      <c r="D401" s="144" t="str">
        <f>" - " &amp; 'Vật liệu'!D721</f>
        <v xml:space="preserve"> - Xi măng PC40</v>
      </c>
      <c r="E401" s="168" t="str">
        <f>'Vật liệu'!E721</f>
        <v>kg</v>
      </c>
      <c r="F401" s="60"/>
      <c r="G401" s="60">
        <v>0.8911</v>
      </c>
      <c r="H401" s="60"/>
      <c r="I401" s="60"/>
      <c r="J401" s="60">
        <f>ROUND(F399*G401,4)</f>
        <v>4304.3392999999996</v>
      </c>
      <c r="K401" s="60"/>
      <c r="L401" s="60"/>
    </row>
    <row r="402" spans="1:12" x14ac:dyDescent="0.25">
      <c r="A402" s="168"/>
      <c r="B402" s="144" t="str">
        <f>'Vật liệu'!B54</f>
        <v>V00112</v>
      </c>
      <c r="C402" s="34">
        <v>125</v>
      </c>
      <c r="D402" s="144" t="str">
        <f>" - " &amp; 'Vật liệu'!D54</f>
        <v xml:space="preserve"> - Cát vàng</v>
      </c>
      <c r="E402" s="168" t="str">
        <f>'Vật liệu'!E54</f>
        <v>m3</v>
      </c>
      <c r="F402" s="60"/>
      <c r="G402" s="60">
        <v>3.3E-3</v>
      </c>
      <c r="H402" s="60"/>
      <c r="I402" s="60"/>
      <c r="J402" s="60">
        <f>ROUND(F399*G402,4)</f>
        <v>15.940200000000001</v>
      </c>
      <c r="K402" s="60"/>
      <c r="L402" s="60"/>
    </row>
    <row r="403" spans="1:12" x14ac:dyDescent="0.25">
      <c r="A403" s="168"/>
      <c r="B403" s="144" t="str">
        <f>'Vật liệu'!B353</f>
        <v>V00494</v>
      </c>
      <c r="C403" s="34">
        <v>148</v>
      </c>
      <c r="D403" s="144" t="str">
        <f>" - " &amp; 'Vật liệu'!D353</f>
        <v xml:space="preserve"> - Nước</v>
      </c>
      <c r="E403" s="168" t="str">
        <f>'Vật liệu'!E353</f>
        <v>lít</v>
      </c>
      <c r="F403" s="60"/>
      <c r="G403" s="60">
        <v>0.78</v>
      </c>
      <c r="H403" s="60"/>
      <c r="I403" s="60"/>
      <c r="J403" s="60">
        <f>ROUND(F399*G403,4)</f>
        <v>3767.6855999999998</v>
      </c>
      <c r="K403" s="60"/>
      <c r="L403" s="60"/>
    </row>
    <row r="404" spans="1:12" x14ac:dyDescent="0.25">
      <c r="A404" s="168"/>
      <c r="B404" s="144" t="str">
        <f>'Vật liệu'!B766</f>
        <v>V00750</v>
      </c>
      <c r="C404" s="34">
        <v>203</v>
      </c>
      <c r="D404" s="144" t="str">
        <f>" - " &amp; 'Vật liệu'!D766</f>
        <v xml:space="preserve"> - Vật liệu khác</v>
      </c>
      <c r="E404" s="168" t="str">
        <f>'Vật liệu'!E766</f>
        <v>%</v>
      </c>
      <c r="F404" s="60"/>
      <c r="G404" s="60">
        <v>10</v>
      </c>
      <c r="H404" s="60"/>
      <c r="I404" s="60"/>
      <c r="J404" s="60"/>
      <c r="K404" s="60"/>
      <c r="L404" s="60"/>
    </row>
    <row r="405" spans="1:12" x14ac:dyDescent="0.25">
      <c r="A405" s="56"/>
      <c r="B405" s="23"/>
      <c r="C405" s="88"/>
      <c r="D405" s="23" t="s">
        <v>202</v>
      </c>
      <c r="E405" s="56"/>
      <c r="F405" s="118"/>
      <c r="G405" s="118"/>
      <c r="H405" s="118"/>
      <c r="I405" s="118"/>
      <c r="J405" s="118"/>
      <c r="K405" s="118"/>
      <c r="L405" s="118"/>
    </row>
    <row r="406" spans="1:12" x14ac:dyDescent="0.25">
      <c r="A406" s="168"/>
      <c r="B406" s="144" t="str">
        <f>'Nhân công'!B185</f>
        <v>N0020</v>
      </c>
      <c r="C406" s="34">
        <v>555</v>
      </c>
      <c r="D406" s="144" t="s">
        <v>625</v>
      </c>
      <c r="E406" s="168" t="str">
        <f>'Nhân công'!G185</f>
        <v>công</v>
      </c>
      <c r="F406" s="60"/>
      <c r="G406" s="60"/>
      <c r="H406" s="60">
        <v>0.15</v>
      </c>
      <c r="I406" s="60"/>
      <c r="J406" s="60"/>
      <c r="K406" s="60">
        <f>ROUND(F399*H406,4)</f>
        <v>724.55489999999998</v>
      </c>
      <c r="L406" s="60"/>
    </row>
    <row r="407" spans="1:12" ht="28.5" x14ac:dyDescent="0.25">
      <c r="A407" s="65">
        <f>'Công trình'!A56</f>
        <v>42</v>
      </c>
      <c r="B407" s="14" t="str">
        <f>'Công trình'!B56</f>
        <v>AG.32511</v>
      </c>
      <c r="C407" s="94"/>
      <c r="D407" s="14" t="str">
        <f>'Công trình'!C56</f>
        <v>Sản xuất, lắp dựng, tháo dỡ ván khuôn thép bê tông đúc sẵn tấm tự chèn</v>
      </c>
      <c r="E407" s="46" t="str">
        <f>'Công trình'!D56</f>
        <v>100m2</v>
      </c>
      <c r="F407" s="106">
        <f>'Công trình'!K56</f>
        <v>9.9699000000000009</v>
      </c>
      <c r="G407" s="126"/>
      <c r="H407" s="126"/>
      <c r="I407" s="126"/>
      <c r="J407" s="126"/>
      <c r="K407" s="126"/>
      <c r="L407" s="126"/>
    </row>
    <row r="408" spans="1:12" x14ac:dyDescent="0.25">
      <c r="A408" s="56"/>
      <c r="B408" s="23"/>
      <c r="C408" s="88"/>
      <c r="D408" s="23" t="s">
        <v>479</v>
      </c>
      <c r="E408" s="56"/>
      <c r="F408" s="118"/>
      <c r="G408" s="118"/>
      <c r="H408" s="118"/>
      <c r="I408" s="118"/>
      <c r="J408" s="118"/>
      <c r="K408" s="118"/>
      <c r="L408" s="118"/>
    </row>
    <row r="409" spans="1:12" x14ac:dyDescent="0.25">
      <c r="A409" s="168"/>
      <c r="B409" s="144" t="str">
        <f>'Vật liệu'!B450</f>
        <v>V00515</v>
      </c>
      <c r="C409" s="34">
        <v>154</v>
      </c>
      <c r="D409" s="144" t="str">
        <f>" - " &amp; 'Vật liệu'!D450</f>
        <v xml:space="preserve"> - Que hàn</v>
      </c>
      <c r="E409" s="168" t="str">
        <f>'Vật liệu'!E450</f>
        <v>kg</v>
      </c>
      <c r="F409" s="60"/>
      <c r="G409" s="60">
        <v>1.2</v>
      </c>
      <c r="H409" s="60"/>
      <c r="I409" s="60"/>
      <c r="J409" s="60">
        <f>ROUND(F407*G409,4)</f>
        <v>11.963900000000001</v>
      </c>
      <c r="K409" s="60"/>
      <c r="L409" s="60"/>
    </row>
    <row r="410" spans="1:12" x14ac:dyDescent="0.25">
      <c r="A410" s="168"/>
      <c r="B410" s="144" t="str">
        <f>'Vật liệu'!B606</f>
        <v>V00671</v>
      </c>
      <c r="C410" s="34">
        <v>166</v>
      </c>
      <c r="D410" s="144" t="str">
        <f>" - " &amp; 'Vật liệu'!D606</f>
        <v xml:space="preserve"> - Thép tấm</v>
      </c>
      <c r="E410" s="168" t="str">
        <f>'Vật liệu'!E606</f>
        <v>kg</v>
      </c>
      <c r="F410" s="60"/>
      <c r="G410" s="60">
        <v>23.03</v>
      </c>
      <c r="H410" s="60"/>
      <c r="I410" s="60"/>
      <c r="J410" s="60">
        <f>ROUND(F407*G410,4)</f>
        <v>229.60679999999999</v>
      </c>
      <c r="K410" s="60"/>
      <c r="L410" s="60"/>
    </row>
    <row r="411" spans="1:12" x14ac:dyDescent="0.25">
      <c r="A411" s="168"/>
      <c r="B411" s="144" t="str">
        <f>'Vật liệu'!B556</f>
        <v>V00641</v>
      </c>
      <c r="C411" s="34">
        <v>160</v>
      </c>
      <c r="D411" s="144" t="str">
        <f>" - " &amp; 'Vật liệu'!D556</f>
        <v xml:space="preserve"> - Thép hình</v>
      </c>
      <c r="E411" s="168" t="str">
        <f>'Vật liệu'!E556</f>
        <v>kg</v>
      </c>
      <c r="F411" s="60"/>
      <c r="G411" s="60">
        <v>13.68</v>
      </c>
      <c r="H411" s="60"/>
      <c r="I411" s="60"/>
      <c r="J411" s="60">
        <f>ROUND(F407*G411,4)</f>
        <v>136.38820000000001</v>
      </c>
      <c r="K411" s="60"/>
      <c r="L411" s="60"/>
    </row>
    <row r="412" spans="1:12" x14ac:dyDescent="0.25">
      <c r="A412" s="168"/>
      <c r="B412" s="144" t="str">
        <f>'Vật liệu'!B766</f>
        <v>V00750</v>
      </c>
      <c r="C412" s="34">
        <v>386</v>
      </c>
      <c r="D412" s="144" t="str">
        <f>" - " &amp; 'Vật liệu'!D766</f>
        <v xml:space="preserve"> - Vật liệu khác</v>
      </c>
      <c r="E412" s="168" t="str">
        <f>'Vật liệu'!E766</f>
        <v>%</v>
      </c>
      <c r="F412" s="60"/>
      <c r="G412" s="60">
        <v>5</v>
      </c>
      <c r="H412" s="60"/>
      <c r="I412" s="60"/>
      <c r="J412" s="60"/>
      <c r="K412" s="60"/>
      <c r="L412" s="60"/>
    </row>
    <row r="413" spans="1:12" x14ac:dyDescent="0.25">
      <c r="A413" s="56"/>
      <c r="B413" s="23"/>
      <c r="C413" s="88"/>
      <c r="D413" s="23" t="s">
        <v>202</v>
      </c>
      <c r="E413" s="56"/>
      <c r="F413" s="118"/>
      <c r="G413" s="118"/>
      <c r="H413" s="118"/>
      <c r="I413" s="118"/>
      <c r="J413" s="118"/>
      <c r="K413" s="118"/>
      <c r="L413" s="118"/>
    </row>
    <row r="414" spans="1:12" x14ac:dyDescent="0.25">
      <c r="A414" s="168"/>
      <c r="B414" s="144" t="str">
        <f>'Nhân công'!B45</f>
        <v>N0009</v>
      </c>
      <c r="C414" s="34">
        <v>546</v>
      </c>
      <c r="D414" s="144" t="s">
        <v>1052</v>
      </c>
      <c r="E414" s="168" t="str">
        <f>'Nhân công'!G45</f>
        <v>công</v>
      </c>
      <c r="F414" s="60"/>
      <c r="G414" s="60"/>
      <c r="H414" s="60">
        <v>23.06</v>
      </c>
      <c r="I414" s="60"/>
      <c r="J414" s="60"/>
      <c r="K414" s="60">
        <f>ROUND(F407*H414,4)</f>
        <v>229.9059</v>
      </c>
      <c r="L414" s="60"/>
    </row>
    <row r="415" spans="1:12" x14ac:dyDescent="0.25">
      <c r="A415" s="56"/>
      <c r="B415" s="23"/>
      <c r="C415" s="88"/>
      <c r="D415" s="23" t="s">
        <v>378</v>
      </c>
      <c r="E415" s="56"/>
      <c r="F415" s="118"/>
      <c r="G415" s="118"/>
      <c r="H415" s="118"/>
      <c r="I415" s="118"/>
      <c r="J415" s="118"/>
      <c r="K415" s="118"/>
      <c r="L415" s="118"/>
    </row>
    <row r="416" spans="1:12" x14ac:dyDescent="0.25">
      <c r="A416" s="168"/>
      <c r="B416" s="144" t="str">
        <f>'Máy thi công'!B6</f>
        <v>M9438</v>
      </c>
      <c r="C416" s="34">
        <v>714</v>
      </c>
      <c r="D416" s="144" t="str">
        <f>" - " &amp; 'Máy thi công'!D6</f>
        <v xml:space="preserve"> - Biến thế hàn xoay chiều - công suất: 23 kW</v>
      </c>
      <c r="E416" s="168" t="str">
        <f>'Máy thi công'!E6</f>
        <v>ca</v>
      </c>
      <c r="F416" s="60"/>
      <c r="G416" s="60"/>
      <c r="H416" s="60"/>
      <c r="I416" s="60">
        <v>0.43</v>
      </c>
      <c r="J416" s="60"/>
      <c r="K416" s="60"/>
      <c r="L416" s="60">
        <f>ROUND(F407*I416,4)</f>
        <v>4.2870999999999997</v>
      </c>
    </row>
    <row r="417" spans="1:12" x14ac:dyDescent="0.25">
      <c r="A417" s="168"/>
      <c r="B417" s="144" t="str">
        <f>'Máy thi công'!B398</f>
        <v>M0111</v>
      </c>
      <c r="C417" s="34">
        <v>686</v>
      </c>
      <c r="D417" s="144" t="str">
        <f>" - " &amp; 'Máy thi công'!D398</f>
        <v xml:space="preserve"> - Máy khác</v>
      </c>
      <c r="E417" s="168" t="str">
        <f>'Máy thi công'!E398</f>
        <v>%</v>
      </c>
      <c r="F417" s="60"/>
      <c r="G417" s="60"/>
      <c r="H417" s="60"/>
      <c r="I417" s="60">
        <v>10</v>
      </c>
      <c r="J417" s="60"/>
      <c r="K417" s="60"/>
      <c r="L417" s="60"/>
    </row>
    <row r="418" spans="1:12" x14ac:dyDescent="0.25">
      <c r="A418" s="65">
        <f>'Công trình'!A57</f>
        <v>43</v>
      </c>
      <c r="B418" s="14" t="str">
        <f>'Công trình'!B57</f>
        <v>AF.12313</v>
      </c>
      <c r="C418" s="94"/>
      <c r="D418" s="14" t="str">
        <f>'Công trình'!C57</f>
        <v>Bê tông xà dầm, giằng đá 1x2, vữa BT mác 200</v>
      </c>
      <c r="E418" s="46" t="str">
        <f>'Công trình'!D57</f>
        <v>m3</v>
      </c>
      <c r="F418" s="106">
        <f>'Công trình'!K57</f>
        <v>34.869999999999997</v>
      </c>
      <c r="G418" s="126"/>
      <c r="H418" s="126"/>
      <c r="I418" s="126"/>
      <c r="J418" s="126"/>
      <c r="K418" s="126"/>
      <c r="L418" s="126"/>
    </row>
    <row r="419" spans="1:12" x14ac:dyDescent="0.25">
      <c r="A419" s="56"/>
      <c r="B419" s="23"/>
      <c r="C419" s="88"/>
      <c r="D419" s="23" t="s">
        <v>479</v>
      </c>
      <c r="E419" s="56"/>
      <c r="F419" s="118"/>
      <c r="G419" s="118"/>
      <c r="H419" s="118"/>
      <c r="I419" s="118"/>
      <c r="J419" s="118"/>
      <c r="K419" s="118"/>
      <c r="L419" s="118"/>
    </row>
    <row r="420" spans="1:12" x14ac:dyDescent="0.25">
      <c r="A420" s="168"/>
      <c r="B420" s="144" t="str">
        <f>'Vật liệu'!B721</f>
        <v>V00761</v>
      </c>
      <c r="C420" s="34">
        <v>397</v>
      </c>
      <c r="D420" s="144" t="str">
        <f>" - " &amp; 'Vật liệu'!D721</f>
        <v xml:space="preserve"> - Xi măng PC40</v>
      </c>
      <c r="E420" s="168" t="str">
        <f>'Vật liệu'!E721</f>
        <v>kg</v>
      </c>
      <c r="F420" s="60"/>
      <c r="G420" s="60">
        <v>288.02499999999998</v>
      </c>
      <c r="H420" s="60"/>
      <c r="I420" s="60"/>
      <c r="J420" s="60">
        <f>ROUND(F418*G420,4)</f>
        <v>10043.4318</v>
      </c>
      <c r="K420" s="60"/>
      <c r="L420" s="60"/>
    </row>
    <row r="421" spans="1:12" x14ac:dyDescent="0.25">
      <c r="A421" s="168"/>
      <c r="B421" s="144" t="str">
        <f>'Vật liệu'!B54</f>
        <v>V00112</v>
      </c>
      <c r="C421" s="34">
        <v>125</v>
      </c>
      <c r="D421" s="144" t="str">
        <f>" - " &amp; 'Vật liệu'!D54</f>
        <v xml:space="preserve"> - Cát vàng</v>
      </c>
      <c r="E421" s="168" t="str">
        <f>'Vật liệu'!E54</f>
        <v>m3</v>
      </c>
      <c r="F421" s="60"/>
      <c r="G421" s="60">
        <v>0.50529999999999997</v>
      </c>
      <c r="H421" s="60"/>
      <c r="I421" s="60"/>
      <c r="J421" s="60">
        <f>ROUND(F418*G421,4)</f>
        <v>17.619800000000001</v>
      </c>
      <c r="K421" s="60"/>
      <c r="L421" s="60"/>
    </row>
    <row r="422" spans="1:12" x14ac:dyDescent="0.25">
      <c r="A422" s="168"/>
      <c r="B422" s="144" t="str">
        <f>'Vật liệu'!B142</f>
        <v>V05207</v>
      </c>
      <c r="C422" s="34">
        <v>416</v>
      </c>
      <c r="D422" s="144" t="str">
        <f>" - " &amp; 'Vật liệu'!D142</f>
        <v xml:space="preserve"> - Đá 1x2</v>
      </c>
      <c r="E422" s="168" t="str">
        <f>'Vật liệu'!E142</f>
        <v>m3</v>
      </c>
      <c r="F422" s="60"/>
      <c r="G422" s="60">
        <v>0.9133</v>
      </c>
      <c r="H422" s="60"/>
      <c r="I422" s="60"/>
      <c r="J422" s="60">
        <f>ROUND(F418*G422,4)</f>
        <v>31.846800000000002</v>
      </c>
      <c r="K422" s="60"/>
      <c r="L422" s="60"/>
    </row>
    <row r="423" spans="1:12" x14ac:dyDescent="0.25">
      <c r="A423" s="168"/>
      <c r="B423" s="144" t="str">
        <f>'Vật liệu'!B353</f>
        <v>V00494</v>
      </c>
      <c r="C423" s="34">
        <v>148</v>
      </c>
      <c r="D423" s="144" t="str">
        <f>" - " &amp; 'Vật liệu'!D353</f>
        <v xml:space="preserve"> - Nước</v>
      </c>
      <c r="E423" s="168" t="str">
        <f>'Vật liệu'!E353</f>
        <v>lít</v>
      </c>
      <c r="F423" s="60"/>
      <c r="G423" s="60">
        <v>189.625</v>
      </c>
      <c r="H423" s="60"/>
      <c r="I423" s="60"/>
      <c r="J423" s="60">
        <f>ROUND(F418*G423,4)</f>
        <v>6612.2237999999998</v>
      </c>
      <c r="K423" s="60"/>
      <c r="L423" s="60"/>
    </row>
    <row r="424" spans="1:12" x14ac:dyDescent="0.25">
      <c r="A424" s="168"/>
      <c r="B424" s="144" t="str">
        <f>'Vật liệu'!B766</f>
        <v>V00750</v>
      </c>
      <c r="C424" s="34">
        <v>207</v>
      </c>
      <c r="D424" s="144" t="str">
        <f>" - " &amp; 'Vật liệu'!D766</f>
        <v xml:space="preserve"> - Vật liệu khác</v>
      </c>
      <c r="E424" s="168" t="str">
        <f>'Vật liệu'!E766</f>
        <v>%</v>
      </c>
      <c r="F424" s="60"/>
      <c r="G424" s="60">
        <v>1</v>
      </c>
      <c r="H424" s="60"/>
      <c r="I424" s="60"/>
      <c r="J424" s="60"/>
      <c r="K424" s="60"/>
      <c r="L424" s="60"/>
    </row>
    <row r="425" spans="1:12" x14ac:dyDescent="0.25">
      <c r="A425" s="56"/>
      <c r="B425" s="23"/>
      <c r="C425" s="88"/>
      <c r="D425" s="23" t="s">
        <v>202</v>
      </c>
      <c r="E425" s="56"/>
      <c r="F425" s="118"/>
      <c r="G425" s="118"/>
      <c r="H425" s="118"/>
      <c r="I425" s="118"/>
      <c r="J425" s="118"/>
      <c r="K425" s="118"/>
      <c r="L425" s="118"/>
    </row>
    <row r="426" spans="1:12" x14ac:dyDescent="0.25">
      <c r="A426" s="168"/>
      <c r="B426" s="144" t="str">
        <f>'Nhân công'!B45</f>
        <v>N0009</v>
      </c>
      <c r="C426" s="34">
        <v>546</v>
      </c>
      <c r="D426" s="144" t="s">
        <v>1052</v>
      </c>
      <c r="E426" s="168" t="str">
        <f>'Nhân công'!G45</f>
        <v>công</v>
      </c>
      <c r="F426" s="60"/>
      <c r="G426" s="60"/>
      <c r="H426" s="60">
        <v>3.56</v>
      </c>
      <c r="I426" s="60"/>
      <c r="J426" s="60"/>
      <c r="K426" s="60">
        <f>ROUND(F418*H426,4)</f>
        <v>124.13720000000001</v>
      </c>
      <c r="L426" s="60"/>
    </row>
    <row r="427" spans="1:12" x14ac:dyDescent="0.25">
      <c r="A427" s="56"/>
      <c r="B427" s="23"/>
      <c r="C427" s="88"/>
      <c r="D427" s="23" t="s">
        <v>378</v>
      </c>
      <c r="E427" s="56"/>
      <c r="F427" s="118"/>
      <c r="G427" s="118"/>
      <c r="H427" s="118"/>
      <c r="I427" s="118"/>
      <c r="J427" s="118"/>
      <c r="K427" s="118"/>
      <c r="L427" s="118"/>
    </row>
    <row r="428" spans="1:12" x14ac:dyDescent="0.25">
      <c r="A428" s="168"/>
      <c r="B428" s="144" t="str">
        <f>'Máy thi công'!B358</f>
        <v>M9560</v>
      </c>
      <c r="C428" s="34">
        <v>746</v>
      </c>
      <c r="D428" s="144" t="str">
        <f>" - " &amp; 'Máy thi công'!D358</f>
        <v xml:space="preserve"> - Máy vận thăng - sức nâng: 0,8 t - H nâng 80 m</v>
      </c>
      <c r="E428" s="168" t="str">
        <f>'Máy thi công'!E358</f>
        <v>ca</v>
      </c>
      <c r="F428" s="60"/>
      <c r="G428" s="60"/>
      <c r="H428" s="60"/>
      <c r="I428" s="60">
        <v>0</v>
      </c>
      <c r="J428" s="60"/>
      <c r="K428" s="60"/>
      <c r="L428" s="60">
        <f>ROUND(F418*I428,4)</f>
        <v>0</v>
      </c>
    </row>
    <row r="429" spans="1:12" x14ac:dyDescent="0.25">
      <c r="A429" s="168"/>
      <c r="B429" s="144" t="str">
        <f>'Máy thi công'!B232</f>
        <v>M9571</v>
      </c>
      <c r="C429" s="34">
        <v>750</v>
      </c>
      <c r="D429" s="144" t="str">
        <f>" - " &amp; 'Máy thi công'!D232</f>
        <v xml:space="preserve"> - Máy đầm bê tông, dầm dùi - công suất: 1,5 kW</v>
      </c>
      <c r="E429" s="168" t="str">
        <f>'Máy thi công'!E232</f>
        <v>ca</v>
      </c>
      <c r="F429" s="60"/>
      <c r="G429" s="60"/>
      <c r="H429" s="60"/>
      <c r="I429" s="60">
        <v>0.18</v>
      </c>
      <c r="J429" s="60"/>
      <c r="K429" s="60"/>
      <c r="L429" s="60">
        <f>ROUND(F418*I429,4)</f>
        <v>6.2766000000000002</v>
      </c>
    </row>
    <row r="430" spans="1:12" x14ac:dyDescent="0.25">
      <c r="A430" s="168"/>
      <c r="B430" s="144" t="str">
        <f>'Máy thi công'!B306</f>
        <v>M9555</v>
      </c>
      <c r="C430" s="34">
        <v>744</v>
      </c>
      <c r="D430" s="144" t="str">
        <f>" - " &amp; 'Máy thi công'!D306</f>
        <v xml:space="preserve"> - Máy trộn bê tông - dung tích: 250 lít</v>
      </c>
      <c r="E430" s="168" t="str">
        <f>'Máy thi công'!E306</f>
        <v>ca</v>
      </c>
      <c r="F430" s="60"/>
      <c r="G430" s="60"/>
      <c r="H430" s="60"/>
      <c r="I430" s="60">
        <v>9.5000000000000001E-2</v>
      </c>
      <c r="J430" s="60"/>
      <c r="K430" s="60"/>
      <c r="L430" s="60">
        <f>ROUND(F418*I430,4)</f>
        <v>3.3127</v>
      </c>
    </row>
    <row r="431" spans="1:12" x14ac:dyDescent="0.25">
      <c r="A431" s="65">
        <f>'Công trình'!A58</f>
        <v>44</v>
      </c>
      <c r="B431" s="14" t="str">
        <f>'Công trình'!B58</f>
        <v>AK.41124</v>
      </c>
      <c r="C431" s="94"/>
      <c r="D431" s="14" t="str">
        <f>'Công trình'!C58</f>
        <v>Vữa lót M75 dày 3cm</v>
      </c>
      <c r="E431" s="46" t="str">
        <f>'Công trình'!D58</f>
        <v>m2</v>
      </c>
      <c r="F431" s="106">
        <f>'Công trình'!K58</f>
        <v>87.171000000000006</v>
      </c>
      <c r="G431" s="126"/>
      <c r="H431" s="126"/>
      <c r="I431" s="126"/>
      <c r="J431" s="126"/>
      <c r="K431" s="126"/>
      <c r="L431" s="126"/>
    </row>
    <row r="432" spans="1:12" x14ac:dyDescent="0.25">
      <c r="A432" s="56"/>
      <c r="B432" s="23"/>
      <c r="C432" s="88"/>
      <c r="D432" s="23" t="s">
        <v>479</v>
      </c>
      <c r="E432" s="56"/>
      <c r="F432" s="118"/>
      <c r="G432" s="118"/>
      <c r="H432" s="118"/>
      <c r="I432" s="118"/>
      <c r="J432" s="118"/>
      <c r="K432" s="118"/>
      <c r="L432" s="118"/>
    </row>
    <row r="433" spans="1:12" x14ac:dyDescent="0.25">
      <c r="A433" s="168"/>
      <c r="B433" s="144" t="str">
        <f>'Vật liệu'!B721</f>
        <v>V00761</v>
      </c>
      <c r="C433" s="34">
        <v>397</v>
      </c>
      <c r="D433" s="144" t="str">
        <f>" - " &amp; 'Vật liệu'!D721</f>
        <v xml:space="preserve"> - Xi măng PC40</v>
      </c>
      <c r="E433" s="168" t="str">
        <f>'Vật liệu'!E721</f>
        <v>kg</v>
      </c>
      <c r="F433" s="60"/>
      <c r="G433" s="60">
        <v>7.9457000000000004</v>
      </c>
      <c r="H433" s="60"/>
      <c r="I433" s="60"/>
      <c r="J433" s="60">
        <f>ROUND(F431*G433,4)</f>
        <v>692.63459999999998</v>
      </c>
      <c r="K433" s="60"/>
      <c r="L433" s="60"/>
    </row>
    <row r="434" spans="1:12" x14ac:dyDescent="0.25">
      <c r="A434" s="168"/>
      <c r="B434" s="144" t="str">
        <f>'Vật liệu'!B54</f>
        <v>V00112</v>
      </c>
      <c r="C434" s="34">
        <v>125</v>
      </c>
      <c r="D434" s="144" t="str">
        <f>" - " &amp; 'Vật liệu'!D54</f>
        <v xml:space="preserve"> - Cát vàng</v>
      </c>
      <c r="E434" s="168" t="str">
        <f>'Vật liệu'!E54</f>
        <v>m3</v>
      </c>
      <c r="F434" s="60"/>
      <c r="G434" s="60">
        <v>3.9600000000000003E-2</v>
      </c>
      <c r="H434" s="60"/>
      <c r="I434" s="60"/>
      <c r="J434" s="60">
        <f>ROUND(F431*G434,4)</f>
        <v>3.452</v>
      </c>
      <c r="K434" s="60"/>
      <c r="L434" s="60"/>
    </row>
    <row r="435" spans="1:12" x14ac:dyDescent="0.25">
      <c r="A435" s="168"/>
      <c r="B435" s="144" t="str">
        <f>'Vật liệu'!B353</f>
        <v>V00494</v>
      </c>
      <c r="C435" s="34">
        <v>148</v>
      </c>
      <c r="D435" s="144" t="str">
        <f>" - " &amp; 'Vật liệu'!D353</f>
        <v xml:space="preserve"> - Nước</v>
      </c>
      <c r="E435" s="168" t="str">
        <f>'Vật liệu'!E353</f>
        <v>lít</v>
      </c>
      <c r="F435" s="60"/>
      <c r="G435" s="60">
        <v>9.1</v>
      </c>
      <c r="H435" s="60"/>
      <c r="I435" s="60"/>
      <c r="J435" s="60">
        <f>ROUND(F431*G435,4)</f>
        <v>793.25609999999995</v>
      </c>
      <c r="K435" s="60"/>
      <c r="L435" s="60"/>
    </row>
    <row r="436" spans="1:12" x14ac:dyDescent="0.25">
      <c r="A436" s="56"/>
      <c r="B436" s="23"/>
      <c r="C436" s="88"/>
      <c r="D436" s="23" t="s">
        <v>202</v>
      </c>
      <c r="E436" s="56"/>
      <c r="F436" s="118"/>
      <c r="G436" s="118"/>
      <c r="H436" s="118"/>
      <c r="I436" s="118"/>
      <c r="J436" s="118"/>
      <c r="K436" s="118"/>
      <c r="L436" s="118"/>
    </row>
    <row r="437" spans="1:12" x14ac:dyDescent="0.25">
      <c r="A437" s="168"/>
      <c r="B437" s="144" t="str">
        <f>'Nhân công'!B130</f>
        <v>N0011</v>
      </c>
      <c r="C437" s="34">
        <v>550</v>
      </c>
      <c r="D437" s="144" t="s">
        <v>671</v>
      </c>
      <c r="E437" s="168" t="str">
        <f>'Nhân công'!G130</f>
        <v>công</v>
      </c>
      <c r="F437" s="60"/>
      <c r="G437" s="60"/>
      <c r="H437" s="60">
        <v>0.106</v>
      </c>
      <c r="I437" s="60"/>
      <c r="J437" s="60"/>
      <c r="K437" s="60">
        <f>ROUND(F431*H437,4)</f>
        <v>9.2401</v>
      </c>
      <c r="L437" s="60"/>
    </row>
    <row r="438" spans="1:12" x14ac:dyDescent="0.25">
      <c r="A438" s="56"/>
      <c r="B438" s="23"/>
      <c r="C438" s="88"/>
      <c r="D438" s="23" t="s">
        <v>378</v>
      </c>
      <c r="E438" s="56"/>
      <c r="F438" s="118"/>
      <c r="G438" s="118"/>
      <c r="H438" s="118"/>
      <c r="I438" s="118"/>
      <c r="J438" s="118"/>
      <c r="K438" s="118"/>
      <c r="L438" s="118"/>
    </row>
    <row r="439" spans="1:12" x14ac:dyDescent="0.25">
      <c r="A439" s="168"/>
      <c r="B439" s="144" t="str">
        <f>'Máy thi công'!B341</f>
        <v>M9558</v>
      </c>
      <c r="C439" s="34">
        <v>745</v>
      </c>
      <c r="D439" s="144" t="str">
        <f>" - " &amp; 'Máy thi công'!D341</f>
        <v xml:space="preserve"> - Máy trộn vữa - dung tích: 80 lít</v>
      </c>
      <c r="E439" s="168" t="str">
        <f>'Máy thi công'!E341</f>
        <v>ca</v>
      </c>
      <c r="F439" s="60"/>
      <c r="G439" s="60"/>
      <c r="H439" s="60"/>
      <c r="I439" s="60">
        <v>4.0000000000000001E-3</v>
      </c>
      <c r="J439" s="60"/>
      <c r="K439" s="60"/>
      <c r="L439" s="60">
        <f>ROUND(F431*I439,4)</f>
        <v>0.34870000000000001</v>
      </c>
    </row>
    <row r="440" spans="1:12" ht="28.5" x14ac:dyDescent="0.25">
      <c r="A440" s="65">
        <f>'Công trình'!A59</f>
        <v>45</v>
      </c>
      <c r="B440" s="14" t="str">
        <f>'Công trình'!B59</f>
        <v>AF.82111</v>
      </c>
      <c r="C440" s="94"/>
      <c r="D440" s="14" t="str">
        <f>'Công trình'!C59</f>
        <v>Sản xuất, lắp dựng tháo dỡ ván khuôn thép dầm, giằng, chiều cao &lt;=16m</v>
      </c>
      <c r="E440" s="46" t="str">
        <f>'Công trình'!D59</f>
        <v>100m2</v>
      </c>
      <c r="F440" s="106">
        <f>'Công trình'!K59</f>
        <v>2.3054000000000001</v>
      </c>
      <c r="G440" s="126"/>
      <c r="H440" s="126"/>
      <c r="I440" s="126"/>
      <c r="J440" s="126"/>
      <c r="K440" s="126"/>
      <c r="L440" s="126"/>
    </row>
    <row r="441" spans="1:12" x14ac:dyDescent="0.25">
      <c r="A441" s="56"/>
      <c r="B441" s="23"/>
      <c r="C441" s="88"/>
      <c r="D441" s="23" t="s">
        <v>479</v>
      </c>
      <c r="E441" s="56"/>
      <c r="F441" s="118"/>
      <c r="G441" s="118"/>
      <c r="H441" s="118"/>
      <c r="I441" s="118"/>
      <c r="J441" s="118"/>
      <c r="K441" s="118"/>
      <c r="L441" s="118"/>
    </row>
    <row r="442" spans="1:12" x14ac:dyDescent="0.25">
      <c r="A442" s="168"/>
      <c r="B442" s="144" t="str">
        <f>'Vật liệu'!B450</f>
        <v>V00515</v>
      </c>
      <c r="C442" s="34">
        <v>154</v>
      </c>
      <c r="D442" s="144" t="str">
        <f>" - " &amp; 'Vật liệu'!D450</f>
        <v xml:space="preserve"> - Que hàn</v>
      </c>
      <c r="E442" s="168" t="str">
        <f>'Vật liệu'!E450</f>
        <v>kg</v>
      </c>
      <c r="F442" s="60"/>
      <c r="G442" s="60">
        <v>5.6</v>
      </c>
      <c r="H442" s="60"/>
      <c r="I442" s="60"/>
      <c r="J442" s="60">
        <f>ROUND(F440*G442,4)</f>
        <v>12.9102</v>
      </c>
      <c r="K442" s="60"/>
      <c r="L442" s="60"/>
    </row>
    <row r="443" spans="1:12" x14ac:dyDescent="0.25">
      <c r="A443" s="168"/>
      <c r="B443" s="144" t="str">
        <f>'Vật liệu'!B294</f>
        <v>V00390</v>
      </c>
      <c r="C443" s="34">
        <v>140</v>
      </c>
      <c r="D443" s="144" t="str">
        <f>" - " &amp; 'Vật liệu'!D294</f>
        <v xml:space="preserve"> - Gỗ chống</v>
      </c>
      <c r="E443" s="168" t="str">
        <f>'Vật liệu'!E294</f>
        <v>m3</v>
      </c>
      <c r="F443" s="60"/>
      <c r="G443" s="60">
        <v>0.496</v>
      </c>
      <c r="H443" s="60"/>
      <c r="I443" s="60"/>
      <c r="J443" s="60">
        <f>ROUND(F440*G443,4)</f>
        <v>1.1435</v>
      </c>
      <c r="K443" s="60"/>
      <c r="L443" s="60"/>
    </row>
    <row r="444" spans="1:12" x14ac:dyDescent="0.25">
      <c r="A444" s="168"/>
      <c r="B444" s="144" t="str">
        <f>'Vật liệu'!B606</f>
        <v>V00671</v>
      </c>
      <c r="C444" s="34">
        <v>166</v>
      </c>
      <c r="D444" s="144" t="str">
        <f>" - " &amp; 'Vật liệu'!D606</f>
        <v xml:space="preserve"> - Thép tấm</v>
      </c>
      <c r="E444" s="168" t="str">
        <f>'Vật liệu'!E606</f>
        <v>kg</v>
      </c>
      <c r="F444" s="60"/>
      <c r="G444" s="60">
        <v>51.81</v>
      </c>
      <c r="H444" s="60"/>
      <c r="I444" s="60"/>
      <c r="J444" s="60">
        <f>ROUND(F440*G444,4)</f>
        <v>119.44280000000001</v>
      </c>
      <c r="K444" s="60"/>
      <c r="L444" s="60"/>
    </row>
    <row r="445" spans="1:12" x14ac:dyDescent="0.25">
      <c r="A445" s="168"/>
      <c r="B445" s="144" t="str">
        <f>'Vật liệu'!B556</f>
        <v>V00641</v>
      </c>
      <c r="C445" s="34">
        <v>160</v>
      </c>
      <c r="D445" s="144" t="str">
        <f>" - " &amp; 'Vật liệu'!D556</f>
        <v xml:space="preserve"> - Thép hình</v>
      </c>
      <c r="E445" s="168" t="str">
        <f>'Vật liệu'!E556</f>
        <v>kg</v>
      </c>
      <c r="F445" s="60"/>
      <c r="G445" s="60">
        <v>48.84</v>
      </c>
      <c r="H445" s="60"/>
      <c r="I445" s="60"/>
      <c r="J445" s="60">
        <f>ROUND(F440*G445,4)</f>
        <v>112.59569999999999</v>
      </c>
      <c r="K445" s="60"/>
      <c r="L445" s="60"/>
    </row>
    <row r="446" spans="1:12" x14ac:dyDescent="0.25">
      <c r="A446" s="168"/>
      <c r="B446" s="144" t="str">
        <f>'Vật liệu'!B766</f>
        <v>V00750</v>
      </c>
      <c r="C446" s="34">
        <v>206</v>
      </c>
      <c r="D446" s="144" t="str">
        <f>" - " &amp; 'Vật liệu'!D766</f>
        <v xml:space="preserve"> - Vật liệu khác</v>
      </c>
      <c r="E446" s="168" t="str">
        <f>'Vật liệu'!E766</f>
        <v>%</v>
      </c>
      <c r="F446" s="60"/>
      <c r="G446" s="60">
        <v>5</v>
      </c>
      <c r="H446" s="60"/>
      <c r="I446" s="60"/>
      <c r="J446" s="60"/>
      <c r="K446" s="60"/>
      <c r="L446" s="60"/>
    </row>
    <row r="447" spans="1:12" x14ac:dyDescent="0.25">
      <c r="A447" s="56"/>
      <c r="B447" s="23"/>
      <c r="C447" s="88"/>
      <c r="D447" s="23" t="s">
        <v>202</v>
      </c>
      <c r="E447" s="56"/>
      <c r="F447" s="118"/>
      <c r="G447" s="118"/>
      <c r="H447" s="118"/>
      <c r="I447" s="118"/>
      <c r="J447" s="118"/>
      <c r="K447" s="118"/>
      <c r="L447" s="118"/>
    </row>
    <row r="448" spans="1:12" x14ac:dyDescent="0.25">
      <c r="A448" s="168"/>
      <c r="B448" s="144" t="str">
        <f>'Nhân công'!B130</f>
        <v>N0011</v>
      </c>
      <c r="C448" s="34">
        <v>550</v>
      </c>
      <c r="D448" s="144" t="s">
        <v>671</v>
      </c>
      <c r="E448" s="168" t="str">
        <f>'Nhân công'!G130</f>
        <v>công</v>
      </c>
      <c r="F448" s="60"/>
      <c r="G448" s="60"/>
      <c r="H448" s="60">
        <v>38.28</v>
      </c>
      <c r="I448" s="60"/>
      <c r="J448" s="60"/>
      <c r="K448" s="60">
        <f>ROUND(F440*H448,4)</f>
        <v>88.250699999999995</v>
      </c>
      <c r="L448" s="60"/>
    </row>
    <row r="449" spans="1:12" x14ac:dyDescent="0.25">
      <c r="A449" s="56"/>
      <c r="B449" s="23"/>
      <c r="C449" s="88"/>
      <c r="D449" s="23" t="s">
        <v>378</v>
      </c>
      <c r="E449" s="56"/>
      <c r="F449" s="118"/>
      <c r="G449" s="118"/>
      <c r="H449" s="118"/>
      <c r="I449" s="118"/>
      <c r="J449" s="118"/>
      <c r="K449" s="118"/>
      <c r="L449" s="118"/>
    </row>
    <row r="450" spans="1:12" x14ac:dyDescent="0.25">
      <c r="A450" s="168"/>
      <c r="B450" s="144" t="str">
        <f>'Máy thi công'!B358</f>
        <v>M9560</v>
      </c>
      <c r="C450" s="34">
        <v>746</v>
      </c>
      <c r="D450" s="144" t="str">
        <f>" - " &amp; 'Máy thi công'!D358</f>
        <v xml:space="preserve"> - Máy vận thăng - sức nâng: 0,8 t - H nâng 80 m</v>
      </c>
      <c r="E450" s="168" t="str">
        <f>'Máy thi công'!E358</f>
        <v>ca</v>
      </c>
      <c r="F450" s="60"/>
      <c r="G450" s="60"/>
      <c r="H450" s="60"/>
      <c r="I450" s="60">
        <v>0</v>
      </c>
      <c r="J450" s="60"/>
      <c r="K450" s="60"/>
      <c r="L450" s="60">
        <f>ROUND(F440*I450,4)</f>
        <v>0</v>
      </c>
    </row>
    <row r="451" spans="1:12" x14ac:dyDescent="0.25">
      <c r="A451" s="168"/>
      <c r="B451" s="144" t="str">
        <f>'Máy thi công'!B6</f>
        <v>M9438</v>
      </c>
      <c r="C451" s="34">
        <v>714</v>
      </c>
      <c r="D451" s="144" t="str">
        <f>" - " &amp; 'Máy thi công'!D6</f>
        <v xml:space="preserve"> - Biến thế hàn xoay chiều - công suất: 23 kW</v>
      </c>
      <c r="E451" s="168" t="str">
        <f>'Máy thi công'!E6</f>
        <v>ca</v>
      </c>
      <c r="F451" s="60"/>
      <c r="G451" s="60"/>
      <c r="H451" s="60"/>
      <c r="I451" s="60">
        <v>1.5</v>
      </c>
      <c r="J451" s="60"/>
      <c r="K451" s="60"/>
      <c r="L451" s="60">
        <f>ROUND(F440*I451,4)</f>
        <v>3.4581</v>
      </c>
    </row>
    <row r="452" spans="1:12" x14ac:dyDescent="0.25">
      <c r="A452" s="168"/>
      <c r="B452" s="144" t="str">
        <f>'Máy thi công'!B398</f>
        <v>M0111</v>
      </c>
      <c r="C452" s="34">
        <v>572</v>
      </c>
      <c r="D452" s="144" t="str">
        <f>" - " &amp; 'Máy thi công'!D398</f>
        <v xml:space="preserve"> - Máy khác</v>
      </c>
      <c r="E452" s="168" t="str">
        <f>'Máy thi công'!E398</f>
        <v>%</v>
      </c>
      <c r="F452" s="60"/>
      <c r="G452" s="60"/>
      <c r="H452" s="60"/>
      <c r="I452" s="60">
        <v>2</v>
      </c>
      <c r="J452" s="60"/>
      <c r="K452" s="60"/>
      <c r="L452" s="60"/>
    </row>
    <row r="453" spans="1:12" ht="28.5" x14ac:dyDescent="0.25">
      <c r="A453" s="65">
        <f>'Công trình'!A60</f>
        <v>46</v>
      </c>
      <c r="B453" s="14" t="str">
        <f>'Công trình'!B60</f>
        <v>AF.61511</v>
      </c>
      <c r="C453" s="94"/>
      <c r="D453" s="14" t="str">
        <f>'Công trình'!C60</f>
        <v>Sản xuất, lắp dựng cốt thép xà dầm, giằng đường kính &lt;=10mm, chiều cao &lt;=4m</v>
      </c>
      <c r="E453" s="46" t="str">
        <f>'Công trình'!D60</f>
        <v>tấn</v>
      </c>
      <c r="F453" s="106">
        <f>'Công trình'!K60</f>
        <v>0.4219</v>
      </c>
      <c r="G453" s="126"/>
      <c r="H453" s="126"/>
      <c r="I453" s="126"/>
      <c r="J453" s="126"/>
      <c r="K453" s="126"/>
      <c r="L453" s="126"/>
    </row>
    <row r="454" spans="1:12" x14ac:dyDescent="0.25">
      <c r="A454" s="56"/>
      <c r="B454" s="23"/>
      <c r="C454" s="88"/>
      <c r="D454" s="23" t="s">
        <v>479</v>
      </c>
      <c r="E454" s="56"/>
      <c r="F454" s="118"/>
      <c r="G454" s="118"/>
      <c r="H454" s="118"/>
      <c r="I454" s="118"/>
      <c r="J454" s="118"/>
      <c r="K454" s="118"/>
      <c r="L454" s="118"/>
    </row>
    <row r="455" spans="1:12" x14ac:dyDescent="0.25">
      <c r="A455" s="168"/>
      <c r="B455" s="144" t="str">
        <f>'Vật liệu'!B221</f>
        <v>V00226</v>
      </c>
      <c r="C455" s="34">
        <v>135</v>
      </c>
      <c r="D455" s="144" t="str">
        <f>" - " &amp; 'Vật liệu'!D221</f>
        <v xml:space="preserve"> - Dây thép</v>
      </c>
      <c r="E455" s="168" t="str">
        <f>'Vật liệu'!E221</f>
        <v>kg</v>
      </c>
      <c r="F455" s="60"/>
      <c r="G455" s="60">
        <v>21.42</v>
      </c>
      <c r="H455" s="60"/>
      <c r="I455" s="60"/>
      <c r="J455" s="60">
        <f>ROUND(F453*G455,4)</f>
        <v>9.0371000000000006</v>
      </c>
      <c r="K455" s="60"/>
      <c r="L455" s="60"/>
    </row>
    <row r="456" spans="1:12" x14ac:dyDescent="0.25">
      <c r="A456" s="168"/>
      <c r="B456" s="144" t="str">
        <f>'Vật liệu'!B650</f>
        <v>V48494</v>
      </c>
      <c r="C456" s="34">
        <v>484</v>
      </c>
      <c r="D456" s="144" t="str">
        <f>" - " &amp; 'Vật liệu'!D650</f>
        <v xml:space="preserve"> - Thép tròn đường kính &lt;=10 mm</v>
      </c>
      <c r="E456" s="168" t="str">
        <f>'Vật liệu'!E650</f>
        <v>kg</v>
      </c>
      <c r="F456" s="60"/>
      <c r="G456" s="60">
        <v>1005</v>
      </c>
      <c r="H456" s="60"/>
      <c r="I456" s="60"/>
      <c r="J456" s="60">
        <f>ROUND(F453*G456,4)</f>
        <v>424.0095</v>
      </c>
      <c r="K456" s="60"/>
      <c r="L456" s="60"/>
    </row>
    <row r="457" spans="1:12" x14ac:dyDescent="0.25">
      <c r="A457" s="56"/>
      <c r="B457" s="23"/>
      <c r="C457" s="88"/>
      <c r="D457" s="23" t="s">
        <v>202</v>
      </c>
      <c r="E457" s="56"/>
      <c r="F457" s="118"/>
      <c r="G457" s="118"/>
      <c r="H457" s="118"/>
      <c r="I457" s="118"/>
      <c r="J457" s="118"/>
      <c r="K457" s="118"/>
      <c r="L457" s="118"/>
    </row>
    <row r="458" spans="1:12" x14ac:dyDescent="0.25">
      <c r="A458" s="168"/>
      <c r="B458" s="144" t="str">
        <f>'Nhân công'!B45</f>
        <v>N0009</v>
      </c>
      <c r="C458" s="34">
        <v>546</v>
      </c>
      <c r="D458" s="144" t="s">
        <v>1052</v>
      </c>
      <c r="E458" s="168" t="str">
        <f>'Nhân công'!G45</f>
        <v>công</v>
      </c>
      <c r="F458" s="60"/>
      <c r="G458" s="60"/>
      <c r="H458" s="60">
        <v>16.2</v>
      </c>
      <c r="I458" s="60"/>
      <c r="J458" s="60"/>
      <c r="K458" s="60">
        <f>ROUND(F453*H458,4)</f>
        <v>6.8348000000000004</v>
      </c>
      <c r="L458" s="60"/>
    </row>
    <row r="459" spans="1:12" x14ac:dyDescent="0.25">
      <c r="A459" s="56"/>
      <c r="B459" s="23"/>
      <c r="C459" s="88"/>
      <c r="D459" s="23" t="s">
        <v>378</v>
      </c>
      <c r="E459" s="56"/>
      <c r="F459" s="118"/>
      <c r="G459" s="118"/>
      <c r="H459" s="118"/>
      <c r="I459" s="118"/>
      <c r="J459" s="118"/>
      <c r="K459" s="118"/>
      <c r="L459" s="118"/>
    </row>
    <row r="460" spans="1:12" x14ac:dyDescent="0.25">
      <c r="A460" s="168"/>
      <c r="B460" s="144" t="str">
        <f>'Máy thi công'!B184</f>
        <v>M9521</v>
      </c>
      <c r="C460" s="34">
        <v>737</v>
      </c>
      <c r="D460" s="144" t="str">
        <f>" - " &amp; 'Máy thi công'!D184</f>
        <v xml:space="preserve"> - Máy cắt uốn cốt thép - công suất: 5 kW</v>
      </c>
      <c r="E460" s="168" t="str">
        <f>'Máy thi công'!E184</f>
        <v>ca</v>
      </c>
      <c r="F460" s="60"/>
      <c r="G460" s="60"/>
      <c r="H460" s="60"/>
      <c r="I460" s="60">
        <v>0.4</v>
      </c>
      <c r="J460" s="60"/>
      <c r="K460" s="60"/>
      <c r="L460" s="60">
        <f>ROUND(F453*I460,4)</f>
        <v>0.16880000000000001</v>
      </c>
    </row>
    <row r="461" spans="1:12" ht="28.5" x14ac:dyDescent="0.25">
      <c r="A461" s="65">
        <f>'Công trình'!A61</f>
        <v>47</v>
      </c>
      <c r="B461" s="14" t="str">
        <f>'Công trình'!B61</f>
        <v>AF.61521</v>
      </c>
      <c r="C461" s="94"/>
      <c r="D461" s="14" t="str">
        <f>'Công trình'!C61</f>
        <v>Sản xuất, lắp dựng cốt thép xà dầm, giằng đường kính &lt;=18mm, chiều cao &lt;=4m</v>
      </c>
      <c r="E461" s="46" t="str">
        <f>'Công trình'!D61</f>
        <v>tấn</v>
      </c>
      <c r="F461" s="106">
        <f>'Công trình'!K61</f>
        <v>1.83</v>
      </c>
      <c r="G461" s="126"/>
      <c r="H461" s="126"/>
      <c r="I461" s="126"/>
      <c r="J461" s="126"/>
      <c r="K461" s="126"/>
      <c r="L461" s="126"/>
    </row>
    <row r="462" spans="1:12" x14ac:dyDescent="0.25">
      <c r="A462" s="56"/>
      <c r="B462" s="23"/>
      <c r="C462" s="88"/>
      <c r="D462" s="23" t="s">
        <v>479</v>
      </c>
      <c r="E462" s="56"/>
      <c r="F462" s="118"/>
      <c r="G462" s="118"/>
      <c r="H462" s="118"/>
      <c r="I462" s="118"/>
      <c r="J462" s="118"/>
      <c r="K462" s="118"/>
      <c r="L462" s="118"/>
    </row>
    <row r="463" spans="1:12" x14ac:dyDescent="0.25">
      <c r="A463" s="168"/>
      <c r="B463" s="144" t="str">
        <f>'Vật liệu'!B450</f>
        <v>V00515</v>
      </c>
      <c r="C463" s="34">
        <v>154</v>
      </c>
      <c r="D463" s="144" t="str">
        <f>" - " &amp; 'Vật liệu'!D450</f>
        <v xml:space="preserve"> - Que hàn</v>
      </c>
      <c r="E463" s="168" t="str">
        <f>'Vật liệu'!E450</f>
        <v>kg</v>
      </c>
      <c r="F463" s="60"/>
      <c r="G463" s="60">
        <v>4.7</v>
      </c>
      <c r="H463" s="60"/>
      <c r="I463" s="60"/>
      <c r="J463" s="60">
        <f>ROUND(F461*G463,4)</f>
        <v>8.6010000000000009</v>
      </c>
      <c r="K463" s="60"/>
      <c r="L463" s="60"/>
    </row>
    <row r="464" spans="1:12" x14ac:dyDescent="0.25">
      <c r="A464" s="168"/>
      <c r="B464" s="144" t="str">
        <f>'Vật liệu'!B221</f>
        <v>V00226</v>
      </c>
      <c r="C464" s="34">
        <v>135</v>
      </c>
      <c r="D464" s="144" t="str">
        <f>" - " &amp; 'Vật liệu'!D221</f>
        <v xml:space="preserve"> - Dây thép</v>
      </c>
      <c r="E464" s="168" t="str">
        <f>'Vật liệu'!E221</f>
        <v>kg</v>
      </c>
      <c r="F464" s="60"/>
      <c r="G464" s="60">
        <v>14.28</v>
      </c>
      <c r="H464" s="60"/>
      <c r="I464" s="60"/>
      <c r="J464" s="60">
        <f>ROUND(F461*G464,4)</f>
        <v>26.132400000000001</v>
      </c>
      <c r="K464" s="60"/>
      <c r="L464" s="60"/>
    </row>
    <row r="465" spans="1:12" x14ac:dyDescent="0.25">
      <c r="A465" s="168"/>
      <c r="B465" s="144" t="str">
        <f>'Vật liệu'!B665</f>
        <v>V48495</v>
      </c>
      <c r="C465" s="34">
        <v>485</v>
      </c>
      <c r="D465" s="144" t="str">
        <f>" - " &amp; 'Vật liệu'!D665</f>
        <v xml:space="preserve"> - Thép tròn đường kính &lt;=18mm</v>
      </c>
      <c r="E465" s="168" t="str">
        <f>'Vật liệu'!E665</f>
        <v>kg</v>
      </c>
      <c r="F465" s="60"/>
      <c r="G465" s="60">
        <v>1020</v>
      </c>
      <c r="H465" s="60"/>
      <c r="I465" s="60"/>
      <c r="J465" s="60">
        <f>ROUND(F461*G465,4)</f>
        <v>1866.6</v>
      </c>
      <c r="K465" s="60"/>
      <c r="L465" s="60"/>
    </row>
    <row r="466" spans="1:12" x14ac:dyDescent="0.25">
      <c r="A466" s="56"/>
      <c r="B466" s="23"/>
      <c r="C466" s="88"/>
      <c r="D466" s="23" t="s">
        <v>202</v>
      </c>
      <c r="E466" s="56"/>
      <c r="F466" s="118"/>
      <c r="G466" s="118"/>
      <c r="H466" s="118"/>
      <c r="I466" s="118"/>
      <c r="J466" s="118"/>
      <c r="K466" s="118"/>
      <c r="L466" s="118"/>
    </row>
    <row r="467" spans="1:12" x14ac:dyDescent="0.25">
      <c r="A467" s="168"/>
      <c r="B467" s="144" t="str">
        <f>'Nhân công'!B45</f>
        <v>N0009</v>
      </c>
      <c r="C467" s="34">
        <v>546</v>
      </c>
      <c r="D467" s="144" t="s">
        <v>1052</v>
      </c>
      <c r="E467" s="168" t="str">
        <f>'Nhân công'!G45</f>
        <v>công</v>
      </c>
      <c r="F467" s="60"/>
      <c r="G467" s="60"/>
      <c r="H467" s="60">
        <v>10.039999999999999</v>
      </c>
      <c r="I467" s="60"/>
      <c r="J467" s="60"/>
      <c r="K467" s="60">
        <f>ROUND(F461*H467,4)</f>
        <v>18.373200000000001</v>
      </c>
      <c r="L467" s="60"/>
    </row>
    <row r="468" spans="1:12" x14ac:dyDescent="0.25">
      <c r="A468" s="56"/>
      <c r="B468" s="23"/>
      <c r="C468" s="88"/>
      <c r="D468" s="23" t="s">
        <v>378</v>
      </c>
      <c r="E468" s="56"/>
      <c r="F468" s="118"/>
      <c r="G468" s="118"/>
      <c r="H468" s="118"/>
      <c r="I468" s="118"/>
      <c r="J468" s="118"/>
      <c r="K468" s="118"/>
      <c r="L468" s="118"/>
    </row>
    <row r="469" spans="1:12" x14ac:dyDescent="0.25">
      <c r="A469" s="168"/>
      <c r="B469" s="144" t="str">
        <f>'Máy thi công'!B184</f>
        <v>M9521</v>
      </c>
      <c r="C469" s="34">
        <v>737</v>
      </c>
      <c r="D469" s="144" t="str">
        <f>" - " &amp; 'Máy thi công'!D184</f>
        <v xml:space="preserve"> - Máy cắt uốn cốt thép - công suất: 5 kW</v>
      </c>
      <c r="E469" s="168" t="str">
        <f>'Máy thi công'!E184</f>
        <v>ca</v>
      </c>
      <c r="F469" s="60"/>
      <c r="G469" s="60"/>
      <c r="H469" s="60"/>
      <c r="I469" s="60">
        <v>0.32</v>
      </c>
      <c r="J469" s="60"/>
      <c r="K469" s="60"/>
      <c r="L469" s="60">
        <f>ROUND(F461*I469,4)</f>
        <v>0.58560000000000001</v>
      </c>
    </row>
    <row r="470" spans="1:12" x14ac:dyDescent="0.25">
      <c r="A470" s="168"/>
      <c r="B470" s="144" t="str">
        <f>'Máy thi công'!B6</f>
        <v>M9438</v>
      </c>
      <c r="C470" s="34">
        <v>714</v>
      </c>
      <c r="D470" s="144" t="str">
        <f>" - " &amp; 'Máy thi công'!D6</f>
        <v xml:space="preserve"> - Biến thế hàn xoay chiều - công suất: 23 kW</v>
      </c>
      <c r="E470" s="168" t="str">
        <f>'Máy thi công'!E6</f>
        <v>ca</v>
      </c>
      <c r="F470" s="60"/>
      <c r="G470" s="60"/>
      <c r="H470" s="60"/>
      <c r="I470" s="60">
        <v>1.133</v>
      </c>
      <c r="J470" s="60"/>
      <c r="K470" s="60"/>
      <c r="L470" s="60">
        <f>ROUND(F461*I470,4)</f>
        <v>2.0733999999999999</v>
      </c>
    </row>
    <row r="471" spans="1:12" ht="28.5" x14ac:dyDescent="0.25">
      <c r="A471" s="65">
        <f>'Công trình'!A63</f>
        <v>48</v>
      </c>
      <c r="B471" s="14" t="str">
        <f>'Công trình'!B63</f>
        <v>AF.11223</v>
      </c>
      <c r="C471" s="94"/>
      <c r="D471" s="14" t="str">
        <f>'Công trình'!C63</f>
        <v>Bê tông lát mái rộng &gt;250cm đá 1x2, vữa BT mác 200</v>
      </c>
      <c r="E471" s="46" t="str">
        <f>'Công trình'!D63</f>
        <v>m3</v>
      </c>
      <c r="F471" s="106">
        <f>'Công trình'!K63</f>
        <v>163.01</v>
      </c>
      <c r="G471" s="126"/>
      <c r="H471" s="126"/>
      <c r="I471" s="126"/>
      <c r="J471" s="126"/>
      <c r="K471" s="126"/>
      <c r="L471" s="126"/>
    </row>
    <row r="472" spans="1:12" x14ac:dyDescent="0.25">
      <c r="A472" s="56"/>
      <c r="B472" s="23"/>
      <c r="C472" s="88"/>
      <c r="D472" s="23" t="s">
        <v>479</v>
      </c>
      <c r="E472" s="56"/>
      <c r="F472" s="118"/>
      <c r="G472" s="118"/>
      <c r="H472" s="118"/>
      <c r="I472" s="118"/>
      <c r="J472" s="118"/>
      <c r="K472" s="118"/>
      <c r="L472" s="118"/>
    </row>
    <row r="473" spans="1:12" x14ac:dyDescent="0.25">
      <c r="A473" s="168"/>
      <c r="B473" s="144" t="str">
        <f>'Vật liệu'!B275</f>
        <v>V00784</v>
      </c>
      <c r="C473" s="34">
        <v>403</v>
      </c>
      <c r="D473" s="144" t="str">
        <f>" - " &amp; 'Vật liệu'!D275</f>
        <v xml:space="preserve"> - Đinh đỉa</v>
      </c>
      <c r="E473" s="168" t="str">
        <f>'Vật liệu'!E275</f>
        <v>cái</v>
      </c>
      <c r="F473" s="60"/>
      <c r="G473" s="60">
        <v>0.60299999999999998</v>
      </c>
      <c r="H473" s="60"/>
      <c r="I473" s="60"/>
      <c r="J473" s="60">
        <f>ROUND(F471*G473,4)</f>
        <v>98.295000000000002</v>
      </c>
      <c r="K473" s="60"/>
      <c r="L473" s="60"/>
    </row>
    <row r="474" spans="1:12" x14ac:dyDescent="0.25">
      <c r="A474" s="168"/>
      <c r="B474" s="144" t="str">
        <f>'Vật liệu'!B268</f>
        <v>V00772</v>
      </c>
      <c r="C474" s="34">
        <v>401</v>
      </c>
      <c r="D474" s="144" t="str">
        <f>" - " &amp; 'Vật liệu'!D268</f>
        <v xml:space="preserve"> - Đinh</v>
      </c>
      <c r="E474" s="168" t="str">
        <f>'Vật liệu'!E268</f>
        <v>kg</v>
      </c>
      <c r="F474" s="60"/>
      <c r="G474" s="60">
        <v>0.122</v>
      </c>
      <c r="H474" s="60"/>
      <c r="I474" s="60"/>
      <c r="J474" s="60">
        <f>ROUND(F471*G474,4)</f>
        <v>19.8872</v>
      </c>
      <c r="K474" s="60"/>
      <c r="L474" s="60"/>
    </row>
    <row r="475" spans="1:12" x14ac:dyDescent="0.25">
      <c r="A475" s="168"/>
      <c r="B475" s="144" t="str">
        <f>'Vật liệu'!B721</f>
        <v>V00761</v>
      </c>
      <c r="C475" s="34">
        <v>397</v>
      </c>
      <c r="D475" s="144" t="str">
        <f>" - " &amp; 'Vật liệu'!D721</f>
        <v xml:space="preserve"> - Xi măng PC40</v>
      </c>
      <c r="E475" s="168" t="str">
        <f>'Vật liệu'!E721</f>
        <v>kg</v>
      </c>
      <c r="F475" s="60"/>
      <c r="G475" s="60">
        <v>288.02499999999998</v>
      </c>
      <c r="H475" s="60"/>
      <c r="I475" s="60"/>
      <c r="J475" s="60">
        <f>ROUND(F471*G475,4)</f>
        <v>46950.955300000001</v>
      </c>
      <c r="K475" s="60"/>
      <c r="L475" s="60"/>
    </row>
    <row r="476" spans="1:12" x14ac:dyDescent="0.25">
      <c r="A476" s="168"/>
      <c r="B476" s="144" t="str">
        <f>'Vật liệu'!B54</f>
        <v>V00112</v>
      </c>
      <c r="C476" s="34">
        <v>125</v>
      </c>
      <c r="D476" s="144" t="str">
        <f>" - " &amp; 'Vật liệu'!D54</f>
        <v xml:space="preserve"> - Cát vàng</v>
      </c>
      <c r="E476" s="168" t="str">
        <f>'Vật liệu'!E54</f>
        <v>m3</v>
      </c>
      <c r="F476" s="60"/>
      <c r="G476" s="60">
        <v>0.50529999999999997</v>
      </c>
      <c r="H476" s="60"/>
      <c r="I476" s="60"/>
      <c r="J476" s="60">
        <f>ROUND(F471*G476,4)</f>
        <v>82.369</v>
      </c>
      <c r="K476" s="60"/>
      <c r="L476" s="60"/>
    </row>
    <row r="477" spans="1:12" x14ac:dyDescent="0.25">
      <c r="A477" s="168"/>
      <c r="B477" s="144" t="str">
        <f>'Vật liệu'!B142</f>
        <v>V05207</v>
      </c>
      <c r="C477" s="34">
        <v>416</v>
      </c>
      <c r="D477" s="144" t="str">
        <f>" - " &amp; 'Vật liệu'!D142</f>
        <v xml:space="preserve"> - Đá 1x2</v>
      </c>
      <c r="E477" s="168" t="str">
        <f>'Vật liệu'!E142</f>
        <v>m3</v>
      </c>
      <c r="F477" s="60"/>
      <c r="G477" s="60">
        <v>0.9133</v>
      </c>
      <c r="H477" s="60"/>
      <c r="I477" s="60"/>
      <c r="J477" s="60">
        <f>ROUND(F471*G477,4)</f>
        <v>148.87700000000001</v>
      </c>
      <c r="K477" s="60"/>
      <c r="L477" s="60"/>
    </row>
    <row r="478" spans="1:12" x14ac:dyDescent="0.25">
      <c r="A478" s="168"/>
      <c r="B478" s="144" t="str">
        <f>'Vật liệu'!B353</f>
        <v>V00494</v>
      </c>
      <c r="C478" s="34">
        <v>148</v>
      </c>
      <c r="D478" s="144" t="str">
        <f>" - " &amp; 'Vật liệu'!D353</f>
        <v xml:space="preserve"> - Nước</v>
      </c>
      <c r="E478" s="168" t="str">
        <f>'Vật liệu'!E353</f>
        <v>lít</v>
      </c>
      <c r="F478" s="60"/>
      <c r="G478" s="60">
        <v>189.625</v>
      </c>
      <c r="H478" s="60"/>
      <c r="I478" s="60"/>
      <c r="J478" s="60">
        <f>ROUND(F471*G478,4)</f>
        <v>30910.7713</v>
      </c>
      <c r="K478" s="60"/>
      <c r="L478" s="60"/>
    </row>
    <row r="479" spans="1:12" x14ac:dyDescent="0.25">
      <c r="A479" s="168"/>
      <c r="B479" s="144" t="str">
        <f>'Vật liệu'!B314</f>
        <v>V00404</v>
      </c>
      <c r="C479" s="34">
        <v>144</v>
      </c>
      <c r="D479" s="144" t="str">
        <f>" - " &amp; 'Vật liệu'!D314</f>
        <v xml:space="preserve"> - Gỗ ván cầu công tác</v>
      </c>
      <c r="E479" s="168" t="str">
        <f>'Vật liệu'!E314</f>
        <v>m3</v>
      </c>
      <c r="F479" s="60"/>
      <c r="G479" s="60">
        <v>1.4999999999999999E-2</v>
      </c>
      <c r="H479" s="60"/>
      <c r="I479" s="60"/>
      <c r="J479" s="60">
        <f>ROUND(F471*G479,4)</f>
        <v>2.4451999999999998</v>
      </c>
      <c r="K479" s="60"/>
      <c r="L479" s="60"/>
    </row>
    <row r="480" spans="1:12" x14ac:dyDescent="0.25">
      <c r="A480" s="168"/>
      <c r="B480" s="144" t="str">
        <f>'Vật liệu'!B766</f>
        <v>V00750</v>
      </c>
      <c r="C480" s="34">
        <v>208</v>
      </c>
      <c r="D480" s="144" t="str">
        <f>" - " &amp; 'Vật liệu'!D766</f>
        <v xml:space="preserve"> - Vật liệu khác</v>
      </c>
      <c r="E480" s="168" t="str">
        <f>'Vật liệu'!E766</f>
        <v>%</v>
      </c>
      <c r="F480" s="60"/>
      <c r="G480" s="60">
        <v>1</v>
      </c>
      <c r="H480" s="60"/>
      <c r="I480" s="60"/>
      <c r="J480" s="60"/>
      <c r="K480" s="60"/>
      <c r="L480" s="60"/>
    </row>
    <row r="481" spans="1:12" x14ac:dyDescent="0.25">
      <c r="A481" s="56"/>
      <c r="B481" s="23"/>
      <c r="C481" s="88"/>
      <c r="D481" s="23" t="s">
        <v>202</v>
      </c>
      <c r="E481" s="56"/>
      <c r="F481" s="118"/>
      <c r="G481" s="118"/>
      <c r="H481" s="118"/>
      <c r="I481" s="118"/>
      <c r="J481" s="118"/>
      <c r="K481" s="118"/>
      <c r="L481" s="118"/>
    </row>
    <row r="482" spans="1:12" x14ac:dyDescent="0.25">
      <c r="A482" s="168"/>
      <c r="B482" s="144" t="str">
        <f>'Nhân công'!B6</f>
        <v>N0006</v>
      </c>
      <c r="C482" s="34">
        <v>545</v>
      </c>
      <c r="D482" s="144" t="s">
        <v>256</v>
      </c>
      <c r="E482" s="168" t="str">
        <f>'Nhân công'!G6</f>
        <v>công</v>
      </c>
      <c r="F482" s="60"/>
      <c r="G482" s="60"/>
      <c r="H482" s="60">
        <v>1.97</v>
      </c>
      <c r="I482" s="60"/>
      <c r="J482" s="60"/>
      <c r="K482" s="60">
        <f>ROUND(F471*H482,4)</f>
        <v>321.12970000000001</v>
      </c>
      <c r="L482" s="60"/>
    </row>
    <row r="483" spans="1:12" x14ac:dyDescent="0.25">
      <c r="A483" s="56"/>
      <c r="B483" s="23"/>
      <c r="C483" s="88"/>
      <c r="D483" s="23" t="s">
        <v>378</v>
      </c>
      <c r="E483" s="56"/>
      <c r="F483" s="118"/>
      <c r="G483" s="118"/>
      <c r="H483" s="118"/>
      <c r="I483" s="118"/>
      <c r="J483" s="118"/>
      <c r="K483" s="118"/>
      <c r="L483" s="118"/>
    </row>
    <row r="484" spans="1:12" x14ac:dyDescent="0.25">
      <c r="A484" s="168"/>
      <c r="B484" s="144" t="str">
        <f>'Máy thi công'!B232</f>
        <v>M9571</v>
      </c>
      <c r="C484" s="34">
        <v>750</v>
      </c>
      <c r="D484" s="144" t="str">
        <f>" - " &amp; 'Máy thi công'!D232</f>
        <v xml:space="preserve"> - Máy đầm bê tông, dầm dùi - công suất: 1,5 kW</v>
      </c>
      <c r="E484" s="168" t="str">
        <f>'Máy thi công'!E232</f>
        <v>ca</v>
      </c>
      <c r="F484" s="60"/>
      <c r="G484" s="60"/>
      <c r="H484" s="60"/>
      <c r="I484" s="60">
        <v>8.8999999999999996E-2</v>
      </c>
      <c r="J484" s="60"/>
      <c r="K484" s="60"/>
      <c r="L484" s="60">
        <f>ROUND(F471*I484,4)</f>
        <v>14.507899999999999</v>
      </c>
    </row>
    <row r="485" spans="1:12" x14ac:dyDescent="0.25">
      <c r="A485" s="168"/>
      <c r="B485" s="144" t="str">
        <f>'Máy thi công'!B306</f>
        <v>M9555</v>
      </c>
      <c r="C485" s="34">
        <v>744</v>
      </c>
      <c r="D485" s="144" t="str">
        <f>" - " &amp; 'Máy thi công'!D306</f>
        <v xml:space="preserve"> - Máy trộn bê tông - dung tích: 250 lít</v>
      </c>
      <c r="E485" s="168" t="str">
        <f>'Máy thi công'!E306</f>
        <v>ca</v>
      </c>
      <c r="F485" s="60"/>
      <c r="G485" s="60"/>
      <c r="H485" s="60"/>
      <c r="I485" s="60">
        <v>9.5000000000000001E-2</v>
      </c>
      <c r="J485" s="60"/>
      <c r="K485" s="60"/>
      <c r="L485" s="60">
        <f>ROUND(F471*I485,4)</f>
        <v>15.486000000000001</v>
      </c>
    </row>
    <row r="486" spans="1:12" x14ac:dyDescent="0.25">
      <c r="A486" s="65">
        <f>'Công trình'!A64</f>
        <v>49</v>
      </c>
      <c r="B486" s="14" t="str">
        <f>'Công trình'!B64</f>
        <v>AK.41124</v>
      </c>
      <c r="C486" s="94"/>
      <c r="D486" s="14" t="str">
        <f>'Công trình'!C64</f>
        <v>Vữa lót M75 dày 3cm</v>
      </c>
      <c r="E486" s="46" t="str">
        <f>'Công trình'!D64</f>
        <v>m2</v>
      </c>
      <c r="F486" s="106">
        <f>'Công trình'!K64</f>
        <v>1358.3333</v>
      </c>
      <c r="G486" s="126"/>
      <c r="H486" s="126"/>
      <c r="I486" s="126"/>
      <c r="J486" s="126"/>
      <c r="K486" s="126"/>
      <c r="L486" s="126"/>
    </row>
    <row r="487" spans="1:12" x14ac:dyDescent="0.25">
      <c r="A487" s="56"/>
      <c r="B487" s="23"/>
      <c r="C487" s="88"/>
      <c r="D487" s="23" t="s">
        <v>479</v>
      </c>
      <c r="E487" s="56"/>
      <c r="F487" s="118"/>
      <c r="G487" s="118"/>
      <c r="H487" s="118"/>
      <c r="I487" s="118"/>
      <c r="J487" s="118"/>
      <c r="K487" s="118"/>
      <c r="L487" s="118"/>
    </row>
    <row r="488" spans="1:12" x14ac:dyDescent="0.25">
      <c r="A488" s="168"/>
      <c r="B488" s="144" t="str">
        <f>'Vật liệu'!B721</f>
        <v>V00761</v>
      </c>
      <c r="C488" s="34">
        <v>397</v>
      </c>
      <c r="D488" s="144" t="str">
        <f>" - " &amp; 'Vật liệu'!D721</f>
        <v xml:space="preserve"> - Xi măng PC40</v>
      </c>
      <c r="E488" s="168" t="str">
        <f>'Vật liệu'!E721</f>
        <v>kg</v>
      </c>
      <c r="F488" s="60"/>
      <c r="G488" s="60">
        <v>7.9457000000000004</v>
      </c>
      <c r="H488" s="60"/>
      <c r="I488" s="60"/>
      <c r="J488" s="60">
        <f>ROUND(F486*G488,4)</f>
        <v>10792.9089</v>
      </c>
      <c r="K488" s="60"/>
      <c r="L488" s="60"/>
    </row>
    <row r="489" spans="1:12" x14ac:dyDescent="0.25">
      <c r="A489" s="168"/>
      <c r="B489" s="144" t="str">
        <f>'Vật liệu'!B54</f>
        <v>V00112</v>
      </c>
      <c r="C489" s="34">
        <v>125</v>
      </c>
      <c r="D489" s="144" t="str">
        <f>" - " &amp; 'Vật liệu'!D54</f>
        <v xml:space="preserve"> - Cát vàng</v>
      </c>
      <c r="E489" s="168" t="str">
        <f>'Vật liệu'!E54</f>
        <v>m3</v>
      </c>
      <c r="F489" s="60"/>
      <c r="G489" s="60">
        <v>3.9600000000000003E-2</v>
      </c>
      <c r="H489" s="60"/>
      <c r="I489" s="60"/>
      <c r="J489" s="60">
        <f>ROUND(F486*G489,4)</f>
        <v>53.79</v>
      </c>
      <c r="K489" s="60"/>
      <c r="L489" s="60"/>
    </row>
    <row r="490" spans="1:12" x14ac:dyDescent="0.25">
      <c r="A490" s="168"/>
      <c r="B490" s="144" t="str">
        <f>'Vật liệu'!B353</f>
        <v>V00494</v>
      </c>
      <c r="C490" s="34">
        <v>148</v>
      </c>
      <c r="D490" s="144" t="str">
        <f>" - " &amp; 'Vật liệu'!D353</f>
        <v xml:space="preserve"> - Nước</v>
      </c>
      <c r="E490" s="168" t="str">
        <f>'Vật liệu'!E353</f>
        <v>lít</v>
      </c>
      <c r="F490" s="60"/>
      <c r="G490" s="60">
        <v>9.1</v>
      </c>
      <c r="H490" s="60"/>
      <c r="I490" s="60"/>
      <c r="J490" s="60">
        <f>ROUND(F486*G490,4)</f>
        <v>12360.833000000001</v>
      </c>
      <c r="K490" s="60"/>
      <c r="L490" s="60"/>
    </row>
    <row r="491" spans="1:12" x14ac:dyDescent="0.25">
      <c r="A491" s="56"/>
      <c r="B491" s="23"/>
      <c r="C491" s="88"/>
      <c r="D491" s="23" t="s">
        <v>202</v>
      </c>
      <c r="E491" s="56"/>
      <c r="F491" s="118"/>
      <c r="G491" s="118"/>
      <c r="H491" s="118"/>
      <c r="I491" s="118"/>
      <c r="J491" s="118"/>
      <c r="K491" s="118"/>
      <c r="L491" s="118"/>
    </row>
    <row r="492" spans="1:12" x14ac:dyDescent="0.25">
      <c r="A492" s="168"/>
      <c r="B492" s="144" t="str">
        <f>'Nhân công'!B130</f>
        <v>N0011</v>
      </c>
      <c r="C492" s="34">
        <v>550</v>
      </c>
      <c r="D492" s="144" t="s">
        <v>671</v>
      </c>
      <c r="E492" s="168" t="str">
        <f>'Nhân công'!G130</f>
        <v>công</v>
      </c>
      <c r="F492" s="60"/>
      <c r="G492" s="60"/>
      <c r="H492" s="60">
        <v>0.106</v>
      </c>
      <c r="I492" s="60"/>
      <c r="J492" s="60"/>
      <c r="K492" s="60">
        <f>ROUND(F486*H492,4)</f>
        <v>143.98330000000001</v>
      </c>
      <c r="L492" s="60"/>
    </row>
    <row r="493" spans="1:12" x14ac:dyDescent="0.25">
      <c r="A493" s="56"/>
      <c r="B493" s="23"/>
      <c r="C493" s="88"/>
      <c r="D493" s="23" t="s">
        <v>378</v>
      </c>
      <c r="E493" s="56"/>
      <c r="F493" s="118"/>
      <c r="G493" s="118"/>
      <c r="H493" s="118"/>
      <c r="I493" s="118"/>
      <c r="J493" s="118"/>
      <c r="K493" s="118"/>
      <c r="L493" s="118"/>
    </row>
    <row r="494" spans="1:12" x14ac:dyDescent="0.25">
      <c r="A494" s="168"/>
      <c r="B494" s="144" t="str">
        <f>'Máy thi công'!B341</f>
        <v>M9558</v>
      </c>
      <c r="C494" s="34">
        <v>745</v>
      </c>
      <c r="D494" s="144" t="str">
        <f>" - " &amp; 'Máy thi công'!D341</f>
        <v xml:space="preserve"> - Máy trộn vữa - dung tích: 80 lít</v>
      </c>
      <c r="E494" s="168" t="str">
        <f>'Máy thi công'!E341</f>
        <v>ca</v>
      </c>
      <c r="F494" s="60"/>
      <c r="G494" s="60"/>
      <c r="H494" s="60"/>
      <c r="I494" s="60">
        <v>4.0000000000000001E-3</v>
      </c>
      <c r="J494" s="60"/>
      <c r="K494" s="60"/>
      <c r="L494" s="60">
        <f>ROUND(F486*I494,4)</f>
        <v>5.4333</v>
      </c>
    </row>
    <row r="495" spans="1:12" x14ac:dyDescent="0.25">
      <c r="A495" s="65">
        <f>'Công trình'!A65</f>
        <v>50</v>
      </c>
      <c r="B495" s="14" t="str">
        <f>'Công trình'!B65</f>
        <v>AF.82511</v>
      </c>
      <c r="C495" s="94"/>
      <c r="D495" s="14" t="str">
        <f>'Công trình'!C65</f>
        <v>Sản xuất, lắp dựng tháo dỡ ván khuôn lát mái</v>
      </c>
      <c r="E495" s="46" t="str">
        <f>'Công trình'!D65</f>
        <v>100m2</v>
      </c>
      <c r="F495" s="106">
        <f>'Công trình'!K65</f>
        <v>0.93300000000000005</v>
      </c>
      <c r="G495" s="126"/>
      <c r="H495" s="126"/>
      <c r="I495" s="126"/>
      <c r="J495" s="126"/>
      <c r="K495" s="126"/>
      <c r="L495" s="126"/>
    </row>
    <row r="496" spans="1:12" x14ac:dyDescent="0.25">
      <c r="A496" s="56"/>
      <c r="B496" s="23"/>
      <c r="C496" s="88"/>
      <c r="D496" s="23" t="s">
        <v>479</v>
      </c>
      <c r="E496" s="56"/>
      <c r="F496" s="118"/>
      <c r="G496" s="118"/>
      <c r="H496" s="118"/>
      <c r="I496" s="118"/>
      <c r="J496" s="118"/>
      <c r="K496" s="118"/>
      <c r="L496" s="118"/>
    </row>
    <row r="497" spans="1:12" x14ac:dyDescent="0.25">
      <c r="A497" s="168"/>
      <c r="B497" s="144" t="str">
        <f>'Vật liệu'!B268</f>
        <v>V00772</v>
      </c>
      <c r="C497" s="34">
        <v>401</v>
      </c>
      <c r="D497" s="144" t="str">
        <f>" - " &amp; 'Vật liệu'!D268</f>
        <v xml:space="preserve"> - Đinh</v>
      </c>
      <c r="E497" s="168" t="str">
        <f>'Vật liệu'!E268</f>
        <v>kg</v>
      </c>
      <c r="F497" s="60"/>
      <c r="G497" s="60">
        <v>12</v>
      </c>
      <c r="H497" s="60"/>
      <c r="I497" s="60"/>
      <c r="J497" s="60">
        <f>ROUND(F495*G497,4)</f>
        <v>11.196</v>
      </c>
      <c r="K497" s="60"/>
      <c r="L497" s="60"/>
    </row>
    <row r="498" spans="1:12" x14ac:dyDescent="0.25">
      <c r="A498" s="168"/>
      <c r="B498" s="144" t="str">
        <f>'Vật liệu'!B294</f>
        <v>V00390</v>
      </c>
      <c r="C498" s="34">
        <v>140</v>
      </c>
      <c r="D498" s="144" t="str">
        <f>" - " &amp; 'Vật liệu'!D294</f>
        <v xml:space="preserve"> - Gỗ chống</v>
      </c>
      <c r="E498" s="168" t="str">
        <f>'Vật liệu'!E294</f>
        <v>m3</v>
      </c>
      <c r="F498" s="60"/>
      <c r="G498" s="60">
        <v>0.45900000000000002</v>
      </c>
      <c r="H498" s="60"/>
      <c r="I498" s="60"/>
      <c r="J498" s="60">
        <f>ROUND(F495*G498,4)</f>
        <v>0.42820000000000003</v>
      </c>
      <c r="K498" s="60"/>
      <c r="L498" s="60"/>
    </row>
    <row r="499" spans="1:12" x14ac:dyDescent="0.25">
      <c r="A499" s="168"/>
      <c r="B499" s="144" t="str">
        <f>'Vật liệu'!B307</f>
        <v>V00402</v>
      </c>
      <c r="C499" s="34">
        <v>142</v>
      </c>
      <c r="D499" s="144" t="str">
        <f>" - " &amp; 'Vật liệu'!D307</f>
        <v xml:space="preserve"> - Gỗ ván</v>
      </c>
      <c r="E499" s="168" t="str">
        <f>'Vật liệu'!E307</f>
        <v>m3</v>
      </c>
      <c r="F499" s="60"/>
      <c r="G499" s="60">
        <v>0.79200000000000004</v>
      </c>
      <c r="H499" s="60"/>
      <c r="I499" s="60"/>
      <c r="J499" s="60">
        <f>ROUND(F495*G499,4)</f>
        <v>0.7389</v>
      </c>
      <c r="K499" s="60"/>
      <c r="L499" s="60"/>
    </row>
    <row r="500" spans="1:12" x14ac:dyDescent="0.25">
      <c r="A500" s="168"/>
      <c r="B500" s="144" t="str">
        <f>'Vật liệu'!B305</f>
        <v>V05605</v>
      </c>
      <c r="C500" s="34">
        <v>423</v>
      </c>
      <c r="D500" s="144" t="str">
        <f>" - " &amp; 'Vật liệu'!D305</f>
        <v xml:space="preserve"> - Gỗ đà nẹp</v>
      </c>
      <c r="E500" s="168" t="str">
        <f>'Vật liệu'!E305</f>
        <v>m3</v>
      </c>
      <c r="F500" s="60"/>
      <c r="G500" s="60">
        <v>8.6499999999999994E-2</v>
      </c>
      <c r="H500" s="60"/>
      <c r="I500" s="60"/>
      <c r="J500" s="60">
        <f>ROUND(F495*G500,4)</f>
        <v>8.0699999999999994E-2</v>
      </c>
      <c r="K500" s="60"/>
      <c r="L500" s="60"/>
    </row>
    <row r="501" spans="1:12" x14ac:dyDescent="0.25">
      <c r="A501" s="168"/>
      <c r="B501" s="144" t="str">
        <f>'Vật liệu'!B766</f>
        <v>V00750</v>
      </c>
      <c r="C501" s="34">
        <v>209</v>
      </c>
      <c r="D501" s="144" t="str">
        <f>" - " &amp; 'Vật liệu'!D766</f>
        <v xml:space="preserve"> - Vật liệu khác</v>
      </c>
      <c r="E501" s="168" t="str">
        <f>'Vật liệu'!E766</f>
        <v>%</v>
      </c>
      <c r="F501" s="60"/>
      <c r="G501" s="60">
        <v>1</v>
      </c>
      <c r="H501" s="60"/>
      <c r="I501" s="60"/>
      <c r="J501" s="60"/>
      <c r="K501" s="60"/>
      <c r="L501" s="60"/>
    </row>
    <row r="502" spans="1:12" x14ac:dyDescent="0.25">
      <c r="A502" s="56"/>
      <c r="B502" s="23"/>
      <c r="C502" s="88"/>
      <c r="D502" s="23" t="s">
        <v>202</v>
      </c>
      <c r="E502" s="56"/>
      <c r="F502" s="118"/>
      <c r="G502" s="118"/>
      <c r="H502" s="118"/>
      <c r="I502" s="118"/>
      <c r="J502" s="118"/>
      <c r="K502" s="118"/>
      <c r="L502" s="118"/>
    </row>
    <row r="503" spans="1:12" x14ac:dyDescent="0.25">
      <c r="A503" s="168"/>
      <c r="B503" s="144" t="str">
        <f>'Nhân công'!B45</f>
        <v>N0009</v>
      </c>
      <c r="C503" s="34">
        <v>546</v>
      </c>
      <c r="D503" s="144" t="s">
        <v>1052</v>
      </c>
      <c r="E503" s="168" t="str">
        <f>'Nhân công'!G45</f>
        <v>công</v>
      </c>
      <c r="F503" s="60"/>
      <c r="G503" s="60"/>
      <c r="H503" s="60">
        <v>13.61</v>
      </c>
      <c r="I503" s="60"/>
      <c r="J503" s="60"/>
      <c r="K503" s="60">
        <f>ROUND(F495*H503,4)</f>
        <v>12.6981</v>
      </c>
      <c r="L503" s="60"/>
    </row>
    <row r="504" spans="1:12" ht="28.5" x14ac:dyDescent="0.25">
      <c r="A504" s="65">
        <f>'Công trình'!A68</f>
        <v>51</v>
      </c>
      <c r="B504" s="14" t="str">
        <f>'Công trình'!B68</f>
        <v>AG.11125</v>
      </c>
      <c r="C504" s="94"/>
      <c r="D504" s="14" t="str">
        <f>'Công trình'!C68</f>
        <v>Sản xuất bê tông cọc cừ đúc sẵn đá 1x2, vữa BT mác 300</v>
      </c>
      <c r="E504" s="46" t="str">
        <f>'Công trình'!D68</f>
        <v>m3</v>
      </c>
      <c r="F504" s="106">
        <f>'Công trình'!K68</f>
        <v>71.41</v>
      </c>
      <c r="G504" s="126"/>
      <c r="H504" s="126"/>
      <c r="I504" s="126"/>
      <c r="J504" s="126"/>
      <c r="K504" s="126"/>
      <c r="L504" s="126"/>
    </row>
    <row r="505" spans="1:12" x14ac:dyDescent="0.25">
      <c r="A505" s="56"/>
      <c r="B505" s="23"/>
      <c r="C505" s="88"/>
      <c r="D505" s="23" t="s">
        <v>479</v>
      </c>
      <c r="E505" s="56"/>
      <c r="F505" s="118"/>
      <c r="G505" s="118"/>
      <c r="H505" s="118"/>
      <c r="I505" s="118"/>
      <c r="J505" s="118"/>
      <c r="K505" s="118"/>
      <c r="L505" s="118"/>
    </row>
    <row r="506" spans="1:12" x14ac:dyDescent="0.25">
      <c r="A506" s="168"/>
      <c r="B506" s="144" t="str">
        <f>'Vật liệu'!B721</f>
        <v>V00761</v>
      </c>
      <c r="C506" s="34">
        <v>397</v>
      </c>
      <c r="D506" s="144" t="str">
        <f>" - " &amp; 'Vật liệu'!D721</f>
        <v xml:space="preserve"> - Xi măng PC40</v>
      </c>
      <c r="E506" s="168" t="str">
        <f>'Vật liệu'!E721</f>
        <v>kg</v>
      </c>
      <c r="F506" s="60"/>
      <c r="G506" s="60">
        <v>379.61</v>
      </c>
      <c r="H506" s="60"/>
      <c r="I506" s="60"/>
      <c r="J506" s="60">
        <f>ROUND(F504*G506,4)</f>
        <v>27107.950099999998</v>
      </c>
      <c r="K506" s="60"/>
      <c r="L506" s="60"/>
    </row>
    <row r="507" spans="1:12" x14ac:dyDescent="0.25">
      <c r="A507" s="168"/>
      <c r="B507" s="144" t="str">
        <f>'Vật liệu'!B54</f>
        <v>V00112</v>
      </c>
      <c r="C507" s="34">
        <v>125</v>
      </c>
      <c r="D507" s="144" t="str">
        <f>" - " &amp; 'Vật liệu'!D54</f>
        <v xml:space="preserve"> - Cát vàng</v>
      </c>
      <c r="E507" s="168" t="str">
        <f>'Vật liệu'!E54</f>
        <v>m3</v>
      </c>
      <c r="F507" s="60"/>
      <c r="G507" s="60">
        <v>0.46389999999999998</v>
      </c>
      <c r="H507" s="60"/>
      <c r="I507" s="60"/>
      <c r="J507" s="60">
        <f>ROUND(F504*G507,4)</f>
        <v>33.127099999999999</v>
      </c>
      <c r="K507" s="60"/>
      <c r="L507" s="60"/>
    </row>
    <row r="508" spans="1:12" x14ac:dyDescent="0.25">
      <c r="A508" s="168"/>
      <c r="B508" s="144" t="str">
        <f>'Vật liệu'!B142</f>
        <v>V05207</v>
      </c>
      <c r="C508" s="34">
        <v>416</v>
      </c>
      <c r="D508" s="144" t="str">
        <f>" - " &amp; 'Vật liệu'!D142</f>
        <v xml:space="preserve"> - Đá 1x2</v>
      </c>
      <c r="E508" s="168" t="str">
        <f>'Vật liệu'!E142</f>
        <v>m3</v>
      </c>
      <c r="F508" s="60"/>
      <c r="G508" s="60">
        <v>0.8851</v>
      </c>
      <c r="H508" s="60"/>
      <c r="I508" s="60"/>
      <c r="J508" s="60">
        <f>ROUND(F504*G508,4)</f>
        <v>63.204999999999998</v>
      </c>
      <c r="K508" s="60"/>
      <c r="L508" s="60"/>
    </row>
    <row r="509" spans="1:12" x14ac:dyDescent="0.25">
      <c r="A509" s="168"/>
      <c r="B509" s="144" t="str">
        <f>'Vật liệu'!B353</f>
        <v>V00494</v>
      </c>
      <c r="C509" s="34">
        <v>148</v>
      </c>
      <c r="D509" s="144" t="str">
        <f>" - " &amp; 'Vật liệu'!D353</f>
        <v xml:space="preserve"> - Nước</v>
      </c>
      <c r="E509" s="168" t="str">
        <f>'Vật liệu'!E353</f>
        <v>lít</v>
      </c>
      <c r="F509" s="60"/>
      <c r="G509" s="60">
        <v>187.77500000000001</v>
      </c>
      <c r="H509" s="60"/>
      <c r="I509" s="60"/>
      <c r="J509" s="60">
        <f>ROUND(F504*G509,4)</f>
        <v>13409.0128</v>
      </c>
      <c r="K509" s="60"/>
      <c r="L509" s="60"/>
    </row>
    <row r="510" spans="1:12" x14ac:dyDescent="0.25">
      <c r="A510" s="168"/>
      <c r="B510" s="144" t="str">
        <f>'Vật liệu'!B766</f>
        <v>V00750</v>
      </c>
      <c r="C510" s="34">
        <v>210</v>
      </c>
      <c r="D510" s="144" t="str">
        <f>" - " &amp; 'Vật liệu'!D766</f>
        <v xml:space="preserve"> - Vật liệu khác</v>
      </c>
      <c r="E510" s="168" t="str">
        <f>'Vật liệu'!E766</f>
        <v>%</v>
      </c>
      <c r="F510" s="60"/>
      <c r="G510" s="60">
        <v>0.5</v>
      </c>
      <c r="H510" s="60"/>
      <c r="I510" s="60"/>
      <c r="J510" s="60"/>
      <c r="K510" s="60"/>
      <c r="L510" s="60"/>
    </row>
    <row r="511" spans="1:12" x14ac:dyDescent="0.25">
      <c r="A511" s="56"/>
      <c r="B511" s="23"/>
      <c r="C511" s="88"/>
      <c r="D511" s="23" t="s">
        <v>202</v>
      </c>
      <c r="E511" s="56"/>
      <c r="F511" s="118"/>
      <c r="G511" s="118"/>
      <c r="H511" s="118"/>
      <c r="I511" s="118"/>
      <c r="J511" s="118"/>
      <c r="K511" s="118"/>
      <c r="L511" s="118"/>
    </row>
    <row r="512" spans="1:12" x14ac:dyDescent="0.25">
      <c r="A512" s="168"/>
      <c r="B512" s="144" t="str">
        <f>'Nhân công'!B6</f>
        <v>N0006</v>
      </c>
      <c r="C512" s="34">
        <v>545</v>
      </c>
      <c r="D512" s="144" t="s">
        <v>256</v>
      </c>
      <c r="E512" s="168" t="str">
        <f>'Nhân công'!G6</f>
        <v>công</v>
      </c>
      <c r="F512" s="60"/>
      <c r="G512" s="60"/>
      <c r="H512" s="60">
        <v>3.75</v>
      </c>
      <c r="I512" s="60"/>
      <c r="J512" s="60"/>
      <c r="K512" s="60">
        <f>ROUND(F504*H512,4)</f>
        <v>267.78750000000002</v>
      </c>
      <c r="L512" s="60"/>
    </row>
    <row r="513" spans="1:12" x14ac:dyDescent="0.25">
      <c r="A513" s="56"/>
      <c r="B513" s="23"/>
      <c r="C513" s="88"/>
      <c r="D513" s="23" t="s">
        <v>378</v>
      </c>
      <c r="E513" s="56"/>
      <c r="F513" s="118"/>
      <c r="G513" s="118"/>
      <c r="H513" s="118"/>
      <c r="I513" s="118"/>
      <c r="J513" s="118"/>
      <c r="K513" s="118"/>
      <c r="L513" s="118"/>
    </row>
    <row r="514" spans="1:12" x14ac:dyDescent="0.25">
      <c r="A514" s="168"/>
      <c r="B514" s="144" t="str">
        <f>'Máy thi công'!B232</f>
        <v>M9571</v>
      </c>
      <c r="C514" s="34">
        <v>750</v>
      </c>
      <c r="D514" s="144" t="str">
        <f>" - " &amp; 'Máy thi công'!D232</f>
        <v xml:space="preserve"> - Máy đầm bê tông, dầm dùi - công suất: 1,5 kW</v>
      </c>
      <c r="E514" s="168" t="str">
        <f>'Máy thi công'!E232</f>
        <v>ca</v>
      </c>
      <c r="F514" s="60"/>
      <c r="G514" s="60"/>
      <c r="H514" s="60"/>
      <c r="I514" s="60">
        <v>0.12</v>
      </c>
      <c r="J514" s="60"/>
      <c r="K514" s="60"/>
      <c r="L514" s="60">
        <f>ROUND(F504*I514,4)</f>
        <v>8.5692000000000004</v>
      </c>
    </row>
    <row r="515" spans="1:12" x14ac:dyDescent="0.25">
      <c r="A515" s="168"/>
      <c r="B515" s="144" t="str">
        <f>'Máy thi công'!B306</f>
        <v>M9555</v>
      </c>
      <c r="C515" s="34">
        <v>744</v>
      </c>
      <c r="D515" s="144" t="str">
        <f>" - " &amp; 'Máy thi công'!D306</f>
        <v xml:space="preserve"> - Máy trộn bê tông - dung tích: 250 lít</v>
      </c>
      <c r="E515" s="168" t="str">
        <f>'Máy thi công'!E306</f>
        <v>ca</v>
      </c>
      <c r="F515" s="60"/>
      <c r="G515" s="60"/>
      <c r="H515" s="60"/>
      <c r="I515" s="60">
        <v>9.5000000000000001E-2</v>
      </c>
      <c r="J515" s="60"/>
      <c r="K515" s="60"/>
      <c r="L515" s="60">
        <f>ROUND(F504*I515,4)</f>
        <v>6.7839999999999998</v>
      </c>
    </row>
    <row r="516" spans="1:12" x14ac:dyDescent="0.25">
      <c r="A516" s="168"/>
      <c r="B516" s="144" t="str">
        <f>'Máy thi công'!B398</f>
        <v>M0111</v>
      </c>
      <c r="C516" s="34">
        <v>573</v>
      </c>
      <c r="D516" s="144" t="str">
        <f>" - " &amp; 'Máy thi công'!D398</f>
        <v xml:space="preserve"> - Máy khác</v>
      </c>
      <c r="E516" s="168" t="str">
        <f>'Máy thi công'!E398</f>
        <v>%</v>
      </c>
      <c r="F516" s="60"/>
      <c r="G516" s="60"/>
      <c r="H516" s="60"/>
      <c r="I516" s="60">
        <v>10</v>
      </c>
      <c r="J516" s="60"/>
      <c r="K516" s="60"/>
      <c r="L516" s="60"/>
    </row>
    <row r="517" spans="1:12" ht="28.5" x14ac:dyDescent="0.25">
      <c r="A517" s="65">
        <f>'Công trình'!A69</f>
        <v>52</v>
      </c>
      <c r="B517" s="14" t="str">
        <f>'Công trình'!B69</f>
        <v>AG.13111</v>
      </c>
      <c r="C517" s="94"/>
      <c r="D517" s="14" t="str">
        <f>'Công trình'!C69</f>
        <v>Sản xuất, lắp dựng cốt thép BT đúc sẵn cọc, đường kính &lt;=10mm</v>
      </c>
      <c r="E517" s="46" t="str">
        <f>'Công trình'!D69</f>
        <v>tấn</v>
      </c>
      <c r="F517" s="106">
        <f>'Công trình'!K69</f>
        <v>2.3037000000000001</v>
      </c>
      <c r="G517" s="126"/>
      <c r="H517" s="126"/>
      <c r="I517" s="126"/>
      <c r="J517" s="126"/>
      <c r="K517" s="126"/>
      <c r="L517" s="126"/>
    </row>
    <row r="518" spans="1:12" x14ac:dyDescent="0.25">
      <c r="A518" s="56"/>
      <c r="B518" s="23"/>
      <c r="C518" s="88"/>
      <c r="D518" s="23" t="s">
        <v>479</v>
      </c>
      <c r="E518" s="56"/>
      <c r="F518" s="118"/>
      <c r="G518" s="118"/>
      <c r="H518" s="118"/>
      <c r="I518" s="118"/>
      <c r="J518" s="118"/>
      <c r="K518" s="118"/>
      <c r="L518" s="118"/>
    </row>
    <row r="519" spans="1:12" x14ac:dyDescent="0.25">
      <c r="A519" s="168"/>
      <c r="B519" s="144" t="str">
        <f>'Vật liệu'!B221</f>
        <v>V00226</v>
      </c>
      <c r="C519" s="34">
        <v>135</v>
      </c>
      <c r="D519" s="144" t="str">
        <f>" - " &amp; 'Vật liệu'!D221</f>
        <v xml:space="preserve"> - Dây thép</v>
      </c>
      <c r="E519" s="168" t="str">
        <f>'Vật liệu'!E221</f>
        <v>kg</v>
      </c>
      <c r="F519" s="60"/>
      <c r="G519" s="60">
        <v>21.42</v>
      </c>
      <c r="H519" s="60"/>
      <c r="I519" s="60"/>
      <c r="J519" s="60">
        <f>ROUND(F517*G519,4)</f>
        <v>49.345300000000002</v>
      </c>
      <c r="K519" s="60"/>
      <c r="L519" s="60"/>
    </row>
    <row r="520" spans="1:12" x14ac:dyDescent="0.25">
      <c r="A520" s="168"/>
      <c r="B520" s="144" t="str">
        <f>'Vật liệu'!B650</f>
        <v>V48494</v>
      </c>
      <c r="C520" s="34">
        <v>484</v>
      </c>
      <c r="D520" s="144" t="str">
        <f>" - " &amp; 'Vật liệu'!D650</f>
        <v xml:space="preserve"> - Thép tròn đường kính &lt;=10 mm</v>
      </c>
      <c r="E520" s="168" t="str">
        <f>'Vật liệu'!E650</f>
        <v>kg</v>
      </c>
      <c r="F520" s="60"/>
      <c r="G520" s="60">
        <v>1005</v>
      </c>
      <c r="H520" s="60"/>
      <c r="I520" s="60"/>
      <c r="J520" s="60">
        <f>ROUND(F517*G520,4)</f>
        <v>2315.2184999999999</v>
      </c>
      <c r="K520" s="60"/>
      <c r="L520" s="60"/>
    </row>
    <row r="521" spans="1:12" x14ac:dyDescent="0.25">
      <c r="A521" s="56"/>
      <c r="B521" s="23"/>
      <c r="C521" s="88"/>
      <c r="D521" s="23" t="s">
        <v>202</v>
      </c>
      <c r="E521" s="56"/>
      <c r="F521" s="118"/>
      <c r="G521" s="118"/>
      <c r="H521" s="118"/>
      <c r="I521" s="118"/>
      <c r="J521" s="118"/>
      <c r="K521" s="118"/>
      <c r="L521" s="118"/>
    </row>
    <row r="522" spans="1:12" x14ac:dyDescent="0.25">
      <c r="A522" s="168"/>
      <c r="B522" s="144" t="str">
        <f>'Nhân công'!B45</f>
        <v>N0009</v>
      </c>
      <c r="C522" s="34">
        <v>546</v>
      </c>
      <c r="D522" s="144" t="s">
        <v>1052</v>
      </c>
      <c r="E522" s="168" t="str">
        <f>'Nhân công'!G45</f>
        <v>công</v>
      </c>
      <c r="F522" s="60"/>
      <c r="G522" s="60"/>
      <c r="H522" s="60">
        <v>14.25</v>
      </c>
      <c r="I522" s="60"/>
      <c r="J522" s="60"/>
      <c r="K522" s="60">
        <f>ROUND(F517*H522,4)</f>
        <v>32.8277</v>
      </c>
      <c r="L522" s="60"/>
    </row>
    <row r="523" spans="1:12" x14ac:dyDescent="0.25">
      <c r="A523" s="56"/>
      <c r="B523" s="23"/>
      <c r="C523" s="88"/>
      <c r="D523" s="23" t="s">
        <v>378</v>
      </c>
      <c r="E523" s="56"/>
      <c r="F523" s="118"/>
      <c r="G523" s="118"/>
      <c r="H523" s="118"/>
      <c r="I523" s="118"/>
      <c r="J523" s="118"/>
      <c r="K523" s="118"/>
      <c r="L523" s="118"/>
    </row>
    <row r="524" spans="1:12" x14ac:dyDescent="0.25">
      <c r="A524" s="168"/>
      <c r="B524" s="144" t="str">
        <f>'Máy thi công'!B184</f>
        <v>M9521</v>
      </c>
      <c r="C524" s="34">
        <v>737</v>
      </c>
      <c r="D524" s="144" t="str">
        <f>" - " &amp; 'Máy thi công'!D184</f>
        <v xml:space="preserve"> - Máy cắt uốn cốt thép - công suất: 5 kW</v>
      </c>
      <c r="E524" s="168" t="str">
        <f>'Máy thi công'!E184</f>
        <v>ca</v>
      </c>
      <c r="F524" s="60"/>
      <c r="G524" s="60"/>
      <c r="H524" s="60"/>
      <c r="I524" s="60">
        <v>0.4</v>
      </c>
      <c r="J524" s="60"/>
      <c r="K524" s="60"/>
      <c r="L524" s="60">
        <f>ROUND(F517*I524,4)</f>
        <v>0.92149999999999999</v>
      </c>
    </row>
    <row r="525" spans="1:12" ht="28.5" x14ac:dyDescent="0.25">
      <c r="A525" s="65">
        <f>'Công trình'!A70</f>
        <v>53</v>
      </c>
      <c r="B525" s="14" t="str">
        <f>'Công trình'!B70</f>
        <v>AG.13121</v>
      </c>
      <c r="C525" s="94"/>
      <c r="D525" s="14" t="str">
        <f>'Công trình'!C70</f>
        <v>Sản xuất, lắp dựng cốt thép BT đúc sẵn cọc, đường kính &lt;=18mm</v>
      </c>
      <c r="E525" s="46" t="str">
        <f>'Công trình'!D70</f>
        <v>tấn</v>
      </c>
      <c r="F525" s="106">
        <f>'Công trình'!K70</f>
        <v>0.42020000000000002</v>
      </c>
      <c r="G525" s="126"/>
      <c r="H525" s="126"/>
      <c r="I525" s="126"/>
      <c r="J525" s="126"/>
      <c r="K525" s="126"/>
      <c r="L525" s="126"/>
    </row>
    <row r="526" spans="1:12" x14ac:dyDescent="0.25">
      <c r="A526" s="56"/>
      <c r="B526" s="23"/>
      <c r="C526" s="88"/>
      <c r="D526" s="23" t="s">
        <v>479</v>
      </c>
      <c r="E526" s="56"/>
      <c r="F526" s="118"/>
      <c r="G526" s="118"/>
      <c r="H526" s="118"/>
      <c r="I526" s="118"/>
      <c r="J526" s="118"/>
      <c r="K526" s="118"/>
      <c r="L526" s="118"/>
    </row>
    <row r="527" spans="1:12" x14ac:dyDescent="0.25">
      <c r="A527" s="168"/>
      <c r="B527" s="144" t="str">
        <f>'Vật liệu'!B450</f>
        <v>V00515</v>
      </c>
      <c r="C527" s="34">
        <v>154</v>
      </c>
      <c r="D527" s="144" t="str">
        <f>" - " &amp; 'Vật liệu'!D450</f>
        <v xml:space="preserve"> - Que hàn</v>
      </c>
      <c r="E527" s="168" t="str">
        <f>'Vật liệu'!E450</f>
        <v>kg</v>
      </c>
      <c r="F527" s="60"/>
      <c r="G527" s="60">
        <v>4.7</v>
      </c>
      <c r="H527" s="60"/>
      <c r="I527" s="60"/>
      <c r="J527" s="60">
        <f>ROUND(F525*G527,4)</f>
        <v>1.9749000000000001</v>
      </c>
      <c r="K527" s="60"/>
      <c r="L527" s="60"/>
    </row>
    <row r="528" spans="1:12" x14ac:dyDescent="0.25">
      <c r="A528" s="168"/>
      <c r="B528" s="144" t="str">
        <f>'Vật liệu'!B221</f>
        <v>V00226</v>
      </c>
      <c r="C528" s="34">
        <v>135</v>
      </c>
      <c r="D528" s="144" t="str">
        <f>" - " &amp; 'Vật liệu'!D221</f>
        <v xml:space="preserve"> - Dây thép</v>
      </c>
      <c r="E528" s="168" t="str">
        <f>'Vật liệu'!E221</f>
        <v>kg</v>
      </c>
      <c r="F528" s="60"/>
      <c r="G528" s="60">
        <v>14.28</v>
      </c>
      <c r="H528" s="60"/>
      <c r="I528" s="60"/>
      <c r="J528" s="60">
        <f>ROUND(F525*G528,4)</f>
        <v>6.0004999999999997</v>
      </c>
      <c r="K528" s="60"/>
      <c r="L528" s="60"/>
    </row>
    <row r="529" spans="1:12" x14ac:dyDescent="0.25">
      <c r="A529" s="168"/>
      <c r="B529" s="144" t="str">
        <f>'Vật liệu'!B665</f>
        <v>V48495</v>
      </c>
      <c r="C529" s="34">
        <v>485</v>
      </c>
      <c r="D529" s="144" t="str">
        <f>" - " &amp; 'Vật liệu'!D665</f>
        <v xml:space="preserve"> - Thép tròn đường kính &lt;=18mm</v>
      </c>
      <c r="E529" s="168" t="str">
        <f>'Vật liệu'!E665</f>
        <v>kg</v>
      </c>
      <c r="F529" s="60"/>
      <c r="G529" s="60">
        <v>1020</v>
      </c>
      <c r="H529" s="60"/>
      <c r="I529" s="60"/>
      <c r="J529" s="60">
        <f>ROUND(F525*G529,4)</f>
        <v>428.60399999999998</v>
      </c>
      <c r="K529" s="60"/>
      <c r="L529" s="60"/>
    </row>
    <row r="530" spans="1:12" x14ac:dyDescent="0.25">
      <c r="A530" s="56"/>
      <c r="B530" s="23"/>
      <c r="C530" s="88"/>
      <c r="D530" s="23" t="s">
        <v>202</v>
      </c>
      <c r="E530" s="56"/>
      <c r="F530" s="118"/>
      <c r="G530" s="118"/>
      <c r="H530" s="118"/>
      <c r="I530" s="118"/>
      <c r="J530" s="118"/>
      <c r="K530" s="118"/>
      <c r="L530" s="118"/>
    </row>
    <row r="531" spans="1:12" x14ac:dyDescent="0.25">
      <c r="A531" s="168"/>
      <c r="B531" s="144" t="str">
        <f>'Nhân công'!B45</f>
        <v>N0009</v>
      </c>
      <c r="C531" s="34">
        <v>546</v>
      </c>
      <c r="D531" s="144" t="s">
        <v>1052</v>
      </c>
      <c r="E531" s="168" t="str">
        <f>'Nhân công'!G45</f>
        <v>công</v>
      </c>
      <c r="F531" s="60"/>
      <c r="G531" s="60"/>
      <c r="H531" s="60">
        <v>7.82</v>
      </c>
      <c r="I531" s="60"/>
      <c r="J531" s="60"/>
      <c r="K531" s="60">
        <f>ROUND(F525*H531,4)</f>
        <v>3.286</v>
      </c>
      <c r="L531" s="60"/>
    </row>
    <row r="532" spans="1:12" x14ac:dyDescent="0.25">
      <c r="A532" s="56"/>
      <c r="B532" s="23"/>
      <c r="C532" s="88"/>
      <c r="D532" s="23" t="s">
        <v>378</v>
      </c>
      <c r="E532" s="56"/>
      <c r="F532" s="118"/>
      <c r="G532" s="118"/>
      <c r="H532" s="118"/>
      <c r="I532" s="118"/>
      <c r="J532" s="118"/>
      <c r="K532" s="118"/>
      <c r="L532" s="118"/>
    </row>
    <row r="533" spans="1:12" x14ac:dyDescent="0.25">
      <c r="A533" s="168"/>
      <c r="B533" s="144" t="str">
        <f>'Máy thi công'!B184</f>
        <v>M9521</v>
      </c>
      <c r="C533" s="34">
        <v>737</v>
      </c>
      <c r="D533" s="144" t="str">
        <f>" - " &amp; 'Máy thi công'!D184</f>
        <v xml:space="preserve"> - Máy cắt uốn cốt thép - công suất: 5 kW</v>
      </c>
      <c r="E533" s="168" t="str">
        <f>'Máy thi công'!E184</f>
        <v>ca</v>
      </c>
      <c r="F533" s="60"/>
      <c r="G533" s="60"/>
      <c r="H533" s="60"/>
      <c r="I533" s="60">
        <v>0.32</v>
      </c>
      <c r="J533" s="60"/>
      <c r="K533" s="60"/>
      <c r="L533" s="60">
        <f>ROUND(F525*I533,4)</f>
        <v>0.13450000000000001</v>
      </c>
    </row>
    <row r="534" spans="1:12" x14ac:dyDescent="0.25">
      <c r="A534" s="168"/>
      <c r="B534" s="144" t="str">
        <f>'Máy thi công'!B6</f>
        <v>M9438</v>
      </c>
      <c r="C534" s="34">
        <v>714</v>
      </c>
      <c r="D534" s="144" t="str">
        <f>" - " &amp; 'Máy thi công'!D6</f>
        <v xml:space="preserve"> - Biến thế hàn xoay chiều - công suất: 23 kW</v>
      </c>
      <c r="E534" s="168" t="str">
        <f>'Máy thi công'!E6</f>
        <v>ca</v>
      </c>
      <c r="F534" s="60"/>
      <c r="G534" s="60"/>
      <c r="H534" s="60"/>
      <c r="I534" s="60">
        <v>1.133</v>
      </c>
      <c r="J534" s="60"/>
      <c r="K534" s="60"/>
      <c r="L534" s="60">
        <f>ROUND(F525*I534,4)</f>
        <v>0.47610000000000002</v>
      </c>
    </row>
    <row r="535" spans="1:12" ht="28.5" x14ac:dyDescent="0.25">
      <c r="A535" s="65">
        <f>'Công trình'!A71</f>
        <v>54</v>
      </c>
      <c r="B535" s="14" t="str">
        <f>'Công trình'!B71</f>
        <v>AG.13131</v>
      </c>
      <c r="C535" s="94"/>
      <c r="D535" s="14" t="str">
        <f>'Công trình'!C71</f>
        <v>Sản xuất, lắp dựng cốt thép BT đúc sẵn cọc, đường kính &gt;18mm</v>
      </c>
      <c r="E535" s="46" t="str">
        <f>'Công trình'!D71</f>
        <v>tấn</v>
      </c>
      <c r="F535" s="106">
        <f>'Công trình'!K71</f>
        <v>12.5581</v>
      </c>
      <c r="G535" s="126"/>
      <c r="H535" s="126"/>
      <c r="I535" s="126"/>
      <c r="J535" s="126"/>
      <c r="K535" s="126"/>
      <c r="L535" s="126"/>
    </row>
    <row r="536" spans="1:12" x14ac:dyDescent="0.25">
      <c r="A536" s="56"/>
      <c r="B536" s="23"/>
      <c r="C536" s="88"/>
      <c r="D536" s="23" t="s">
        <v>479</v>
      </c>
      <c r="E536" s="56"/>
      <c r="F536" s="118"/>
      <c r="G536" s="118"/>
      <c r="H536" s="118"/>
      <c r="I536" s="118"/>
      <c r="J536" s="118"/>
      <c r="K536" s="118"/>
      <c r="L536" s="118"/>
    </row>
    <row r="537" spans="1:12" x14ac:dyDescent="0.25">
      <c r="A537" s="168"/>
      <c r="B537" s="144" t="str">
        <f>'Vật liệu'!B450</f>
        <v>V00515</v>
      </c>
      <c r="C537" s="34">
        <v>154</v>
      </c>
      <c r="D537" s="144" t="str">
        <f>" - " &amp; 'Vật liệu'!D450</f>
        <v xml:space="preserve"> - Que hàn</v>
      </c>
      <c r="E537" s="168" t="str">
        <f>'Vật liệu'!E450</f>
        <v>kg</v>
      </c>
      <c r="F537" s="60"/>
      <c r="G537" s="60">
        <v>4.7</v>
      </c>
      <c r="H537" s="60"/>
      <c r="I537" s="60"/>
      <c r="J537" s="60">
        <f>ROUND(F535*G537,4)</f>
        <v>59.023099999999999</v>
      </c>
      <c r="K537" s="60"/>
      <c r="L537" s="60"/>
    </row>
    <row r="538" spans="1:12" x14ac:dyDescent="0.25">
      <c r="A538" s="168"/>
      <c r="B538" s="144" t="str">
        <f>'Vật liệu'!B221</f>
        <v>V00226</v>
      </c>
      <c r="C538" s="34">
        <v>135</v>
      </c>
      <c r="D538" s="144" t="str">
        <f>" - " &amp; 'Vật liệu'!D221</f>
        <v xml:space="preserve"> - Dây thép</v>
      </c>
      <c r="E538" s="168" t="str">
        <f>'Vật liệu'!E221</f>
        <v>kg</v>
      </c>
      <c r="F538" s="60"/>
      <c r="G538" s="60">
        <v>14.28</v>
      </c>
      <c r="H538" s="60"/>
      <c r="I538" s="60"/>
      <c r="J538" s="60">
        <f>ROUND(F535*G538,4)</f>
        <v>179.3297</v>
      </c>
      <c r="K538" s="60"/>
      <c r="L538" s="60"/>
    </row>
    <row r="539" spans="1:12" x14ac:dyDescent="0.25">
      <c r="A539" s="168"/>
      <c r="B539" s="144" t="str">
        <f>'Vật liệu'!B689</f>
        <v>V48498</v>
      </c>
      <c r="C539" s="34">
        <v>488</v>
      </c>
      <c r="D539" s="144" t="str">
        <f>" - " &amp; 'Vật liệu'!D689</f>
        <v xml:space="preserve"> - Thép tròn đường kính &gt;18mm</v>
      </c>
      <c r="E539" s="168" t="str">
        <f>'Vật liệu'!E689</f>
        <v>kg</v>
      </c>
      <c r="F539" s="60"/>
      <c r="G539" s="60">
        <v>1020</v>
      </c>
      <c r="H539" s="60"/>
      <c r="I539" s="60"/>
      <c r="J539" s="60">
        <f>ROUND(F535*G539,4)</f>
        <v>12809.262000000001</v>
      </c>
      <c r="K539" s="60"/>
      <c r="L539" s="60"/>
    </row>
    <row r="540" spans="1:12" x14ac:dyDescent="0.25">
      <c r="A540" s="56"/>
      <c r="B540" s="23"/>
      <c r="C540" s="88"/>
      <c r="D540" s="23" t="s">
        <v>202</v>
      </c>
      <c r="E540" s="56"/>
      <c r="F540" s="118"/>
      <c r="G540" s="118"/>
      <c r="H540" s="118"/>
      <c r="I540" s="118"/>
      <c r="J540" s="118"/>
      <c r="K540" s="118"/>
      <c r="L540" s="118"/>
    </row>
    <row r="541" spans="1:12" x14ac:dyDescent="0.25">
      <c r="A541" s="168"/>
      <c r="B541" s="144" t="str">
        <f>'Nhân công'!B45</f>
        <v>N0009</v>
      </c>
      <c r="C541" s="34">
        <v>546</v>
      </c>
      <c r="D541" s="144" t="s">
        <v>1052</v>
      </c>
      <c r="E541" s="168" t="str">
        <f>'Nhân công'!G45</f>
        <v>công</v>
      </c>
      <c r="F541" s="60"/>
      <c r="G541" s="60"/>
      <c r="H541" s="60">
        <v>7.49</v>
      </c>
      <c r="I541" s="60"/>
      <c r="J541" s="60"/>
      <c r="K541" s="60">
        <f>ROUND(F535*H541,4)</f>
        <v>94.060199999999995</v>
      </c>
      <c r="L541" s="60"/>
    </row>
    <row r="542" spans="1:12" x14ac:dyDescent="0.25">
      <c r="A542" s="56"/>
      <c r="B542" s="23"/>
      <c r="C542" s="88"/>
      <c r="D542" s="23" t="s">
        <v>378</v>
      </c>
      <c r="E542" s="56"/>
      <c r="F542" s="118"/>
      <c r="G542" s="118"/>
      <c r="H542" s="118"/>
      <c r="I542" s="118"/>
      <c r="J542" s="118"/>
      <c r="K542" s="118"/>
      <c r="L542" s="118"/>
    </row>
    <row r="543" spans="1:12" x14ac:dyDescent="0.25">
      <c r="A543" s="168"/>
      <c r="B543" s="144" t="str">
        <f>'Máy thi công'!B184</f>
        <v>M9521</v>
      </c>
      <c r="C543" s="34">
        <v>737</v>
      </c>
      <c r="D543" s="144" t="str">
        <f>" - " &amp; 'Máy thi công'!D184</f>
        <v xml:space="preserve"> - Máy cắt uốn cốt thép - công suất: 5 kW</v>
      </c>
      <c r="E543" s="168" t="str">
        <f>'Máy thi công'!E184</f>
        <v>ca</v>
      </c>
      <c r="F543" s="60"/>
      <c r="G543" s="60"/>
      <c r="H543" s="60"/>
      <c r="I543" s="60">
        <v>0.16</v>
      </c>
      <c r="J543" s="60"/>
      <c r="K543" s="60"/>
      <c r="L543" s="60">
        <f>ROUND(F535*I543,4)</f>
        <v>2.0093000000000001</v>
      </c>
    </row>
    <row r="544" spans="1:12" x14ac:dyDescent="0.25">
      <c r="A544" s="168"/>
      <c r="B544" s="144" t="str">
        <f>'Máy thi công'!B6</f>
        <v>M9438</v>
      </c>
      <c r="C544" s="34">
        <v>714</v>
      </c>
      <c r="D544" s="144" t="str">
        <f>" - " &amp; 'Máy thi công'!D6</f>
        <v xml:space="preserve"> - Biến thế hàn xoay chiều - công suất: 23 kW</v>
      </c>
      <c r="E544" s="168" t="str">
        <f>'Máy thi công'!E6</f>
        <v>ca</v>
      </c>
      <c r="F544" s="60"/>
      <c r="G544" s="60"/>
      <c r="H544" s="60"/>
      <c r="I544" s="60">
        <v>1.093</v>
      </c>
      <c r="J544" s="60"/>
      <c r="K544" s="60"/>
      <c r="L544" s="60">
        <f>ROUND(F535*I544,4)</f>
        <v>13.726000000000001</v>
      </c>
    </row>
    <row r="545" spans="1:12" ht="28.5" x14ac:dyDescent="0.25">
      <c r="A545" s="65">
        <f>'Công trình'!A72</f>
        <v>55</v>
      </c>
      <c r="B545" s="14" t="str">
        <f>'Công trình'!B72</f>
        <v>AI.13111</v>
      </c>
      <c r="C545" s="94"/>
      <c r="D545" s="14" t="str">
        <f>'Công trình'!C72</f>
        <v>Sản xuất cấu kiện thép đặt sẵn trong bê tông, khối lượng &lt;=10kg/cấu kiện</v>
      </c>
      <c r="E545" s="46" t="str">
        <f>'Công trình'!D72</f>
        <v>tấn</v>
      </c>
      <c r="F545" s="106">
        <f>'Công trình'!K72</f>
        <v>1.0848</v>
      </c>
      <c r="G545" s="126"/>
      <c r="H545" s="126"/>
      <c r="I545" s="126"/>
      <c r="J545" s="126"/>
      <c r="K545" s="126"/>
      <c r="L545" s="126"/>
    </row>
    <row r="546" spans="1:12" x14ac:dyDescent="0.25">
      <c r="A546" s="56"/>
      <c r="B546" s="23"/>
      <c r="C546" s="88"/>
      <c r="D546" s="23" t="s">
        <v>479</v>
      </c>
      <c r="E546" s="56"/>
      <c r="F546" s="118"/>
      <c r="G546" s="118"/>
      <c r="H546" s="118"/>
      <c r="I546" s="118"/>
      <c r="J546" s="118"/>
      <c r="K546" s="118"/>
      <c r="L546" s="118"/>
    </row>
    <row r="547" spans="1:12" x14ac:dyDescent="0.25">
      <c r="A547" s="168"/>
      <c r="B547" s="144" t="str">
        <f>'Vật liệu'!B186</f>
        <v>V00824</v>
      </c>
      <c r="C547" s="34">
        <v>407</v>
      </c>
      <c r="D547" s="144" t="str">
        <f>" - " &amp; 'Vật liệu'!D186</f>
        <v xml:space="preserve"> - Đá mài</v>
      </c>
      <c r="E547" s="168" t="str">
        <f>'Vật liệu'!E186</f>
        <v>viên</v>
      </c>
      <c r="F547" s="60"/>
      <c r="G547" s="60">
        <v>0.7</v>
      </c>
      <c r="H547" s="60"/>
      <c r="I547" s="60"/>
      <c r="J547" s="60">
        <f>ROUND(F545*G547,4)</f>
        <v>0.75939999999999996</v>
      </c>
      <c r="K547" s="60"/>
      <c r="L547" s="60"/>
    </row>
    <row r="548" spans="1:12" x14ac:dyDescent="0.25">
      <c r="A548" s="168"/>
      <c r="B548" s="144" t="str">
        <f>'Vật liệu'!B450</f>
        <v>V00515</v>
      </c>
      <c r="C548" s="34">
        <v>154</v>
      </c>
      <c r="D548" s="144" t="str">
        <f>" - " &amp; 'Vật liệu'!D450</f>
        <v xml:space="preserve"> - Que hàn</v>
      </c>
      <c r="E548" s="168" t="str">
        <f>'Vật liệu'!E450</f>
        <v>kg</v>
      </c>
      <c r="F548" s="60"/>
      <c r="G548" s="60">
        <v>19.38</v>
      </c>
      <c r="H548" s="60"/>
      <c r="I548" s="60"/>
      <c r="J548" s="60">
        <f>ROUND(F545*G548,4)</f>
        <v>21.023399999999999</v>
      </c>
      <c r="K548" s="60"/>
      <c r="L548" s="60"/>
    </row>
    <row r="549" spans="1:12" x14ac:dyDescent="0.25">
      <c r="A549" s="168"/>
      <c r="B549" s="144" t="str">
        <f>'Vật liệu'!B200</f>
        <v>V00833</v>
      </c>
      <c r="C549" s="34">
        <v>411</v>
      </c>
      <c r="D549" s="144" t="str">
        <f>" - " &amp; 'Vật liệu'!D200</f>
        <v xml:space="preserve"> - Đất đèn</v>
      </c>
      <c r="E549" s="168" t="str">
        <f>'Vật liệu'!E200</f>
        <v>kg</v>
      </c>
      <c r="F549" s="60"/>
      <c r="G549" s="60">
        <v>14.8</v>
      </c>
      <c r="H549" s="60"/>
      <c r="I549" s="60"/>
      <c r="J549" s="60">
        <f>ROUND(F545*G549,4)</f>
        <v>16.055</v>
      </c>
      <c r="K549" s="60"/>
      <c r="L549" s="60"/>
    </row>
    <row r="550" spans="1:12" x14ac:dyDescent="0.25">
      <c r="A550" s="168"/>
      <c r="B550" s="144" t="str">
        <f>'Vật liệu'!B606</f>
        <v>V00671</v>
      </c>
      <c r="C550" s="34">
        <v>166</v>
      </c>
      <c r="D550" s="144" t="str">
        <f>" - " &amp; 'Vật liệu'!D606</f>
        <v xml:space="preserve"> - Thép tấm</v>
      </c>
      <c r="E550" s="168" t="str">
        <f>'Vật liệu'!E606</f>
        <v>kg</v>
      </c>
      <c r="F550" s="60"/>
      <c r="G550" s="60">
        <v>825</v>
      </c>
      <c r="H550" s="60"/>
      <c r="I550" s="60"/>
      <c r="J550" s="60">
        <f>ROUND(F545*G550,4)</f>
        <v>894.96</v>
      </c>
      <c r="K550" s="60"/>
      <c r="L550" s="60"/>
    </row>
    <row r="551" spans="1:12" x14ac:dyDescent="0.25">
      <c r="A551" s="168"/>
      <c r="B551" s="144" t="str">
        <f>'Vật liệu'!B684</f>
        <v>V48497</v>
      </c>
      <c r="C551" s="34">
        <v>487</v>
      </c>
      <c r="D551" s="144" t="str">
        <f>" - " &amp; 'Vật liệu'!D684</f>
        <v xml:space="preserve"> - Thép tròn đường kính &gt;14</v>
      </c>
      <c r="E551" s="168" t="str">
        <f>'Vật liệu'!E684</f>
        <v>kg</v>
      </c>
      <c r="F551" s="60"/>
      <c r="G551" s="60">
        <v>275.5</v>
      </c>
      <c r="H551" s="60"/>
      <c r="I551" s="60"/>
      <c r="J551" s="60">
        <f>ROUND(F545*G551,4)</f>
        <v>298.86239999999998</v>
      </c>
      <c r="K551" s="60"/>
      <c r="L551" s="60"/>
    </row>
    <row r="552" spans="1:12" x14ac:dyDescent="0.25">
      <c r="A552" s="168"/>
      <c r="B552" s="144" t="str">
        <f>'Vật liệu'!B401</f>
        <v>V00770</v>
      </c>
      <c r="C552" s="34">
        <v>400</v>
      </c>
      <c r="D552" s="144" t="str">
        <f>" - " &amp; 'Vật liệu'!D401</f>
        <v xml:space="preserve"> - Ô xy</v>
      </c>
      <c r="E552" s="168" t="str">
        <f>'Vật liệu'!E401</f>
        <v>Chai</v>
      </c>
      <c r="F552" s="60"/>
      <c r="G552" s="60">
        <v>3.3</v>
      </c>
      <c r="H552" s="60"/>
      <c r="I552" s="60"/>
      <c r="J552" s="60">
        <f>ROUND(F545*G552,4)</f>
        <v>3.5798000000000001</v>
      </c>
      <c r="K552" s="60"/>
      <c r="L552" s="60"/>
    </row>
    <row r="553" spans="1:12" x14ac:dyDescent="0.25">
      <c r="A553" s="168"/>
      <c r="B553" s="144" t="str">
        <f>'Vật liệu'!B766</f>
        <v>V00750</v>
      </c>
      <c r="C553" s="34">
        <v>211</v>
      </c>
      <c r="D553" s="144" t="str">
        <f>" - " &amp; 'Vật liệu'!D766</f>
        <v xml:space="preserve"> - Vật liệu khác</v>
      </c>
      <c r="E553" s="168" t="str">
        <f>'Vật liệu'!E766</f>
        <v>%</v>
      </c>
      <c r="F553" s="60"/>
      <c r="G553" s="60">
        <v>2.5</v>
      </c>
      <c r="H553" s="60"/>
      <c r="I553" s="60"/>
      <c r="J553" s="60"/>
      <c r="K553" s="60"/>
      <c r="L553" s="60"/>
    </row>
    <row r="554" spans="1:12" x14ac:dyDescent="0.25">
      <c r="A554" s="56"/>
      <c r="B554" s="23"/>
      <c r="C554" s="88"/>
      <c r="D554" s="23" t="s">
        <v>202</v>
      </c>
      <c r="E554" s="56"/>
      <c r="F554" s="118"/>
      <c r="G554" s="118"/>
      <c r="H554" s="118"/>
      <c r="I554" s="118"/>
      <c r="J554" s="118"/>
      <c r="K554" s="118"/>
      <c r="L554" s="118"/>
    </row>
    <row r="555" spans="1:12" x14ac:dyDescent="0.25">
      <c r="A555" s="168"/>
      <c r="B555" s="144" t="str">
        <f>'Nhân công'!B221</f>
        <v>N0013</v>
      </c>
      <c r="C555" s="34">
        <v>553</v>
      </c>
      <c r="D555" s="144" t="s">
        <v>275</v>
      </c>
      <c r="E555" s="168" t="str">
        <f>'Nhân công'!G221</f>
        <v>công</v>
      </c>
      <c r="F555" s="60"/>
      <c r="G555" s="60"/>
      <c r="H555" s="60">
        <v>34.9</v>
      </c>
      <c r="I555" s="60"/>
      <c r="J555" s="60"/>
      <c r="K555" s="60">
        <f>ROUND(F545*H555,4)</f>
        <v>37.859499999999997</v>
      </c>
      <c r="L555" s="60"/>
    </row>
    <row r="556" spans="1:12" x14ac:dyDescent="0.25">
      <c r="A556" s="56"/>
      <c r="B556" s="23"/>
      <c r="C556" s="88"/>
      <c r="D556" s="23" t="s">
        <v>378</v>
      </c>
      <c r="E556" s="56"/>
      <c r="F556" s="118"/>
      <c r="G556" s="118"/>
      <c r="H556" s="118"/>
      <c r="I556" s="118"/>
      <c r="J556" s="118"/>
      <c r="K556" s="118"/>
      <c r="L556" s="118"/>
    </row>
    <row r="557" spans="1:12" x14ac:dyDescent="0.25">
      <c r="A557" s="168"/>
      <c r="B557" s="144" t="str">
        <f>'Máy thi công'!B273</f>
        <v>M112.1501</v>
      </c>
      <c r="C557" s="34">
        <v>701</v>
      </c>
      <c r="D557" s="144" t="str">
        <f>" - " &amp; 'Máy thi công'!D273</f>
        <v xml:space="preserve"> - Máy khoan đứng - công suất: 2,5 kW</v>
      </c>
      <c r="E557" s="168" t="str">
        <f>'Máy thi công'!E273</f>
        <v>ca</v>
      </c>
      <c r="F557" s="60"/>
      <c r="G557" s="60"/>
      <c r="H557" s="60"/>
      <c r="I557" s="60">
        <v>1.55</v>
      </c>
      <c r="J557" s="60"/>
      <c r="K557" s="60"/>
      <c r="L557" s="60">
        <f>ROUND(F545*I557,4)</f>
        <v>1.6814</v>
      </c>
    </row>
    <row r="558" spans="1:12" x14ac:dyDescent="0.25">
      <c r="A558" s="168"/>
      <c r="B558" s="144" t="str">
        <f>'Máy thi công'!B6</f>
        <v>M9438</v>
      </c>
      <c r="C558" s="34">
        <v>714</v>
      </c>
      <c r="D558" s="144" t="str">
        <f>" - " &amp; 'Máy thi công'!D6</f>
        <v xml:space="preserve"> - Biến thế hàn xoay chiều - công suất: 23 kW</v>
      </c>
      <c r="E558" s="168" t="str">
        <f>'Máy thi công'!E6</f>
        <v>ca</v>
      </c>
      <c r="F558" s="60"/>
      <c r="G558" s="60"/>
      <c r="H558" s="60"/>
      <c r="I558" s="60">
        <v>3.23</v>
      </c>
      <c r="J558" s="60"/>
      <c r="K558" s="60"/>
      <c r="L558" s="60">
        <f>ROUND(F545*I558,4)</f>
        <v>3.5038999999999998</v>
      </c>
    </row>
    <row r="559" spans="1:12" x14ac:dyDescent="0.25">
      <c r="A559" s="168"/>
      <c r="B559" s="144" t="str">
        <f>'Máy thi công'!B285</f>
        <v>M112.3702</v>
      </c>
      <c r="C559" s="34">
        <v>705</v>
      </c>
      <c r="D559" s="144" t="str">
        <f>" - " &amp; 'Máy thi công'!D285</f>
        <v xml:space="preserve"> - Máy mài - công suất: 2,7 kW</v>
      </c>
      <c r="E559" s="168" t="str">
        <f>'Máy thi công'!E285</f>
        <v>ca</v>
      </c>
      <c r="F559" s="60"/>
      <c r="G559" s="60"/>
      <c r="H559" s="60"/>
      <c r="I559" s="60">
        <v>1.55</v>
      </c>
      <c r="J559" s="60"/>
      <c r="K559" s="60"/>
      <c r="L559" s="60">
        <f>ROUND(F545*I559,4)</f>
        <v>1.6814</v>
      </c>
    </row>
    <row r="560" spans="1:12" x14ac:dyDescent="0.25">
      <c r="A560" s="168"/>
      <c r="B560" s="144" t="str">
        <f>'Máy thi công'!B398</f>
        <v>M0111</v>
      </c>
      <c r="C560" s="34">
        <v>574</v>
      </c>
      <c r="D560" s="144" t="str">
        <f>" - " &amp; 'Máy thi công'!D398</f>
        <v xml:space="preserve"> - Máy khác</v>
      </c>
      <c r="E560" s="168" t="str">
        <f>'Máy thi công'!E398</f>
        <v>%</v>
      </c>
      <c r="F560" s="60"/>
      <c r="G560" s="60"/>
      <c r="H560" s="60"/>
      <c r="I560" s="60">
        <v>2</v>
      </c>
      <c r="J560" s="60"/>
      <c r="K560" s="60"/>
      <c r="L560" s="60"/>
    </row>
    <row r="561" spans="1:12" ht="28.5" x14ac:dyDescent="0.25">
      <c r="A561" s="65">
        <f>'Công trình'!A73</f>
        <v>56</v>
      </c>
      <c r="B561" s="14" t="str">
        <f>'Công trình'!B73</f>
        <v>AG.32321</v>
      </c>
      <c r="C561" s="94"/>
      <c r="D561" s="14" t="str">
        <f>'Công trình'!C73</f>
        <v>Sản xuất, lắp dựng, tháo dỡ ván khuôn thép bê tông đúc sẵn cọc</v>
      </c>
      <c r="E561" s="46" t="str">
        <f>'Công trình'!D73</f>
        <v>100m2</v>
      </c>
      <c r="F561" s="106">
        <f>'Công trình'!K73</f>
        <v>4.1440000000000001</v>
      </c>
      <c r="G561" s="126"/>
      <c r="H561" s="126"/>
      <c r="I561" s="126"/>
      <c r="J561" s="126"/>
      <c r="K561" s="126"/>
      <c r="L561" s="126"/>
    </row>
    <row r="562" spans="1:12" x14ac:dyDescent="0.25">
      <c r="A562" s="56"/>
      <c r="B562" s="23"/>
      <c r="C562" s="88"/>
      <c r="D562" s="23" t="s">
        <v>479</v>
      </c>
      <c r="E562" s="56"/>
      <c r="F562" s="118"/>
      <c r="G562" s="118"/>
      <c r="H562" s="118"/>
      <c r="I562" s="118"/>
      <c r="J562" s="118"/>
      <c r="K562" s="118"/>
      <c r="L562" s="118"/>
    </row>
    <row r="563" spans="1:12" x14ac:dyDescent="0.25">
      <c r="A563" s="168"/>
      <c r="B563" s="144" t="str">
        <f>'Vật liệu'!B450</f>
        <v>V00515</v>
      </c>
      <c r="C563" s="34">
        <v>154</v>
      </c>
      <c r="D563" s="144" t="str">
        <f>" - " &amp; 'Vật liệu'!D450</f>
        <v xml:space="preserve"> - Que hàn</v>
      </c>
      <c r="E563" s="168" t="str">
        <f>'Vật liệu'!E450</f>
        <v>kg</v>
      </c>
      <c r="F563" s="60"/>
      <c r="G563" s="60">
        <v>1.22</v>
      </c>
      <c r="H563" s="60"/>
      <c r="I563" s="60"/>
      <c r="J563" s="60">
        <f>ROUND(F561*G563,4)</f>
        <v>5.0556999999999999</v>
      </c>
      <c r="K563" s="60"/>
      <c r="L563" s="60"/>
    </row>
    <row r="564" spans="1:12" x14ac:dyDescent="0.25">
      <c r="A564" s="168"/>
      <c r="B564" s="144" t="str">
        <f>'Vật liệu'!B606</f>
        <v>V00671</v>
      </c>
      <c r="C564" s="34">
        <v>166</v>
      </c>
      <c r="D564" s="144" t="str">
        <f>" - " &amp; 'Vật liệu'!D606</f>
        <v xml:space="preserve"> - Thép tấm</v>
      </c>
      <c r="E564" s="168" t="str">
        <f>'Vật liệu'!E606</f>
        <v>kg</v>
      </c>
      <c r="F564" s="60"/>
      <c r="G564" s="60">
        <v>34.54</v>
      </c>
      <c r="H564" s="60"/>
      <c r="I564" s="60"/>
      <c r="J564" s="60">
        <f>ROUND(F561*G564,4)</f>
        <v>143.13380000000001</v>
      </c>
      <c r="K564" s="60"/>
      <c r="L564" s="60"/>
    </row>
    <row r="565" spans="1:12" x14ac:dyDescent="0.25">
      <c r="A565" s="168"/>
      <c r="B565" s="144" t="str">
        <f>'Vật liệu'!B556</f>
        <v>V00641</v>
      </c>
      <c r="C565" s="34">
        <v>160</v>
      </c>
      <c r="D565" s="144" t="str">
        <f>" - " &amp; 'Vật liệu'!D556</f>
        <v xml:space="preserve"> - Thép hình</v>
      </c>
      <c r="E565" s="168" t="str">
        <f>'Vật liệu'!E556</f>
        <v>kg</v>
      </c>
      <c r="F565" s="60"/>
      <c r="G565" s="60">
        <v>13.95</v>
      </c>
      <c r="H565" s="60"/>
      <c r="I565" s="60"/>
      <c r="J565" s="60">
        <f>ROUND(F561*G565,4)</f>
        <v>57.808799999999998</v>
      </c>
      <c r="K565" s="60"/>
      <c r="L565" s="60"/>
    </row>
    <row r="566" spans="1:12" x14ac:dyDescent="0.25">
      <c r="A566" s="168"/>
      <c r="B566" s="144" t="str">
        <f>'Vật liệu'!B766</f>
        <v>V00750</v>
      </c>
      <c r="C566" s="34">
        <v>391</v>
      </c>
      <c r="D566" s="144" t="str">
        <f>" - " &amp; 'Vật liệu'!D766</f>
        <v xml:space="preserve"> - Vật liệu khác</v>
      </c>
      <c r="E566" s="168" t="str">
        <f>'Vật liệu'!E766</f>
        <v>%</v>
      </c>
      <c r="F566" s="60"/>
      <c r="G566" s="60">
        <v>5</v>
      </c>
      <c r="H566" s="60"/>
      <c r="I566" s="60"/>
      <c r="J566" s="60"/>
      <c r="K566" s="60"/>
      <c r="L566" s="60"/>
    </row>
    <row r="567" spans="1:12" x14ac:dyDescent="0.25">
      <c r="A567" s="56"/>
      <c r="B567" s="23"/>
      <c r="C567" s="88"/>
      <c r="D567" s="23" t="s">
        <v>202</v>
      </c>
      <c r="E567" s="56"/>
      <c r="F567" s="118"/>
      <c r="G567" s="118"/>
      <c r="H567" s="118"/>
      <c r="I567" s="118"/>
      <c r="J567" s="118"/>
      <c r="K567" s="118"/>
      <c r="L567" s="118"/>
    </row>
    <row r="568" spans="1:12" x14ac:dyDescent="0.25">
      <c r="A568" s="168"/>
      <c r="B568" s="144" t="str">
        <f>'Nhân công'!B45</f>
        <v>N0009</v>
      </c>
      <c r="C568" s="34">
        <v>546</v>
      </c>
      <c r="D568" s="144" t="s">
        <v>1052</v>
      </c>
      <c r="E568" s="168" t="str">
        <f>'Nhân công'!G45</f>
        <v>công</v>
      </c>
      <c r="F568" s="60"/>
      <c r="G568" s="60"/>
      <c r="H568" s="60">
        <v>25.84</v>
      </c>
      <c r="I568" s="60"/>
      <c r="J568" s="60"/>
      <c r="K568" s="60">
        <f>ROUND(F561*H568,4)</f>
        <v>107.081</v>
      </c>
      <c r="L568" s="60"/>
    </row>
    <row r="569" spans="1:12" x14ac:dyDescent="0.25">
      <c r="A569" s="56"/>
      <c r="B569" s="23"/>
      <c r="C569" s="88"/>
      <c r="D569" s="23" t="s">
        <v>378</v>
      </c>
      <c r="E569" s="56"/>
      <c r="F569" s="118"/>
      <c r="G569" s="118"/>
      <c r="H569" s="118"/>
      <c r="I569" s="118"/>
      <c r="J569" s="118"/>
      <c r="K569" s="118"/>
      <c r="L569" s="118"/>
    </row>
    <row r="570" spans="1:12" x14ac:dyDescent="0.25">
      <c r="A570" s="168"/>
      <c r="B570" s="144" t="str">
        <f>'Máy thi công'!B6</f>
        <v>M9438</v>
      </c>
      <c r="C570" s="34">
        <v>714</v>
      </c>
      <c r="D570" s="144" t="str">
        <f>" - " &amp; 'Máy thi công'!D6</f>
        <v xml:space="preserve"> - Biến thế hàn xoay chiều - công suất: 23 kW</v>
      </c>
      <c r="E570" s="168" t="str">
        <f>'Máy thi công'!E6</f>
        <v>ca</v>
      </c>
      <c r="F570" s="60"/>
      <c r="G570" s="60"/>
      <c r="H570" s="60"/>
      <c r="I570" s="60">
        <v>0.44</v>
      </c>
      <c r="J570" s="60"/>
      <c r="K570" s="60"/>
      <c r="L570" s="60">
        <f>ROUND(F561*I570,4)</f>
        <v>1.8233999999999999</v>
      </c>
    </row>
    <row r="571" spans="1:12" x14ac:dyDescent="0.25">
      <c r="A571" s="168"/>
      <c r="B571" s="144" t="str">
        <f>'Máy thi công'!B398</f>
        <v>M0111</v>
      </c>
      <c r="C571" s="34">
        <v>691</v>
      </c>
      <c r="D571" s="144" t="str">
        <f>" - " &amp; 'Máy thi công'!D398</f>
        <v xml:space="preserve"> - Máy khác</v>
      </c>
      <c r="E571" s="168" t="str">
        <f>'Máy thi công'!E398</f>
        <v>%</v>
      </c>
      <c r="F571" s="60"/>
      <c r="G571" s="60"/>
      <c r="H571" s="60"/>
      <c r="I571" s="60">
        <v>10</v>
      </c>
      <c r="J571" s="60"/>
      <c r="K571" s="60"/>
      <c r="L571" s="60"/>
    </row>
    <row r="572" spans="1:12" x14ac:dyDescent="0.25">
      <c r="A572" s="65">
        <f>'Công trình'!A74</f>
        <v>57</v>
      </c>
      <c r="B572" s="14" t="str">
        <f>'Công trình'!B74</f>
        <v>AI.52211</v>
      </c>
      <c r="C572" s="94"/>
      <c r="D572" s="14" t="str">
        <f>'Công trình'!C74</f>
        <v>Sản xuất kết cấu thép hộp nối cọc</v>
      </c>
      <c r="E572" s="46" t="str">
        <f>'Công trình'!D74</f>
        <v>tấn</v>
      </c>
      <c r="F572" s="106">
        <f>'Công trình'!K74</f>
        <v>2.6339000000000001</v>
      </c>
      <c r="G572" s="126"/>
      <c r="H572" s="126"/>
      <c r="I572" s="126"/>
      <c r="J572" s="126"/>
      <c r="K572" s="126"/>
      <c r="L572" s="126"/>
    </row>
    <row r="573" spans="1:12" x14ac:dyDescent="0.25">
      <c r="A573" s="56"/>
      <c r="B573" s="23"/>
      <c r="C573" s="88"/>
      <c r="D573" s="23" t="s">
        <v>479</v>
      </c>
      <c r="E573" s="56"/>
      <c r="F573" s="118"/>
      <c r="G573" s="118"/>
      <c r="H573" s="118"/>
      <c r="I573" s="118"/>
      <c r="J573" s="118"/>
      <c r="K573" s="118"/>
      <c r="L573" s="118"/>
    </row>
    <row r="574" spans="1:12" x14ac:dyDescent="0.25">
      <c r="A574" s="168"/>
      <c r="B574" s="144" t="str">
        <f>'Vật liệu'!B200</f>
        <v>V00833</v>
      </c>
      <c r="C574" s="34">
        <v>411</v>
      </c>
      <c r="D574" s="144" t="str">
        <f>" - " &amp; 'Vật liệu'!D200</f>
        <v xml:space="preserve"> - Đất đèn</v>
      </c>
      <c r="E574" s="168" t="str">
        <f>'Vật liệu'!E200</f>
        <v>kg</v>
      </c>
      <c r="F574" s="60"/>
      <c r="G574" s="60">
        <v>9.6199999999999992</v>
      </c>
      <c r="H574" s="60"/>
      <c r="I574" s="60"/>
      <c r="J574" s="60">
        <f>ROUND(F572*G574,4)</f>
        <v>25.338100000000001</v>
      </c>
      <c r="K574" s="60"/>
      <c r="L574" s="60"/>
    </row>
    <row r="575" spans="1:12" x14ac:dyDescent="0.25">
      <c r="A575" s="168"/>
      <c r="B575" s="144" t="str">
        <f>'Vật liệu'!B450</f>
        <v>V00515</v>
      </c>
      <c r="C575" s="34">
        <v>154</v>
      </c>
      <c r="D575" s="144" t="str">
        <f>" - " &amp; 'Vật liệu'!D450</f>
        <v xml:space="preserve"> - Que hàn</v>
      </c>
      <c r="E575" s="168" t="str">
        <f>'Vật liệu'!E450</f>
        <v>kg</v>
      </c>
      <c r="F575" s="60"/>
      <c r="G575" s="60">
        <v>18.75</v>
      </c>
      <c r="H575" s="60"/>
      <c r="I575" s="60"/>
      <c r="J575" s="60">
        <f>ROUND(F572*G575,4)</f>
        <v>49.385599999999997</v>
      </c>
      <c r="K575" s="60"/>
      <c r="L575" s="60"/>
    </row>
    <row r="576" spans="1:12" x14ac:dyDescent="0.25">
      <c r="A576" s="168"/>
      <c r="B576" s="144" t="str">
        <f>'Vật liệu'!B401</f>
        <v>V00770</v>
      </c>
      <c r="C576" s="34">
        <v>400</v>
      </c>
      <c r="D576" s="144" t="str">
        <f>" - " &amp; 'Vật liệu'!D401</f>
        <v xml:space="preserve"> - Ô xy</v>
      </c>
      <c r="E576" s="168" t="str">
        <f>'Vật liệu'!E401</f>
        <v>Chai</v>
      </c>
      <c r="F576" s="60"/>
      <c r="G576" s="60">
        <v>1.75</v>
      </c>
      <c r="H576" s="60"/>
      <c r="I576" s="60"/>
      <c r="J576" s="60">
        <f>ROUND(F572*G576,4)</f>
        <v>4.6093000000000002</v>
      </c>
      <c r="K576" s="60"/>
      <c r="L576" s="60"/>
    </row>
    <row r="577" spans="1:12" x14ac:dyDescent="0.25">
      <c r="A577" s="168"/>
      <c r="B577" s="144" t="str">
        <f>'Vật liệu'!B606</f>
        <v>V00671</v>
      </c>
      <c r="C577" s="34">
        <v>166</v>
      </c>
      <c r="D577" s="144" t="str">
        <f>" - " &amp; 'Vật liệu'!D606</f>
        <v xml:space="preserve"> - Thép tấm</v>
      </c>
      <c r="E577" s="168" t="str">
        <f>'Vật liệu'!E606</f>
        <v>kg</v>
      </c>
      <c r="F577" s="60"/>
      <c r="G577" s="60">
        <v>250</v>
      </c>
      <c r="H577" s="60"/>
      <c r="I577" s="60"/>
      <c r="J577" s="60">
        <f>ROUND(F572*G577,4)</f>
        <v>658.47500000000002</v>
      </c>
      <c r="K577" s="60"/>
      <c r="L577" s="60"/>
    </row>
    <row r="578" spans="1:12" x14ac:dyDescent="0.25">
      <c r="A578" s="168"/>
      <c r="B578" s="144" t="str">
        <f>'Vật liệu'!B556</f>
        <v>V00641</v>
      </c>
      <c r="C578" s="34">
        <v>160</v>
      </c>
      <c r="D578" s="144" t="str">
        <f>" - " &amp; 'Vật liệu'!D556</f>
        <v xml:space="preserve"> - Thép hình</v>
      </c>
      <c r="E578" s="168" t="str">
        <f>'Vật liệu'!E556</f>
        <v>kg</v>
      </c>
      <c r="F578" s="60"/>
      <c r="G578" s="60">
        <v>800</v>
      </c>
      <c r="H578" s="60"/>
      <c r="I578" s="60"/>
      <c r="J578" s="60">
        <f>ROUND(F572*G578,4)</f>
        <v>2107.12</v>
      </c>
      <c r="K578" s="60"/>
      <c r="L578" s="60"/>
    </row>
    <row r="579" spans="1:12" x14ac:dyDescent="0.25">
      <c r="A579" s="168"/>
      <c r="B579" s="144" t="str">
        <f>'Vật liệu'!B186</f>
        <v>V00824</v>
      </c>
      <c r="C579" s="34">
        <v>407</v>
      </c>
      <c r="D579" s="144" t="str">
        <f>" - " &amp; 'Vật liệu'!D186</f>
        <v xml:space="preserve"> - Đá mài</v>
      </c>
      <c r="E579" s="168" t="str">
        <f>'Vật liệu'!E186</f>
        <v>viên</v>
      </c>
      <c r="F579" s="60"/>
      <c r="G579" s="60">
        <v>0.28000000000000003</v>
      </c>
      <c r="H579" s="60"/>
      <c r="I579" s="60"/>
      <c r="J579" s="60">
        <f>ROUND(F572*G579,4)</f>
        <v>0.73750000000000004</v>
      </c>
      <c r="K579" s="60"/>
      <c r="L579" s="60"/>
    </row>
    <row r="580" spans="1:12" x14ac:dyDescent="0.25">
      <c r="A580" s="168"/>
      <c r="B580" s="144" t="str">
        <f>'Vật liệu'!B766</f>
        <v>V00750</v>
      </c>
      <c r="C580" s="34">
        <v>214</v>
      </c>
      <c r="D580" s="144" t="str">
        <f>" - " &amp; 'Vật liệu'!D766</f>
        <v xml:space="preserve"> - Vật liệu khác</v>
      </c>
      <c r="E580" s="168" t="str">
        <f>'Vật liệu'!E766</f>
        <v>%</v>
      </c>
      <c r="F580" s="60"/>
      <c r="G580" s="60">
        <v>2</v>
      </c>
      <c r="H580" s="60"/>
      <c r="I580" s="60"/>
      <c r="J580" s="60"/>
      <c r="K580" s="60"/>
      <c r="L580" s="60"/>
    </row>
    <row r="581" spans="1:12" x14ac:dyDescent="0.25">
      <c r="A581" s="56"/>
      <c r="B581" s="23"/>
      <c r="C581" s="88"/>
      <c r="D581" s="23" t="s">
        <v>202</v>
      </c>
      <c r="E581" s="56"/>
      <c r="F581" s="118"/>
      <c r="G581" s="118"/>
      <c r="H581" s="118"/>
      <c r="I581" s="118"/>
      <c r="J581" s="118"/>
      <c r="K581" s="118"/>
      <c r="L581" s="118"/>
    </row>
    <row r="582" spans="1:12" x14ac:dyDescent="0.25">
      <c r="A582" s="168"/>
      <c r="B582" s="144" t="str">
        <f>'Nhân công'!B221</f>
        <v>N0013</v>
      </c>
      <c r="C582" s="34">
        <v>553</v>
      </c>
      <c r="D582" s="144" t="s">
        <v>275</v>
      </c>
      <c r="E582" s="168" t="str">
        <f>'Nhân công'!G221</f>
        <v>công</v>
      </c>
      <c r="F582" s="60"/>
      <c r="G582" s="60"/>
      <c r="H582" s="60">
        <v>26.15</v>
      </c>
      <c r="I582" s="60"/>
      <c r="J582" s="60"/>
      <c r="K582" s="60">
        <f>ROUND(F572*H582,4)</f>
        <v>68.876499999999993</v>
      </c>
      <c r="L582" s="60"/>
    </row>
    <row r="583" spans="1:12" x14ac:dyDescent="0.25">
      <c r="A583" s="56"/>
      <c r="B583" s="23"/>
      <c r="C583" s="88"/>
      <c r="D583" s="23" t="s">
        <v>378</v>
      </c>
      <c r="E583" s="56"/>
      <c r="F583" s="118"/>
      <c r="G583" s="118"/>
      <c r="H583" s="118"/>
      <c r="I583" s="118"/>
      <c r="J583" s="118"/>
      <c r="K583" s="118"/>
      <c r="L583" s="118"/>
    </row>
    <row r="584" spans="1:12" x14ac:dyDescent="0.25">
      <c r="A584" s="168"/>
      <c r="B584" s="144" t="str">
        <f>'Máy thi công'!B273</f>
        <v>M112.1501</v>
      </c>
      <c r="C584" s="34">
        <v>701</v>
      </c>
      <c r="D584" s="144" t="str">
        <f>" - " &amp; 'Máy thi công'!D273</f>
        <v xml:space="preserve"> - Máy khoan đứng - công suất: 2,5 kW</v>
      </c>
      <c r="E584" s="168" t="str">
        <f>'Máy thi công'!E273</f>
        <v>ca</v>
      </c>
      <c r="F584" s="60"/>
      <c r="G584" s="60"/>
      <c r="H584" s="60"/>
      <c r="I584" s="60">
        <v>1.06</v>
      </c>
      <c r="J584" s="60"/>
      <c r="K584" s="60"/>
      <c r="L584" s="60">
        <f>ROUND(F572*I584,4)</f>
        <v>2.7919</v>
      </c>
    </row>
    <row r="585" spans="1:12" x14ac:dyDescent="0.25">
      <c r="A585" s="168"/>
      <c r="B585" s="144" t="str">
        <f>'Máy thi công'!B6</f>
        <v>M9438</v>
      </c>
      <c r="C585" s="34">
        <v>714</v>
      </c>
      <c r="D585" s="144" t="str">
        <f>" - " &amp; 'Máy thi công'!D6</f>
        <v xml:space="preserve"> - Biến thế hàn xoay chiều - công suất: 23 kW</v>
      </c>
      <c r="E585" s="168" t="str">
        <f>'Máy thi công'!E6</f>
        <v>ca</v>
      </c>
      <c r="F585" s="60"/>
      <c r="G585" s="60"/>
      <c r="H585" s="60"/>
      <c r="I585" s="60">
        <v>4.16</v>
      </c>
      <c r="J585" s="60"/>
      <c r="K585" s="60"/>
      <c r="L585" s="60">
        <f>ROUND(F572*I585,4)</f>
        <v>10.957000000000001</v>
      </c>
    </row>
    <row r="586" spans="1:12" x14ac:dyDescent="0.25">
      <c r="A586" s="168"/>
      <c r="B586" s="144" t="str">
        <f>'Máy thi công'!B285</f>
        <v>M112.3702</v>
      </c>
      <c r="C586" s="34">
        <v>705</v>
      </c>
      <c r="D586" s="144" t="str">
        <f>" - " &amp; 'Máy thi công'!D285</f>
        <v xml:space="preserve"> - Máy mài - công suất: 2,7 kW</v>
      </c>
      <c r="E586" s="168" t="str">
        <f>'Máy thi công'!E285</f>
        <v>ca</v>
      </c>
      <c r="F586" s="60"/>
      <c r="G586" s="60"/>
      <c r="H586" s="60"/>
      <c r="I586" s="60">
        <v>1.06</v>
      </c>
      <c r="J586" s="60"/>
      <c r="K586" s="60"/>
      <c r="L586" s="60">
        <f>ROUND(F572*I586,4)</f>
        <v>2.7919</v>
      </c>
    </row>
    <row r="587" spans="1:12" x14ac:dyDescent="0.25">
      <c r="A587" s="168"/>
      <c r="B587" s="144" t="str">
        <f>'Máy thi công'!B398</f>
        <v>M0111</v>
      </c>
      <c r="C587" s="34">
        <v>577</v>
      </c>
      <c r="D587" s="144" t="str">
        <f>" - " &amp; 'Máy thi công'!D398</f>
        <v xml:space="preserve"> - Máy khác</v>
      </c>
      <c r="E587" s="168" t="str">
        <f>'Máy thi công'!E398</f>
        <v>%</v>
      </c>
      <c r="F587" s="60"/>
      <c r="G587" s="60"/>
      <c r="H587" s="60"/>
      <c r="I587" s="60">
        <v>5</v>
      </c>
      <c r="J587" s="60"/>
      <c r="K587" s="60"/>
      <c r="L587" s="60"/>
    </row>
    <row r="588" spans="1:12" ht="28.5" x14ac:dyDescent="0.25">
      <c r="A588" s="65">
        <f>'Công trình'!A75</f>
        <v>58</v>
      </c>
      <c r="B588" s="14" t="str">
        <f>'Công trình'!B75</f>
        <v>AC.17112</v>
      </c>
      <c r="C588" s="94"/>
      <c r="D588" s="14" t="str">
        <f>'Công trình'!C75</f>
        <v>Đóng cọc BTCT 35x35 chiều dài &lt;=24m trên mặt nước bằng tàu đóng cọc búa 1,8T</v>
      </c>
      <c r="E588" s="46" t="str">
        <f>'Công trình'!D75</f>
        <v>100m</v>
      </c>
      <c r="F588" s="106">
        <f>'Công trình'!K75</f>
        <v>5.12</v>
      </c>
      <c r="G588" s="126"/>
      <c r="H588" s="126"/>
      <c r="I588" s="126"/>
      <c r="J588" s="126"/>
      <c r="K588" s="126"/>
      <c r="L588" s="126"/>
    </row>
    <row r="589" spans="1:12" x14ac:dyDescent="0.25">
      <c r="A589" s="56"/>
      <c r="B589" s="23"/>
      <c r="C589" s="88"/>
      <c r="D589" s="23" t="s">
        <v>479</v>
      </c>
      <c r="E589" s="56"/>
      <c r="F589" s="118"/>
      <c r="G589" s="118"/>
      <c r="H589" s="118"/>
      <c r="I589" s="118"/>
      <c r="J589" s="118"/>
      <c r="K589" s="118"/>
      <c r="L589" s="118"/>
    </row>
    <row r="590" spans="1:12" x14ac:dyDescent="0.25">
      <c r="A590" s="168"/>
      <c r="B590" s="144" t="str">
        <f>'Vật liệu'!B111</f>
        <v>V12705</v>
      </c>
      <c r="C590" s="34">
        <v>457</v>
      </c>
      <c r="D590" s="144" t="str">
        <f>" - " &amp; 'Vật liệu'!D111</f>
        <v xml:space="preserve"> - Cọc bê tông 35cmx35cm</v>
      </c>
      <c r="E590" s="168" t="str">
        <f>'Vật liệu'!E111</f>
        <v>m</v>
      </c>
      <c r="F590" s="60"/>
      <c r="G590" s="60">
        <v>0</v>
      </c>
      <c r="H590" s="60"/>
      <c r="I590" s="60"/>
      <c r="J590" s="60">
        <f>ROUND(F588*G590,4)</f>
        <v>0</v>
      </c>
      <c r="K590" s="60"/>
      <c r="L590" s="60"/>
    </row>
    <row r="591" spans="1:12" x14ac:dyDescent="0.25">
      <c r="A591" s="168"/>
      <c r="B591" s="144" t="str">
        <f>'Vật liệu'!B766</f>
        <v>V00750</v>
      </c>
      <c r="C591" s="34">
        <v>236</v>
      </c>
      <c r="D591" s="144" t="str">
        <f>" - " &amp; 'Vật liệu'!D766</f>
        <v xml:space="preserve"> - Vật liệu khác</v>
      </c>
      <c r="E591" s="168" t="str">
        <f>'Vật liệu'!E766</f>
        <v>%</v>
      </c>
      <c r="F591" s="60"/>
      <c r="G591" s="60">
        <v>2</v>
      </c>
      <c r="H591" s="60"/>
      <c r="I591" s="60"/>
      <c r="J591" s="60"/>
      <c r="K591" s="60"/>
      <c r="L591" s="60"/>
    </row>
    <row r="592" spans="1:12" x14ac:dyDescent="0.25">
      <c r="A592" s="56"/>
      <c r="B592" s="23"/>
      <c r="C592" s="88"/>
      <c r="D592" s="23" t="s">
        <v>202</v>
      </c>
      <c r="E592" s="56"/>
      <c r="F592" s="118"/>
      <c r="G592" s="118"/>
      <c r="H592" s="118"/>
      <c r="I592" s="118"/>
      <c r="J592" s="118"/>
      <c r="K592" s="118"/>
      <c r="L592" s="118"/>
    </row>
    <row r="593" spans="1:12" x14ac:dyDescent="0.25">
      <c r="A593" s="168"/>
      <c r="B593" s="144" t="str">
        <f>'Nhân công'!B103</f>
        <v>N0015</v>
      </c>
      <c r="C593" s="34">
        <v>554</v>
      </c>
      <c r="D593" s="144" t="s">
        <v>1014</v>
      </c>
      <c r="E593" s="168" t="str">
        <f>'Nhân công'!G103</f>
        <v>công</v>
      </c>
      <c r="F593" s="60"/>
      <c r="G593" s="60"/>
      <c r="H593" s="60">
        <v>6.8</v>
      </c>
      <c r="I593" s="60"/>
      <c r="J593" s="60"/>
      <c r="K593" s="60">
        <f>ROUND(F588*H593,4)</f>
        <v>34.816000000000003</v>
      </c>
      <c r="L593" s="60"/>
    </row>
    <row r="594" spans="1:12" x14ac:dyDescent="0.25">
      <c r="A594" s="56"/>
      <c r="B594" s="23"/>
      <c r="C594" s="88"/>
      <c r="D594" s="23" t="s">
        <v>378</v>
      </c>
      <c r="E594" s="56"/>
      <c r="F594" s="118"/>
      <c r="G594" s="118"/>
      <c r="H594" s="118"/>
      <c r="I594" s="118"/>
      <c r="J594" s="118"/>
      <c r="K594" s="118"/>
      <c r="L594" s="118"/>
    </row>
    <row r="595" spans="1:12" x14ac:dyDescent="0.25">
      <c r="A595" s="168"/>
      <c r="B595" s="144" t="str">
        <f>'Máy thi công'!B384</f>
        <v>M9596</v>
      </c>
      <c r="C595" s="34">
        <v>755</v>
      </c>
      <c r="D595" s="144" t="str">
        <f>" - " &amp; 'Máy thi công'!D384</f>
        <v xml:space="preserve"> - Sà lan - trọng tải: 250 t</v>
      </c>
      <c r="E595" s="168" t="str">
        <f>'Máy thi công'!E384</f>
        <v>ca</v>
      </c>
      <c r="F595" s="60"/>
      <c r="G595" s="60"/>
      <c r="H595" s="60"/>
      <c r="I595" s="60">
        <v>1.95</v>
      </c>
      <c r="J595" s="60"/>
      <c r="K595" s="60"/>
      <c r="L595" s="60">
        <f>ROUND(F588*I595,4)</f>
        <v>9.984</v>
      </c>
    </row>
    <row r="596" spans="1:12" ht="30" x14ac:dyDescent="0.25">
      <c r="A596" s="168"/>
      <c r="B596" s="144" t="str">
        <f>'Máy thi công'!B391</f>
        <v>M9622</v>
      </c>
      <c r="C596" s="34">
        <v>757</v>
      </c>
      <c r="D596" s="144" t="str">
        <f>" - " &amp; 'Máy thi công'!D391</f>
        <v xml:space="preserve"> - Tầu kéo và phục vụ thi công thuỷ (làm neo, cấp dầu,...) - công suất: 150 cv</v>
      </c>
      <c r="E596" s="168" t="str">
        <f>'Máy thi công'!E391</f>
        <v>ca</v>
      </c>
      <c r="F596" s="60"/>
      <c r="G596" s="60"/>
      <c r="H596" s="60"/>
      <c r="I596" s="60">
        <v>0.13500000000000001</v>
      </c>
      <c r="J596" s="60"/>
      <c r="K596" s="60"/>
      <c r="L596" s="60">
        <f>ROUND(F588*I596,4)</f>
        <v>0.69120000000000004</v>
      </c>
    </row>
    <row r="597" spans="1:12" ht="30" x14ac:dyDescent="0.25">
      <c r="A597" s="168"/>
      <c r="B597" s="144" t="str">
        <f>'Máy thi công'!B101</f>
        <v>M9449</v>
      </c>
      <c r="C597" s="34">
        <v>722</v>
      </c>
      <c r="D597" s="144" t="str">
        <f>" - " &amp; 'Máy thi công'!D101</f>
        <v xml:space="preserve"> - Búa đóng cọc nổi (cả sà lan và máy phụ trợ) - trọng lượng búa: ≤ 1,8 t</v>
      </c>
      <c r="E597" s="168" t="str">
        <f>'Máy thi công'!E101</f>
        <v>ca</v>
      </c>
      <c r="F597" s="60"/>
      <c r="G597" s="60"/>
      <c r="H597" s="60"/>
      <c r="I597" s="60">
        <v>2.4300000000000002</v>
      </c>
      <c r="J597" s="60"/>
      <c r="K597" s="60"/>
      <c r="L597" s="60">
        <f>ROUND(F588*I597,4)</f>
        <v>12.441599999999999</v>
      </c>
    </row>
    <row r="598" spans="1:12" x14ac:dyDescent="0.25">
      <c r="A598" s="168"/>
      <c r="B598" s="144" t="str">
        <f>'Máy thi công'!B135</f>
        <v>M9469</v>
      </c>
      <c r="C598" s="34">
        <v>729</v>
      </c>
      <c r="D598" s="144" t="str">
        <f>" - " &amp; 'Máy thi công'!D135</f>
        <v xml:space="preserve"> - Cần trục bánh xích - sức nâng: 25 t</v>
      </c>
      <c r="E598" s="168" t="str">
        <f>'Máy thi công'!E135</f>
        <v>ca</v>
      </c>
      <c r="F598" s="60"/>
      <c r="G598" s="60"/>
      <c r="H598" s="60"/>
      <c r="I598" s="60">
        <v>2.4300000000000002</v>
      </c>
      <c r="J598" s="60"/>
      <c r="K598" s="60"/>
      <c r="L598" s="60">
        <f>ROUND(F588*I598,4)</f>
        <v>12.441599999999999</v>
      </c>
    </row>
    <row r="599" spans="1:12" x14ac:dyDescent="0.25">
      <c r="A599" s="168"/>
      <c r="B599" s="144" t="str">
        <f>'Máy thi công'!B398</f>
        <v>M0111</v>
      </c>
      <c r="C599" s="34">
        <v>600</v>
      </c>
      <c r="D599" s="144" t="str">
        <f>" - " &amp; 'Máy thi công'!D398</f>
        <v xml:space="preserve"> - Máy khác</v>
      </c>
      <c r="E599" s="168" t="str">
        <f>'Máy thi công'!E398</f>
        <v>%</v>
      </c>
      <c r="F599" s="60"/>
      <c r="G599" s="60"/>
      <c r="H599" s="60"/>
      <c r="I599" s="60">
        <v>2</v>
      </c>
      <c r="J599" s="60"/>
      <c r="K599" s="60"/>
      <c r="L599" s="60"/>
    </row>
    <row r="600" spans="1:12" ht="28.5" x14ac:dyDescent="0.25">
      <c r="A600" s="65">
        <f>'Công trình'!A76</f>
        <v>59</v>
      </c>
      <c r="B600" s="14" t="str">
        <f>'Công trình'!B76</f>
        <v>AC.29341</v>
      </c>
      <c r="C600" s="94"/>
      <c r="D600" s="14" t="str">
        <f>'Công trình'!C76</f>
        <v>Nối cọc BTCT 35x35cm</v>
      </c>
      <c r="E600" s="46" t="str">
        <f>'Công trình'!D76</f>
        <v>1mối nối</v>
      </c>
      <c r="F600" s="106">
        <f>'Công trình'!K76</f>
        <v>32</v>
      </c>
      <c r="G600" s="126"/>
      <c r="H600" s="126"/>
      <c r="I600" s="126"/>
      <c r="J600" s="126"/>
      <c r="K600" s="126"/>
      <c r="L600" s="126"/>
    </row>
    <row r="601" spans="1:12" x14ac:dyDescent="0.25">
      <c r="A601" s="56"/>
      <c r="B601" s="23"/>
      <c r="C601" s="88"/>
      <c r="D601" s="23" t="s">
        <v>479</v>
      </c>
      <c r="E601" s="56"/>
      <c r="F601" s="118"/>
      <c r="G601" s="118"/>
      <c r="H601" s="118"/>
      <c r="I601" s="118"/>
      <c r="J601" s="118"/>
      <c r="K601" s="118"/>
      <c r="L601" s="118"/>
    </row>
    <row r="602" spans="1:12" x14ac:dyDescent="0.25">
      <c r="A602" s="168"/>
      <c r="B602" s="144" t="str">
        <f>'Vật liệu'!B450</f>
        <v>V00515</v>
      </c>
      <c r="C602" s="34">
        <v>154</v>
      </c>
      <c r="D602" s="144" t="str">
        <f>" - " &amp; 'Vật liệu'!D450</f>
        <v xml:space="preserve"> - Que hàn</v>
      </c>
      <c r="E602" s="168" t="str">
        <f>'Vật liệu'!E450</f>
        <v>kg</v>
      </c>
      <c r="F602" s="60"/>
      <c r="G602" s="60">
        <v>4.21</v>
      </c>
      <c r="H602" s="60"/>
      <c r="I602" s="60"/>
      <c r="J602" s="60">
        <f>ROUND(F600*G602,4)</f>
        <v>134.72</v>
      </c>
      <c r="K602" s="60"/>
      <c r="L602" s="60"/>
    </row>
    <row r="603" spans="1:12" x14ac:dyDescent="0.25">
      <c r="A603" s="168"/>
      <c r="B603" s="144" t="str">
        <f>'Vật liệu'!B551</f>
        <v>V00638</v>
      </c>
      <c r="C603" s="34">
        <v>158</v>
      </c>
      <c r="D603" s="144" t="str">
        <f>" - " &amp; 'Vật liệu'!D551</f>
        <v xml:space="preserve"> - Thép góc 100x100mm</v>
      </c>
      <c r="E603" s="168" t="str">
        <f>'Vật liệu'!E551</f>
        <v>kg</v>
      </c>
      <c r="F603" s="60"/>
      <c r="G603" s="60">
        <v>0</v>
      </c>
      <c r="H603" s="60"/>
      <c r="I603" s="60"/>
      <c r="J603" s="60">
        <f>ROUND(F600*G603,4)</f>
        <v>0</v>
      </c>
      <c r="K603" s="60"/>
      <c r="L603" s="60"/>
    </row>
    <row r="604" spans="1:12" x14ac:dyDescent="0.25">
      <c r="A604" s="168"/>
      <c r="B604" s="144" t="str">
        <f>'Vật liệu'!B766</f>
        <v>V00750</v>
      </c>
      <c r="C604" s="34">
        <v>213</v>
      </c>
      <c r="D604" s="144" t="str">
        <f>" - " &amp; 'Vật liệu'!D766</f>
        <v xml:space="preserve"> - Vật liệu khác</v>
      </c>
      <c r="E604" s="168" t="str">
        <f>'Vật liệu'!E766</f>
        <v>%</v>
      </c>
      <c r="F604" s="60"/>
      <c r="G604" s="60">
        <v>3</v>
      </c>
      <c r="H604" s="60"/>
      <c r="I604" s="60"/>
      <c r="J604" s="60"/>
      <c r="K604" s="60"/>
      <c r="L604" s="60"/>
    </row>
    <row r="605" spans="1:12" x14ac:dyDescent="0.25">
      <c r="A605" s="56"/>
      <c r="B605" s="23"/>
      <c r="C605" s="88"/>
      <c r="D605" s="23" t="s">
        <v>202</v>
      </c>
      <c r="E605" s="56"/>
      <c r="F605" s="118"/>
      <c r="G605" s="118"/>
      <c r="H605" s="118"/>
      <c r="I605" s="118"/>
      <c r="J605" s="118"/>
      <c r="K605" s="118"/>
      <c r="L605" s="118"/>
    </row>
    <row r="606" spans="1:12" x14ac:dyDescent="0.25">
      <c r="A606" s="168"/>
      <c r="B606" s="144" t="str">
        <f>'Nhân công'!B185</f>
        <v>N0020</v>
      </c>
      <c r="C606" s="34">
        <v>555</v>
      </c>
      <c r="D606" s="144" t="s">
        <v>625</v>
      </c>
      <c r="E606" s="168" t="str">
        <f>'Nhân công'!G185</f>
        <v>công</v>
      </c>
      <c r="F606" s="60"/>
      <c r="G606" s="60"/>
      <c r="H606" s="60">
        <v>0.81</v>
      </c>
      <c r="I606" s="60"/>
      <c r="J606" s="60"/>
      <c r="K606" s="60">
        <f>ROUND(F600*H606,4)</f>
        <v>25.92</v>
      </c>
      <c r="L606" s="60"/>
    </row>
    <row r="607" spans="1:12" x14ac:dyDescent="0.25">
      <c r="A607" s="56"/>
      <c r="B607" s="23"/>
      <c r="C607" s="88"/>
      <c r="D607" s="23" t="s">
        <v>378</v>
      </c>
      <c r="E607" s="56"/>
      <c r="F607" s="118"/>
      <c r="G607" s="118"/>
      <c r="H607" s="118"/>
      <c r="I607" s="118"/>
      <c r="J607" s="118"/>
      <c r="K607" s="118"/>
      <c r="L607" s="118"/>
    </row>
    <row r="608" spans="1:12" x14ac:dyDescent="0.25">
      <c r="A608" s="168"/>
      <c r="B608" s="144" t="str">
        <f>'Máy thi công'!B6</f>
        <v>M9438</v>
      </c>
      <c r="C608" s="34">
        <v>714</v>
      </c>
      <c r="D608" s="144" t="str">
        <f>" - " &amp; 'Máy thi công'!D6</f>
        <v xml:space="preserve"> - Biến thế hàn xoay chiều - công suất: 23 kW</v>
      </c>
      <c r="E608" s="168" t="str">
        <f>'Máy thi công'!E6</f>
        <v>ca</v>
      </c>
      <c r="F608" s="60"/>
      <c r="G608" s="60"/>
      <c r="H608" s="60"/>
      <c r="I608" s="60">
        <v>0.18</v>
      </c>
      <c r="J608" s="60"/>
      <c r="K608" s="60"/>
      <c r="L608" s="60">
        <f>ROUND(F600*I608,4)</f>
        <v>5.76</v>
      </c>
    </row>
    <row r="609" spans="1:12" x14ac:dyDescent="0.25">
      <c r="A609" s="168"/>
      <c r="B609" s="144" t="str">
        <f>'Máy thi công'!B398</f>
        <v>M0111</v>
      </c>
      <c r="C609" s="34">
        <v>576</v>
      </c>
      <c r="D609" s="144" t="str">
        <f>" - " &amp; 'Máy thi công'!D398</f>
        <v xml:space="preserve"> - Máy khác</v>
      </c>
      <c r="E609" s="168" t="str">
        <f>'Máy thi công'!E398</f>
        <v>%</v>
      </c>
      <c r="F609" s="60"/>
      <c r="G609" s="60"/>
      <c r="H609" s="60"/>
      <c r="I609" s="60">
        <v>3</v>
      </c>
      <c r="J609" s="60"/>
      <c r="K609" s="60"/>
      <c r="L609" s="60"/>
    </row>
    <row r="610" spans="1:12" x14ac:dyDescent="0.25">
      <c r="A610" s="65">
        <f>'Công trình'!A77</f>
        <v>60</v>
      </c>
      <c r="B610" s="14" t="str">
        <f>'Công trình'!B77</f>
        <v>AA.22310</v>
      </c>
      <c r="C610" s="94"/>
      <c r="D610" s="14" t="str">
        <f>'Công trình'!C77</f>
        <v>Đập đầu cọc trên cạn</v>
      </c>
      <c r="E610" s="46" t="str">
        <f>'Công trình'!D77</f>
        <v>m3</v>
      </c>
      <c r="F610" s="106">
        <f>'Công trình'!K77</f>
        <v>1.96</v>
      </c>
      <c r="G610" s="126"/>
      <c r="H610" s="126"/>
      <c r="I610" s="126"/>
      <c r="J610" s="126"/>
      <c r="K610" s="126"/>
      <c r="L610" s="126"/>
    </row>
    <row r="611" spans="1:12" x14ac:dyDescent="0.25">
      <c r="A611" s="56"/>
      <c r="B611" s="23"/>
      <c r="C611" s="88"/>
      <c r="D611" s="23" t="s">
        <v>479</v>
      </c>
      <c r="E611" s="56"/>
      <c r="F611" s="118"/>
      <c r="G611" s="118"/>
      <c r="H611" s="118"/>
      <c r="I611" s="118"/>
      <c r="J611" s="118"/>
      <c r="K611" s="118"/>
      <c r="L611" s="118"/>
    </row>
    <row r="612" spans="1:12" x14ac:dyDescent="0.25">
      <c r="A612" s="168"/>
      <c r="B612" s="144" t="str">
        <f>'Vật liệu'!B450</f>
        <v>V00515</v>
      </c>
      <c r="C612" s="34">
        <v>154</v>
      </c>
      <c r="D612" s="144" t="str">
        <f>" - " &amp; 'Vật liệu'!D450</f>
        <v xml:space="preserve"> - Que hàn</v>
      </c>
      <c r="E612" s="168" t="str">
        <f>'Vật liệu'!E450</f>
        <v>kg</v>
      </c>
      <c r="F612" s="60"/>
      <c r="G612" s="60">
        <v>0</v>
      </c>
      <c r="H612" s="60"/>
      <c r="I612" s="60"/>
      <c r="J612" s="60">
        <f>ROUND(F610*G612,4)</f>
        <v>0</v>
      </c>
      <c r="K612" s="60"/>
      <c r="L612" s="60"/>
    </row>
    <row r="613" spans="1:12" x14ac:dyDescent="0.25">
      <c r="A613" s="56"/>
      <c r="B613" s="23"/>
      <c r="C613" s="88"/>
      <c r="D613" s="23" t="s">
        <v>202</v>
      </c>
      <c r="E613" s="56"/>
      <c r="F613" s="118"/>
      <c r="G613" s="118"/>
      <c r="H613" s="118"/>
      <c r="I613" s="118"/>
      <c r="J613" s="118"/>
      <c r="K613" s="118"/>
      <c r="L613" s="118"/>
    </row>
    <row r="614" spans="1:12" x14ac:dyDescent="0.25">
      <c r="A614" s="168"/>
      <c r="B614" s="144" t="str">
        <f>'Nhân công'!B185</f>
        <v>N0020</v>
      </c>
      <c r="C614" s="34">
        <v>555</v>
      </c>
      <c r="D614" s="144" t="s">
        <v>625</v>
      </c>
      <c r="E614" s="168" t="str">
        <f>'Nhân công'!G185</f>
        <v>công</v>
      </c>
      <c r="F614" s="60"/>
      <c r="G614" s="60"/>
      <c r="H614" s="60">
        <v>0.72</v>
      </c>
      <c r="I614" s="60"/>
      <c r="J614" s="60"/>
      <c r="K614" s="60">
        <f>ROUND(F610*H614,4)</f>
        <v>1.4112</v>
      </c>
      <c r="L614" s="60"/>
    </row>
    <row r="615" spans="1:12" x14ac:dyDescent="0.25">
      <c r="A615" s="56"/>
      <c r="B615" s="23"/>
      <c r="C615" s="88"/>
      <c r="D615" s="23" t="s">
        <v>378</v>
      </c>
      <c r="E615" s="56"/>
      <c r="F615" s="118"/>
      <c r="G615" s="118"/>
      <c r="H615" s="118"/>
      <c r="I615" s="118"/>
      <c r="J615" s="118"/>
      <c r="K615" s="118"/>
      <c r="L615" s="118"/>
    </row>
    <row r="616" spans="1:12" x14ac:dyDescent="0.25">
      <c r="A616" s="168"/>
      <c r="B616" s="144" t="str">
        <f>'Máy thi công'!B6</f>
        <v>M9438</v>
      </c>
      <c r="C616" s="34">
        <v>714</v>
      </c>
      <c r="D616" s="144" t="str">
        <f>" - " &amp; 'Máy thi công'!D6</f>
        <v xml:space="preserve"> - Biến thế hàn xoay chiều - công suất: 23 kW</v>
      </c>
      <c r="E616" s="168" t="str">
        <f>'Máy thi công'!E6</f>
        <v>ca</v>
      </c>
      <c r="F616" s="60"/>
      <c r="G616" s="60"/>
      <c r="H616" s="60"/>
      <c r="I616" s="60">
        <v>0.23</v>
      </c>
      <c r="J616" s="60"/>
      <c r="K616" s="60"/>
      <c r="L616" s="60">
        <f>ROUND(F610*I616,4)</f>
        <v>0.45079999999999998</v>
      </c>
    </row>
    <row r="617" spans="1:12" x14ac:dyDescent="0.25">
      <c r="A617" s="168"/>
      <c r="B617" s="144" t="str">
        <f>'Máy thi công'!B113</f>
        <v>M9465</v>
      </c>
      <c r="C617" s="34">
        <v>725</v>
      </c>
      <c r="D617" s="144" t="str">
        <f>" - " &amp; 'Máy thi công'!D113</f>
        <v xml:space="preserve"> - Cần trục bánh hơi - sức nâng: 16 t</v>
      </c>
      <c r="E617" s="168" t="str">
        <f>'Máy thi công'!E113</f>
        <v>ca</v>
      </c>
      <c r="F617" s="60"/>
      <c r="G617" s="60"/>
      <c r="H617" s="60"/>
      <c r="I617" s="60">
        <v>0.111</v>
      </c>
      <c r="J617" s="60"/>
      <c r="K617" s="60"/>
      <c r="L617" s="60">
        <f>ROUND(F610*I617,4)</f>
        <v>0.21759999999999999</v>
      </c>
    </row>
    <row r="618" spans="1:12" ht="30" x14ac:dyDescent="0.25">
      <c r="A618" s="168"/>
      <c r="B618" s="144" t="str">
        <f>'Máy thi công'!B81</f>
        <v>M9439</v>
      </c>
      <c r="C618" s="34">
        <v>715</v>
      </c>
      <c r="D618" s="144" t="str">
        <f>" - " &amp; 'Máy thi công'!D81</f>
        <v xml:space="preserve"> - Búa căn khí nén (chưa tính khí nén) - tiêu hao khí nén: 1,5 m3/ph</v>
      </c>
      <c r="E618" s="168" t="str">
        <f>'Máy thi công'!E81</f>
        <v>ca</v>
      </c>
      <c r="F618" s="60"/>
      <c r="G618" s="60"/>
      <c r="H618" s="60"/>
      <c r="I618" s="60">
        <v>0.35</v>
      </c>
      <c r="J618" s="60"/>
      <c r="K618" s="60"/>
      <c r="L618" s="60">
        <f>ROUND(F610*I618,4)</f>
        <v>0.68600000000000005</v>
      </c>
    </row>
    <row r="619" spans="1:12" x14ac:dyDescent="0.25">
      <c r="A619" s="168"/>
      <c r="B619" s="144" t="str">
        <f>'Máy thi công'!B297</f>
        <v>M9538</v>
      </c>
      <c r="C619" s="34">
        <v>741</v>
      </c>
      <c r="D619" s="144" t="str">
        <f>" - " &amp; 'Máy thi công'!D297</f>
        <v xml:space="preserve"> - Máy nén khí, động cơ diezel - năng suất: 360 m3/h</v>
      </c>
      <c r="E619" s="168" t="str">
        <f>'Máy thi công'!E297</f>
        <v>ca</v>
      </c>
      <c r="F619" s="60"/>
      <c r="G619" s="60"/>
      <c r="H619" s="60"/>
      <c r="I619" s="60">
        <v>0.18</v>
      </c>
      <c r="J619" s="60"/>
      <c r="K619" s="60"/>
      <c r="L619" s="60">
        <f>ROUND(F610*I619,4)</f>
        <v>0.3528</v>
      </c>
    </row>
    <row r="620" spans="1:12" ht="28.5" x14ac:dyDescent="0.25">
      <c r="A620" s="65">
        <f>'Công trình'!A79</f>
        <v>61</v>
      </c>
      <c r="B620" s="14" t="str">
        <f>'Công trình'!B79</f>
        <v>AG.11125</v>
      </c>
      <c r="C620" s="94"/>
      <c r="D620" s="14" t="str">
        <f>'Công trình'!C79</f>
        <v>Sản xuất bê tông cọc cừ đúc sẵn đá 1x2, vữa BT mác 300</v>
      </c>
      <c r="E620" s="46" t="str">
        <f>'Công trình'!D79</f>
        <v>m3</v>
      </c>
      <c r="F620" s="106">
        <f>'Công trình'!K79</f>
        <v>27.97</v>
      </c>
      <c r="G620" s="126"/>
      <c r="H620" s="126"/>
      <c r="I620" s="126"/>
      <c r="J620" s="126"/>
      <c r="K620" s="126"/>
      <c r="L620" s="126"/>
    </row>
    <row r="621" spans="1:12" x14ac:dyDescent="0.25">
      <c r="A621" s="56"/>
      <c r="B621" s="23"/>
      <c r="C621" s="88"/>
      <c r="D621" s="23" t="s">
        <v>479</v>
      </c>
      <c r="E621" s="56"/>
      <c r="F621" s="118"/>
      <c r="G621" s="118"/>
      <c r="H621" s="118"/>
      <c r="I621" s="118"/>
      <c r="J621" s="118"/>
      <c r="K621" s="118"/>
      <c r="L621" s="118"/>
    </row>
    <row r="622" spans="1:12" x14ac:dyDescent="0.25">
      <c r="A622" s="168"/>
      <c r="B622" s="144" t="str">
        <f>'Vật liệu'!B721</f>
        <v>V00761</v>
      </c>
      <c r="C622" s="34">
        <v>397</v>
      </c>
      <c r="D622" s="144" t="str">
        <f>" - " &amp; 'Vật liệu'!D721</f>
        <v xml:space="preserve"> - Xi măng PC40</v>
      </c>
      <c r="E622" s="168" t="str">
        <f>'Vật liệu'!E721</f>
        <v>kg</v>
      </c>
      <c r="F622" s="60"/>
      <c r="G622" s="60">
        <v>379.61</v>
      </c>
      <c r="H622" s="60"/>
      <c r="I622" s="60"/>
      <c r="J622" s="60">
        <f>ROUND(F620*G622,4)</f>
        <v>10617.691699999999</v>
      </c>
      <c r="K622" s="60"/>
      <c r="L622" s="60"/>
    </row>
    <row r="623" spans="1:12" x14ac:dyDescent="0.25">
      <c r="A623" s="168"/>
      <c r="B623" s="144" t="str">
        <f>'Vật liệu'!B54</f>
        <v>V00112</v>
      </c>
      <c r="C623" s="34">
        <v>125</v>
      </c>
      <c r="D623" s="144" t="str">
        <f>" - " &amp; 'Vật liệu'!D54</f>
        <v xml:space="preserve"> - Cát vàng</v>
      </c>
      <c r="E623" s="168" t="str">
        <f>'Vật liệu'!E54</f>
        <v>m3</v>
      </c>
      <c r="F623" s="60"/>
      <c r="G623" s="60">
        <v>0.46389999999999998</v>
      </c>
      <c r="H623" s="60"/>
      <c r="I623" s="60"/>
      <c r="J623" s="60">
        <f>ROUND(F620*G623,4)</f>
        <v>12.975300000000001</v>
      </c>
      <c r="K623" s="60"/>
      <c r="L623" s="60"/>
    </row>
    <row r="624" spans="1:12" x14ac:dyDescent="0.25">
      <c r="A624" s="168"/>
      <c r="B624" s="144" t="str">
        <f>'Vật liệu'!B142</f>
        <v>V05207</v>
      </c>
      <c r="C624" s="34">
        <v>416</v>
      </c>
      <c r="D624" s="144" t="str">
        <f>" - " &amp; 'Vật liệu'!D142</f>
        <v xml:space="preserve"> - Đá 1x2</v>
      </c>
      <c r="E624" s="168" t="str">
        <f>'Vật liệu'!E142</f>
        <v>m3</v>
      </c>
      <c r="F624" s="60"/>
      <c r="G624" s="60">
        <v>0.8851</v>
      </c>
      <c r="H624" s="60"/>
      <c r="I624" s="60"/>
      <c r="J624" s="60">
        <f>ROUND(F620*G624,4)</f>
        <v>24.7562</v>
      </c>
      <c r="K624" s="60"/>
      <c r="L624" s="60"/>
    </row>
    <row r="625" spans="1:12" x14ac:dyDescent="0.25">
      <c r="A625" s="168"/>
      <c r="B625" s="144" t="str">
        <f>'Vật liệu'!B353</f>
        <v>V00494</v>
      </c>
      <c r="C625" s="34">
        <v>148</v>
      </c>
      <c r="D625" s="144" t="str">
        <f>" - " &amp; 'Vật liệu'!D353</f>
        <v xml:space="preserve"> - Nước</v>
      </c>
      <c r="E625" s="168" t="str">
        <f>'Vật liệu'!E353</f>
        <v>lít</v>
      </c>
      <c r="F625" s="60"/>
      <c r="G625" s="60">
        <v>187.77500000000001</v>
      </c>
      <c r="H625" s="60"/>
      <c r="I625" s="60"/>
      <c r="J625" s="60">
        <f>ROUND(F620*G625,4)</f>
        <v>5252.0667999999996</v>
      </c>
      <c r="K625" s="60"/>
      <c r="L625" s="60"/>
    </row>
    <row r="626" spans="1:12" x14ac:dyDescent="0.25">
      <c r="A626" s="168"/>
      <c r="B626" s="144" t="str">
        <f>'Vật liệu'!B766</f>
        <v>V00750</v>
      </c>
      <c r="C626" s="34">
        <v>217</v>
      </c>
      <c r="D626" s="144" t="str">
        <f>" - " &amp; 'Vật liệu'!D766</f>
        <v xml:space="preserve"> - Vật liệu khác</v>
      </c>
      <c r="E626" s="168" t="str">
        <f>'Vật liệu'!E766</f>
        <v>%</v>
      </c>
      <c r="F626" s="60"/>
      <c r="G626" s="60">
        <v>0.5</v>
      </c>
      <c r="H626" s="60"/>
      <c r="I626" s="60"/>
      <c r="J626" s="60"/>
      <c r="K626" s="60"/>
      <c r="L626" s="60"/>
    </row>
    <row r="627" spans="1:12" x14ac:dyDescent="0.25">
      <c r="A627" s="56"/>
      <c r="B627" s="23"/>
      <c r="C627" s="88"/>
      <c r="D627" s="23" t="s">
        <v>202</v>
      </c>
      <c r="E627" s="56"/>
      <c r="F627" s="118"/>
      <c r="G627" s="118"/>
      <c r="H627" s="118"/>
      <c r="I627" s="118"/>
      <c r="J627" s="118"/>
      <c r="K627" s="118"/>
      <c r="L627" s="118"/>
    </row>
    <row r="628" spans="1:12" x14ac:dyDescent="0.25">
      <c r="A628" s="168"/>
      <c r="B628" s="144" t="str">
        <f>'Nhân công'!B6</f>
        <v>N0006</v>
      </c>
      <c r="C628" s="34">
        <v>545</v>
      </c>
      <c r="D628" s="144" t="s">
        <v>256</v>
      </c>
      <c r="E628" s="168" t="str">
        <f>'Nhân công'!G6</f>
        <v>công</v>
      </c>
      <c r="F628" s="60"/>
      <c r="G628" s="60"/>
      <c r="H628" s="60">
        <v>3.75</v>
      </c>
      <c r="I628" s="60"/>
      <c r="J628" s="60"/>
      <c r="K628" s="60">
        <f>ROUND(F620*H628,4)</f>
        <v>104.8875</v>
      </c>
      <c r="L628" s="60"/>
    </row>
    <row r="629" spans="1:12" x14ac:dyDescent="0.25">
      <c r="A629" s="56"/>
      <c r="B629" s="23"/>
      <c r="C629" s="88"/>
      <c r="D629" s="23" t="s">
        <v>378</v>
      </c>
      <c r="E629" s="56"/>
      <c r="F629" s="118"/>
      <c r="G629" s="118"/>
      <c r="H629" s="118"/>
      <c r="I629" s="118"/>
      <c r="J629" s="118"/>
      <c r="K629" s="118"/>
      <c r="L629" s="118"/>
    </row>
    <row r="630" spans="1:12" x14ac:dyDescent="0.25">
      <c r="A630" s="168"/>
      <c r="B630" s="144" t="str">
        <f>'Máy thi công'!B232</f>
        <v>M9571</v>
      </c>
      <c r="C630" s="34">
        <v>750</v>
      </c>
      <c r="D630" s="144" t="str">
        <f>" - " &amp; 'Máy thi công'!D232</f>
        <v xml:space="preserve"> - Máy đầm bê tông, dầm dùi - công suất: 1,5 kW</v>
      </c>
      <c r="E630" s="168" t="str">
        <f>'Máy thi công'!E232</f>
        <v>ca</v>
      </c>
      <c r="F630" s="60"/>
      <c r="G630" s="60"/>
      <c r="H630" s="60"/>
      <c r="I630" s="60">
        <v>0.12</v>
      </c>
      <c r="J630" s="60"/>
      <c r="K630" s="60"/>
      <c r="L630" s="60">
        <f>ROUND(F620*I630,4)</f>
        <v>3.3563999999999998</v>
      </c>
    </row>
    <row r="631" spans="1:12" x14ac:dyDescent="0.25">
      <c r="A631" s="168"/>
      <c r="B631" s="144" t="str">
        <f>'Máy thi công'!B306</f>
        <v>M9555</v>
      </c>
      <c r="C631" s="34">
        <v>744</v>
      </c>
      <c r="D631" s="144" t="str">
        <f>" - " &amp; 'Máy thi công'!D306</f>
        <v xml:space="preserve"> - Máy trộn bê tông - dung tích: 250 lít</v>
      </c>
      <c r="E631" s="168" t="str">
        <f>'Máy thi công'!E306</f>
        <v>ca</v>
      </c>
      <c r="F631" s="60"/>
      <c r="G631" s="60"/>
      <c r="H631" s="60"/>
      <c r="I631" s="60">
        <v>9.5000000000000001E-2</v>
      </c>
      <c r="J631" s="60"/>
      <c r="K631" s="60"/>
      <c r="L631" s="60">
        <f>ROUND(F620*I631,4)</f>
        <v>2.6572</v>
      </c>
    </row>
    <row r="632" spans="1:12" x14ac:dyDescent="0.25">
      <c r="A632" s="168"/>
      <c r="B632" s="144" t="str">
        <f>'Máy thi công'!B398</f>
        <v>M0111</v>
      </c>
      <c r="C632" s="34">
        <v>580</v>
      </c>
      <c r="D632" s="144" t="str">
        <f>" - " &amp; 'Máy thi công'!D398</f>
        <v xml:space="preserve"> - Máy khác</v>
      </c>
      <c r="E632" s="168" t="str">
        <f>'Máy thi công'!E398</f>
        <v>%</v>
      </c>
      <c r="F632" s="60"/>
      <c r="G632" s="60"/>
      <c r="H632" s="60"/>
      <c r="I632" s="60">
        <v>10</v>
      </c>
      <c r="J632" s="60"/>
      <c r="K632" s="60"/>
      <c r="L632" s="60"/>
    </row>
    <row r="633" spans="1:12" ht="28.5" x14ac:dyDescent="0.25">
      <c r="A633" s="65">
        <f>'Công trình'!A80</f>
        <v>62</v>
      </c>
      <c r="B633" s="14" t="str">
        <f>'Công trình'!B80</f>
        <v>AG.13111</v>
      </c>
      <c r="C633" s="94"/>
      <c r="D633" s="14" t="str">
        <f>'Công trình'!C80</f>
        <v>Sản xuất, lắp dựng cốt thép BT đúc sẵn cọc, đường kính &lt;=10mm</v>
      </c>
      <c r="E633" s="46" t="str">
        <f>'Công trình'!D80</f>
        <v>tấn</v>
      </c>
      <c r="F633" s="106">
        <f>'Công trình'!K80</f>
        <v>1.1830000000000001</v>
      </c>
      <c r="G633" s="126"/>
      <c r="H633" s="126"/>
      <c r="I633" s="126"/>
      <c r="J633" s="126"/>
      <c r="K633" s="126"/>
      <c r="L633" s="126"/>
    </row>
    <row r="634" spans="1:12" x14ac:dyDescent="0.25">
      <c r="A634" s="56"/>
      <c r="B634" s="23"/>
      <c r="C634" s="88"/>
      <c r="D634" s="23" t="s">
        <v>479</v>
      </c>
      <c r="E634" s="56"/>
      <c r="F634" s="118"/>
      <c r="G634" s="118"/>
      <c r="H634" s="118"/>
      <c r="I634" s="118"/>
      <c r="J634" s="118"/>
      <c r="K634" s="118"/>
      <c r="L634" s="118"/>
    </row>
    <row r="635" spans="1:12" x14ac:dyDescent="0.25">
      <c r="A635" s="168"/>
      <c r="B635" s="144" t="str">
        <f>'Vật liệu'!B221</f>
        <v>V00226</v>
      </c>
      <c r="C635" s="34">
        <v>135</v>
      </c>
      <c r="D635" s="144" t="str">
        <f>" - " &amp; 'Vật liệu'!D221</f>
        <v xml:space="preserve"> - Dây thép</v>
      </c>
      <c r="E635" s="168" t="str">
        <f>'Vật liệu'!E221</f>
        <v>kg</v>
      </c>
      <c r="F635" s="60"/>
      <c r="G635" s="60">
        <v>21.42</v>
      </c>
      <c r="H635" s="60"/>
      <c r="I635" s="60"/>
      <c r="J635" s="60">
        <f>ROUND(F633*G635,4)</f>
        <v>25.3399</v>
      </c>
      <c r="K635" s="60"/>
      <c r="L635" s="60"/>
    </row>
    <row r="636" spans="1:12" x14ac:dyDescent="0.25">
      <c r="A636" s="168"/>
      <c r="B636" s="144" t="str">
        <f>'Vật liệu'!B650</f>
        <v>V48494</v>
      </c>
      <c r="C636" s="34">
        <v>484</v>
      </c>
      <c r="D636" s="144" t="str">
        <f>" - " &amp; 'Vật liệu'!D650</f>
        <v xml:space="preserve"> - Thép tròn đường kính &lt;=10 mm</v>
      </c>
      <c r="E636" s="168" t="str">
        <f>'Vật liệu'!E650</f>
        <v>kg</v>
      </c>
      <c r="F636" s="60"/>
      <c r="G636" s="60">
        <v>1005</v>
      </c>
      <c r="H636" s="60"/>
      <c r="I636" s="60"/>
      <c r="J636" s="60">
        <f>ROUND(F633*G636,4)</f>
        <v>1188.915</v>
      </c>
      <c r="K636" s="60"/>
      <c r="L636" s="60"/>
    </row>
    <row r="637" spans="1:12" x14ac:dyDescent="0.25">
      <c r="A637" s="56"/>
      <c r="B637" s="23"/>
      <c r="C637" s="88"/>
      <c r="D637" s="23" t="s">
        <v>202</v>
      </c>
      <c r="E637" s="56"/>
      <c r="F637" s="118"/>
      <c r="G637" s="118"/>
      <c r="H637" s="118"/>
      <c r="I637" s="118"/>
      <c r="J637" s="118"/>
      <c r="K637" s="118"/>
      <c r="L637" s="118"/>
    </row>
    <row r="638" spans="1:12" x14ac:dyDescent="0.25">
      <c r="A638" s="168"/>
      <c r="B638" s="144" t="str">
        <f>'Nhân công'!B45</f>
        <v>N0009</v>
      </c>
      <c r="C638" s="34">
        <v>546</v>
      </c>
      <c r="D638" s="144" t="s">
        <v>1052</v>
      </c>
      <c r="E638" s="168" t="str">
        <f>'Nhân công'!G45</f>
        <v>công</v>
      </c>
      <c r="F638" s="60"/>
      <c r="G638" s="60"/>
      <c r="H638" s="60">
        <v>14.25</v>
      </c>
      <c r="I638" s="60"/>
      <c r="J638" s="60"/>
      <c r="K638" s="60">
        <f>ROUND(F633*H638,4)</f>
        <v>16.857800000000001</v>
      </c>
      <c r="L638" s="60"/>
    </row>
    <row r="639" spans="1:12" x14ac:dyDescent="0.25">
      <c r="A639" s="56"/>
      <c r="B639" s="23"/>
      <c r="C639" s="88"/>
      <c r="D639" s="23" t="s">
        <v>378</v>
      </c>
      <c r="E639" s="56"/>
      <c r="F639" s="118"/>
      <c r="G639" s="118"/>
      <c r="H639" s="118"/>
      <c r="I639" s="118"/>
      <c r="J639" s="118"/>
      <c r="K639" s="118"/>
      <c r="L639" s="118"/>
    </row>
    <row r="640" spans="1:12" x14ac:dyDescent="0.25">
      <c r="A640" s="168"/>
      <c r="B640" s="144" t="str">
        <f>'Máy thi công'!B184</f>
        <v>M9521</v>
      </c>
      <c r="C640" s="34">
        <v>737</v>
      </c>
      <c r="D640" s="144" t="str">
        <f>" - " &amp; 'Máy thi công'!D184</f>
        <v xml:space="preserve"> - Máy cắt uốn cốt thép - công suất: 5 kW</v>
      </c>
      <c r="E640" s="168" t="str">
        <f>'Máy thi công'!E184</f>
        <v>ca</v>
      </c>
      <c r="F640" s="60"/>
      <c r="G640" s="60"/>
      <c r="H640" s="60"/>
      <c r="I640" s="60">
        <v>0.4</v>
      </c>
      <c r="J640" s="60"/>
      <c r="K640" s="60"/>
      <c r="L640" s="60">
        <f>ROUND(F633*I640,4)</f>
        <v>0.47320000000000001</v>
      </c>
    </row>
    <row r="641" spans="1:12" ht="28.5" x14ac:dyDescent="0.25">
      <c r="A641" s="65">
        <f>'Công trình'!A81</f>
        <v>63</v>
      </c>
      <c r="B641" s="14" t="str">
        <f>'Công trình'!B81</f>
        <v>AG.13121</v>
      </c>
      <c r="C641" s="94"/>
      <c r="D641" s="14" t="str">
        <f>'Công trình'!C81</f>
        <v>Sản xuất, lắp dựng cốt thép BT đúc sẵn cọc, đường kính &lt;=18mm</v>
      </c>
      <c r="E641" s="46" t="str">
        <f>'Công trình'!D81</f>
        <v>tấn</v>
      </c>
      <c r="F641" s="106">
        <f>'Công trình'!K81</f>
        <v>0.2286</v>
      </c>
      <c r="G641" s="126"/>
      <c r="H641" s="126"/>
      <c r="I641" s="126"/>
      <c r="J641" s="126"/>
      <c r="K641" s="126"/>
      <c r="L641" s="126"/>
    </row>
    <row r="642" spans="1:12" x14ac:dyDescent="0.25">
      <c r="A642" s="56"/>
      <c r="B642" s="23"/>
      <c r="C642" s="88"/>
      <c r="D642" s="23" t="s">
        <v>479</v>
      </c>
      <c r="E642" s="56"/>
      <c r="F642" s="118"/>
      <c r="G642" s="118"/>
      <c r="H642" s="118"/>
      <c r="I642" s="118"/>
      <c r="J642" s="118"/>
      <c r="K642" s="118"/>
      <c r="L642" s="118"/>
    </row>
    <row r="643" spans="1:12" x14ac:dyDescent="0.25">
      <c r="A643" s="168"/>
      <c r="B643" s="144" t="str">
        <f>'Vật liệu'!B450</f>
        <v>V00515</v>
      </c>
      <c r="C643" s="34">
        <v>154</v>
      </c>
      <c r="D643" s="144" t="str">
        <f>" - " &amp; 'Vật liệu'!D450</f>
        <v xml:space="preserve"> - Que hàn</v>
      </c>
      <c r="E643" s="168" t="str">
        <f>'Vật liệu'!E450</f>
        <v>kg</v>
      </c>
      <c r="F643" s="60"/>
      <c r="G643" s="60">
        <v>4.7</v>
      </c>
      <c r="H643" s="60"/>
      <c r="I643" s="60"/>
      <c r="J643" s="60">
        <f>ROUND(F641*G643,4)</f>
        <v>1.0744</v>
      </c>
      <c r="K643" s="60"/>
      <c r="L643" s="60"/>
    </row>
    <row r="644" spans="1:12" x14ac:dyDescent="0.25">
      <c r="A644" s="168"/>
      <c r="B644" s="144" t="str">
        <f>'Vật liệu'!B221</f>
        <v>V00226</v>
      </c>
      <c r="C644" s="34">
        <v>135</v>
      </c>
      <c r="D644" s="144" t="str">
        <f>" - " &amp; 'Vật liệu'!D221</f>
        <v xml:space="preserve"> - Dây thép</v>
      </c>
      <c r="E644" s="168" t="str">
        <f>'Vật liệu'!E221</f>
        <v>kg</v>
      </c>
      <c r="F644" s="60"/>
      <c r="G644" s="60">
        <v>14.28</v>
      </c>
      <c r="H644" s="60"/>
      <c r="I644" s="60"/>
      <c r="J644" s="60">
        <f>ROUND(F641*G644,4)</f>
        <v>3.2644000000000002</v>
      </c>
      <c r="K644" s="60"/>
      <c r="L644" s="60"/>
    </row>
    <row r="645" spans="1:12" x14ac:dyDescent="0.25">
      <c r="A645" s="168"/>
      <c r="B645" s="144" t="str">
        <f>'Vật liệu'!B665</f>
        <v>V48495</v>
      </c>
      <c r="C645" s="34">
        <v>485</v>
      </c>
      <c r="D645" s="144" t="str">
        <f>" - " &amp; 'Vật liệu'!D665</f>
        <v xml:space="preserve"> - Thép tròn đường kính &lt;=18mm</v>
      </c>
      <c r="E645" s="168" t="str">
        <f>'Vật liệu'!E665</f>
        <v>kg</v>
      </c>
      <c r="F645" s="60"/>
      <c r="G645" s="60">
        <v>1020</v>
      </c>
      <c r="H645" s="60"/>
      <c r="I645" s="60"/>
      <c r="J645" s="60">
        <f>ROUND(F641*G645,4)</f>
        <v>233.172</v>
      </c>
      <c r="K645" s="60"/>
      <c r="L645" s="60"/>
    </row>
    <row r="646" spans="1:12" x14ac:dyDescent="0.25">
      <c r="A646" s="56"/>
      <c r="B646" s="23"/>
      <c r="C646" s="88"/>
      <c r="D646" s="23" t="s">
        <v>202</v>
      </c>
      <c r="E646" s="56"/>
      <c r="F646" s="118"/>
      <c r="G646" s="118"/>
      <c r="H646" s="118"/>
      <c r="I646" s="118"/>
      <c r="J646" s="118"/>
      <c r="K646" s="118"/>
      <c r="L646" s="118"/>
    </row>
    <row r="647" spans="1:12" x14ac:dyDescent="0.25">
      <c r="A647" s="168"/>
      <c r="B647" s="144" t="str">
        <f>'Nhân công'!B45</f>
        <v>N0009</v>
      </c>
      <c r="C647" s="34">
        <v>546</v>
      </c>
      <c r="D647" s="144" t="s">
        <v>1052</v>
      </c>
      <c r="E647" s="168" t="str">
        <f>'Nhân công'!G45</f>
        <v>công</v>
      </c>
      <c r="F647" s="60"/>
      <c r="G647" s="60"/>
      <c r="H647" s="60">
        <v>7.82</v>
      </c>
      <c r="I647" s="60"/>
      <c r="J647" s="60"/>
      <c r="K647" s="60">
        <f>ROUND(F641*H647,4)</f>
        <v>1.7877000000000001</v>
      </c>
      <c r="L647" s="60"/>
    </row>
    <row r="648" spans="1:12" x14ac:dyDescent="0.25">
      <c r="A648" s="56"/>
      <c r="B648" s="23"/>
      <c r="C648" s="88"/>
      <c r="D648" s="23" t="s">
        <v>378</v>
      </c>
      <c r="E648" s="56"/>
      <c r="F648" s="118"/>
      <c r="G648" s="118"/>
      <c r="H648" s="118"/>
      <c r="I648" s="118"/>
      <c r="J648" s="118"/>
      <c r="K648" s="118"/>
      <c r="L648" s="118"/>
    </row>
    <row r="649" spans="1:12" x14ac:dyDescent="0.25">
      <c r="A649" s="168"/>
      <c r="B649" s="144" t="str">
        <f>'Máy thi công'!B184</f>
        <v>M9521</v>
      </c>
      <c r="C649" s="34">
        <v>737</v>
      </c>
      <c r="D649" s="144" t="str">
        <f>" - " &amp; 'Máy thi công'!D184</f>
        <v xml:space="preserve"> - Máy cắt uốn cốt thép - công suất: 5 kW</v>
      </c>
      <c r="E649" s="168" t="str">
        <f>'Máy thi công'!E184</f>
        <v>ca</v>
      </c>
      <c r="F649" s="60"/>
      <c r="G649" s="60"/>
      <c r="H649" s="60"/>
      <c r="I649" s="60">
        <v>0.32</v>
      </c>
      <c r="J649" s="60"/>
      <c r="K649" s="60"/>
      <c r="L649" s="60">
        <f>ROUND(F641*I649,4)</f>
        <v>7.3200000000000001E-2</v>
      </c>
    </row>
    <row r="650" spans="1:12" x14ac:dyDescent="0.25">
      <c r="A650" s="168"/>
      <c r="B650" s="144" t="str">
        <f>'Máy thi công'!B6</f>
        <v>M9438</v>
      </c>
      <c r="C650" s="34">
        <v>714</v>
      </c>
      <c r="D650" s="144" t="str">
        <f>" - " &amp; 'Máy thi công'!D6</f>
        <v xml:space="preserve"> - Biến thế hàn xoay chiều - công suất: 23 kW</v>
      </c>
      <c r="E650" s="168" t="str">
        <f>'Máy thi công'!E6</f>
        <v>ca</v>
      </c>
      <c r="F650" s="60"/>
      <c r="G650" s="60"/>
      <c r="H650" s="60"/>
      <c r="I650" s="60">
        <v>1.133</v>
      </c>
      <c r="J650" s="60"/>
      <c r="K650" s="60"/>
      <c r="L650" s="60">
        <f>ROUND(F641*I650,4)</f>
        <v>0.25900000000000001</v>
      </c>
    </row>
    <row r="651" spans="1:12" ht="28.5" x14ac:dyDescent="0.25">
      <c r="A651" s="65">
        <f>'Công trình'!A82</f>
        <v>64</v>
      </c>
      <c r="B651" s="14" t="str">
        <f>'Công trình'!B82</f>
        <v>AG.13131</v>
      </c>
      <c r="C651" s="94"/>
      <c r="D651" s="14" t="str">
        <f>'Công trình'!C82</f>
        <v>Sản xuất, lắp dựng cốt thép BT đúc sẵn cọc, đường kính &gt;18mm</v>
      </c>
      <c r="E651" s="46" t="str">
        <f>'Công trình'!D82</f>
        <v>tấn</v>
      </c>
      <c r="F651" s="106">
        <f>'Công trình'!K82</f>
        <v>6.6388999999999996</v>
      </c>
      <c r="G651" s="126"/>
      <c r="H651" s="126"/>
      <c r="I651" s="126"/>
      <c r="J651" s="126"/>
      <c r="K651" s="126"/>
      <c r="L651" s="126"/>
    </row>
    <row r="652" spans="1:12" x14ac:dyDescent="0.25">
      <c r="A652" s="56"/>
      <c r="B652" s="23"/>
      <c r="C652" s="88"/>
      <c r="D652" s="23" t="s">
        <v>479</v>
      </c>
      <c r="E652" s="56"/>
      <c r="F652" s="118"/>
      <c r="G652" s="118"/>
      <c r="H652" s="118"/>
      <c r="I652" s="118"/>
      <c r="J652" s="118"/>
      <c r="K652" s="118"/>
      <c r="L652" s="118"/>
    </row>
    <row r="653" spans="1:12" x14ac:dyDescent="0.25">
      <c r="A653" s="168"/>
      <c r="B653" s="144" t="str">
        <f>'Vật liệu'!B450</f>
        <v>V00515</v>
      </c>
      <c r="C653" s="34">
        <v>154</v>
      </c>
      <c r="D653" s="144" t="str">
        <f>" - " &amp; 'Vật liệu'!D450</f>
        <v xml:space="preserve"> - Que hàn</v>
      </c>
      <c r="E653" s="168" t="str">
        <f>'Vật liệu'!E450</f>
        <v>kg</v>
      </c>
      <c r="F653" s="60"/>
      <c r="G653" s="60">
        <v>4.7</v>
      </c>
      <c r="H653" s="60"/>
      <c r="I653" s="60"/>
      <c r="J653" s="60">
        <f>ROUND(F651*G653,4)</f>
        <v>31.2028</v>
      </c>
      <c r="K653" s="60"/>
      <c r="L653" s="60"/>
    </row>
    <row r="654" spans="1:12" x14ac:dyDescent="0.25">
      <c r="A654" s="168"/>
      <c r="B654" s="144" t="str">
        <f>'Vật liệu'!B221</f>
        <v>V00226</v>
      </c>
      <c r="C654" s="34">
        <v>135</v>
      </c>
      <c r="D654" s="144" t="str">
        <f>" - " &amp; 'Vật liệu'!D221</f>
        <v xml:space="preserve"> - Dây thép</v>
      </c>
      <c r="E654" s="168" t="str">
        <f>'Vật liệu'!E221</f>
        <v>kg</v>
      </c>
      <c r="F654" s="60"/>
      <c r="G654" s="60">
        <v>14.28</v>
      </c>
      <c r="H654" s="60"/>
      <c r="I654" s="60"/>
      <c r="J654" s="60">
        <f>ROUND(F651*G654,4)</f>
        <v>94.8035</v>
      </c>
      <c r="K654" s="60"/>
      <c r="L654" s="60"/>
    </row>
    <row r="655" spans="1:12" x14ac:dyDescent="0.25">
      <c r="A655" s="168"/>
      <c r="B655" s="144" t="str">
        <f>'Vật liệu'!B689</f>
        <v>V48498</v>
      </c>
      <c r="C655" s="34">
        <v>488</v>
      </c>
      <c r="D655" s="144" t="str">
        <f>" - " &amp; 'Vật liệu'!D689</f>
        <v xml:space="preserve"> - Thép tròn đường kính &gt;18mm</v>
      </c>
      <c r="E655" s="168" t="str">
        <f>'Vật liệu'!E689</f>
        <v>kg</v>
      </c>
      <c r="F655" s="60"/>
      <c r="G655" s="60">
        <v>1020</v>
      </c>
      <c r="H655" s="60"/>
      <c r="I655" s="60"/>
      <c r="J655" s="60">
        <f>ROUND(F651*G655,4)</f>
        <v>6771.6779999999999</v>
      </c>
      <c r="K655" s="60"/>
      <c r="L655" s="60"/>
    </row>
    <row r="656" spans="1:12" x14ac:dyDescent="0.25">
      <c r="A656" s="56"/>
      <c r="B656" s="23"/>
      <c r="C656" s="88"/>
      <c r="D656" s="23" t="s">
        <v>202</v>
      </c>
      <c r="E656" s="56"/>
      <c r="F656" s="118"/>
      <c r="G656" s="118"/>
      <c r="H656" s="118"/>
      <c r="I656" s="118"/>
      <c r="J656" s="118"/>
      <c r="K656" s="118"/>
      <c r="L656" s="118"/>
    </row>
    <row r="657" spans="1:12" x14ac:dyDescent="0.25">
      <c r="A657" s="168"/>
      <c r="B657" s="144" t="str">
        <f>'Nhân công'!B45</f>
        <v>N0009</v>
      </c>
      <c r="C657" s="34">
        <v>546</v>
      </c>
      <c r="D657" s="144" t="s">
        <v>1052</v>
      </c>
      <c r="E657" s="168" t="str">
        <f>'Nhân công'!G45</f>
        <v>công</v>
      </c>
      <c r="F657" s="60"/>
      <c r="G657" s="60"/>
      <c r="H657" s="60">
        <v>7.49</v>
      </c>
      <c r="I657" s="60"/>
      <c r="J657" s="60"/>
      <c r="K657" s="60">
        <f>ROUND(F651*H657,4)</f>
        <v>49.7254</v>
      </c>
      <c r="L657" s="60"/>
    </row>
    <row r="658" spans="1:12" x14ac:dyDescent="0.25">
      <c r="A658" s="56"/>
      <c r="B658" s="23"/>
      <c r="C658" s="88"/>
      <c r="D658" s="23" t="s">
        <v>378</v>
      </c>
      <c r="E658" s="56"/>
      <c r="F658" s="118"/>
      <c r="G658" s="118"/>
      <c r="H658" s="118"/>
      <c r="I658" s="118"/>
      <c r="J658" s="118"/>
      <c r="K658" s="118"/>
      <c r="L658" s="118"/>
    </row>
    <row r="659" spans="1:12" x14ac:dyDescent="0.25">
      <c r="A659" s="168"/>
      <c r="B659" s="144" t="str">
        <f>'Máy thi công'!B184</f>
        <v>M9521</v>
      </c>
      <c r="C659" s="34">
        <v>737</v>
      </c>
      <c r="D659" s="144" t="str">
        <f>" - " &amp; 'Máy thi công'!D184</f>
        <v xml:space="preserve"> - Máy cắt uốn cốt thép - công suất: 5 kW</v>
      </c>
      <c r="E659" s="168" t="str">
        <f>'Máy thi công'!E184</f>
        <v>ca</v>
      </c>
      <c r="F659" s="60"/>
      <c r="G659" s="60"/>
      <c r="H659" s="60"/>
      <c r="I659" s="60">
        <v>0.16</v>
      </c>
      <c r="J659" s="60"/>
      <c r="K659" s="60"/>
      <c r="L659" s="60">
        <f>ROUND(F651*I659,4)</f>
        <v>1.0622</v>
      </c>
    </row>
    <row r="660" spans="1:12" x14ac:dyDescent="0.25">
      <c r="A660" s="168"/>
      <c r="B660" s="144" t="str">
        <f>'Máy thi công'!B6</f>
        <v>M9438</v>
      </c>
      <c r="C660" s="34">
        <v>714</v>
      </c>
      <c r="D660" s="144" t="str">
        <f>" - " &amp; 'Máy thi công'!D6</f>
        <v xml:space="preserve"> - Biến thế hàn xoay chiều - công suất: 23 kW</v>
      </c>
      <c r="E660" s="168" t="str">
        <f>'Máy thi công'!E6</f>
        <v>ca</v>
      </c>
      <c r="F660" s="60"/>
      <c r="G660" s="60"/>
      <c r="H660" s="60"/>
      <c r="I660" s="60">
        <v>1.093</v>
      </c>
      <c r="J660" s="60"/>
      <c r="K660" s="60"/>
      <c r="L660" s="60">
        <f>ROUND(F651*I660,4)</f>
        <v>7.2563000000000004</v>
      </c>
    </row>
    <row r="661" spans="1:12" ht="28.5" x14ac:dyDescent="0.25">
      <c r="A661" s="65">
        <f>'Công trình'!A83</f>
        <v>65</v>
      </c>
      <c r="B661" s="14" t="str">
        <f>'Công trình'!B83</f>
        <v>AI.13111</v>
      </c>
      <c r="C661" s="94"/>
      <c r="D661" s="14" t="str">
        <f>'Công trình'!C83</f>
        <v>Sản xuất cấu kiện thép đặt sẵn trong bê tông, khối lượng &lt;=10kg/cấu kiện</v>
      </c>
      <c r="E661" s="46" t="str">
        <f>'Công trình'!D83</f>
        <v>tấn</v>
      </c>
      <c r="F661" s="106">
        <f>'Công trình'!K83</f>
        <v>0.51229999999999998</v>
      </c>
      <c r="G661" s="126"/>
      <c r="H661" s="126"/>
      <c r="I661" s="126"/>
      <c r="J661" s="126"/>
      <c r="K661" s="126"/>
      <c r="L661" s="126"/>
    </row>
    <row r="662" spans="1:12" x14ac:dyDescent="0.25">
      <c r="A662" s="56"/>
      <c r="B662" s="23"/>
      <c r="C662" s="88"/>
      <c r="D662" s="23" t="s">
        <v>479</v>
      </c>
      <c r="E662" s="56"/>
      <c r="F662" s="118"/>
      <c r="G662" s="118"/>
      <c r="H662" s="118"/>
      <c r="I662" s="118"/>
      <c r="J662" s="118"/>
      <c r="K662" s="118"/>
      <c r="L662" s="118"/>
    </row>
    <row r="663" spans="1:12" x14ac:dyDescent="0.25">
      <c r="A663" s="168"/>
      <c r="B663" s="144" t="str">
        <f>'Vật liệu'!B186</f>
        <v>V00824</v>
      </c>
      <c r="C663" s="34">
        <v>407</v>
      </c>
      <c r="D663" s="144" t="str">
        <f>" - " &amp; 'Vật liệu'!D186</f>
        <v xml:space="preserve"> - Đá mài</v>
      </c>
      <c r="E663" s="168" t="str">
        <f>'Vật liệu'!E186</f>
        <v>viên</v>
      </c>
      <c r="F663" s="60"/>
      <c r="G663" s="60">
        <v>0.7</v>
      </c>
      <c r="H663" s="60"/>
      <c r="I663" s="60"/>
      <c r="J663" s="60">
        <f>ROUND(F661*G663,4)</f>
        <v>0.35859999999999997</v>
      </c>
      <c r="K663" s="60"/>
      <c r="L663" s="60"/>
    </row>
    <row r="664" spans="1:12" x14ac:dyDescent="0.25">
      <c r="A664" s="168"/>
      <c r="B664" s="144" t="str">
        <f>'Vật liệu'!B450</f>
        <v>V00515</v>
      </c>
      <c r="C664" s="34">
        <v>154</v>
      </c>
      <c r="D664" s="144" t="str">
        <f>" - " &amp; 'Vật liệu'!D450</f>
        <v xml:space="preserve"> - Que hàn</v>
      </c>
      <c r="E664" s="168" t="str">
        <f>'Vật liệu'!E450</f>
        <v>kg</v>
      </c>
      <c r="F664" s="60"/>
      <c r="G664" s="60">
        <v>19.38</v>
      </c>
      <c r="H664" s="60"/>
      <c r="I664" s="60"/>
      <c r="J664" s="60">
        <f>ROUND(F661*G664,4)</f>
        <v>9.9283999999999999</v>
      </c>
      <c r="K664" s="60"/>
      <c r="L664" s="60"/>
    </row>
    <row r="665" spans="1:12" x14ac:dyDescent="0.25">
      <c r="A665" s="168"/>
      <c r="B665" s="144" t="str">
        <f>'Vật liệu'!B200</f>
        <v>V00833</v>
      </c>
      <c r="C665" s="34">
        <v>411</v>
      </c>
      <c r="D665" s="144" t="str">
        <f>" - " &amp; 'Vật liệu'!D200</f>
        <v xml:space="preserve"> - Đất đèn</v>
      </c>
      <c r="E665" s="168" t="str">
        <f>'Vật liệu'!E200</f>
        <v>kg</v>
      </c>
      <c r="F665" s="60"/>
      <c r="G665" s="60">
        <v>14.8</v>
      </c>
      <c r="H665" s="60"/>
      <c r="I665" s="60"/>
      <c r="J665" s="60">
        <f>ROUND(F661*G665,4)</f>
        <v>7.5819999999999999</v>
      </c>
      <c r="K665" s="60"/>
      <c r="L665" s="60"/>
    </row>
    <row r="666" spans="1:12" x14ac:dyDescent="0.25">
      <c r="A666" s="168"/>
      <c r="B666" s="144" t="str">
        <f>'Vật liệu'!B606</f>
        <v>V00671</v>
      </c>
      <c r="C666" s="34">
        <v>166</v>
      </c>
      <c r="D666" s="144" t="str">
        <f>" - " &amp; 'Vật liệu'!D606</f>
        <v xml:space="preserve"> - Thép tấm</v>
      </c>
      <c r="E666" s="168" t="str">
        <f>'Vật liệu'!E606</f>
        <v>kg</v>
      </c>
      <c r="F666" s="60"/>
      <c r="G666" s="60">
        <v>825</v>
      </c>
      <c r="H666" s="60"/>
      <c r="I666" s="60"/>
      <c r="J666" s="60">
        <f>ROUND(F661*G666,4)</f>
        <v>422.64749999999998</v>
      </c>
      <c r="K666" s="60"/>
      <c r="L666" s="60"/>
    </row>
    <row r="667" spans="1:12" x14ac:dyDescent="0.25">
      <c r="A667" s="168"/>
      <c r="B667" s="144" t="str">
        <f>'Vật liệu'!B684</f>
        <v>V48497</v>
      </c>
      <c r="C667" s="34">
        <v>487</v>
      </c>
      <c r="D667" s="144" t="str">
        <f>" - " &amp; 'Vật liệu'!D684</f>
        <v xml:space="preserve"> - Thép tròn đường kính &gt;14</v>
      </c>
      <c r="E667" s="168" t="str">
        <f>'Vật liệu'!E684</f>
        <v>kg</v>
      </c>
      <c r="F667" s="60"/>
      <c r="G667" s="60">
        <v>275.5</v>
      </c>
      <c r="H667" s="60"/>
      <c r="I667" s="60"/>
      <c r="J667" s="60">
        <f>ROUND(F661*G667,4)</f>
        <v>141.1387</v>
      </c>
      <c r="K667" s="60"/>
      <c r="L667" s="60"/>
    </row>
    <row r="668" spans="1:12" x14ac:dyDescent="0.25">
      <c r="A668" s="168"/>
      <c r="B668" s="144" t="str">
        <f>'Vật liệu'!B401</f>
        <v>V00770</v>
      </c>
      <c r="C668" s="34">
        <v>400</v>
      </c>
      <c r="D668" s="144" t="str">
        <f>" - " &amp; 'Vật liệu'!D401</f>
        <v xml:space="preserve"> - Ô xy</v>
      </c>
      <c r="E668" s="168" t="str">
        <f>'Vật liệu'!E401</f>
        <v>Chai</v>
      </c>
      <c r="F668" s="60"/>
      <c r="G668" s="60">
        <v>3.3</v>
      </c>
      <c r="H668" s="60"/>
      <c r="I668" s="60"/>
      <c r="J668" s="60">
        <f>ROUND(F661*G668,4)</f>
        <v>1.6906000000000001</v>
      </c>
      <c r="K668" s="60"/>
      <c r="L668" s="60"/>
    </row>
    <row r="669" spans="1:12" x14ac:dyDescent="0.25">
      <c r="A669" s="168"/>
      <c r="B669" s="144" t="str">
        <f>'Vật liệu'!B766</f>
        <v>V00750</v>
      </c>
      <c r="C669" s="34">
        <v>218</v>
      </c>
      <c r="D669" s="144" t="str">
        <f>" - " &amp; 'Vật liệu'!D766</f>
        <v xml:space="preserve"> - Vật liệu khác</v>
      </c>
      <c r="E669" s="168" t="str">
        <f>'Vật liệu'!E766</f>
        <v>%</v>
      </c>
      <c r="F669" s="60"/>
      <c r="G669" s="60">
        <v>2.5</v>
      </c>
      <c r="H669" s="60"/>
      <c r="I669" s="60"/>
      <c r="J669" s="60"/>
      <c r="K669" s="60"/>
      <c r="L669" s="60"/>
    </row>
    <row r="670" spans="1:12" x14ac:dyDescent="0.25">
      <c r="A670" s="56"/>
      <c r="B670" s="23"/>
      <c r="C670" s="88"/>
      <c r="D670" s="23" t="s">
        <v>202</v>
      </c>
      <c r="E670" s="56"/>
      <c r="F670" s="118"/>
      <c r="G670" s="118"/>
      <c r="H670" s="118"/>
      <c r="I670" s="118"/>
      <c r="J670" s="118"/>
      <c r="K670" s="118"/>
      <c r="L670" s="118"/>
    </row>
    <row r="671" spans="1:12" x14ac:dyDescent="0.25">
      <c r="A671" s="168"/>
      <c r="B671" s="144" t="str">
        <f>'Nhân công'!B221</f>
        <v>N0013</v>
      </c>
      <c r="C671" s="34">
        <v>553</v>
      </c>
      <c r="D671" s="144" t="s">
        <v>275</v>
      </c>
      <c r="E671" s="168" t="str">
        <f>'Nhân công'!G221</f>
        <v>công</v>
      </c>
      <c r="F671" s="60"/>
      <c r="G671" s="60"/>
      <c r="H671" s="60">
        <v>34.9</v>
      </c>
      <c r="I671" s="60"/>
      <c r="J671" s="60"/>
      <c r="K671" s="60">
        <f>ROUND(F661*H671,4)</f>
        <v>17.879300000000001</v>
      </c>
      <c r="L671" s="60"/>
    </row>
    <row r="672" spans="1:12" x14ac:dyDescent="0.25">
      <c r="A672" s="56"/>
      <c r="B672" s="23"/>
      <c r="C672" s="88"/>
      <c r="D672" s="23" t="s">
        <v>378</v>
      </c>
      <c r="E672" s="56"/>
      <c r="F672" s="118"/>
      <c r="G672" s="118"/>
      <c r="H672" s="118"/>
      <c r="I672" s="118"/>
      <c r="J672" s="118"/>
      <c r="K672" s="118"/>
      <c r="L672" s="118"/>
    </row>
    <row r="673" spans="1:12" x14ac:dyDescent="0.25">
      <c r="A673" s="168"/>
      <c r="B673" s="144" t="str">
        <f>'Máy thi công'!B273</f>
        <v>M112.1501</v>
      </c>
      <c r="C673" s="34">
        <v>701</v>
      </c>
      <c r="D673" s="144" t="str">
        <f>" - " &amp; 'Máy thi công'!D273</f>
        <v xml:space="preserve"> - Máy khoan đứng - công suất: 2,5 kW</v>
      </c>
      <c r="E673" s="168" t="str">
        <f>'Máy thi công'!E273</f>
        <v>ca</v>
      </c>
      <c r="F673" s="60"/>
      <c r="G673" s="60"/>
      <c r="H673" s="60"/>
      <c r="I673" s="60">
        <v>1.55</v>
      </c>
      <c r="J673" s="60"/>
      <c r="K673" s="60"/>
      <c r="L673" s="60">
        <f>ROUND(F661*I673,4)</f>
        <v>0.79410000000000003</v>
      </c>
    </row>
    <row r="674" spans="1:12" x14ac:dyDescent="0.25">
      <c r="A674" s="168"/>
      <c r="B674" s="144" t="str">
        <f>'Máy thi công'!B6</f>
        <v>M9438</v>
      </c>
      <c r="C674" s="34">
        <v>714</v>
      </c>
      <c r="D674" s="144" t="str">
        <f>" - " &amp; 'Máy thi công'!D6</f>
        <v xml:space="preserve"> - Biến thế hàn xoay chiều - công suất: 23 kW</v>
      </c>
      <c r="E674" s="168" t="str">
        <f>'Máy thi công'!E6</f>
        <v>ca</v>
      </c>
      <c r="F674" s="60"/>
      <c r="G674" s="60"/>
      <c r="H674" s="60"/>
      <c r="I674" s="60">
        <v>3.23</v>
      </c>
      <c r="J674" s="60"/>
      <c r="K674" s="60"/>
      <c r="L674" s="60">
        <f>ROUND(F661*I674,4)</f>
        <v>1.6547000000000001</v>
      </c>
    </row>
    <row r="675" spans="1:12" x14ac:dyDescent="0.25">
      <c r="A675" s="168"/>
      <c r="B675" s="144" t="str">
        <f>'Máy thi công'!B285</f>
        <v>M112.3702</v>
      </c>
      <c r="C675" s="34">
        <v>705</v>
      </c>
      <c r="D675" s="144" t="str">
        <f>" - " &amp; 'Máy thi công'!D285</f>
        <v xml:space="preserve"> - Máy mài - công suất: 2,7 kW</v>
      </c>
      <c r="E675" s="168" t="str">
        <f>'Máy thi công'!E285</f>
        <v>ca</v>
      </c>
      <c r="F675" s="60"/>
      <c r="G675" s="60"/>
      <c r="H675" s="60"/>
      <c r="I675" s="60">
        <v>1.55</v>
      </c>
      <c r="J675" s="60"/>
      <c r="K675" s="60"/>
      <c r="L675" s="60">
        <f>ROUND(F661*I675,4)</f>
        <v>0.79410000000000003</v>
      </c>
    </row>
    <row r="676" spans="1:12" x14ac:dyDescent="0.25">
      <c r="A676" s="168"/>
      <c r="B676" s="144" t="str">
        <f>'Máy thi công'!B398</f>
        <v>M0111</v>
      </c>
      <c r="C676" s="34">
        <v>581</v>
      </c>
      <c r="D676" s="144" t="str">
        <f>" - " &amp; 'Máy thi công'!D398</f>
        <v xml:space="preserve"> - Máy khác</v>
      </c>
      <c r="E676" s="168" t="str">
        <f>'Máy thi công'!E398</f>
        <v>%</v>
      </c>
      <c r="F676" s="60"/>
      <c r="G676" s="60"/>
      <c r="H676" s="60"/>
      <c r="I676" s="60">
        <v>2</v>
      </c>
      <c r="J676" s="60"/>
      <c r="K676" s="60"/>
      <c r="L676" s="60"/>
    </row>
    <row r="677" spans="1:12" ht="28.5" x14ac:dyDescent="0.25">
      <c r="A677" s="65">
        <f>'Công trình'!A84</f>
        <v>66</v>
      </c>
      <c r="B677" s="14" t="str">
        <f>'Công trình'!B84</f>
        <v>AG.32321</v>
      </c>
      <c r="C677" s="94"/>
      <c r="D677" s="14" t="str">
        <f>'Công trình'!C84</f>
        <v>Sản xuất, lắp dựng, tháo dỡ ván khuôn thép bê tông đúc sẵn cọc</v>
      </c>
      <c r="E677" s="46" t="str">
        <f>'Công trình'!D84</f>
        <v>100m2</v>
      </c>
      <c r="F677" s="106">
        <f>'Công trình'!K84</f>
        <v>1.8752</v>
      </c>
      <c r="G677" s="126"/>
      <c r="H677" s="126"/>
      <c r="I677" s="126"/>
      <c r="J677" s="126"/>
      <c r="K677" s="126"/>
      <c r="L677" s="126"/>
    </row>
    <row r="678" spans="1:12" x14ac:dyDescent="0.25">
      <c r="A678" s="56"/>
      <c r="B678" s="23"/>
      <c r="C678" s="88"/>
      <c r="D678" s="23" t="s">
        <v>479</v>
      </c>
      <c r="E678" s="56"/>
      <c r="F678" s="118"/>
      <c r="G678" s="118"/>
      <c r="H678" s="118"/>
      <c r="I678" s="118"/>
      <c r="J678" s="118"/>
      <c r="K678" s="118"/>
      <c r="L678" s="118"/>
    </row>
    <row r="679" spans="1:12" x14ac:dyDescent="0.25">
      <c r="A679" s="168"/>
      <c r="B679" s="144" t="str">
        <f>'Vật liệu'!B450</f>
        <v>V00515</v>
      </c>
      <c r="C679" s="34">
        <v>154</v>
      </c>
      <c r="D679" s="144" t="str">
        <f>" - " &amp; 'Vật liệu'!D450</f>
        <v xml:space="preserve"> - Que hàn</v>
      </c>
      <c r="E679" s="168" t="str">
        <f>'Vật liệu'!E450</f>
        <v>kg</v>
      </c>
      <c r="F679" s="60"/>
      <c r="G679" s="60">
        <v>1.22</v>
      </c>
      <c r="H679" s="60"/>
      <c r="I679" s="60"/>
      <c r="J679" s="60">
        <f>ROUND(F677*G679,4)</f>
        <v>2.2877000000000001</v>
      </c>
      <c r="K679" s="60"/>
      <c r="L679" s="60"/>
    </row>
    <row r="680" spans="1:12" x14ac:dyDescent="0.25">
      <c r="A680" s="168"/>
      <c r="B680" s="144" t="str">
        <f>'Vật liệu'!B606</f>
        <v>V00671</v>
      </c>
      <c r="C680" s="34">
        <v>166</v>
      </c>
      <c r="D680" s="144" t="str">
        <f>" - " &amp; 'Vật liệu'!D606</f>
        <v xml:space="preserve"> - Thép tấm</v>
      </c>
      <c r="E680" s="168" t="str">
        <f>'Vật liệu'!E606</f>
        <v>kg</v>
      </c>
      <c r="F680" s="60"/>
      <c r="G680" s="60">
        <v>34.54</v>
      </c>
      <c r="H680" s="60"/>
      <c r="I680" s="60"/>
      <c r="J680" s="60">
        <f>ROUND(F677*G680,4)</f>
        <v>64.769400000000005</v>
      </c>
      <c r="K680" s="60"/>
      <c r="L680" s="60"/>
    </row>
    <row r="681" spans="1:12" x14ac:dyDescent="0.25">
      <c r="A681" s="168"/>
      <c r="B681" s="144" t="str">
        <f>'Vật liệu'!B556</f>
        <v>V00641</v>
      </c>
      <c r="C681" s="34">
        <v>160</v>
      </c>
      <c r="D681" s="144" t="str">
        <f>" - " &amp; 'Vật liệu'!D556</f>
        <v xml:space="preserve"> - Thép hình</v>
      </c>
      <c r="E681" s="168" t="str">
        <f>'Vật liệu'!E556</f>
        <v>kg</v>
      </c>
      <c r="F681" s="60"/>
      <c r="G681" s="60">
        <v>13.95</v>
      </c>
      <c r="H681" s="60"/>
      <c r="I681" s="60"/>
      <c r="J681" s="60">
        <f>ROUND(F677*G681,4)</f>
        <v>26.158999999999999</v>
      </c>
      <c r="K681" s="60"/>
      <c r="L681" s="60"/>
    </row>
    <row r="682" spans="1:12" x14ac:dyDescent="0.25">
      <c r="A682" s="168"/>
      <c r="B682" s="144" t="str">
        <f>'Vật liệu'!B766</f>
        <v>V00750</v>
      </c>
      <c r="C682" s="34">
        <v>392</v>
      </c>
      <c r="D682" s="144" t="str">
        <f>" - " &amp; 'Vật liệu'!D766</f>
        <v xml:space="preserve"> - Vật liệu khác</v>
      </c>
      <c r="E682" s="168" t="str">
        <f>'Vật liệu'!E766</f>
        <v>%</v>
      </c>
      <c r="F682" s="60"/>
      <c r="G682" s="60">
        <v>5</v>
      </c>
      <c r="H682" s="60"/>
      <c r="I682" s="60"/>
      <c r="J682" s="60"/>
      <c r="K682" s="60"/>
      <c r="L682" s="60"/>
    </row>
    <row r="683" spans="1:12" x14ac:dyDescent="0.25">
      <c r="A683" s="56"/>
      <c r="B683" s="23"/>
      <c r="C683" s="88"/>
      <c r="D683" s="23" t="s">
        <v>202</v>
      </c>
      <c r="E683" s="56"/>
      <c r="F683" s="118"/>
      <c r="G683" s="118"/>
      <c r="H683" s="118"/>
      <c r="I683" s="118"/>
      <c r="J683" s="118"/>
      <c r="K683" s="118"/>
      <c r="L683" s="118"/>
    </row>
    <row r="684" spans="1:12" x14ac:dyDescent="0.25">
      <c r="A684" s="168"/>
      <c r="B684" s="144" t="str">
        <f>'Nhân công'!B45</f>
        <v>N0009</v>
      </c>
      <c r="C684" s="34">
        <v>546</v>
      </c>
      <c r="D684" s="144" t="s">
        <v>1052</v>
      </c>
      <c r="E684" s="168" t="str">
        <f>'Nhân công'!G45</f>
        <v>công</v>
      </c>
      <c r="F684" s="60"/>
      <c r="G684" s="60"/>
      <c r="H684" s="60">
        <v>25.84</v>
      </c>
      <c r="I684" s="60"/>
      <c r="J684" s="60"/>
      <c r="K684" s="60">
        <f>ROUND(F677*H684,4)</f>
        <v>48.455199999999998</v>
      </c>
      <c r="L684" s="60"/>
    </row>
    <row r="685" spans="1:12" x14ac:dyDescent="0.25">
      <c r="A685" s="56"/>
      <c r="B685" s="23"/>
      <c r="C685" s="88"/>
      <c r="D685" s="23" t="s">
        <v>378</v>
      </c>
      <c r="E685" s="56"/>
      <c r="F685" s="118"/>
      <c r="G685" s="118"/>
      <c r="H685" s="118"/>
      <c r="I685" s="118"/>
      <c r="J685" s="118"/>
      <c r="K685" s="118"/>
      <c r="L685" s="118"/>
    </row>
    <row r="686" spans="1:12" x14ac:dyDescent="0.25">
      <c r="A686" s="168"/>
      <c r="B686" s="144" t="str">
        <f>'Máy thi công'!B6</f>
        <v>M9438</v>
      </c>
      <c r="C686" s="34">
        <v>714</v>
      </c>
      <c r="D686" s="144" t="str">
        <f>" - " &amp; 'Máy thi công'!D6</f>
        <v xml:space="preserve"> - Biến thế hàn xoay chiều - công suất: 23 kW</v>
      </c>
      <c r="E686" s="168" t="str">
        <f>'Máy thi công'!E6</f>
        <v>ca</v>
      </c>
      <c r="F686" s="60"/>
      <c r="G686" s="60"/>
      <c r="H686" s="60"/>
      <c r="I686" s="60">
        <v>0.44</v>
      </c>
      <c r="J686" s="60"/>
      <c r="K686" s="60"/>
      <c r="L686" s="60">
        <f>ROUND(F677*I686,4)</f>
        <v>0.82509999999999994</v>
      </c>
    </row>
    <row r="687" spans="1:12" x14ac:dyDescent="0.25">
      <c r="A687" s="168"/>
      <c r="B687" s="144" t="str">
        <f>'Máy thi công'!B398</f>
        <v>M0111</v>
      </c>
      <c r="C687" s="34">
        <v>692</v>
      </c>
      <c r="D687" s="144" t="str">
        <f>" - " &amp; 'Máy thi công'!D398</f>
        <v xml:space="preserve"> - Máy khác</v>
      </c>
      <c r="E687" s="168" t="str">
        <f>'Máy thi công'!E398</f>
        <v>%</v>
      </c>
      <c r="F687" s="60"/>
      <c r="G687" s="60"/>
      <c r="H687" s="60"/>
      <c r="I687" s="60">
        <v>10</v>
      </c>
      <c r="J687" s="60"/>
      <c r="K687" s="60"/>
      <c r="L687" s="60"/>
    </row>
    <row r="688" spans="1:12" x14ac:dyDescent="0.25">
      <c r="A688" s="65">
        <f>'Công trình'!A85</f>
        <v>67</v>
      </c>
      <c r="B688" s="14" t="str">
        <f>'Công trình'!B85</f>
        <v>AI.52211</v>
      </c>
      <c r="C688" s="94"/>
      <c r="D688" s="14" t="str">
        <f>'Công trình'!C85</f>
        <v>Sản xuất kết cấu thép hộp nối cọc</v>
      </c>
      <c r="E688" s="46" t="str">
        <f>'Công trình'!D85</f>
        <v>tấn</v>
      </c>
      <c r="F688" s="106">
        <f>'Công trình'!K85</f>
        <v>1.1456</v>
      </c>
      <c r="G688" s="126"/>
      <c r="H688" s="126"/>
      <c r="I688" s="126"/>
      <c r="J688" s="126"/>
      <c r="K688" s="126"/>
      <c r="L688" s="126"/>
    </row>
    <row r="689" spans="1:12" x14ac:dyDescent="0.25">
      <c r="A689" s="56"/>
      <c r="B689" s="23"/>
      <c r="C689" s="88"/>
      <c r="D689" s="23" t="s">
        <v>479</v>
      </c>
      <c r="E689" s="56"/>
      <c r="F689" s="118"/>
      <c r="G689" s="118"/>
      <c r="H689" s="118"/>
      <c r="I689" s="118"/>
      <c r="J689" s="118"/>
      <c r="K689" s="118"/>
      <c r="L689" s="118"/>
    </row>
    <row r="690" spans="1:12" x14ac:dyDescent="0.25">
      <c r="A690" s="168"/>
      <c r="B690" s="144" t="str">
        <f>'Vật liệu'!B200</f>
        <v>V00833</v>
      </c>
      <c r="C690" s="34">
        <v>411</v>
      </c>
      <c r="D690" s="144" t="str">
        <f>" - " &amp; 'Vật liệu'!D200</f>
        <v xml:space="preserve"> - Đất đèn</v>
      </c>
      <c r="E690" s="168" t="str">
        <f>'Vật liệu'!E200</f>
        <v>kg</v>
      </c>
      <c r="F690" s="60"/>
      <c r="G690" s="60">
        <v>9.6199999999999992</v>
      </c>
      <c r="H690" s="60"/>
      <c r="I690" s="60"/>
      <c r="J690" s="60">
        <f>ROUND(F688*G690,4)</f>
        <v>11.0207</v>
      </c>
      <c r="K690" s="60"/>
      <c r="L690" s="60"/>
    </row>
    <row r="691" spans="1:12" x14ac:dyDescent="0.25">
      <c r="A691" s="168"/>
      <c r="B691" s="144" t="str">
        <f>'Vật liệu'!B450</f>
        <v>V00515</v>
      </c>
      <c r="C691" s="34">
        <v>154</v>
      </c>
      <c r="D691" s="144" t="str">
        <f>" - " &amp; 'Vật liệu'!D450</f>
        <v xml:space="preserve"> - Que hàn</v>
      </c>
      <c r="E691" s="168" t="str">
        <f>'Vật liệu'!E450</f>
        <v>kg</v>
      </c>
      <c r="F691" s="60"/>
      <c r="G691" s="60">
        <v>18.75</v>
      </c>
      <c r="H691" s="60"/>
      <c r="I691" s="60"/>
      <c r="J691" s="60">
        <f>ROUND(F688*G691,4)</f>
        <v>21.48</v>
      </c>
      <c r="K691" s="60"/>
      <c r="L691" s="60"/>
    </row>
    <row r="692" spans="1:12" x14ac:dyDescent="0.25">
      <c r="A692" s="168"/>
      <c r="B692" s="144" t="str">
        <f>'Vật liệu'!B401</f>
        <v>V00770</v>
      </c>
      <c r="C692" s="34">
        <v>400</v>
      </c>
      <c r="D692" s="144" t="str">
        <f>" - " &amp; 'Vật liệu'!D401</f>
        <v xml:space="preserve"> - Ô xy</v>
      </c>
      <c r="E692" s="168" t="str">
        <f>'Vật liệu'!E401</f>
        <v>Chai</v>
      </c>
      <c r="F692" s="60"/>
      <c r="G692" s="60">
        <v>1.75</v>
      </c>
      <c r="H692" s="60"/>
      <c r="I692" s="60"/>
      <c r="J692" s="60">
        <f>ROUND(F688*G692,4)</f>
        <v>2.0047999999999999</v>
      </c>
      <c r="K692" s="60"/>
      <c r="L692" s="60"/>
    </row>
    <row r="693" spans="1:12" x14ac:dyDescent="0.25">
      <c r="A693" s="168"/>
      <c r="B693" s="144" t="str">
        <f>'Vật liệu'!B606</f>
        <v>V00671</v>
      </c>
      <c r="C693" s="34">
        <v>166</v>
      </c>
      <c r="D693" s="144" t="str">
        <f>" - " &amp; 'Vật liệu'!D606</f>
        <v xml:space="preserve"> - Thép tấm</v>
      </c>
      <c r="E693" s="168" t="str">
        <f>'Vật liệu'!E606</f>
        <v>kg</v>
      </c>
      <c r="F693" s="60"/>
      <c r="G693" s="60">
        <v>250</v>
      </c>
      <c r="H693" s="60"/>
      <c r="I693" s="60"/>
      <c r="J693" s="60">
        <f>ROUND(F688*G693,4)</f>
        <v>286.39999999999998</v>
      </c>
      <c r="K693" s="60"/>
      <c r="L693" s="60"/>
    </row>
    <row r="694" spans="1:12" x14ac:dyDescent="0.25">
      <c r="A694" s="168"/>
      <c r="B694" s="144" t="str">
        <f>'Vật liệu'!B556</f>
        <v>V00641</v>
      </c>
      <c r="C694" s="34">
        <v>160</v>
      </c>
      <c r="D694" s="144" t="str">
        <f>" - " &amp; 'Vật liệu'!D556</f>
        <v xml:space="preserve"> - Thép hình</v>
      </c>
      <c r="E694" s="168" t="str">
        <f>'Vật liệu'!E556</f>
        <v>kg</v>
      </c>
      <c r="F694" s="60"/>
      <c r="G694" s="60">
        <v>800</v>
      </c>
      <c r="H694" s="60"/>
      <c r="I694" s="60"/>
      <c r="J694" s="60">
        <f>ROUND(F688*G694,4)</f>
        <v>916.48</v>
      </c>
      <c r="K694" s="60"/>
      <c r="L694" s="60"/>
    </row>
    <row r="695" spans="1:12" x14ac:dyDescent="0.25">
      <c r="A695" s="168"/>
      <c r="B695" s="144" t="str">
        <f>'Vật liệu'!B186</f>
        <v>V00824</v>
      </c>
      <c r="C695" s="34">
        <v>407</v>
      </c>
      <c r="D695" s="144" t="str">
        <f>" - " &amp; 'Vật liệu'!D186</f>
        <v xml:space="preserve"> - Đá mài</v>
      </c>
      <c r="E695" s="168" t="str">
        <f>'Vật liệu'!E186</f>
        <v>viên</v>
      </c>
      <c r="F695" s="60"/>
      <c r="G695" s="60">
        <v>0.28000000000000003</v>
      </c>
      <c r="H695" s="60"/>
      <c r="I695" s="60"/>
      <c r="J695" s="60">
        <f>ROUND(F688*G695,4)</f>
        <v>0.32079999999999997</v>
      </c>
      <c r="K695" s="60"/>
      <c r="L695" s="60"/>
    </row>
    <row r="696" spans="1:12" x14ac:dyDescent="0.25">
      <c r="A696" s="168"/>
      <c r="B696" s="144" t="str">
        <f>'Vật liệu'!B766</f>
        <v>V00750</v>
      </c>
      <c r="C696" s="34">
        <v>220</v>
      </c>
      <c r="D696" s="144" t="str">
        <f>" - " &amp; 'Vật liệu'!D766</f>
        <v xml:space="preserve"> - Vật liệu khác</v>
      </c>
      <c r="E696" s="168" t="str">
        <f>'Vật liệu'!E766</f>
        <v>%</v>
      </c>
      <c r="F696" s="60"/>
      <c r="G696" s="60">
        <v>2</v>
      </c>
      <c r="H696" s="60"/>
      <c r="I696" s="60"/>
      <c r="J696" s="60"/>
      <c r="K696" s="60"/>
      <c r="L696" s="60"/>
    </row>
    <row r="697" spans="1:12" x14ac:dyDescent="0.25">
      <c r="A697" s="56"/>
      <c r="B697" s="23"/>
      <c r="C697" s="88"/>
      <c r="D697" s="23" t="s">
        <v>202</v>
      </c>
      <c r="E697" s="56"/>
      <c r="F697" s="118"/>
      <c r="G697" s="118"/>
      <c r="H697" s="118"/>
      <c r="I697" s="118"/>
      <c r="J697" s="118"/>
      <c r="K697" s="118"/>
      <c r="L697" s="118"/>
    </row>
    <row r="698" spans="1:12" x14ac:dyDescent="0.25">
      <c r="A698" s="168"/>
      <c r="B698" s="144" t="str">
        <f>'Nhân công'!B221</f>
        <v>N0013</v>
      </c>
      <c r="C698" s="34">
        <v>553</v>
      </c>
      <c r="D698" s="144" t="s">
        <v>275</v>
      </c>
      <c r="E698" s="168" t="str">
        <f>'Nhân công'!G221</f>
        <v>công</v>
      </c>
      <c r="F698" s="60"/>
      <c r="G698" s="60"/>
      <c r="H698" s="60">
        <v>26.15</v>
      </c>
      <c r="I698" s="60"/>
      <c r="J698" s="60"/>
      <c r="K698" s="60">
        <f>ROUND(F688*H698,4)</f>
        <v>29.9574</v>
      </c>
      <c r="L698" s="60"/>
    </row>
    <row r="699" spans="1:12" x14ac:dyDescent="0.25">
      <c r="A699" s="56"/>
      <c r="B699" s="23"/>
      <c r="C699" s="88"/>
      <c r="D699" s="23" t="s">
        <v>378</v>
      </c>
      <c r="E699" s="56"/>
      <c r="F699" s="118"/>
      <c r="G699" s="118"/>
      <c r="H699" s="118"/>
      <c r="I699" s="118"/>
      <c r="J699" s="118"/>
      <c r="K699" s="118"/>
      <c r="L699" s="118"/>
    </row>
    <row r="700" spans="1:12" x14ac:dyDescent="0.25">
      <c r="A700" s="168"/>
      <c r="B700" s="144" t="str">
        <f>'Máy thi công'!B273</f>
        <v>M112.1501</v>
      </c>
      <c r="C700" s="34">
        <v>701</v>
      </c>
      <c r="D700" s="144" t="str">
        <f>" - " &amp; 'Máy thi công'!D273</f>
        <v xml:space="preserve"> - Máy khoan đứng - công suất: 2,5 kW</v>
      </c>
      <c r="E700" s="168" t="str">
        <f>'Máy thi công'!E273</f>
        <v>ca</v>
      </c>
      <c r="F700" s="60"/>
      <c r="G700" s="60"/>
      <c r="H700" s="60"/>
      <c r="I700" s="60">
        <v>1.06</v>
      </c>
      <c r="J700" s="60"/>
      <c r="K700" s="60"/>
      <c r="L700" s="60">
        <f>ROUND(F688*I700,4)</f>
        <v>1.2142999999999999</v>
      </c>
    </row>
    <row r="701" spans="1:12" x14ac:dyDescent="0.25">
      <c r="A701" s="168"/>
      <c r="B701" s="144" t="str">
        <f>'Máy thi công'!B6</f>
        <v>M9438</v>
      </c>
      <c r="C701" s="34">
        <v>714</v>
      </c>
      <c r="D701" s="144" t="str">
        <f>" - " &amp; 'Máy thi công'!D6</f>
        <v xml:space="preserve"> - Biến thế hàn xoay chiều - công suất: 23 kW</v>
      </c>
      <c r="E701" s="168" t="str">
        <f>'Máy thi công'!E6</f>
        <v>ca</v>
      </c>
      <c r="F701" s="60"/>
      <c r="G701" s="60"/>
      <c r="H701" s="60"/>
      <c r="I701" s="60">
        <v>4.16</v>
      </c>
      <c r="J701" s="60"/>
      <c r="K701" s="60"/>
      <c r="L701" s="60">
        <f>ROUND(F688*I701,4)</f>
        <v>4.7656999999999998</v>
      </c>
    </row>
    <row r="702" spans="1:12" x14ac:dyDescent="0.25">
      <c r="A702" s="168"/>
      <c r="B702" s="144" t="str">
        <f>'Máy thi công'!B285</f>
        <v>M112.3702</v>
      </c>
      <c r="C702" s="34">
        <v>705</v>
      </c>
      <c r="D702" s="144" t="str">
        <f>" - " &amp; 'Máy thi công'!D285</f>
        <v xml:space="preserve"> - Máy mài - công suất: 2,7 kW</v>
      </c>
      <c r="E702" s="168" t="str">
        <f>'Máy thi công'!E285</f>
        <v>ca</v>
      </c>
      <c r="F702" s="60"/>
      <c r="G702" s="60"/>
      <c r="H702" s="60"/>
      <c r="I702" s="60">
        <v>1.06</v>
      </c>
      <c r="J702" s="60"/>
      <c r="K702" s="60"/>
      <c r="L702" s="60">
        <f>ROUND(F688*I702,4)</f>
        <v>1.2142999999999999</v>
      </c>
    </row>
    <row r="703" spans="1:12" x14ac:dyDescent="0.25">
      <c r="A703" s="168"/>
      <c r="B703" s="144" t="str">
        <f>'Máy thi công'!B398</f>
        <v>M0111</v>
      </c>
      <c r="C703" s="34">
        <v>583</v>
      </c>
      <c r="D703" s="144" t="str">
        <f>" - " &amp; 'Máy thi công'!D398</f>
        <v xml:space="preserve"> - Máy khác</v>
      </c>
      <c r="E703" s="168" t="str">
        <f>'Máy thi công'!E398</f>
        <v>%</v>
      </c>
      <c r="F703" s="60"/>
      <c r="G703" s="60"/>
      <c r="H703" s="60"/>
      <c r="I703" s="60">
        <v>5</v>
      </c>
      <c r="J703" s="60"/>
      <c r="K703" s="60"/>
      <c r="L703" s="60"/>
    </row>
    <row r="704" spans="1:12" ht="28.5" x14ac:dyDescent="0.25">
      <c r="A704" s="65">
        <f>'Công trình'!A86</f>
        <v>68</v>
      </c>
      <c r="B704" s="14" t="str">
        <f>'Công trình'!B86</f>
        <v>AC.17111</v>
      </c>
      <c r="C704" s="94"/>
      <c r="D704" s="14" t="str">
        <f>'Công trình'!C86</f>
        <v>Đóng cọc BTCT 30x30 chiều dài &lt;=24m trên mặt nước bằng tàu đóng cọc búa 1,8T</v>
      </c>
      <c r="E704" s="46" t="str">
        <f>'Công trình'!D86</f>
        <v>100m</v>
      </c>
      <c r="F704" s="106">
        <f>'Công trình'!K86</f>
        <v>2.88</v>
      </c>
      <c r="G704" s="126"/>
      <c r="H704" s="126"/>
      <c r="I704" s="126"/>
      <c r="J704" s="126"/>
      <c r="K704" s="126"/>
      <c r="L704" s="126"/>
    </row>
    <row r="705" spans="1:12" x14ac:dyDescent="0.25">
      <c r="A705" s="56"/>
      <c r="B705" s="23"/>
      <c r="C705" s="88"/>
      <c r="D705" s="23" t="s">
        <v>479</v>
      </c>
      <c r="E705" s="56"/>
      <c r="F705" s="118"/>
      <c r="G705" s="118"/>
      <c r="H705" s="118"/>
      <c r="I705" s="118"/>
      <c r="J705" s="118"/>
      <c r="K705" s="118"/>
      <c r="L705" s="118"/>
    </row>
    <row r="706" spans="1:12" x14ac:dyDescent="0.25">
      <c r="A706" s="168"/>
      <c r="B706" s="144" t="str">
        <f>'Vật liệu'!B109</f>
        <v>V12704</v>
      </c>
      <c r="C706" s="34">
        <v>456</v>
      </c>
      <c r="D706" s="144" t="str">
        <f>" - " &amp; 'Vật liệu'!D109</f>
        <v xml:space="preserve"> - Cọc bê tông 30cmx30cm</v>
      </c>
      <c r="E706" s="168" t="str">
        <f>'Vật liệu'!E109</f>
        <v>m</v>
      </c>
      <c r="F706" s="60"/>
      <c r="G706" s="60">
        <v>0</v>
      </c>
      <c r="H706" s="60"/>
      <c r="I706" s="60"/>
      <c r="J706" s="60">
        <f>ROUND(F704*G706,4)</f>
        <v>0</v>
      </c>
      <c r="K706" s="60"/>
      <c r="L706" s="60"/>
    </row>
    <row r="707" spans="1:12" x14ac:dyDescent="0.25">
      <c r="A707" s="168"/>
      <c r="B707" s="144" t="str">
        <f>'Vật liệu'!B766</f>
        <v>V00750</v>
      </c>
      <c r="C707" s="34">
        <v>235</v>
      </c>
      <c r="D707" s="144" t="str">
        <f>" - " &amp; 'Vật liệu'!D766</f>
        <v xml:space="preserve"> - Vật liệu khác</v>
      </c>
      <c r="E707" s="168" t="str">
        <f>'Vật liệu'!E766</f>
        <v>%</v>
      </c>
      <c r="F707" s="60"/>
      <c r="G707" s="60">
        <v>2</v>
      </c>
      <c r="H707" s="60"/>
      <c r="I707" s="60"/>
      <c r="J707" s="60"/>
      <c r="K707" s="60"/>
      <c r="L707" s="60"/>
    </row>
    <row r="708" spans="1:12" x14ac:dyDescent="0.25">
      <c r="A708" s="56"/>
      <c r="B708" s="23"/>
      <c r="C708" s="88"/>
      <c r="D708" s="23" t="s">
        <v>202</v>
      </c>
      <c r="E708" s="56"/>
      <c r="F708" s="118"/>
      <c r="G708" s="118"/>
      <c r="H708" s="118"/>
      <c r="I708" s="118"/>
      <c r="J708" s="118"/>
      <c r="K708" s="118"/>
      <c r="L708" s="118"/>
    </row>
    <row r="709" spans="1:12" x14ac:dyDescent="0.25">
      <c r="A709" s="168"/>
      <c r="B709" s="144" t="str">
        <f>'Nhân công'!B103</f>
        <v>N0015</v>
      </c>
      <c r="C709" s="34">
        <v>554</v>
      </c>
      <c r="D709" s="144" t="s">
        <v>1014</v>
      </c>
      <c r="E709" s="168" t="str">
        <f>'Nhân công'!G103</f>
        <v>công</v>
      </c>
      <c r="F709" s="60"/>
      <c r="G709" s="60"/>
      <c r="H709" s="60">
        <v>6.13</v>
      </c>
      <c r="I709" s="60"/>
      <c r="J709" s="60"/>
      <c r="K709" s="60">
        <f>ROUND(F704*H709,4)</f>
        <v>17.654399999999999</v>
      </c>
      <c r="L709" s="60"/>
    </row>
    <row r="710" spans="1:12" x14ac:dyDescent="0.25">
      <c r="A710" s="56"/>
      <c r="B710" s="23"/>
      <c r="C710" s="88"/>
      <c r="D710" s="23" t="s">
        <v>378</v>
      </c>
      <c r="E710" s="56"/>
      <c r="F710" s="118"/>
      <c r="G710" s="118"/>
      <c r="H710" s="118"/>
      <c r="I710" s="118"/>
      <c r="J710" s="118"/>
      <c r="K710" s="118"/>
      <c r="L710" s="118"/>
    </row>
    <row r="711" spans="1:12" x14ac:dyDescent="0.25">
      <c r="A711" s="168"/>
      <c r="B711" s="144" t="str">
        <f>'Máy thi công'!B384</f>
        <v>M9596</v>
      </c>
      <c r="C711" s="34">
        <v>755</v>
      </c>
      <c r="D711" s="144" t="str">
        <f>" - " &amp; 'Máy thi công'!D384</f>
        <v xml:space="preserve"> - Sà lan - trọng tải: 250 t</v>
      </c>
      <c r="E711" s="168" t="str">
        <f>'Máy thi công'!E384</f>
        <v>ca</v>
      </c>
      <c r="F711" s="60"/>
      <c r="G711" s="60"/>
      <c r="H711" s="60"/>
      <c r="I711" s="60">
        <v>1.75</v>
      </c>
      <c r="J711" s="60"/>
      <c r="K711" s="60"/>
      <c r="L711" s="60">
        <f>ROUND(F704*I711,4)</f>
        <v>5.04</v>
      </c>
    </row>
    <row r="712" spans="1:12" ht="30" x14ac:dyDescent="0.25">
      <c r="A712" s="168"/>
      <c r="B712" s="144" t="str">
        <f>'Máy thi công'!B391</f>
        <v>M9622</v>
      </c>
      <c r="C712" s="34">
        <v>757</v>
      </c>
      <c r="D712" s="144" t="str">
        <f>" - " &amp; 'Máy thi công'!D391</f>
        <v xml:space="preserve"> - Tầu kéo và phục vụ thi công thuỷ (làm neo, cấp dầu,...) - công suất: 150 cv</v>
      </c>
      <c r="E712" s="168" t="str">
        <f>'Máy thi công'!E391</f>
        <v>ca</v>
      </c>
      <c r="F712" s="60"/>
      <c r="G712" s="60"/>
      <c r="H712" s="60"/>
      <c r="I712" s="60">
        <v>0.13500000000000001</v>
      </c>
      <c r="J712" s="60"/>
      <c r="K712" s="60"/>
      <c r="L712" s="60">
        <f>ROUND(F704*I712,4)</f>
        <v>0.38879999999999998</v>
      </c>
    </row>
    <row r="713" spans="1:12" ht="30" x14ac:dyDescent="0.25">
      <c r="A713" s="168"/>
      <c r="B713" s="144" t="str">
        <f>'Máy thi công'!B101</f>
        <v>M9449</v>
      </c>
      <c r="C713" s="34">
        <v>722</v>
      </c>
      <c r="D713" s="144" t="str">
        <f>" - " &amp; 'Máy thi công'!D101</f>
        <v xml:space="preserve"> - Búa đóng cọc nổi (cả sà lan và máy phụ trợ) - trọng lượng búa: ≤ 1,8 t</v>
      </c>
      <c r="E713" s="168" t="str">
        <f>'Máy thi công'!E101</f>
        <v>ca</v>
      </c>
      <c r="F713" s="60"/>
      <c r="G713" s="60"/>
      <c r="H713" s="60"/>
      <c r="I713" s="60">
        <v>2.1800000000000002</v>
      </c>
      <c r="J713" s="60"/>
      <c r="K713" s="60"/>
      <c r="L713" s="60">
        <f>ROUND(F704*I713,4)</f>
        <v>6.2784000000000004</v>
      </c>
    </row>
    <row r="714" spans="1:12" x14ac:dyDescent="0.25">
      <c r="A714" s="168"/>
      <c r="B714" s="144" t="str">
        <f>'Máy thi công'!B135</f>
        <v>M9469</v>
      </c>
      <c r="C714" s="34">
        <v>729</v>
      </c>
      <c r="D714" s="144" t="str">
        <f>" - " &amp; 'Máy thi công'!D135</f>
        <v xml:space="preserve"> - Cần trục bánh xích - sức nâng: 25 t</v>
      </c>
      <c r="E714" s="168" t="str">
        <f>'Máy thi công'!E135</f>
        <v>ca</v>
      </c>
      <c r="F714" s="60"/>
      <c r="G714" s="60"/>
      <c r="H714" s="60"/>
      <c r="I714" s="60">
        <v>2.1800000000000002</v>
      </c>
      <c r="J714" s="60"/>
      <c r="K714" s="60"/>
      <c r="L714" s="60">
        <f>ROUND(F704*I714,4)</f>
        <v>6.2784000000000004</v>
      </c>
    </row>
    <row r="715" spans="1:12" x14ac:dyDescent="0.25">
      <c r="A715" s="168"/>
      <c r="B715" s="144" t="str">
        <f>'Máy thi công'!B398</f>
        <v>M0111</v>
      </c>
      <c r="C715" s="34">
        <v>599</v>
      </c>
      <c r="D715" s="144" t="str">
        <f>" - " &amp; 'Máy thi công'!D398</f>
        <v xml:space="preserve"> - Máy khác</v>
      </c>
      <c r="E715" s="168" t="str">
        <f>'Máy thi công'!E398</f>
        <v>%</v>
      </c>
      <c r="F715" s="60"/>
      <c r="G715" s="60"/>
      <c r="H715" s="60"/>
      <c r="I715" s="60">
        <v>2</v>
      </c>
      <c r="J715" s="60"/>
      <c r="K715" s="60"/>
      <c r="L715" s="60"/>
    </row>
    <row r="716" spans="1:12" ht="28.5" x14ac:dyDescent="0.25">
      <c r="A716" s="65">
        <f>'Công trình'!A87</f>
        <v>69</v>
      </c>
      <c r="B716" s="14" t="str">
        <f>'Công trình'!B87</f>
        <v>AC.29331</v>
      </c>
      <c r="C716" s="94"/>
      <c r="D716" s="14" t="str">
        <f>'Công trình'!C87</f>
        <v>Nối cọc BTCT 30x30cm</v>
      </c>
      <c r="E716" s="46" t="str">
        <f>'Công trình'!D87</f>
        <v>1mối nối</v>
      </c>
      <c r="F716" s="106">
        <f>'Công trình'!K87</f>
        <v>8</v>
      </c>
      <c r="G716" s="126"/>
      <c r="H716" s="126"/>
      <c r="I716" s="126"/>
      <c r="J716" s="126"/>
      <c r="K716" s="126"/>
      <c r="L716" s="126"/>
    </row>
    <row r="717" spans="1:12" x14ac:dyDescent="0.25">
      <c r="A717" s="56"/>
      <c r="B717" s="23"/>
      <c r="C717" s="88"/>
      <c r="D717" s="23" t="s">
        <v>479</v>
      </c>
      <c r="E717" s="56"/>
      <c r="F717" s="118"/>
      <c r="G717" s="118"/>
      <c r="H717" s="118"/>
      <c r="I717" s="118"/>
      <c r="J717" s="118"/>
      <c r="K717" s="118"/>
      <c r="L717" s="118"/>
    </row>
    <row r="718" spans="1:12" x14ac:dyDescent="0.25">
      <c r="A718" s="168"/>
      <c r="B718" s="144" t="str">
        <f>'Vật liệu'!B450</f>
        <v>V00515</v>
      </c>
      <c r="C718" s="34">
        <v>154</v>
      </c>
      <c r="D718" s="144" t="str">
        <f>" - " &amp; 'Vật liệu'!D450</f>
        <v xml:space="preserve"> - Que hàn</v>
      </c>
      <c r="E718" s="168" t="str">
        <f>'Vật liệu'!E450</f>
        <v>kg</v>
      </c>
      <c r="F718" s="60"/>
      <c r="G718" s="60">
        <v>2.13</v>
      </c>
      <c r="H718" s="60"/>
      <c r="I718" s="60"/>
      <c r="J718" s="60">
        <f>ROUND(F716*G718,4)</f>
        <v>17.04</v>
      </c>
      <c r="K718" s="60"/>
      <c r="L718" s="60"/>
    </row>
    <row r="719" spans="1:12" x14ac:dyDescent="0.25">
      <c r="A719" s="168"/>
      <c r="B719" s="144" t="str">
        <f>'Vật liệu'!B554</f>
        <v>V00640</v>
      </c>
      <c r="C719" s="34">
        <v>159</v>
      </c>
      <c r="D719" s="144" t="str">
        <f>" - " &amp; 'Vật liệu'!D554</f>
        <v xml:space="preserve"> - Thép góc 80x80mm</v>
      </c>
      <c r="E719" s="168" t="str">
        <f>'Vật liệu'!E554</f>
        <v>kg</v>
      </c>
      <c r="F719" s="60"/>
      <c r="G719" s="60">
        <v>0</v>
      </c>
      <c r="H719" s="60"/>
      <c r="I719" s="60"/>
      <c r="J719" s="60">
        <f>ROUND(F716*G719,4)</f>
        <v>0</v>
      </c>
      <c r="K719" s="60"/>
      <c r="L719" s="60"/>
    </row>
    <row r="720" spans="1:12" x14ac:dyDescent="0.25">
      <c r="A720" s="168"/>
      <c r="B720" s="144" t="str">
        <f>'Vật liệu'!B766</f>
        <v>V00750</v>
      </c>
      <c r="C720" s="34">
        <v>224</v>
      </c>
      <c r="D720" s="144" t="str">
        <f>" - " &amp; 'Vật liệu'!D766</f>
        <v xml:space="preserve"> - Vật liệu khác</v>
      </c>
      <c r="E720" s="168" t="str">
        <f>'Vật liệu'!E766</f>
        <v>%</v>
      </c>
      <c r="F720" s="60"/>
      <c r="G720" s="60">
        <v>3</v>
      </c>
      <c r="H720" s="60"/>
      <c r="I720" s="60"/>
      <c r="J720" s="60"/>
      <c r="K720" s="60"/>
      <c r="L720" s="60"/>
    </row>
    <row r="721" spans="1:12" x14ac:dyDescent="0.25">
      <c r="A721" s="56"/>
      <c r="B721" s="23"/>
      <c r="C721" s="88"/>
      <c r="D721" s="23" t="s">
        <v>202</v>
      </c>
      <c r="E721" s="56"/>
      <c r="F721" s="118"/>
      <c r="G721" s="118"/>
      <c r="H721" s="118"/>
      <c r="I721" s="118"/>
      <c r="J721" s="118"/>
      <c r="K721" s="118"/>
      <c r="L721" s="118"/>
    </row>
    <row r="722" spans="1:12" x14ac:dyDescent="0.25">
      <c r="A722" s="168"/>
      <c r="B722" s="144" t="str">
        <f>'Nhân công'!B185</f>
        <v>N0020</v>
      </c>
      <c r="C722" s="34">
        <v>555</v>
      </c>
      <c r="D722" s="144" t="s">
        <v>625</v>
      </c>
      <c r="E722" s="168" t="str">
        <f>'Nhân công'!G185</f>
        <v>công</v>
      </c>
      <c r="F722" s="60"/>
      <c r="G722" s="60"/>
      <c r="H722" s="60">
        <v>0.77</v>
      </c>
      <c r="I722" s="60"/>
      <c r="J722" s="60"/>
      <c r="K722" s="60">
        <f>ROUND(F716*H722,4)</f>
        <v>6.16</v>
      </c>
      <c r="L722" s="60"/>
    </row>
    <row r="723" spans="1:12" x14ac:dyDescent="0.25">
      <c r="A723" s="56"/>
      <c r="B723" s="23"/>
      <c r="C723" s="88"/>
      <c r="D723" s="23" t="s">
        <v>378</v>
      </c>
      <c r="E723" s="56"/>
      <c r="F723" s="118"/>
      <c r="G723" s="118"/>
      <c r="H723" s="118"/>
      <c r="I723" s="118"/>
      <c r="J723" s="118"/>
      <c r="K723" s="118"/>
      <c r="L723" s="118"/>
    </row>
    <row r="724" spans="1:12" x14ac:dyDescent="0.25">
      <c r="A724" s="168"/>
      <c r="B724" s="144" t="str">
        <f>'Máy thi công'!B6</f>
        <v>M9438</v>
      </c>
      <c r="C724" s="34">
        <v>714</v>
      </c>
      <c r="D724" s="144" t="str">
        <f>" - " &amp; 'Máy thi công'!D6</f>
        <v xml:space="preserve"> - Biến thế hàn xoay chiều - công suất: 23 kW</v>
      </c>
      <c r="E724" s="168" t="str">
        <f>'Máy thi công'!E6</f>
        <v>ca</v>
      </c>
      <c r="F724" s="60"/>
      <c r="G724" s="60"/>
      <c r="H724" s="60"/>
      <c r="I724" s="60">
        <v>0.15</v>
      </c>
      <c r="J724" s="60"/>
      <c r="K724" s="60"/>
      <c r="L724" s="60">
        <f>ROUND(F716*I724,4)</f>
        <v>1.2</v>
      </c>
    </row>
    <row r="725" spans="1:12" x14ac:dyDescent="0.25">
      <c r="A725" s="168"/>
      <c r="B725" s="144" t="str">
        <f>'Máy thi công'!B398</f>
        <v>M0111</v>
      </c>
      <c r="C725" s="34">
        <v>587</v>
      </c>
      <c r="D725" s="144" t="str">
        <f>" - " &amp; 'Máy thi công'!D398</f>
        <v xml:space="preserve"> - Máy khác</v>
      </c>
      <c r="E725" s="168" t="str">
        <f>'Máy thi công'!E398</f>
        <v>%</v>
      </c>
      <c r="F725" s="60"/>
      <c r="G725" s="60"/>
      <c r="H725" s="60"/>
      <c r="I725" s="60">
        <v>3</v>
      </c>
      <c r="J725" s="60"/>
      <c r="K725" s="60"/>
      <c r="L725" s="60"/>
    </row>
    <row r="726" spans="1:12" x14ac:dyDescent="0.25">
      <c r="A726" s="65">
        <f>'Công trình'!A88</f>
        <v>70</v>
      </c>
      <c r="B726" s="14" t="str">
        <f>'Công trình'!B88</f>
        <v>AA.22310</v>
      </c>
      <c r="C726" s="94"/>
      <c r="D726" s="14" t="str">
        <f>'Công trình'!C88</f>
        <v>Đập đầu cọc trên cạn</v>
      </c>
      <c r="E726" s="46" t="str">
        <f>'Công trình'!D88</f>
        <v>m3</v>
      </c>
      <c r="F726" s="106">
        <f>'Công trình'!K88</f>
        <v>0.57999999999999996</v>
      </c>
      <c r="G726" s="126"/>
      <c r="H726" s="126"/>
      <c r="I726" s="126"/>
      <c r="J726" s="126"/>
      <c r="K726" s="126"/>
      <c r="L726" s="126"/>
    </row>
    <row r="727" spans="1:12" x14ac:dyDescent="0.25">
      <c r="A727" s="56"/>
      <c r="B727" s="23"/>
      <c r="C727" s="88"/>
      <c r="D727" s="23" t="s">
        <v>479</v>
      </c>
      <c r="E727" s="56"/>
      <c r="F727" s="118"/>
      <c r="G727" s="118"/>
      <c r="H727" s="118"/>
      <c r="I727" s="118"/>
      <c r="J727" s="118"/>
      <c r="K727" s="118"/>
      <c r="L727" s="118"/>
    </row>
    <row r="728" spans="1:12" x14ac:dyDescent="0.25">
      <c r="A728" s="168"/>
      <c r="B728" s="144" t="str">
        <f>'Vật liệu'!B450</f>
        <v>V00515</v>
      </c>
      <c r="C728" s="34">
        <v>154</v>
      </c>
      <c r="D728" s="144" t="str">
        <f>" - " &amp; 'Vật liệu'!D450</f>
        <v xml:space="preserve"> - Que hàn</v>
      </c>
      <c r="E728" s="168" t="str">
        <f>'Vật liệu'!E450</f>
        <v>kg</v>
      </c>
      <c r="F728" s="60"/>
      <c r="G728" s="60">
        <v>0</v>
      </c>
      <c r="H728" s="60"/>
      <c r="I728" s="60"/>
      <c r="J728" s="60">
        <f>ROUND(F726*G728,4)</f>
        <v>0</v>
      </c>
      <c r="K728" s="60"/>
      <c r="L728" s="60"/>
    </row>
    <row r="729" spans="1:12" x14ac:dyDescent="0.25">
      <c r="A729" s="56"/>
      <c r="B729" s="23"/>
      <c r="C729" s="88"/>
      <c r="D729" s="23" t="s">
        <v>202</v>
      </c>
      <c r="E729" s="56"/>
      <c r="F729" s="118"/>
      <c r="G729" s="118"/>
      <c r="H729" s="118"/>
      <c r="I729" s="118"/>
      <c r="J729" s="118"/>
      <c r="K729" s="118"/>
      <c r="L729" s="118"/>
    </row>
    <row r="730" spans="1:12" x14ac:dyDescent="0.25">
      <c r="A730" s="168"/>
      <c r="B730" s="144" t="str">
        <f>'Nhân công'!B185</f>
        <v>N0020</v>
      </c>
      <c r="C730" s="34">
        <v>555</v>
      </c>
      <c r="D730" s="144" t="s">
        <v>625</v>
      </c>
      <c r="E730" s="168" t="str">
        <f>'Nhân công'!G185</f>
        <v>công</v>
      </c>
      <c r="F730" s="60"/>
      <c r="G730" s="60"/>
      <c r="H730" s="60">
        <v>0.72</v>
      </c>
      <c r="I730" s="60"/>
      <c r="J730" s="60"/>
      <c r="K730" s="60">
        <f>ROUND(F726*H730,4)</f>
        <v>0.41760000000000003</v>
      </c>
      <c r="L730" s="60"/>
    </row>
    <row r="731" spans="1:12" x14ac:dyDescent="0.25">
      <c r="A731" s="56"/>
      <c r="B731" s="23"/>
      <c r="C731" s="88"/>
      <c r="D731" s="23" t="s">
        <v>378</v>
      </c>
      <c r="E731" s="56"/>
      <c r="F731" s="118"/>
      <c r="G731" s="118"/>
      <c r="H731" s="118"/>
      <c r="I731" s="118"/>
      <c r="J731" s="118"/>
      <c r="K731" s="118"/>
      <c r="L731" s="118"/>
    </row>
    <row r="732" spans="1:12" x14ac:dyDescent="0.25">
      <c r="A732" s="168"/>
      <c r="B732" s="144" t="str">
        <f>'Máy thi công'!B6</f>
        <v>M9438</v>
      </c>
      <c r="C732" s="34">
        <v>714</v>
      </c>
      <c r="D732" s="144" t="str">
        <f>" - " &amp; 'Máy thi công'!D6</f>
        <v xml:space="preserve"> - Biến thế hàn xoay chiều - công suất: 23 kW</v>
      </c>
      <c r="E732" s="168" t="str">
        <f>'Máy thi công'!E6</f>
        <v>ca</v>
      </c>
      <c r="F732" s="60"/>
      <c r="G732" s="60"/>
      <c r="H732" s="60"/>
      <c r="I732" s="60">
        <v>0.23</v>
      </c>
      <c r="J732" s="60"/>
      <c r="K732" s="60"/>
      <c r="L732" s="60">
        <f>ROUND(F726*I732,4)</f>
        <v>0.13339999999999999</v>
      </c>
    </row>
    <row r="733" spans="1:12" x14ac:dyDescent="0.25">
      <c r="A733" s="168"/>
      <c r="B733" s="144" t="str">
        <f>'Máy thi công'!B113</f>
        <v>M9465</v>
      </c>
      <c r="C733" s="34">
        <v>725</v>
      </c>
      <c r="D733" s="144" t="str">
        <f>" - " &amp; 'Máy thi công'!D113</f>
        <v xml:space="preserve"> - Cần trục bánh hơi - sức nâng: 16 t</v>
      </c>
      <c r="E733" s="168" t="str">
        <f>'Máy thi công'!E113</f>
        <v>ca</v>
      </c>
      <c r="F733" s="60"/>
      <c r="G733" s="60"/>
      <c r="H733" s="60"/>
      <c r="I733" s="60">
        <v>0.111</v>
      </c>
      <c r="J733" s="60"/>
      <c r="K733" s="60"/>
      <c r="L733" s="60">
        <f>ROUND(F726*I733,4)</f>
        <v>6.4399999999999999E-2</v>
      </c>
    </row>
    <row r="734" spans="1:12" ht="30" x14ac:dyDescent="0.25">
      <c r="A734" s="168"/>
      <c r="B734" s="144" t="str">
        <f>'Máy thi công'!B81</f>
        <v>M9439</v>
      </c>
      <c r="C734" s="34">
        <v>715</v>
      </c>
      <c r="D734" s="144" t="str">
        <f>" - " &amp; 'Máy thi công'!D81</f>
        <v xml:space="preserve"> - Búa căn khí nén (chưa tính khí nén) - tiêu hao khí nén: 1,5 m3/ph</v>
      </c>
      <c r="E734" s="168" t="str">
        <f>'Máy thi công'!E81</f>
        <v>ca</v>
      </c>
      <c r="F734" s="60"/>
      <c r="G734" s="60"/>
      <c r="H734" s="60"/>
      <c r="I734" s="60">
        <v>0.35</v>
      </c>
      <c r="J734" s="60"/>
      <c r="K734" s="60"/>
      <c r="L734" s="60">
        <f>ROUND(F726*I734,4)</f>
        <v>0.20300000000000001</v>
      </c>
    </row>
    <row r="735" spans="1:12" x14ac:dyDescent="0.25">
      <c r="A735" s="168"/>
      <c r="B735" s="144" t="str">
        <f>'Máy thi công'!B297</f>
        <v>M9538</v>
      </c>
      <c r="C735" s="34">
        <v>741</v>
      </c>
      <c r="D735" s="144" t="str">
        <f>" - " &amp; 'Máy thi công'!D297</f>
        <v xml:space="preserve"> - Máy nén khí, động cơ diezel - năng suất: 360 m3/h</v>
      </c>
      <c r="E735" s="168" t="str">
        <f>'Máy thi công'!E297</f>
        <v>ca</v>
      </c>
      <c r="F735" s="60"/>
      <c r="G735" s="60"/>
      <c r="H735" s="60"/>
      <c r="I735" s="60">
        <v>0.18</v>
      </c>
      <c r="J735" s="60"/>
      <c r="K735" s="60"/>
      <c r="L735" s="60">
        <f>ROUND(F726*I735,4)</f>
        <v>0.10440000000000001</v>
      </c>
    </row>
    <row r="736" spans="1:12" ht="28.5" x14ac:dyDescent="0.25">
      <c r="A736" s="65">
        <f>'Công trình'!A91</f>
        <v>71</v>
      </c>
      <c r="B736" s="14" t="str">
        <f>'Công trình'!B91</f>
        <v>AB.62111</v>
      </c>
      <c r="C736" s="94"/>
      <c r="D736" s="14" t="str">
        <f>'Công trình'!C91</f>
        <v>San đầm đất mặt bằng bằng máy đầm 9T, độ chặt K=0,85</v>
      </c>
      <c r="E736" s="46" t="str">
        <f>'Công trình'!D91</f>
        <v>100m3</v>
      </c>
      <c r="F736" s="106">
        <f>'Công trình'!K91</f>
        <v>9.9499999999999993</v>
      </c>
      <c r="G736" s="126"/>
      <c r="H736" s="126"/>
      <c r="I736" s="126"/>
      <c r="J736" s="126"/>
      <c r="K736" s="126"/>
      <c r="L736" s="126"/>
    </row>
    <row r="737" spans="1:12" x14ac:dyDescent="0.25">
      <c r="A737" s="56"/>
      <c r="B737" s="23"/>
      <c r="C737" s="88"/>
      <c r="D737" s="23" t="s">
        <v>202</v>
      </c>
      <c r="E737" s="56"/>
      <c r="F737" s="118"/>
      <c r="G737" s="118"/>
      <c r="H737" s="118"/>
      <c r="I737" s="118"/>
      <c r="J737" s="118"/>
      <c r="K737" s="118"/>
      <c r="L737" s="118"/>
    </row>
    <row r="738" spans="1:12" x14ac:dyDescent="0.25">
      <c r="A738" s="168"/>
      <c r="B738" s="144" t="str">
        <f>'Nhân công'!B6</f>
        <v>N0006</v>
      </c>
      <c r="C738" s="34">
        <v>545</v>
      </c>
      <c r="D738" s="144" t="s">
        <v>256</v>
      </c>
      <c r="E738" s="168" t="str">
        <f>'Nhân công'!G6</f>
        <v>công</v>
      </c>
      <c r="F738" s="60"/>
      <c r="G738" s="60"/>
      <c r="H738" s="60">
        <v>0.74</v>
      </c>
      <c r="I738" s="60"/>
      <c r="J738" s="60"/>
      <c r="K738" s="60">
        <f>ROUND(F736*H738,4)</f>
        <v>7.3630000000000004</v>
      </c>
      <c r="L738" s="60"/>
    </row>
    <row r="739" spans="1:12" x14ac:dyDescent="0.25">
      <c r="A739" s="56"/>
      <c r="B739" s="23"/>
      <c r="C739" s="88"/>
      <c r="D739" s="23" t="s">
        <v>378</v>
      </c>
      <c r="E739" s="56"/>
      <c r="F739" s="118"/>
      <c r="G739" s="118"/>
      <c r="H739" s="118"/>
      <c r="I739" s="118"/>
      <c r="J739" s="118"/>
      <c r="K739" s="118"/>
      <c r="L739" s="118"/>
    </row>
    <row r="740" spans="1:12" x14ac:dyDescent="0.25">
      <c r="A740" s="168"/>
      <c r="B740" s="144" t="str">
        <f>'Máy thi công'!B350</f>
        <v>M9578</v>
      </c>
      <c r="C740" s="34">
        <v>753</v>
      </c>
      <c r="D740" s="144" t="str">
        <f>" - " &amp; 'Máy thi công'!D350</f>
        <v xml:space="preserve"> - Máy ủi - công suất: 108,0 CV (110CV)</v>
      </c>
      <c r="E740" s="168" t="str">
        <f>'Máy thi công'!E350</f>
        <v>ca</v>
      </c>
      <c r="F740" s="60"/>
      <c r="G740" s="60"/>
      <c r="H740" s="60"/>
      <c r="I740" s="60">
        <v>9.4E-2</v>
      </c>
      <c r="J740" s="60"/>
      <c r="K740" s="60"/>
      <c r="L740" s="60">
        <f>ROUND(F736*I740,4)</f>
        <v>0.93530000000000002</v>
      </c>
    </row>
    <row r="741" spans="1:12" x14ac:dyDescent="0.25">
      <c r="A741" s="168"/>
      <c r="B741" s="144" t="str">
        <f>'Máy thi công'!B162</f>
        <v>M9656</v>
      </c>
      <c r="C741" s="34">
        <v>765</v>
      </c>
      <c r="D741" s="144" t="str">
        <f>" - " &amp; 'Máy thi công'!D162</f>
        <v xml:space="preserve"> - Đầm bánh hơi tự hành - trọng lượng: 9 t</v>
      </c>
      <c r="E741" s="168" t="str">
        <f>'Máy thi công'!E162</f>
        <v>ca</v>
      </c>
      <c r="F741" s="60"/>
      <c r="G741" s="60"/>
      <c r="H741" s="60"/>
      <c r="I741" s="60">
        <v>0.187</v>
      </c>
      <c r="J741" s="60"/>
      <c r="K741" s="60"/>
      <c r="L741" s="60">
        <f>ROUND(F736*I741,4)</f>
        <v>1.8607</v>
      </c>
    </row>
    <row r="742" spans="1:12" x14ac:dyDescent="0.25">
      <c r="A742" s="65">
        <f>'Công trình'!A92</f>
        <v>72</v>
      </c>
      <c r="B742" s="14" t="str">
        <f>'Công trình'!B92</f>
        <v>AF.11121</v>
      </c>
      <c r="C742" s="94"/>
      <c r="D742" s="14" t="str">
        <f>'Công trình'!C92</f>
        <v>Bê tông M100 đá 4x6</v>
      </c>
      <c r="E742" s="46" t="str">
        <f>'Công trình'!D92</f>
        <v>m3</v>
      </c>
      <c r="F742" s="106">
        <f>'Công trình'!K92</f>
        <v>103</v>
      </c>
      <c r="G742" s="126"/>
      <c r="H742" s="126"/>
      <c r="I742" s="126"/>
      <c r="J742" s="126"/>
      <c r="K742" s="126"/>
      <c r="L742" s="126"/>
    </row>
    <row r="743" spans="1:12" x14ac:dyDescent="0.25">
      <c r="A743" s="56"/>
      <c r="B743" s="23"/>
      <c r="C743" s="88"/>
      <c r="D743" s="23" t="s">
        <v>479</v>
      </c>
      <c r="E743" s="56"/>
      <c r="F743" s="118"/>
      <c r="G743" s="118"/>
      <c r="H743" s="118"/>
      <c r="I743" s="118"/>
      <c r="J743" s="118"/>
      <c r="K743" s="118"/>
      <c r="L743" s="118"/>
    </row>
    <row r="744" spans="1:12" x14ac:dyDescent="0.25">
      <c r="A744" s="168"/>
      <c r="B744" s="144" t="str">
        <f>'Vật liệu'!B716</f>
        <v>V00759</v>
      </c>
      <c r="C744" s="34">
        <v>396</v>
      </c>
      <c r="D744" s="144" t="str">
        <f>" - " &amp; 'Vật liệu'!D716</f>
        <v xml:space="preserve"> - Xi măng PC30</v>
      </c>
      <c r="E744" s="168" t="str">
        <f>'Vật liệu'!E716</f>
        <v>kg</v>
      </c>
      <c r="F744" s="60"/>
      <c r="G744" s="60">
        <v>200.85</v>
      </c>
      <c r="H744" s="60"/>
      <c r="I744" s="60"/>
      <c r="J744" s="60">
        <f>ROUND(F742*G744,4)</f>
        <v>20687.55</v>
      </c>
      <c r="K744" s="60"/>
      <c r="L744" s="60"/>
    </row>
    <row r="745" spans="1:12" x14ac:dyDescent="0.25">
      <c r="A745" s="168"/>
      <c r="B745" s="144" t="str">
        <f>'Vật liệu'!B54</f>
        <v>V00112</v>
      </c>
      <c r="C745" s="34">
        <v>125</v>
      </c>
      <c r="D745" s="144" t="str">
        <f>" - " &amp; 'Vật liệu'!D54</f>
        <v xml:space="preserve"> - Cát vàng</v>
      </c>
      <c r="E745" s="168" t="str">
        <f>'Vật liệu'!E54</f>
        <v>m3</v>
      </c>
      <c r="F745" s="60"/>
      <c r="G745" s="60">
        <v>0.53149999999999997</v>
      </c>
      <c r="H745" s="60"/>
      <c r="I745" s="60"/>
      <c r="J745" s="60">
        <f>ROUND(F742*G745,4)</f>
        <v>54.744500000000002</v>
      </c>
      <c r="K745" s="60"/>
      <c r="L745" s="60"/>
    </row>
    <row r="746" spans="1:12" x14ac:dyDescent="0.25">
      <c r="A746" s="168"/>
      <c r="B746" s="144" t="str">
        <f>'Vật liệu'!B172</f>
        <v>V05209</v>
      </c>
      <c r="C746" s="34">
        <v>419</v>
      </c>
      <c r="D746" s="144" t="str">
        <f>" - " &amp; 'Vật liệu'!D172</f>
        <v xml:space="preserve"> - Đá 4x6</v>
      </c>
      <c r="E746" s="168" t="str">
        <f>'Vật liệu'!E172</f>
        <v>m3</v>
      </c>
      <c r="F746" s="60"/>
      <c r="G746" s="60">
        <v>0.93630000000000002</v>
      </c>
      <c r="H746" s="60"/>
      <c r="I746" s="60"/>
      <c r="J746" s="60">
        <f>ROUND(F742*G746,4)</f>
        <v>96.438900000000004</v>
      </c>
      <c r="K746" s="60"/>
      <c r="L746" s="60"/>
    </row>
    <row r="747" spans="1:12" x14ac:dyDescent="0.25">
      <c r="A747" s="168"/>
      <c r="B747" s="144" t="str">
        <f>'Vật liệu'!B353</f>
        <v>V00494</v>
      </c>
      <c r="C747" s="34">
        <v>148</v>
      </c>
      <c r="D747" s="144" t="str">
        <f>" - " &amp; 'Vật liệu'!D353</f>
        <v xml:space="preserve"> - Nước</v>
      </c>
      <c r="E747" s="168" t="str">
        <f>'Vật liệu'!E353</f>
        <v>lít</v>
      </c>
      <c r="F747" s="60"/>
      <c r="G747" s="60">
        <v>169.95</v>
      </c>
      <c r="H747" s="60"/>
      <c r="I747" s="60"/>
      <c r="J747" s="60">
        <f>ROUND(F742*G747,4)</f>
        <v>17504.849999999999</v>
      </c>
      <c r="K747" s="60"/>
      <c r="L747" s="60"/>
    </row>
    <row r="748" spans="1:12" x14ac:dyDescent="0.25">
      <c r="A748" s="56"/>
      <c r="B748" s="23"/>
      <c r="C748" s="88"/>
      <c r="D748" s="23" t="s">
        <v>202</v>
      </c>
      <c r="E748" s="56"/>
      <c r="F748" s="118"/>
      <c r="G748" s="118"/>
      <c r="H748" s="118"/>
      <c r="I748" s="118"/>
      <c r="J748" s="118"/>
      <c r="K748" s="118"/>
      <c r="L748" s="118"/>
    </row>
    <row r="749" spans="1:12" x14ac:dyDescent="0.25">
      <c r="A749" s="168"/>
      <c r="B749" s="144" t="str">
        <f>'Nhân công'!B6</f>
        <v>N0006</v>
      </c>
      <c r="C749" s="34">
        <v>545</v>
      </c>
      <c r="D749" s="144" t="s">
        <v>256</v>
      </c>
      <c r="E749" s="168" t="str">
        <f>'Nhân công'!G6</f>
        <v>công</v>
      </c>
      <c r="F749" s="60"/>
      <c r="G749" s="60"/>
      <c r="H749" s="60">
        <v>1.18</v>
      </c>
      <c r="I749" s="60"/>
      <c r="J749" s="60"/>
      <c r="K749" s="60">
        <f>ROUND(F742*H749,4)</f>
        <v>121.54</v>
      </c>
      <c r="L749" s="60"/>
    </row>
    <row r="750" spans="1:12" x14ac:dyDescent="0.25">
      <c r="A750" s="56"/>
      <c r="B750" s="23"/>
      <c r="C750" s="88"/>
      <c r="D750" s="23" t="s">
        <v>378</v>
      </c>
      <c r="E750" s="56"/>
      <c r="F750" s="118"/>
      <c r="G750" s="118"/>
      <c r="H750" s="118"/>
      <c r="I750" s="118"/>
      <c r="J750" s="118"/>
      <c r="K750" s="118"/>
      <c r="L750" s="118"/>
    </row>
    <row r="751" spans="1:12" x14ac:dyDescent="0.25">
      <c r="A751" s="168"/>
      <c r="B751" s="144" t="str">
        <f>'Máy thi công'!B226</f>
        <v>M112.1101</v>
      </c>
      <c r="C751" s="34">
        <v>699</v>
      </c>
      <c r="D751" s="144" t="str">
        <f>" - " &amp; 'Máy thi công'!D226</f>
        <v xml:space="preserve"> - Máy đầm bê tông, đầm bàn - công suất: 1,0 kW</v>
      </c>
      <c r="E751" s="168" t="str">
        <f>'Máy thi công'!E226</f>
        <v>ca</v>
      </c>
      <c r="F751" s="60"/>
      <c r="G751" s="60"/>
      <c r="H751" s="60"/>
      <c r="I751" s="60">
        <v>8.8999999999999996E-2</v>
      </c>
      <c r="J751" s="60"/>
      <c r="K751" s="60"/>
      <c r="L751" s="60">
        <f>ROUND(F742*I751,4)</f>
        <v>9.1669999999999998</v>
      </c>
    </row>
    <row r="752" spans="1:12" x14ac:dyDescent="0.25">
      <c r="A752" s="168"/>
      <c r="B752" s="144" t="str">
        <f>'Máy thi công'!B306</f>
        <v>M9555</v>
      </c>
      <c r="C752" s="34">
        <v>744</v>
      </c>
      <c r="D752" s="144" t="str">
        <f>" - " &amp; 'Máy thi công'!D306</f>
        <v xml:space="preserve"> - Máy trộn bê tông - dung tích: 250 lít</v>
      </c>
      <c r="E752" s="168" t="str">
        <f>'Máy thi công'!E306</f>
        <v>ca</v>
      </c>
      <c r="F752" s="60"/>
      <c r="G752" s="60"/>
      <c r="H752" s="60"/>
      <c r="I752" s="60">
        <v>9.5000000000000001E-2</v>
      </c>
      <c r="J752" s="60"/>
      <c r="K752" s="60"/>
      <c r="L752" s="60">
        <f>ROUND(F742*I752,4)</f>
        <v>9.7850000000000001</v>
      </c>
    </row>
    <row r="753" spans="1:12" x14ac:dyDescent="0.25">
      <c r="A753" s="65">
        <f>'Công trình'!A93</f>
        <v>73</v>
      </c>
      <c r="B753" s="14" t="str">
        <f>'Công trình'!B93</f>
        <v>AD.11212</v>
      </c>
      <c r="C753" s="94"/>
      <c r="D753" s="14" t="str">
        <f>'Công trình'!C93</f>
        <v>Cấp phối đá 0x4</v>
      </c>
      <c r="E753" s="46" t="str">
        <f>'Công trình'!D93</f>
        <v>100m3</v>
      </c>
      <c r="F753" s="106">
        <f>'Công trình'!K93</f>
        <v>0.7</v>
      </c>
      <c r="G753" s="126"/>
      <c r="H753" s="126"/>
      <c r="I753" s="126"/>
      <c r="J753" s="126"/>
      <c r="K753" s="126"/>
      <c r="L753" s="126"/>
    </row>
    <row r="754" spans="1:12" x14ac:dyDescent="0.25">
      <c r="A754" s="56"/>
      <c r="B754" s="23"/>
      <c r="C754" s="88"/>
      <c r="D754" s="23" t="s">
        <v>479</v>
      </c>
      <c r="E754" s="56"/>
      <c r="F754" s="118"/>
      <c r="G754" s="118"/>
      <c r="H754" s="118"/>
      <c r="I754" s="118"/>
      <c r="J754" s="118"/>
      <c r="K754" s="118"/>
      <c r="L754" s="118"/>
    </row>
    <row r="755" spans="1:12" x14ac:dyDescent="0.25">
      <c r="A755" s="168"/>
      <c r="B755" s="144" t="str">
        <f>'Vật liệu'!B40</f>
        <v>V00127</v>
      </c>
      <c r="C755" s="34">
        <v>132</v>
      </c>
      <c r="D755" s="144" t="str">
        <f>" - " &amp; 'Vật liệu'!D40</f>
        <v xml:space="preserve"> - Cấp phối đá 0x4</v>
      </c>
      <c r="E755" s="168" t="str">
        <f>'Vật liệu'!E40</f>
        <v>m3</v>
      </c>
      <c r="F755" s="60"/>
      <c r="G755" s="60">
        <v>142</v>
      </c>
      <c r="H755" s="60"/>
      <c r="I755" s="60"/>
      <c r="J755" s="60">
        <f>ROUND(F753*G755,4)</f>
        <v>99.4</v>
      </c>
      <c r="K755" s="60"/>
      <c r="L755" s="60"/>
    </row>
    <row r="756" spans="1:12" x14ac:dyDescent="0.25">
      <c r="A756" s="56"/>
      <c r="B756" s="23"/>
      <c r="C756" s="88"/>
      <c r="D756" s="23" t="s">
        <v>202</v>
      </c>
      <c r="E756" s="56"/>
      <c r="F756" s="118"/>
      <c r="G756" s="118"/>
      <c r="H756" s="118"/>
      <c r="I756" s="118"/>
      <c r="J756" s="118"/>
      <c r="K756" s="118"/>
      <c r="L756" s="118"/>
    </row>
    <row r="757" spans="1:12" x14ac:dyDescent="0.25">
      <c r="A757" s="168"/>
      <c r="B757" s="144" t="str">
        <f>'Nhân công'!B185</f>
        <v>N0020</v>
      </c>
      <c r="C757" s="34">
        <v>555</v>
      </c>
      <c r="D757" s="144" t="s">
        <v>625</v>
      </c>
      <c r="E757" s="168" t="str">
        <f>'Nhân công'!G185</f>
        <v>công</v>
      </c>
      <c r="F757" s="60"/>
      <c r="G757" s="60"/>
      <c r="H757" s="60">
        <v>3.9</v>
      </c>
      <c r="I757" s="60"/>
      <c r="J757" s="60"/>
      <c r="K757" s="60">
        <f>ROUND(F753*H757,4)</f>
        <v>2.73</v>
      </c>
      <c r="L757" s="60"/>
    </row>
    <row r="758" spans="1:12" x14ac:dyDescent="0.25">
      <c r="A758" s="56"/>
      <c r="B758" s="23"/>
      <c r="C758" s="88"/>
      <c r="D758" s="23" t="s">
        <v>378</v>
      </c>
      <c r="E758" s="56"/>
      <c r="F758" s="118"/>
      <c r="G758" s="118"/>
      <c r="H758" s="118"/>
      <c r="I758" s="118"/>
      <c r="J758" s="118"/>
      <c r="K758" s="118"/>
      <c r="L758" s="118"/>
    </row>
    <row r="759" spans="1:12" x14ac:dyDescent="0.25">
      <c r="A759" s="168"/>
      <c r="B759" s="144" t="str">
        <f>'Máy thi công'!B167</f>
        <v>M9657</v>
      </c>
      <c r="C759" s="34">
        <v>766</v>
      </c>
      <c r="D759" s="144" t="str">
        <f>" - " &amp; 'Máy thi công'!D167</f>
        <v xml:space="preserve"> - Đầm bánh thép tự hành - trọng lượng: 10 t</v>
      </c>
      <c r="E759" s="168" t="str">
        <f>'Máy thi công'!E167</f>
        <v>ca</v>
      </c>
      <c r="F759" s="60"/>
      <c r="G759" s="60"/>
      <c r="H759" s="60"/>
      <c r="I759" s="60">
        <v>0.21</v>
      </c>
      <c r="J759" s="60"/>
      <c r="K759" s="60"/>
      <c r="L759" s="60">
        <f>ROUND(F753*I759,4)</f>
        <v>0.14699999999999999</v>
      </c>
    </row>
    <row r="760" spans="1:12" x14ac:dyDescent="0.25">
      <c r="A760" s="168"/>
      <c r="B760" s="144" t="str">
        <f>'Máy thi công'!B374</f>
        <v>M9637</v>
      </c>
      <c r="C760" s="34">
        <v>759</v>
      </c>
      <c r="D760" s="144" t="str">
        <f>" - " &amp; 'Máy thi công'!D374</f>
        <v xml:space="preserve"> - Ô tô tưới nước - dung tích: 5 m3</v>
      </c>
      <c r="E760" s="168" t="str">
        <f>'Máy thi công'!E374</f>
        <v>ca</v>
      </c>
      <c r="F760" s="60"/>
      <c r="G760" s="60"/>
      <c r="H760" s="60"/>
      <c r="I760" s="60">
        <v>0.21</v>
      </c>
      <c r="J760" s="60"/>
      <c r="K760" s="60"/>
      <c r="L760" s="60">
        <f>ROUND(F753*I760,4)</f>
        <v>0.14699999999999999</v>
      </c>
    </row>
    <row r="761" spans="1:12" x14ac:dyDescent="0.25">
      <c r="A761" s="168"/>
      <c r="B761" s="144" t="str">
        <f>'Máy thi công'!B158</f>
        <v>M9654</v>
      </c>
      <c r="C761" s="34">
        <v>764</v>
      </c>
      <c r="D761" s="144" t="str">
        <f>" - " &amp; 'Máy thi công'!D158</f>
        <v xml:space="preserve"> - Đầm bánh hơi tự hành - trọng lượng: 16 t</v>
      </c>
      <c r="E761" s="168" t="str">
        <f>'Máy thi công'!E158</f>
        <v>ca</v>
      </c>
      <c r="F761" s="60"/>
      <c r="G761" s="60"/>
      <c r="H761" s="60"/>
      <c r="I761" s="60">
        <v>0.34</v>
      </c>
      <c r="J761" s="60"/>
      <c r="K761" s="60"/>
      <c r="L761" s="60">
        <f>ROUND(F753*I761,4)</f>
        <v>0.23799999999999999</v>
      </c>
    </row>
    <row r="762" spans="1:12" x14ac:dyDescent="0.25">
      <c r="A762" s="168"/>
      <c r="B762" s="144" t="str">
        <f>'Máy thi công'!B350</f>
        <v>M9578</v>
      </c>
      <c r="C762" s="34">
        <v>753</v>
      </c>
      <c r="D762" s="144" t="str">
        <f>" - " &amp; 'Máy thi công'!D350</f>
        <v xml:space="preserve"> - Máy ủi - công suất: 108,0 CV (110CV)</v>
      </c>
      <c r="E762" s="168" t="str">
        <f>'Máy thi công'!E350</f>
        <v>ca</v>
      </c>
      <c r="F762" s="60"/>
      <c r="G762" s="60"/>
      <c r="H762" s="60"/>
      <c r="I762" s="60">
        <v>0.42</v>
      </c>
      <c r="J762" s="60"/>
      <c r="K762" s="60"/>
      <c r="L762" s="60">
        <f>ROUND(F753*I762,4)</f>
        <v>0.29399999999999998</v>
      </c>
    </row>
    <row r="763" spans="1:12" x14ac:dyDescent="0.25">
      <c r="A763" s="168"/>
      <c r="B763" s="144" t="str">
        <f>'Máy thi công'!B303</f>
        <v>M9553</v>
      </c>
      <c r="C763" s="34">
        <v>743</v>
      </c>
      <c r="D763" s="144" t="str">
        <f>" - " &amp; 'Máy thi công'!D303</f>
        <v xml:space="preserve"> - Máy san tự hành - công suất: 108 cv</v>
      </c>
      <c r="E763" s="168" t="str">
        <f>'Máy thi công'!E303</f>
        <v>ca</v>
      </c>
      <c r="F763" s="60"/>
      <c r="G763" s="60"/>
      <c r="H763" s="60"/>
      <c r="I763" s="60">
        <v>0.08</v>
      </c>
      <c r="J763" s="60"/>
      <c r="K763" s="60"/>
      <c r="L763" s="60">
        <f>ROUND(F753*I763,4)</f>
        <v>5.6000000000000001E-2</v>
      </c>
    </row>
    <row r="764" spans="1:12" x14ac:dyDescent="0.25">
      <c r="A764" s="168"/>
      <c r="B764" s="144" t="str">
        <f>'Máy thi công'!B261</f>
        <v>M9576</v>
      </c>
      <c r="C764" s="34">
        <v>751</v>
      </c>
      <c r="D764" s="144" t="str">
        <f>" - " &amp; 'Máy thi công'!D261</f>
        <v xml:space="preserve"> - Máy đầm rung tự hành - trọng lượng: 25 t</v>
      </c>
      <c r="E764" s="168" t="str">
        <f>'Máy thi công'!E261</f>
        <v>ca</v>
      </c>
      <c r="F764" s="60"/>
      <c r="G764" s="60"/>
      <c r="H764" s="60"/>
      <c r="I764" s="60">
        <v>0.21</v>
      </c>
      <c r="J764" s="60"/>
      <c r="K764" s="60"/>
      <c r="L764" s="60">
        <f>ROUND(F753*I764,4)</f>
        <v>0.14699999999999999</v>
      </c>
    </row>
    <row r="765" spans="1:12" x14ac:dyDescent="0.25">
      <c r="A765" s="168"/>
      <c r="B765" s="144" t="str">
        <f>'Máy thi công'!B398</f>
        <v>M0111</v>
      </c>
      <c r="C765" s="34">
        <v>682</v>
      </c>
      <c r="D765" s="144" t="str">
        <f>" - " &amp; 'Máy thi công'!D398</f>
        <v xml:space="preserve"> - Máy khác</v>
      </c>
      <c r="E765" s="168" t="str">
        <f>'Máy thi công'!E398</f>
        <v>%</v>
      </c>
      <c r="F765" s="60"/>
      <c r="G765" s="60"/>
      <c r="H765" s="60"/>
      <c r="I765" s="60">
        <v>0.5</v>
      </c>
      <c r="J765" s="60"/>
      <c r="K765" s="60"/>
      <c r="L765" s="60"/>
    </row>
    <row r="766" spans="1:12" ht="28.5" x14ac:dyDescent="0.25">
      <c r="A766" s="65">
        <f>'Công trình'!A95</f>
        <v>74</v>
      </c>
      <c r="B766" s="14" t="str">
        <f>'Công trình'!B95</f>
        <v>KH.0102</v>
      </c>
      <c r="C766" s="94"/>
      <c r="D766" s="14" t="str">
        <f>'Công trình'!C95</f>
        <v>Đóng cừ dừa bằng máy đào (TT theo MHĐM KH.0102  định mức 1751)</v>
      </c>
      <c r="E766" s="46" t="str">
        <f>'Công trình'!D95</f>
        <v>100m</v>
      </c>
      <c r="F766" s="106">
        <f>'Công trình'!K95</f>
        <v>3.12</v>
      </c>
      <c r="G766" s="126"/>
      <c r="H766" s="126"/>
      <c r="I766" s="126"/>
      <c r="J766" s="126"/>
      <c r="K766" s="126"/>
      <c r="L766" s="126"/>
    </row>
    <row r="767" spans="1:12" x14ac:dyDescent="0.25">
      <c r="A767" s="56"/>
      <c r="B767" s="23"/>
      <c r="C767" s="88"/>
      <c r="D767" s="23" t="s">
        <v>479</v>
      </c>
      <c r="E767" s="56"/>
      <c r="F767" s="118"/>
      <c r="G767" s="118"/>
      <c r="H767" s="118"/>
      <c r="I767" s="118"/>
      <c r="J767" s="118"/>
      <c r="K767" s="118"/>
      <c r="L767" s="118"/>
    </row>
    <row r="768" spans="1:12" x14ac:dyDescent="0.25">
      <c r="A768" s="168"/>
      <c r="B768" s="144" t="str">
        <f>'Vật liệu'!B132</f>
        <v>V10429</v>
      </c>
      <c r="C768" s="34">
        <v>443</v>
      </c>
      <c r="D768" s="144" t="str">
        <f>" - " &amp; 'Vật liệu'!D132</f>
        <v xml:space="preserve"> - Cừ dừa</v>
      </c>
      <c r="E768" s="168" t="str">
        <f>'Vật liệu'!E132</f>
        <v>m</v>
      </c>
      <c r="F768" s="60"/>
      <c r="G768" s="60">
        <v>105</v>
      </c>
      <c r="H768" s="60"/>
      <c r="I768" s="60"/>
      <c r="J768" s="60">
        <f>ROUND(F766*G768,4)</f>
        <v>327.60000000000002</v>
      </c>
      <c r="K768" s="60"/>
      <c r="L768" s="60"/>
    </row>
    <row r="769" spans="1:12" x14ac:dyDescent="0.25">
      <c r="A769" s="56"/>
      <c r="B769" s="23"/>
      <c r="C769" s="88"/>
      <c r="D769" s="23" t="s">
        <v>202</v>
      </c>
      <c r="E769" s="56"/>
      <c r="F769" s="118"/>
      <c r="G769" s="118"/>
      <c r="H769" s="118"/>
      <c r="I769" s="118"/>
      <c r="J769" s="118"/>
      <c r="K769" s="118"/>
      <c r="L769" s="118"/>
    </row>
    <row r="770" spans="1:12" x14ac:dyDescent="0.25">
      <c r="A770" s="168"/>
      <c r="B770" s="144" t="str">
        <f>'Nhân công'!B45</f>
        <v>N0009</v>
      </c>
      <c r="C770" s="34">
        <v>546</v>
      </c>
      <c r="D770" s="144" t="s">
        <v>1052</v>
      </c>
      <c r="E770" s="168" t="str">
        <f>'Nhân công'!G45</f>
        <v>công</v>
      </c>
      <c r="F770" s="60"/>
      <c r="G770" s="60"/>
      <c r="H770" s="60">
        <v>3.3</v>
      </c>
      <c r="I770" s="60"/>
      <c r="J770" s="60"/>
      <c r="K770" s="60">
        <f>ROUND(F766*H770,4)</f>
        <v>10.295999999999999</v>
      </c>
      <c r="L770" s="60"/>
    </row>
    <row r="771" spans="1:12" x14ac:dyDescent="0.25">
      <c r="A771" s="56"/>
      <c r="B771" s="23"/>
      <c r="C771" s="88"/>
      <c r="D771" s="23" t="s">
        <v>378</v>
      </c>
      <c r="E771" s="56"/>
      <c r="F771" s="118"/>
      <c r="G771" s="118"/>
      <c r="H771" s="118"/>
      <c r="I771" s="118"/>
      <c r="J771" s="118"/>
      <c r="K771" s="118"/>
      <c r="L771" s="118"/>
    </row>
    <row r="772" spans="1:12" x14ac:dyDescent="0.25">
      <c r="A772" s="168"/>
      <c r="B772" s="144" t="str">
        <f>'Máy thi công'!B265</f>
        <v>M0171</v>
      </c>
      <c r="C772" s="34">
        <v>696</v>
      </c>
      <c r="D772" s="144" t="str">
        <f>" - " &amp; 'Máy thi công'!D265</f>
        <v xml:space="preserve"> - Máy đào 0,5m3</v>
      </c>
      <c r="E772" s="168" t="str">
        <f>'Máy thi công'!E265</f>
        <v>ca</v>
      </c>
      <c r="F772" s="60"/>
      <c r="G772" s="60"/>
      <c r="H772" s="60"/>
      <c r="I772" s="60">
        <v>0.38700000000000001</v>
      </c>
      <c r="J772" s="60"/>
      <c r="K772" s="60"/>
      <c r="L772" s="60">
        <f>ROUND(F766*I772,4)</f>
        <v>1.2074</v>
      </c>
    </row>
    <row r="773" spans="1:12" ht="28.5" x14ac:dyDescent="0.25">
      <c r="A773" s="65">
        <f>'Công trình'!A96</f>
        <v>75</v>
      </c>
      <c r="B773" s="14" t="str">
        <f>'Công trình'!B96</f>
        <v>AC.11121</v>
      </c>
      <c r="C773" s="94"/>
      <c r="D773" s="14" t="str">
        <f>'Công trình'!C96</f>
        <v>Đóng cọc tràm chiều dài cọc ngập đất &gt;2,5m đất cấp I</v>
      </c>
      <c r="E773" s="46" t="str">
        <f>'Công trình'!D96</f>
        <v>100m</v>
      </c>
      <c r="F773" s="106">
        <f>'Công trình'!K96</f>
        <v>21.6</v>
      </c>
      <c r="G773" s="126"/>
      <c r="H773" s="126"/>
      <c r="I773" s="126"/>
      <c r="J773" s="126"/>
      <c r="K773" s="126"/>
      <c r="L773" s="126"/>
    </row>
    <row r="774" spans="1:12" x14ac:dyDescent="0.25">
      <c r="A774" s="56"/>
      <c r="B774" s="23"/>
      <c r="C774" s="88"/>
      <c r="D774" s="23" t="s">
        <v>479</v>
      </c>
      <c r="E774" s="56"/>
      <c r="F774" s="118"/>
      <c r="G774" s="118"/>
      <c r="H774" s="118"/>
      <c r="I774" s="118"/>
      <c r="J774" s="118"/>
      <c r="K774" s="118"/>
      <c r="L774" s="118"/>
    </row>
    <row r="775" spans="1:12" x14ac:dyDescent="0.25">
      <c r="A775" s="168"/>
      <c r="B775" s="144" t="str">
        <f>'Vật liệu'!B307</f>
        <v>V00402</v>
      </c>
      <c r="C775" s="34">
        <v>142</v>
      </c>
      <c r="D775" s="144" t="str">
        <f>" - " &amp; 'Vật liệu'!D307</f>
        <v xml:space="preserve"> - Gỗ ván</v>
      </c>
      <c r="E775" s="168" t="str">
        <f>'Vật liệu'!E307</f>
        <v>m3</v>
      </c>
      <c r="F775" s="60"/>
      <c r="G775" s="60">
        <v>0.01</v>
      </c>
      <c r="H775" s="60"/>
      <c r="I775" s="60"/>
      <c r="J775" s="60">
        <f>ROUND(F773*G775,4)</f>
        <v>0.216</v>
      </c>
      <c r="K775" s="60"/>
      <c r="L775" s="60"/>
    </row>
    <row r="776" spans="1:12" x14ac:dyDescent="0.25">
      <c r="A776" s="168"/>
      <c r="B776" s="144" t="str">
        <f>'Vật liệu'!B124</f>
        <v>V32325</v>
      </c>
      <c r="C776" s="34">
        <v>466</v>
      </c>
      <c r="D776" s="144" t="str">
        <f>" - " &amp; 'Vật liệu'!D124</f>
        <v xml:space="preserve"> - Cọc tràm</v>
      </c>
      <c r="E776" s="168" t="str">
        <f>'Vật liệu'!E124</f>
        <v>m</v>
      </c>
      <c r="F776" s="60"/>
      <c r="G776" s="60">
        <v>105</v>
      </c>
      <c r="H776" s="60"/>
      <c r="I776" s="60"/>
      <c r="J776" s="60">
        <f>ROUND(F773*G776,4)</f>
        <v>2268</v>
      </c>
      <c r="K776" s="60"/>
      <c r="L776" s="60"/>
    </row>
    <row r="777" spans="1:12" x14ac:dyDescent="0.25">
      <c r="A777" s="168"/>
      <c r="B777" s="144" t="str">
        <f>'Vật liệu'!B101</f>
        <v>V00116</v>
      </c>
      <c r="C777" s="34">
        <v>129</v>
      </c>
      <c r="D777" s="144" t="str">
        <f>" - " &amp; 'Vật liệu'!D101</f>
        <v xml:space="preserve"> - Cây chống</v>
      </c>
      <c r="E777" s="168" t="str">
        <f>'Vật liệu'!E101</f>
        <v>cây</v>
      </c>
      <c r="F777" s="60"/>
      <c r="G777" s="60">
        <v>1.65</v>
      </c>
      <c r="H777" s="60"/>
      <c r="I777" s="60"/>
      <c r="J777" s="60">
        <f>ROUND(F773*G777,4)</f>
        <v>35.64</v>
      </c>
      <c r="K777" s="60"/>
      <c r="L777" s="60"/>
    </row>
    <row r="778" spans="1:12" x14ac:dyDescent="0.25">
      <c r="A778" s="168"/>
      <c r="B778" s="144" t="str">
        <f>'Vật liệu'!B766</f>
        <v>V00750</v>
      </c>
      <c r="C778" s="34">
        <v>225</v>
      </c>
      <c r="D778" s="144" t="str">
        <f>" - " &amp; 'Vật liệu'!D766</f>
        <v xml:space="preserve"> - Vật liệu khác</v>
      </c>
      <c r="E778" s="168" t="str">
        <f>'Vật liệu'!E766</f>
        <v>%</v>
      </c>
      <c r="F778" s="60"/>
      <c r="G778" s="60">
        <v>5</v>
      </c>
      <c r="H778" s="60"/>
      <c r="I778" s="60"/>
      <c r="J778" s="60"/>
      <c r="K778" s="60"/>
      <c r="L778" s="60"/>
    </row>
    <row r="779" spans="1:12" x14ac:dyDescent="0.25">
      <c r="A779" s="56"/>
      <c r="B779" s="23"/>
      <c r="C779" s="88"/>
      <c r="D779" s="23" t="s">
        <v>202</v>
      </c>
      <c r="E779" s="56"/>
      <c r="F779" s="118"/>
      <c r="G779" s="118"/>
      <c r="H779" s="118"/>
      <c r="I779" s="118"/>
      <c r="J779" s="118"/>
      <c r="K779" s="118"/>
      <c r="L779" s="118"/>
    </row>
    <row r="780" spans="1:12" x14ac:dyDescent="0.25">
      <c r="A780" s="168"/>
      <c r="B780" s="144" t="str">
        <f>'Nhân công'!B103</f>
        <v>N0015</v>
      </c>
      <c r="C780" s="34">
        <v>554</v>
      </c>
      <c r="D780" s="144" t="s">
        <v>1014</v>
      </c>
      <c r="E780" s="168" t="str">
        <f>'Nhân công'!G103</f>
        <v>công</v>
      </c>
      <c r="F780" s="60"/>
      <c r="G780" s="60"/>
      <c r="H780" s="60">
        <v>2.5299999999999998</v>
      </c>
      <c r="I780" s="60"/>
      <c r="J780" s="60"/>
      <c r="K780" s="60">
        <f>ROUND(F773*H780,4)</f>
        <v>54.648000000000003</v>
      </c>
      <c r="L780" s="60"/>
    </row>
    <row r="781" spans="1:12" x14ac:dyDescent="0.25">
      <c r="A781" s="65">
        <f>'Công trình'!A97</f>
        <v>76</v>
      </c>
      <c r="B781" s="14" t="str">
        <f>'Công trình'!B97</f>
        <v>AL.16122</v>
      </c>
      <c r="C781" s="94"/>
      <c r="D781" s="14" t="str">
        <f>'Công trình'!C97</f>
        <v>Rải vải địa kỹ thuật làm móng công trình</v>
      </c>
      <c r="E781" s="46" t="str">
        <f>'Công trình'!D97</f>
        <v>100m2</v>
      </c>
      <c r="F781" s="106">
        <f>'Công trình'!K97</f>
        <v>4.92</v>
      </c>
      <c r="G781" s="126"/>
      <c r="H781" s="126"/>
      <c r="I781" s="126"/>
      <c r="J781" s="126"/>
      <c r="K781" s="126"/>
      <c r="L781" s="126"/>
    </row>
    <row r="782" spans="1:12" x14ac:dyDescent="0.25">
      <c r="A782" s="56"/>
      <c r="B782" s="23"/>
      <c r="C782" s="88"/>
      <c r="D782" s="23" t="s">
        <v>479</v>
      </c>
      <c r="E782" s="56"/>
      <c r="F782" s="118"/>
      <c r="G782" s="118"/>
      <c r="H782" s="118"/>
      <c r="I782" s="118"/>
      <c r="J782" s="118"/>
      <c r="K782" s="118"/>
      <c r="L782" s="118"/>
    </row>
    <row r="783" spans="1:12" x14ac:dyDescent="0.25">
      <c r="A783" s="168"/>
      <c r="B783" s="144" t="str">
        <f>'Vật liệu'!B709</f>
        <v>V00749</v>
      </c>
      <c r="C783" s="34">
        <v>174</v>
      </c>
      <c r="D783" s="144" t="str">
        <f>" - " &amp; 'Vật liệu'!D709</f>
        <v xml:space="preserve"> - Vải địa kỹ thuật</v>
      </c>
      <c r="E783" s="168" t="str">
        <f>'Vật liệu'!E709</f>
        <v>m2</v>
      </c>
      <c r="F783" s="60"/>
      <c r="G783" s="60">
        <v>110</v>
      </c>
      <c r="H783" s="60"/>
      <c r="I783" s="60"/>
      <c r="J783" s="60">
        <f>ROUND(F781*G783,4)</f>
        <v>541.20000000000005</v>
      </c>
      <c r="K783" s="60"/>
      <c r="L783" s="60"/>
    </row>
    <row r="784" spans="1:12" x14ac:dyDescent="0.25">
      <c r="A784" s="168"/>
      <c r="B784" s="144" t="str">
        <f>'Vật liệu'!B766</f>
        <v>V00750</v>
      </c>
      <c r="C784" s="34">
        <v>226</v>
      </c>
      <c r="D784" s="144" t="str">
        <f>" - " &amp; 'Vật liệu'!D766</f>
        <v xml:space="preserve"> - Vật liệu khác</v>
      </c>
      <c r="E784" s="168" t="str">
        <f>'Vật liệu'!E766</f>
        <v>%</v>
      </c>
      <c r="F784" s="60"/>
      <c r="G784" s="60">
        <v>0.2</v>
      </c>
      <c r="H784" s="60"/>
      <c r="I784" s="60"/>
      <c r="J784" s="60"/>
      <c r="K784" s="60"/>
      <c r="L784" s="60"/>
    </row>
    <row r="785" spans="1:12" x14ac:dyDescent="0.25">
      <c r="A785" s="56"/>
      <c r="B785" s="23"/>
      <c r="C785" s="88"/>
      <c r="D785" s="23" t="s">
        <v>202</v>
      </c>
      <c r="E785" s="56"/>
      <c r="F785" s="118"/>
      <c r="G785" s="118"/>
      <c r="H785" s="118"/>
      <c r="I785" s="118"/>
      <c r="J785" s="118"/>
      <c r="K785" s="118"/>
      <c r="L785" s="118"/>
    </row>
    <row r="786" spans="1:12" x14ac:dyDescent="0.25">
      <c r="A786" s="168"/>
      <c r="B786" s="144" t="str">
        <f>'Nhân công'!B103</f>
        <v>N0015</v>
      </c>
      <c r="C786" s="34">
        <v>554</v>
      </c>
      <c r="D786" s="144" t="s">
        <v>1014</v>
      </c>
      <c r="E786" s="168" t="str">
        <f>'Nhân công'!G103</f>
        <v>công</v>
      </c>
      <c r="F786" s="60"/>
      <c r="G786" s="60"/>
      <c r="H786" s="60">
        <v>1.08</v>
      </c>
      <c r="I786" s="60"/>
      <c r="J786" s="60"/>
      <c r="K786" s="60">
        <f>ROUND(F781*H786,4)</f>
        <v>5.3136000000000001</v>
      </c>
      <c r="L786" s="60"/>
    </row>
    <row r="787" spans="1:12" x14ac:dyDescent="0.25">
      <c r="A787" s="65">
        <f>'Công trình'!A98</f>
        <v>77</v>
      </c>
      <c r="B787" s="14" t="str">
        <f>'Công trình'!B98</f>
        <v>AD.11212</v>
      </c>
      <c r="C787" s="94"/>
      <c r="D787" s="14" t="str">
        <f>'Công trình'!C98</f>
        <v>Cấp phối đá 0x4</v>
      </c>
      <c r="E787" s="46" t="str">
        <f>'Công trình'!D98</f>
        <v>100m3</v>
      </c>
      <c r="F787" s="106">
        <f>'Công trình'!K98</f>
        <v>0.6</v>
      </c>
      <c r="G787" s="126"/>
      <c r="H787" s="126"/>
      <c r="I787" s="126"/>
      <c r="J787" s="126"/>
      <c r="K787" s="126"/>
      <c r="L787" s="126"/>
    </row>
    <row r="788" spans="1:12" x14ac:dyDescent="0.25">
      <c r="A788" s="56"/>
      <c r="B788" s="23"/>
      <c r="C788" s="88"/>
      <c r="D788" s="23" t="s">
        <v>479</v>
      </c>
      <c r="E788" s="56"/>
      <c r="F788" s="118"/>
      <c r="G788" s="118"/>
      <c r="H788" s="118"/>
      <c r="I788" s="118"/>
      <c r="J788" s="118"/>
      <c r="K788" s="118"/>
      <c r="L788" s="118"/>
    </row>
    <row r="789" spans="1:12" x14ac:dyDescent="0.25">
      <c r="A789" s="168"/>
      <c r="B789" s="144" t="str">
        <f>'Vật liệu'!B40</f>
        <v>V00127</v>
      </c>
      <c r="C789" s="34">
        <v>132</v>
      </c>
      <c r="D789" s="144" t="str">
        <f>" - " &amp; 'Vật liệu'!D40</f>
        <v xml:space="preserve"> - Cấp phối đá 0x4</v>
      </c>
      <c r="E789" s="168" t="str">
        <f>'Vật liệu'!E40</f>
        <v>m3</v>
      </c>
      <c r="F789" s="60"/>
      <c r="G789" s="60">
        <v>142</v>
      </c>
      <c r="H789" s="60"/>
      <c r="I789" s="60"/>
      <c r="J789" s="60">
        <f>ROUND(F787*G789,4)</f>
        <v>85.2</v>
      </c>
      <c r="K789" s="60"/>
      <c r="L789" s="60"/>
    </row>
    <row r="790" spans="1:12" x14ac:dyDescent="0.25">
      <c r="A790" s="56"/>
      <c r="B790" s="23"/>
      <c r="C790" s="88"/>
      <c r="D790" s="23" t="s">
        <v>202</v>
      </c>
      <c r="E790" s="56"/>
      <c r="F790" s="118"/>
      <c r="G790" s="118"/>
      <c r="H790" s="118"/>
      <c r="I790" s="118"/>
      <c r="J790" s="118"/>
      <c r="K790" s="118"/>
      <c r="L790" s="118"/>
    </row>
    <row r="791" spans="1:12" x14ac:dyDescent="0.25">
      <c r="A791" s="168"/>
      <c r="B791" s="144" t="str">
        <f>'Nhân công'!B185</f>
        <v>N0020</v>
      </c>
      <c r="C791" s="34">
        <v>555</v>
      </c>
      <c r="D791" s="144" t="s">
        <v>625</v>
      </c>
      <c r="E791" s="168" t="str">
        <f>'Nhân công'!G185</f>
        <v>công</v>
      </c>
      <c r="F791" s="60"/>
      <c r="G791" s="60"/>
      <c r="H791" s="60">
        <v>3.9</v>
      </c>
      <c r="I791" s="60"/>
      <c r="J791" s="60"/>
      <c r="K791" s="60">
        <f>ROUND(F787*H791,4)</f>
        <v>2.34</v>
      </c>
      <c r="L791" s="60"/>
    </row>
    <row r="792" spans="1:12" x14ac:dyDescent="0.25">
      <c r="A792" s="56"/>
      <c r="B792" s="23"/>
      <c r="C792" s="88"/>
      <c r="D792" s="23" t="s">
        <v>378</v>
      </c>
      <c r="E792" s="56"/>
      <c r="F792" s="118"/>
      <c r="G792" s="118"/>
      <c r="H792" s="118"/>
      <c r="I792" s="118"/>
      <c r="J792" s="118"/>
      <c r="K792" s="118"/>
      <c r="L792" s="118"/>
    </row>
    <row r="793" spans="1:12" x14ac:dyDescent="0.25">
      <c r="A793" s="168"/>
      <c r="B793" s="144" t="str">
        <f>'Máy thi công'!B167</f>
        <v>M9657</v>
      </c>
      <c r="C793" s="34">
        <v>766</v>
      </c>
      <c r="D793" s="144" t="str">
        <f>" - " &amp; 'Máy thi công'!D167</f>
        <v xml:space="preserve"> - Đầm bánh thép tự hành - trọng lượng: 10 t</v>
      </c>
      <c r="E793" s="168" t="str">
        <f>'Máy thi công'!E167</f>
        <v>ca</v>
      </c>
      <c r="F793" s="60"/>
      <c r="G793" s="60"/>
      <c r="H793" s="60"/>
      <c r="I793" s="60">
        <v>0.21</v>
      </c>
      <c r="J793" s="60"/>
      <c r="K793" s="60"/>
      <c r="L793" s="60">
        <f>ROUND(F787*I793,4)</f>
        <v>0.126</v>
      </c>
    </row>
    <row r="794" spans="1:12" x14ac:dyDescent="0.25">
      <c r="A794" s="168"/>
      <c r="B794" s="144" t="str">
        <f>'Máy thi công'!B374</f>
        <v>M9637</v>
      </c>
      <c r="C794" s="34">
        <v>759</v>
      </c>
      <c r="D794" s="144" t="str">
        <f>" - " &amp; 'Máy thi công'!D374</f>
        <v xml:space="preserve"> - Ô tô tưới nước - dung tích: 5 m3</v>
      </c>
      <c r="E794" s="168" t="str">
        <f>'Máy thi công'!E374</f>
        <v>ca</v>
      </c>
      <c r="F794" s="60"/>
      <c r="G794" s="60"/>
      <c r="H794" s="60"/>
      <c r="I794" s="60">
        <v>0.21</v>
      </c>
      <c r="J794" s="60"/>
      <c r="K794" s="60"/>
      <c r="L794" s="60">
        <f>ROUND(F787*I794,4)</f>
        <v>0.126</v>
      </c>
    </row>
    <row r="795" spans="1:12" x14ac:dyDescent="0.25">
      <c r="A795" s="168"/>
      <c r="B795" s="144" t="str">
        <f>'Máy thi công'!B158</f>
        <v>M9654</v>
      </c>
      <c r="C795" s="34">
        <v>764</v>
      </c>
      <c r="D795" s="144" t="str">
        <f>" - " &amp; 'Máy thi công'!D158</f>
        <v xml:space="preserve"> - Đầm bánh hơi tự hành - trọng lượng: 16 t</v>
      </c>
      <c r="E795" s="168" t="str">
        <f>'Máy thi công'!E158</f>
        <v>ca</v>
      </c>
      <c r="F795" s="60"/>
      <c r="G795" s="60"/>
      <c r="H795" s="60"/>
      <c r="I795" s="60">
        <v>0.34</v>
      </c>
      <c r="J795" s="60"/>
      <c r="K795" s="60"/>
      <c r="L795" s="60">
        <f>ROUND(F787*I795,4)</f>
        <v>0.20399999999999999</v>
      </c>
    </row>
    <row r="796" spans="1:12" x14ac:dyDescent="0.25">
      <c r="A796" s="168"/>
      <c r="B796" s="144" t="str">
        <f>'Máy thi công'!B350</f>
        <v>M9578</v>
      </c>
      <c r="C796" s="34">
        <v>753</v>
      </c>
      <c r="D796" s="144" t="str">
        <f>" - " &amp; 'Máy thi công'!D350</f>
        <v xml:space="preserve"> - Máy ủi - công suất: 108,0 CV (110CV)</v>
      </c>
      <c r="E796" s="168" t="str">
        <f>'Máy thi công'!E350</f>
        <v>ca</v>
      </c>
      <c r="F796" s="60"/>
      <c r="G796" s="60"/>
      <c r="H796" s="60"/>
      <c r="I796" s="60">
        <v>0.42</v>
      </c>
      <c r="J796" s="60"/>
      <c r="K796" s="60"/>
      <c r="L796" s="60">
        <f>ROUND(F787*I796,4)</f>
        <v>0.252</v>
      </c>
    </row>
    <row r="797" spans="1:12" x14ac:dyDescent="0.25">
      <c r="A797" s="168"/>
      <c r="B797" s="144" t="str">
        <f>'Máy thi công'!B303</f>
        <v>M9553</v>
      </c>
      <c r="C797" s="34">
        <v>743</v>
      </c>
      <c r="D797" s="144" t="str">
        <f>" - " &amp; 'Máy thi công'!D303</f>
        <v xml:space="preserve"> - Máy san tự hành - công suất: 108 cv</v>
      </c>
      <c r="E797" s="168" t="str">
        <f>'Máy thi công'!E303</f>
        <v>ca</v>
      </c>
      <c r="F797" s="60"/>
      <c r="G797" s="60"/>
      <c r="H797" s="60"/>
      <c r="I797" s="60">
        <v>0.08</v>
      </c>
      <c r="J797" s="60"/>
      <c r="K797" s="60"/>
      <c r="L797" s="60">
        <f>ROUND(F787*I797,4)</f>
        <v>4.8000000000000001E-2</v>
      </c>
    </row>
    <row r="798" spans="1:12" x14ac:dyDescent="0.25">
      <c r="A798" s="168"/>
      <c r="B798" s="144" t="str">
        <f>'Máy thi công'!B261</f>
        <v>M9576</v>
      </c>
      <c r="C798" s="34">
        <v>751</v>
      </c>
      <c r="D798" s="144" t="str">
        <f>" - " &amp; 'Máy thi công'!D261</f>
        <v xml:space="preserve"> - Máy đầm rung tự hành - trọng lượng: 25 t</v>
      </c>
      <c r="E798" s="168" t="str">
        <f>'Máy thi công'!E261</f>
        <v>ca</v>
      </c>
      <c r="F798" s="60"/>
      <c r="G798" s="60"/>
      <c r="H798" s="60"/>
      <c r="I798" s="60">
        <v>0.21</v>
      </c>
      <c r="J798" s="60"/>
      <c r="K798" s="60"/>
      <c r="L798" s="60">
        <f>ROUND(F787*I798,4)</f>
        <v>0.126</v>
      </c>
    </row>
    <row r="799" spans="1:12" x14ac:dyDescent="0.25">
      <c r="A799" s="168"/>
      <c r="B799" s="144" t="str">
        <f>'Máy thi công'!B398</f>
        <v>M0111</v>
      </c>
      <c r="C799" s="34">
        <v>588</v>
      </c>
      <c r="D799" s="144" t="str">
        <f>" - " &amp; 'Máy thi công'!D398</f>
        <v xml:space="preserve"> - Máy khác</v>
      </c>
      <c r="E799" s="168" t="str">
        <f>'Máy thi công'!E398</f>
        <v>%</v>
      </c>
      <c r="F799" s="60"/>
      <c r="G799" s="60"/>
      <c r="H799" s="60"/>
      <c r="I799" s="60">
        <v>0.5</v>
      </c>
      <c r="J799" s="60"/>
      <c r="K799" s="60"/>
      <c r="L799" s="60"/>
    </row>
    <row r="800" spans="1:12" ht="28.5" x14ac:dyDescent="0.25">
      <c r="A800" s="65">
        <f>'Công trình'!A99</f>
        <v>78</v>
      </c>
      <c r="B800" s="14" t="str">
        <f>'Công trình'!B99</f>
        <v>TT</v>
      </c>
      <c r="C800" s="94"/>
      <c r="D800" s="14" t="str">
        <f>'Công trình'!C99</f>
        <v>Đắp đê quây bằng bao tải cát (VD định mức đắp bao tải đất theo QĐ số 4416/QĐ-BGTVT)</v>
      </c>
      <c r="E800" s="46" t="str">
        <f>'Công trình'!D99</f>
        <v>m3</v>
      </c>
      <c r="F800" s="106">
        <f>'Công trình'!K99</f>
        <v>46</v>
      </c>
      <c r="G800" s="126"/>
      <c r="H800" s="126"/>
      <c r="I800" s="126"/>
      <c r="J800" s="126"/>
      <c r="K800" s="126"/>
      <c r="L800" s="126"/>
    </row>
    <row r="801" spans="1:12" x14ac:dyDescent="0.25">
      <c r="A801" s="56"/>
      <c r="B801" s="23"/>
      <c r="C801" s="88"/>
      <c r="D801" s="23" t="s">
        <v>479</v>
      </c>
      <c r="E801" s="56"/>
      <c r="F801" s="118"/>
      <c r="G801" s="118"/>
      <c r="H801" s="118"/>
      <c r="I801" s="118"/>
      <c r="J801" s="118"/>
      <c r="K801" s="118"/>
      <c r="L801" s="118"/>
    </row>
    <row r="802" spans="1:12" x14ac:dyDescent="0.25">
      <c r="A802" s="168"/>
      <c r="B802" s="144" t="str">
        <f>'Vật liệu'!B45</f>
        <v>V00113</v>
      </c>
      <c r="C802" s="34">
        <v>127</v>
      </c>
      <c r="D802" s="144" t="str">
        <f>" - " &amp; 'Vật liệu'!D45</f>
        <v xml:space="preserve"> - Cát đen</v>
      </c>
      <c r="E802" s="168" t="str">
        <f>'Vật liệu'!E45</f>
        <v>m3</v>
      </c>
      <c r="F802" s="60"/>
      <c r="G802" s="60">
        <v>1.22</v>
      </c>
      <c r="H802" s="60"/>
      <c r="I802" s="60"/>
      <c r="J802" s="60">
        <f>ROUND(F800*G802,4)</f>
        <v>56.12</v>
      </c>
      <c r="K802" s="60"/>
      <c r="L802" s="60"/>
    </row>
    <row r="803" spans="1:12" x14ac:dyDescent="0.25">
      <c r="A803" s="168"/>
      <c r="B803" s="144" t="str">
        <f>'Vật liệu'!B10</f>
        <v>baodua</v>
      </c>
      <c r="C803" s="34">
        <v>520</v>
      </c>
      <c r="D803" s="144" t="str">
        <f>" - " &amp; 'Vật liệu'!D10</f>
        <v xml:space="preserve"> - Bao bải 0,025m3/bao</v>
      </c>
      <c r="E803" s="168" t="str">
        <f>'Vật liệu'!E10</f>
        <v>cái</v>
      </c>
      <c r="F803" s="60"/>
      <c r="G803" s="60">
        <v>32.299999999999997</v>
      </c>
      <c r="H803" s="60"/>
      <c r="I803" s="60"/>
      <c r="J803" s="60">
        <f>ROUND(F800*G803,4)</f>
        <v>1485.8</v>
      </c>
      <c r="K803" s="60"/>
      <c r="L803" s="60"/>
    </row>
    <row r="804" spans="1:12" x14ac:dyDescent="0.25">
      <c r="A804" s="168"/>
      <c r="B804" s="144" t="str">
        <f>'Vật liệu'!B219</f>
        <v>V00216</v>
      </c>
      <c r="C804" s="34">
        <v>134</v>
      </c>
      <c r="D804" s="144" t="str">
        <f>" - " &amp; 'Vật liệu'!D219</f>
        <v xml:space="preserve"> - Dây buộc</v>
      </c>
      <c r="E804" s="168" t="str">
        <f>'Vật liệu'!E219</f>
        <v>kg</v>
      </c>
      <c r="F804" s="60"/>
      <c r="G804" s="60">
        <v>0.01</v>
      </c>
      <c r="H804" s="60"/>
      <c r="I804" s="60"/>
      <c r="J804" s="60">
        <f>ROUND(F800*G804,4)</f>
        <v>0.46</v>
      </c>
      <c r="K804" s="60"/>
      <c r="L804" s="60"/>
    </row>
    <row r="805" spans="1:12" x14ac:dyDescent="0.25">
      <c r="A805" s="56"/>
      <c r="B805" s="23"/>
      <c r="C805" s="88"/>
      <c r="D805" s="23" t="s">
        <v>202</v>
      </c>
      <c r="E805" s="56"/>
      <c r="F805" s="118"/>
      <c r="G805" s="118"/>
      <c r="H805" s="118"/>
      <c r="I805" s="118"/>
      <c r="J805" s="118"/>
      <c r="K805" s="118"/>
      <c r="L805" s="118"/>
    </row>
    <row r="806" spans="1:12" x14ac:dyDescent="0.25">
      <c r="A806" s="168"/>
      <c r="B806" s="144" t="str">
        <f>'Nhân công'!B6</f>
        <v>N0006</v>
      </c>
      <c r="C806" s="34">
        <v>545</v>
      </c>
      <c r="D806" s="144" t="s">
        <v>256</v>
      </c>
      <c r="E806" s="168" t="str">
        <f>'Nhân công'!G6</f>
        <v>công</v>
      </c>
      <c r="F806" s="60"/>
      <c r="G806" s="60"/>
      <c r="H806" s="60">
        <v>1.52</v>
      </c>
      <c r="I806" s="60"/>
      <c r="J806" s="60"/>
      <c r="K806" s="60">
        <f>ROUND(F800*H806,4)</f>
        <v>69.92</v>
      </c>
      <c r="L806" s="60"/>
    </row>
    <row r="807" spans="1:12" ht="28.5" x14ac:dyDescent="0.25">
      <c r="A807" s="65">
        <f>'Công trình'!A100</f>
        <v>79</v>
      </c>
      <c r="B807" s="14" t="str">
        <f>'Công trình'!B100</f>
        <v>AB.66112</v>
      </c>
      <c r="C807" s="94"/>
      <c r="D807" s="14" t="str">
        <f>'Công trình'!C100</f>
        <v>Đắp cát công trình bằng máy đầm 9T, độ chặt K=0,90</v>
      </c>
      <c r="E807" s="46" t="str">
        <f>'Công trình'!D100</f>
        <v>100m3</v>
      </c>
      <c r="F807" s="106">
        <f>'Công trình'!K100</f>
        <v>3.6840000000000002</v>
      </c>
      <c r="G807" s="126"/>
      <c r="H807" s="126"/>
      <c r="I807" s="126"/>
      <c r="J807" s="126"/>
      <c r="K807" s="126"/>
      <c r="L807" s="126"/>
    </row>
    <row r="808" spans="1:12" x14ac:dyDescent="0.25">
      <c r="A808" s="56"/>
      <c r="B808" s="23"/>
      <c r="C808" s="88"/>
      <c r="D808" s="23" t="s">
        <v>479</v>
      </c>
      <c r="E808" s="56"/>
      <c r="F808" s="118"/>
      <c r="G808" s="118"/>
      <c r="H808" s="118"/>
      <c r="I808" s="118"/>
      <c r="J808" s="118"/>
      <c r="K808" s="118"/>
      <c r="L808" s="118"/>
    </row>
    <row r="809" spans="1:12" x14ac:dyDescent="0.25">
      <c r="A809" s="168"/>
      <c r="B809" s="144" t="str">
        <f>'Vật liệu'!B45</f>
        <v>V00113</v>
      </c>
      <c r="C809" s="34">
        <v>127</v>
      </c>
      <c r="D809" s="144" t="str">
        <f>" - " &amp; 'Vật liệu'!D45</f>
        <v xml:space="preserve"> - Cát đen</v>
      </c>
      <c r="E809" s="168" t="str">
        <f>'Vật liệu'!E45</f>
        <v>m3</v>
      </c>
      <c r="F809" s="60"/>
      <c r="G809" s="60">
        <v>122</v>
      </c>
      <c r="H809" s="60"/>
      <c r="I809" s="60"/>
      <c r="J809" s="60">
        <f>ROUND(F807*G809,4)</f>
        <v>449.44799999999998</v>
      </c>
      <c r="K809" s="60"/>
      <c r="L809" s="60"/>
    </row>
    <row r="810" spans="1:12" x14ac:dyDescent="0.25">
      <c r="A810" s="56"/>
      <c r="B810" s="23"/>
      <c r="C810" s="88"/>
      <c r="D810" s="23" t="s">
        <v>202</v>
      </c>
      <c r="E810" s="56"/>
      <c r="F810" s="118"/>
      <c r="G810" s="118"/>
      <c r="H810" s="118"/>
      <c r="I810" s="118"/>
      <c r="J810" s="118"/>
      <c r="K810" s="118"/>
      <c r="L810" s="118"/>
    </row>
    <row r="811" spans="1:12" x14ac:dyDescent="0.25">
      <c r="A811" s="168"/>
      <c r="B811" s="144" t="str">
        <f>'Nhân công'!B6</f>
        <v>N0006</v>
      </c>
      <c r="C811" s="34">
        <v>545</v>
      </c>
      <c r="D811" s="144" t="s">
        <v>256</v>
      </c>
      <c r="E811" s="168" t="str">
        <f>'Nhân công'!G6</f>
        <v>công</v>
      </c>
      <c r="F811" s="60"/>
      <c r="G811" s="60"/>
      <c r="H811" s="60">
        <v>1.5</v>
      </c>
      <c r="I811" s="60"/>
      <c r="J811" s="60"/>
      <c r="K811" s="60">
        <f>ROUND(F807*H811,4)</f>
        <v>5.5259999999999998</v>
      </c>
      <c r="L811" s="60"/>
    </row>
    <row r="812" spans="1:12" x14ac:dyDescent="0.25">
      <c r="A812" s="56"/>
      <c r="B812" s="23"/>
      <c r="C812" s="88"/>
      <c r="D812" s="23" t="s">
        <v>378</v>
      </c>
      <c r="E812" s="56"/>
      <c r="F812" s="118"/>
      <c r="G812" s="118"/>
      <c r="H812" s="118"/>
      <c r="I812" s="118"/>
      <c r="J812" s="118"/>
      <c r="K812" s="118"/>
      <c r="L812" s="118"/>
    </row>
    <row r="813" spans="1:12" x14ac:dyDescent="0.25">
      <c r="A813" s="168"/>
      <c r="B813" s="144" t="str">
        <f>'Máy thi công'!B350</f>
        <v>M9578</v>
      </c>
      <c r="C813" s="34">
        <v>753</v>
      </c>
      <c r="D813" s="144" t="str">
        <f>" - " &amp; 'Máy thi công'!D350</f>
        <v xml:space="preserve"> - Máy ủi - công suất: 108,0 CV (110CV)</v>
      </c>
      <c r="E813" s="168" t="str">
        <f>'Máy thi công'!E350</f>
        <v>ca</v>
      </c>
      <c r="F813" s="60"/>
      <c r="G813" s="60"/>
      <c r="H813" s="60"/>
      <c r="I813" s="60">
        <v>0.13900000000000001</v>
      </c>
      <c r="J813" s="60"/>
      <c r="K813" s="60"/>
      <c r="L813" s="60">
        <f>ROUND(F807*I813,4)</f>
        <v>0.5121</v>
      </c>
    </row>
    <row r="814" spans="1:12" x14ac:dyDescent="0.25">
      <c r="A814" s="168"/>
      <c r="B814" s="144" t="str">
        <f>'Máy thi công'!B162</f>
        <v>M9656</v>
      </c>
      <c r="C814" s="34">
        <v>765</v>
      </c>
      <c r="D814" s="144" t="str">
        <f>" - " &amp; 'Máy thi công'!D162</f>
        <v xml:space="preserve"> - Đầm bánh hơi tự hành - trọng lượng: 9 t</v>
      </c>
      <c r="E814" s="168" t="str">
        <f>'Máy thi công'!E162</f>
        <v>ca</v>
      </c>
      <c r="F814" s="60"/>
      <c r="G814" s="60"/>
      <c r="H814" s="60"/>
      <c r="I814" s="60">
        <v>0.27800000000000002</v>
      </c>
      <c r="J814" s="60"/>
      <c r="K814" s="60"/>
      <c r="L814" s="60">
        <f>ROUND(F807*I814,4)</f>
        <v>1.0242</v>
      </c>
    </row>
    <row r="815" spans="1:12" x14ac:dyDescent="0.25">
      <c r="A815" s="168"/>
      <c r="B815" s="144" t="str">
        <f>'Máy thi công'!B398</f>
        <v>M0111</v>
      </c>
      <c r="C815" s="34">
        <v>590</v>
      </c>
      <c r="D815" s="144" t="str">
        <f>" - " &amp; 'Máy thi công'!D398</f>
        <v xml:space="preserve"> - Máy khác</v>
      </c>
      <c r="E815" s="168" t="str">
        <f>'Máy thi công'!E398</f>
        <v>%</v>
      </c>
      <c r="F815" s="60"/>
      <c r="G815" s="60"/>
      <c r="H815" s="60"/>
      <c r="I815" s="60">
        <v>1.5</v>
      </c>
      <c r="J815" s="60"/>
      <c r="K815" s="60"/>
      <c r="L815" s="60"/>
    </row>
    <row r="816" spans="1:12" ht="28.5" x14ac:dyDescent="0.25">
      <c r="A816" s="65">
        <f>'Công trình'!A101</f>
        <v>80</v>
      </c>
      <c r="B816" s="14" t="str">
        <f>'Công trình'!B101</f>
        <v>AF.61110</v>
      </c>
      <c r="C816" s="94"/>
      <c r="D816" s="14" t="str">
        <f>'Công trình'!C101</f>
        <v>Sản xuất, lắp dựng cốt thép móng đường kính &lt;=10mm</v>
      </c>
      <c r="E816" s="46" t="str">
        <f>'Công trình'!D101</f>
        <v>tấn</v>
      </c>
      <c r="F816" s="106">
        <f>'Công trình'!K101</f>
        <v>9.8599999999999993E-2</v>
      </c>
      <c r="G816" s="126"/>
      <c r="H816" s="126"/>
      <c r="I816" s="126"/>
      <c r="J816" s="126"/>
      <c r="K816" s="126"/>
      <c r="L816" s="126"/>
    </row>
    <row r="817" spans="1:12" x14ac:dyDescent="0.25">
      <c r="A817" s="56"/>
      <c r="B817" s="23"/>
      <c r="C817" s="88"/>
      <c r="D817" s="23" t="s">
        <v>479</v>
      </c>
      <c r="E817" s="56"/>
      <c r="F817" s="118"/>
      <c r="G817" s="118"/>
      <c r="H817" s="118"/>
      <c r="I817" s="118"/>
      <c r="J817" s="118"/>
      <c r="K817" s="118"/>
      <c r="L817" s="118"/>
    </row>
    <row r="818" spans="1:12" x14ac:dyDescent="0.25">
      <c r="A818" s="168"/>
      <c r="B818" s="144" t="str">
        <f>'Vật liệu'!B221</f>
        <v>V00226</v>
      </c>
      <c r="C818" s="34">
        <v>135</v>
      </c>
      <c r="D818" s="144" t="str">
        <f>" - " &amp; 'Vật liệu'!D221</f>
        <v xml:space="preserve"> - Dây thép</v>
      </c>
      <c r="E818" s="168" t="str">
        <f>'Vật liệu'!E221</f>
        <v>kg</v>
      </c>
      <c r="F818" s="60"/>
      <c r="G818" s="60">
        <v>21.42</v>
      </c>
      <c r="H818" s="60"/>
      <c r="I818" s="60"/>
      <c r="J818" s="60">
        <f>ROUND(F816*G818,4)</f>
        <v>2.1120000000000001</v>
      </c>
      <c r="K818" s="60"/>
      <c r="L818" s="60"/>
    </row>
    <row r="819" spans="1:12" x14ac:dyDescent="0.25">
      <c r="A819" s="168"/>
      <c r="B819" s="144" t="str">
        <f>'Vật liệu'!B650</f>
        <v>V48494</v>
      </c>
      <c r="C819" s="34">
        <v>484</v>
      </c>
      <c r="D819" s="144" t="str">
        <f>" - " &amp; 'Vật liệu'!D650</f>
        <v xml:space="preserve"> - Thép tròn đường kính &lt;=10 mm</v>
      </c>
      <c r="E819" s="168" t="str">
        <f>'Vật liệu'!E650</f>
        <v>kg</v>
      </c>
      <c r="F819" s="60"/>
      <c r="G819" s="60">
        <v>1005</v>
      </c>
      <c r="H819" s="60"/>
      <c r="I819" s="60"/>
      <c r="J819" s="60">
        <f>ROUND(F816*G819,4)</f>
        <v>99.093000000000004</v>
      </c>
      <c r="K819" s="60"/>
      <c r="L819" s="60"/>
    </row>
    <row r="820" spans="1:12" x14ac:dyDescent="0.25">
      <c r="A820" s="56"/>
      <c r="B820" s="23"/>
      <c r="C820" s="88"/>
      <c r="D820" s="23" t="s">
        <v>202</v>
      </c>
      <c r="E820" s="56"/>
      <c r="F820" s="118"/>
      <c r="G820" s="118"/>
      <c r="H820" s="118"/>
      <c r="I820" s="118"/>
      <c r="J820" s="118"/>
      <c r="K820" s="118"/>
      <c r="L820" s="118"/>
    </row>
    <row r="821" spans="1:12" x14ac:dyDescent="0.25">
      <c r="A821" s="168"/>
      <c r="B821" s="144" t="str">
        <f>'Nhân công'!B45</f>
        <v>N0009</v>
      </c>
      <c r="C821" s="34">
        <v>546</v>
      </c>
      <c r="D821" s="144" t="s">
        <v>1052</v>
      </c>
      <c r="E821" s="168" t="str">
        <f>'Nhân công'!G45</f>
        <v>công</v>
      </c>
      <c r="F821" s="60"/>
      <c r="G821" s="60"/>
      <c r="H821" s="60">
        <v>11.32</v>
      </c>
      <c r="I821" s="60"/>
      <c r="J821" s="60"/>
      <c r="K821" s="60">
        <f>ROUND(F816*H821,4)</f>
        <v>1.1162000000000001</v>
      </c>
      <c r="L821" s="60"/>
    </row>
    <row r="822" spans="1:12" x14ac:dyDescent="0.25">
      <c r="A822" s="56"/>
      <c r="B822" s="23"/>
      <c r="C822" s="88"/>
      <c r="D822" s="23" t="s">
        <v>378</v>
      </c>
      <c r="E822" s="56"/>
      <c r="F822" s="118"/>
      <c r="G822" s="118"/>
      <c r="H822" s="118"/>
      <c r="I822" s="118"/>
      <c r="J822" s="118"/>
      <c r="K822" s="118"/>
      <c r="L822" s="118"/>
    </row>
    <row r="823" spans="1:12" x14ac:dyDescent="0.25">
      <c r="A823" s="168"/>
      <c r="B823" s="144" t="str">
        <f>'Máy thi công'!B184</f>
        <v>M9521</v>
      </c>
      <c r="C823" s="34">
        <v>737</v>
      </c>
      <c r="D823" s="144" t="str">
        <f>" - " &amp; 'Máy thi công'!D184</f>
        <v xml:space="preserve"> - Máy cắt uốn cốt thép - công suất: 5 kW</v>
      </c>
      <c r="E823" s="168" t="str">
        <f>'Máy thi công'!E184</f>
        <v>ca</v>
      </c>
      <c r="F823" s="60"/>
      <c r="G823" s="60"/>
      <c r="H823" s="60"/>
      <c r="I823" s="60">
        <v>0.4</v>
      </c>
      <c r="J823" s="60"/>
      <c r="K823" s="60"/>
      <c r="L823" s="60">
        <f>ROUND(F816*I823,4)</f>
        <v>3.9399999999999998E-2</v>
      </c>
    </row>
    <row r="824" spans="1:12" x14ac:dyDescent="0.25">
      <c r="A824" s="65">
        <f>'Công trình'!A102</f>
        <v>81</v>
      </c>
      <c r="B824" s="14" t="str">
        <f>'Công trình'!B102</f>
        <v>TT</v>
      </c>
      <c r="C824" s="94"/>
      <c r="D824" s="14" t="str">
        <f>'Công trình'!C102</f>
        <v>Tăng đơ M10</v>
      </c>
      <c r="E824" s="46" t="str">
        <f>'Công trình'!D102</f>
        <v>cái</v>
      </c>
      <c r="F824" s="106">
        <f>'Công trình'!K102</f>
        <v>14</v>
      </c>
      <c r="G824" s="126"/>
      <c r="H824" s="126"/>
      <c r="I824" s="126"/>
      <c r="J824" s="126"/>
      <c r="K824" s="126"/>
      <c r="L824" s="126"/>
    </row>
    <row r="825" spans="1:12" x14ac:dyDescent="0.25">
      <c r="A825" s="56"/>
      <c r="B825" s="23"/>
      <c r="C825" s="88"/>
      <c r="D825" s="23" t="s">
        <v>479</v>
      </c>
      <c r="E825" s="56"/>
      <c r="F825" s="118"/>
      <c r="G825" s="118"/>
      <c r="H825" s="118"/>
      <c r="I825" s="118"/>
      <c r="J825" s="118"/>
      <c r="K825" s="118"/>
      <c r="L825" s="118"/>
    </row>
    <row r="826" spans="1:12" x14ac:dyDescent="0.25">
      <c r="A826" s="168"/>
      <c r="B826" s="144" t="str">
        <f>'Vật liệu'!B547</f>
        <v>V00708</v>
      </c>
      <c r="C826" s="34">
        <v>173</v>
      </c>
      <c r="D826" s="144" t="str">
        <f>" - " &amp; 'Vật liệu'!D547</f>
        <v xml:space="preserve"> - Tăng đơ M10</v>
      </c>
      <c r="E826" s="168" t="str">
        <f>'Vật liệu'!E547</f>
        <v>cái</v>
      </c>
      <c r="F826" s="60"/>
      <c r="G826" s="60">
        <v>1</v>
      </c>
      <c r="H826" s="60"/>
      <c r="I826" s="60"/>
      <c r="J826" s="60">
        <f>ROUND(F824*G826,4)</f>
        <v>14</v>
      </c>
      <c r="K826" s="60"/>
      <c r="L826" s="60"/>
    </row>
    <row r="827" spans="1:12" x14ac:dyDescent="0.25">
      <c r="A827" s="65">
        <f>'Công trình'!A104</f>
        <v>82</v>
      </c>
      <c r="B827" s="14" t="str">
        <f>'Công trình'!B104</f>
        <v>AI.11131</v>
      </c>
      <c r="C827" s="94"/>
      <c r="D827" s="14" t="str">
        <f>'Công trình'!C104</f>
        <v>Sản xuất cọc dẫn bằng thép hình</v>
      </c>
      <c r="E827" s="46" t="str">
        <f>'Công trình'!D104</f>
        <v>tấn</v>
      </c>
      <c r="F827" s="106">
        <f>'Công trình'!K104</f>
        <v>2.2370999999999999</v>
      </c>
      <c r="G827" s="126"/>
      <c r="H827" s="126"/>
      <c r="I827" s="126"/>
      <c r="J827" s="126"/>
      <c r="K827" s="126"/>
      <c r="L827" s="126"/>
    </row>
    <row r="828" spans="1:12" x14ac:dyDescent="0.25">
      <c r="A828" s="56"/>
      <c r="B828" s="23"/>
      <c r="C828" s="88"/>
      <c r="D828" s="23" t="s">
        <v>479</v>
      </c>
      <c r="E828" s="56"/>
      <c r="F828" s="118"/>
      <c r="G828" s="118"/>
      <c r="H828" s="118"/>
      <c r="I828" s="118"/>
      <c r="J828" s="118"/>
      <c r="K828" s="118"/>
      <c r="L828" s="118"/>
    </row>
    <row r="829" spans="1:12" x14ac:dyDescent="0.25">
      <c r="A829" s="168"/>
      <c r="B829" s="144" t="str">
        <f>'Vật liệu'!B200</f>
        <v>V00833</v>
      </c>
      <c r="C829" s="34">
        <v>411</v>
      </c>
      <c r="D829" s="144" t="str">
        <f>" - " &amp; 'Vật liệu'!D200</f>
        <v xml:space="preserve"> - Đất đèn</v>
      </c>
      <c r="E829" s="168" t="str">
        <f>'Vật liệu'!E200</f>
        <v>kg</v>
      </c>
      <c r="F829" s="60"/>
      <c r="G829" s="60">
        <v>6.5</v>
      </c>
      <c r="H829" s="60"/>
      <c r="I829" s="60"/>
      <c r="J829" s="60">
        <f>ROUND(F827*G829,4)</f>
        <v>14.5412</v>
      </c>
      <c r="K829" s="60"/>
      <c r="L829" s="60"/>
    </row>
    <row r="830" spans="1:12" x14ac:dyDescent="0.25">
      <c r="A830" s="168"/>
      <c r="B830" s="144" t="str">
        <f>'Vật liệu'!B450</f>
        <v>V00515</v>
      </c>
      <c r="C830" s="34">
        <v>154</v>
      </c>
      <c r="D830" s="144" t="str">
        <f>" - " &amp; 'Vật liệu'!D450</f>
        <v xml:space="preserve"> - Que hàn</v>
      </c>
      <c r="E830" s="168" t="str">
        <f>'Vật liệu'!E450</f>
        <v>kg</v>
      </c>
      <c r="F830" s="60"/>
      <c r="G830" s="60">
        <v>6.5</v>
      </c>
      <c r="H830" s="60"/>
      <c r="I830" s="60"/>
      <c r="J830" s="60">
        <f>ROUND(F827*G830,4)</f>
        <v>14.5412</v>
      </c>
      <c r="K830" s="60"/>
      <c r="L830" s="60"/>
    </row>
    <row r="831" spans="1:12" x14ac:dyDescent="0.25">
      <c r="A831" s="168"/>
      <c r="B831" s="144" t="str">
        <f>'Vật liệu'!B556</f>
        <v>V00641</v>
      </c>
      <c r="C831" s="34">
        <v>160</v>
      </c>
      <c r="D831" s="144" t="str">
        <f>" - " &amp; 'Vật liệu'!D556</f>
        <v xml:space="preserve"> - Thép hình</v>
      </c>
      <c r="E831" s="168" t="str">
        <f>'Vật liệu'!E556</f>
        <v>kg</v>
      </c>
      <c r="F831" s="60"/>
      <c r="G831" s="60">
        <v>0</v>
      </c>
      <c r="H831" s="60"/>
      <c r="I831" s="60"/>
      <c r="J831" s="60">
        <f>ROUND(F827*G831,4)</f>
        <v>0</v>
      </c>
      <c r="K831" s="60"/>
      <c r="L831" s="60"/>
    </row>
    <row r="832" spans="1:12" x14ac:dyDescent="0.25">
      <c r="A832" s="168"/>
      <c r="B832" s="144" t="str">
        <f>'Vật liệu'!B606</f>
        <v>V00671</v>
      </c>
      <c r="C832" s="34">
        <v>166</v>
      </c>
      <c r="D832" s="144" t="str">
        <f>" - " &amp; 'Vật liệu'!D606</f>
        <v xml:space="preserve"> - Thép tấm</v>
      </c>
      <c r="E832" s="168" t="str">
        <f>'Vật liệu'!E606</f>
        <v>kg</v>
      </c>
      <c r="F832" s="60"/>
      <c r="G832" s="60">
        <v>0</v>
      </c>
      <c r="H832" s="60"/>
      <c r="I832" s="60"/>
      <c r="J832" s="60">
        <f>ROUND(F827*G832,4)</f>
        <v>0</v>
      </c>
      <c r="K832" s="60"/>
      <c r="L832" s="60"/>
    </row>
    <row r="833" spans="1:12" x14ac:dyDescent="0.25">
      <c r="A833" s="168"/>
      <c r="B833" s="144" t="str">
        <f>'Vật liệu'!B401</f>
        <v>V00770</v>
      </c>
      <c r="C833" s="34">
        <v>400</v>
      </c>
      <c r="D833" s="144" t="str">
        <f>" - " &amp; 'Vật liệu'!D401</f>
        <v xml:space="preserve"> - Ô xy</v>
      </c>
      <c r="E833" s="168" t="str">
        <f>'Vật liệu'!E401</f>
        <v>Chai</v>
      </c>
      <c r="F833" s="60"/>
      <c r="G833" s="60">
        <v>1.59</v>
      </c>
      <c r="H833" s="60"/>
      <c r="I833" s="60"/>
      <c r="J833" s="60">
        <f>ROUND(F827*G833,4)</f>
        <v>3.5569999999999999</v>
      </c>
      <c r="K833" s="60"/>
      <c r="L833" s="60"/>
    </row>
    <row r="834" spans="1:12" x14ac:dyDescent="0.25">
      <c r="A834" s="168"/>
      <c r="B834" s="144" t="str">
        <f>'Vật liệu'!B766</f>
        <v>V00750</v>
      </c>
      <c r="C834" s="34">
        <v>240</v>
      </c>
      <c r="D834" s="144" t="str">
        <f>" - " &amp; 'Vật liệu'!D766</f>
        <v xml:space="preserve"> - Vật liệu khác</v>
      </c>
      <c r="E834" s="168" t="str">
        <f>'Vật liệu'!E766</f>
        <v>%</v>
      </c>
      <c r="F834" s="60"/>
      <c r="G834" s="60">
        <v>5</v>
      </c>
      <c r="H834" s="60"/>
      <c r="I834" s="60"/>
      <c r="J834" s="60"/>
      <c r="K834" s="60"/>
      <c r="L834" s="60"/>
    </row>
    <row r="835" spans="1:12" x14ac:dyDescent="0.25">
      <c r="A835" s="56"/>
      <c r="B835" s="23"/>
      <c r="C835" s="88"/>
      <c r="D835" s="23" t="s">
        <v>202</v>
      </c>
      <c r="E835" s="56"/>
      <c r="F835" s="118"/>
      <c r="G835" s="118"/>
      <c r="H835" s="118"/>
      <c r="I835" s="118"/>
      <c r="J835" s="118"/>
      <c r="K835" s="118"/>
      <c r="L835" s="118"/>
    </row>
    <row r="836" spans="1:12" x14ac:dyDescent="0.25">
      <c r="A836" s="168"/>
      <c r="B836" s="144" t="str">
        <f>'Nhân công'!B130</f>
        <v>N0011</v>
      </c>
      <c r="C836" s="34">
        <v>550</v>
      </c>
      <c r="D836" s="144" t="s">
        <v>671</v>
      </c>
      <c r="E836" s="168" t="str">
        <f>'Nhân công'!G130</f>
        <v>công</v>
      </c>
      <c r="F836" s="60"/>
      <c r="G836" s="60"/>
      <c r="H836" s="60">
        <v>9.5</v>
      </c>
      <c r="I836" s="60"/>
      <c r="J836" s="60"/>
      <c r="K836" s="60">
        <f>ROUND(F827*H836,4)</f>
        <v>21.252500000000001</v>
      </c>
      <c r="L836" s="60"/>
    </row>
    <row r="837" spans="1:12" x14ac:dyDescent="0.25">
      <c r="A837" s="56"/>
      <c r="B837" s="23"/>
      <c r="C837" s="88"/>
      <c r="D837" s="23" t="s">
        <v>378</v>
      </c>
      <c r="E837" s="56"/>
      <c r="F837" s="118"/>
      <c r="G837" s="118"/>
      <c r="H837" s="118"/>
      <c r="I837" s="118"/>
      <c r="J837" s="118"/>
      <c r="K837" s="118"/>
      <c r="L837" s="118"/>
    </row>
    <row r="838" spans="1:12" x14ac:dyDescent="0.25">
      <c r="A838" s="168"/>
      <c r="B838" s="144" t="str">
        <f>'Máy thi công'!B113</f>
        <v>M9465</v>
      </c>
      <c r="C838" s="34">
        <v>725</v>
      </c>
      <c r="D838" s="144" t="str">
        <f>" - " &amp; 'Máy thi công'!D113</f>
        <v xml:space="preserve"> - Cần trục bánh hơi - sức nâng: 16 t</v>
      </c>
      <c r="E838" s="168" t="str">
        <f>'Máy thi công'!E113</f>
        <v>ca</v>
      </c>
      <c r="F838" s="60"/>
      <c r="G838" s="60"/>
      <c r="H838" s="60"/>
      <c r="I838" s="60">
        <v>0.32</v>
      </c>
      <c r="J838" s="60"/>
      <c r="K838" s="60"/>
      <c r="L838" s="60">
        <f>ROUND(F827*I838,4)</f>
        <v>0.71589999999999998</v>
      </c>
    </row>
    <row r="839" spans="1:12" x14ac:dyDescent="0.25">
      <c r="A839" s="168"/>
      <c r="B839" s="144" t="str">
        <f>'Máy thi công'!B281</f>
        <v>M112.1502</v>
      </c>
      <c r="C839" s="34">
        <v>702</v>
      </c>
      <c r="D839" s="144" t="str">
        <f>" - " &amp; 'Máy thi công'!D281</f>
        <v xml:space="preserve"> - Máy khoan đứng - công suất: 4,5 kW</v>
      </c>
      <c r="E839" s="168" t="str">
        <f>'Máy thi công'!E281</f>
        <v>ca</v>
      </c>
      <c r="F839" s="60"/>
      <c r="G839" s="60"/>
      <c r="H839" s="60"/>
      <c r="I839" s="60">
        <v>1.5</v>
      </c>
      <c r="J839" s="60"/>
      <c r="K839" s="60"/>
      <c r="L839" s="60">
        <f>ROUND(F827*I839,4)</f>
        <v>3.3557000000000001</v>
      </c>
    </row>
    <row r="840" spans="1:12" x14ac:dyDescent="0.25">
      <c r="A840" s="168"/>
      <c r="B840" s="144" t="str">
        <f>'Máy thi công'!B6</f>
        <v>M9438</v>
      </c>
      <c r="C840" s="34">
        <v>714</v>
      </c>
      <c r="D840" s="144" t="str">
        <f>" - " &amp; 'Máy thi công'!D6</f>
        <v xml:space="preserve"> - Biến thế hàn xoay chiều - công suất: 23 kW</v>
      </c>
      <c r="E840" s="168" t="str">
        <f>'Máy thi công'!E6</f>
        <v>ca</v>
      </c>
      <c r="F840" s="60"/>
      <c r="G840" s="60"/>
      <c r="H840" s="60"/>
      <c r="I840" s="60">
        <v>1.2</v>
      </c>
      <c r="J840" s="60"/>
      <c r="K840" s="60"/>
      <c r="L840" s="60">
        <f>ROUND(F827*I840,4)</f>
        <v>2.6844999999999999</v>
      </c>
    </row>
    <row r="841" spans="1:12" x14ac:dyDescent="0.25">
      <c r="A841" s="168"/>
      <c r="B841" s="144" t="str">
        <f>'Máy thi công'!B184</f>
        <v>M9521</v>
      </c>
      <c r="C841" s="34">
        <v>737</v>
      </c>
      <c r="D841" s="144" t="str">
        <f>" - " &amp; 'Máy thi công'!D184</f>
        <v xml:space="preserve"> - Máy cắt uốn cốt thép - công suất: 5 kW</v>
      </c>
      <c r="E841" s="168" t="str">
        <f>'Máy thi công'!E184</f>
        <v>ca</v>
      </c>
      <c r="F841" s="60"/>
      <c r="G841" s="60"/>
      <c r="H841" s="60"/>
      <c r="I841" s="60">
        <v>0.5</v>
      </c>
      <c r="J841" s="60"/>
      <c r="K841" s="60"/>
      <c r="L841" s="60">
        <f>ROUND(F827*I841,4)</f>
        <v>1.1186</v>
      </c>
    </row>
    <row r="842" spans="1:12" x14ac:dyDescent="0.25">
      <c r="A842" s="168"/>
      <c r="B842" s="144" t="str">
        <f>'Máy thi công'!B398</f>
        <v>M0111</v>
      </c>
      <c r="C842" s="34">
        <v>602</v>
      </c>
      <c r="D842" s="144" t="str">
        <f>" - " &amp; 'Máy thi công'!D398</f>
        <v xml:space="preserve"> - Máy khác</v>
      </c>
      <c r="E842" s="168" t="str">
        <f>'Máy thi công'!E398</f>
        <v>%</v>
      </c>
      <c r="F842" s="60"/>
      <c r="G842" s="60"/>
      <c r="H842" s="60"/>
      <c r="I842" s="60">
        <v>5</v>
      </c>
      <c r="J842" s="60"/>
      <c r="K842" s="60"/>
      <c r="L842" s="60"/>
    </row>
    <row r="843" spans="1:12" ht="28.5" x14ac:dyDescent="0.25">
      <c r="A843" s="65">
        <f>'Công trình'!A105</f>
        <v>83</v>
      </c>
      <c r="B843" s="14" t="str">
        <f>'Công trình'!B105</f>
        <v>AI.11131</v>
      </c>
      <c r="C843" s="94"/>
      <c r="D843" s="14" t="str">
        <f>'Công trình'!C105</f>
        <v>Khấu hao cọc dẫn bằng thép hình (đóng nhổ 40 lần trong 1 tháng)</v>
      </c>
      <c r="E843" s="46" t="str">
        <f>'Công trình'!D105</f>
        <v>tấn</v>
      </c>
      <c r="F843" s="106">
        <f>'Công trình'!K105</f>
        <v>2.2370999999999999</v>
      </c>
      <c r="G843" s="126"/>
      <c r="H843" s="126"/>
      <c r="I843" s="126"/>
      <c r="J843" s="126"/>
      <c r="K843" s="126"/>
      <c r="L843" s="126"/>
    </row>
    <row r="844" spans="1:12" x14ac:dyDescent="0.25">
      <c r="A844" s="56"/>
      <c r="B844" s="23"/>
      <c r="C844" s="88"/>
      <c r="D844" s="23" t="s">
        <v>479</v>
      </c>
      <c r="E844" s="56"/>
      <c r="F844" s="118"/>
      <c r="G844" s="118"/>
      <c r="H844" s="118"/>
      <c r="I844" s="118"/>
      <c r="J844" s="118"/>
      <c r="K844" s="118"/>
      <c r="L844" s="118"/>
    </row>
    <row r="845" spans="1:12" x14ac:dyDescent="0.25">
      <c r="A845" s="168"/>
      <c r="B845" s="144" t="str">
        <f>'Vật liệu'!B200</f>
        <v>V00833</v>
      </c>
      <c r="C845" s="34">
        <v>411</v>
      </c>
      <c r="D845" s="144" t="str">
        <f>" - " &amp; 'Vật liệu'!D200</f>
        <v xml:space="preserve"> - Đất đèn</v>
      </c>
      <c r="E845" s="168" t="str">
        <f>'Vật liệu'!E200</f>
        <v>kg</v>
      </c>
      <c r="F845" s="60"/>
      <c r="G845" s="60">
        <v>0</v>
      </c>
      <c r="H845" s="60"/>
      <c r="I845" s="60"/>
      <c r="J845" s="60">
        <f>ROUND(F843*G845,4)</f>
        <v>0</v>
      </c>
      <c r="K845" s="60"/>
      <c r="L845" s="60"/>
    </row>
    <row r="846" spans="1:12" x14ac:dyDescent="0.25">
      <c r="A846" s="168"/>
      <c r="B846" s="144" t="str">
        <f>'Vật liệu'!B450</f>
        <v>V00515</v>
      </c>
      <c r="C846" s="34">
        <v>154</v>
      </c>
      <c r="D846" s="144" t="str">
        <f>" - " &amp; 'Vật liệu'!D450</f>
        <v xml:space="preserve"> - Que hàn</v>
      </c>
      <c r="E846" s="168" t="str">
        <f>'Vật liệu'!E450</f>
        <v>kg</v>
      </c>
      <c r="F846" s="60"/>
      <c r="G846" s="60">
        <v>0</v>
      </c>
      <c r="H846" s="60"/>
      <c r="I846" s="60"/>
      <c r="J846" s="60">
        <f>ROUND(F843*G846,4)</f>
        <v>0</v>
      </c>
      <c r="K846" s="60"/>
      <c r="L846" s="60"/>
    </row>
    <row r="847" spans="1:12" x14ac:dyDescent="0.25">
      <c r="A847" s="168"/>
      <c r="B847" s="144" t="str">
        <f>'Vật liệu'!B556</f>
        <v>V00641</v>
      </c>
      <c r="C847" s="34">
        <v>160</v>
      </c>
      <c r="D847" s="144" t="str">
        <f>" - " &amp; 'Vật liệu'!D556</f>
        <v xml:space="preserve"> - Thép hình</v>
      </c>
      <c r="E847" s="168" t="str">
        <f>'Vật liệu'!E556</f>
        <v>kg</v>
      </c>
      <c r="F847" s="60"/>
      <c r="G847" s="60">
        <v>1005</v>
      </c>
      <c r="H847" s="60"/>
      <c r="I847" s="60"/>
      <c r="J847" s="60">
        <f>ROUND(F843*G847,4)</f>
        <v>2248.2855</v>
      </c>
      <c r="K847" s="60"/>
      <c r="L847" s="60"/>
    </row>
    <row r="848" spans="1:12" x14ac:dyDescent="0.25">
      <c r="A848" s="168"/>
      <c r="B848" s="144" t="str">
        <f>'Vật liệu'!B606</f>
        <v>V00671</v>
      </c>
      <c r="C848" s="34">
        <v>166</v>
      </c>
      <c r="D848" s="144" t="str">
        <f>" - " &amp; 'Vật liệu'!D606</f>
        <v xml:space="preserve"> - Thép tấm</v>
      </c>
      <c r="E848" s="168" t="str">
        <f>'Vật liệu'!E606</f>
        <v>kg</v>
      </c>
      <c r="F848" s="60"/>
      <c r="G848" s="60">
        <v>16</v>
      </c>
      <c r="H848" s="60"/>
      <c r="I848" s="60"/>
      <c r="J848" s="60">
        <f>ROUND(F843*G848,4)</f>
        <v>35.793599999999998</v>
      </c>
      <c r="K848" s="60"/>
      <c r="L848" s="60"/>
    </row>
    <row r="849" spans="1:12" x14ac:dyDescent="0.25">
      <c r="A849" s="168"/>
      <c r="B849" s="144" t="str">
        <f>'Vật liệu'!B401</f>
        <v>V00770</v>
      </c>
      <c r="C849" s="34">
        <v>400</v>
      </c>
      <c r="D849" s="144" t="str">
        <f>" - " &amp; 'Vật liệu'!D401</f>
        <v xml:space="preserve"> - Ô xy</v>
      </c>
      <c r="E849" s="168" t="str">
        <f>'Vật liệu'!E401</f>
        <v>Chai</v>
      </c>
      <c r="F849" s="60"/>
      <c r="G849" s="60">
        <v>0</v>
      </c>
      <c r="H849" s="60"/>
      <c r="I849" s="60"/>
      <c r="J849" s="60">
        <f>ROUND(F843*G849,4)</f>
        <v>0</v>
      </c>
      <c r="K849" s="60"/>
      <c r="L849" s="60"/>
    </row>
    <row r="850" spans="1:12" x14ac:dyDescent="0.25">
      <c r="A850" s="168"/>
      <c r="B850" s="144" t="str">
        <f>'Vật liệu'!B766</f>
        <v>V00750</v>
      </c>
      <c r="C850" s="34">
        <v>233</v>
      </c>
      <c r="D850" s="144" t="str">
        <f>" - " &amp; 'Vật liệu'!D766</f>
        <v xml:space="preserve"> - Vật liệu khác</v>
      </c>
      <c r="E850" s="168" t="str">
        <f>'Vật liệu'!E766</f>
        <v>%</v>
      </c>
      <c r="F850" s="60"/>
      <c r="G850" s="60">
        <v>5</v>
      </c>
      <c r="H850" s="60"/>
      <c r="I850" s="60"/>
      <c r="J850" s="60"/>
      <c r="K850" s="60"/>
      <c r="L850" s="60"/>
    </row>
    <row r="851" spans="1:12" ht="28.5" x14ac:dyDescent="0.25">
      <c r="A851" s="65">
        <f>'Công trình'!A107</f>
        <v>84</v>
      </c>
      <c r="B851" s="14" t="str">
        <f>'Công trình'!B107</f>
        <v>AC.17112</v>
      </c>
      <c r="C851" s="94"/>
      <c r="D851" s="14" t="str">
        <f>'Công trình'!C107</f>
        <v>Đóng cọc âm BTCT 35x35 chiều dài &lt;=24m trên mặt nước bằng tàu đóng cọc búa 1,8T</v>
      </c>
      <c r="E851" s="46" t="str">
        <f>'Công trình'!D107</f>
        <v>100m</v>
      </c>
      <c r="F851" s="106">
        <f>'Công trình'!K107</f>
        <v>2</v>
      </c>
      <c r="G851" s="126"/>
      <c r="H851" s="126"/>
      <c r="I851" s="126"/>
      <c r="J851" s="126"/>
      <c r="K851" s="126"/>
      <c r="L851" s="126"/>
    </row>
    <row r="852" spans="1:12" x14ac:dyDescent="0.25">
      <c r="A852" s="56"/>
      <c r="B852" s="23"/>
      <c r="C852" s="88"/>
      <c r="D852" s="23" t="s">
        <v>479</v>
      </c>
      <c r="E852" s="56"/>
      <c r="F852" s="118"/>
      <c r="G852" s="118"/>
      <c r="H852" s="118"/>
      <c r="I852" s="118"/>
      <c r="J852" s="118"/>
      <c r="K852" s="118"/>
      <c r="L852" s="118"/>
    </row>
    <row r="853" spans="1:12" x14ac:dyDescent="0.25">
      <c r="A853" s="168"/>
      <c r="B853" s="144" t="str">
        <f>'Vật liệu'!B111</f>
        <v>V12705</v>
      </c>
      <c r="C853" s="34">
        <v>457</v>
      </c>
      <c r="D853" s="144" t="str">
        <f>" - " &amp; 'Vật liệu'!D111</f>
        <v xml:space="preserve"> - Cọc bê tông 35cmx35cm</v>
      </c>
      <c r="E853" s="168" t="str">
        <f>'Vật liệu'!E111</f>
        <v>m</v>
      </c>
      <c r="F853" s="60"/>
      <c r="G853" s="60">
        <v>0</v>
      </c>
      <c r="H853" s="60"/>
      <c r="I853" s="60"/>
      <c r="J853" s="60">
        <f>ROUND(F851*G853,4)</f>
        <v>0</v>
      </c>
      <c r="K853" s="60"/>
      <c r="L853" s="60"/>
    </row>
    <row r="854" spans="1:12" x14ac:dyDescent="0.25">
      <c r="A854" s="168"/>
      <c r="B854" s="144" t="str">
        <f>'Vật liệu'!B766</f>
        <v>V00750</v>
      </c>
      <c r="C854" s="34">
        <v>237</v>
      </c>
      <c r="D854" s="144" t="str">
        <f>" - " &amp; 'Vật liệu'!D766</f>
        <v xml:space="preserve"> - Vật liệu khác</v>
      </c>
      <c r="E854" s="168" t="str">
        <f>'Vật liệu'!E766</f>
        <v>%</v>
      </c>
      <c r="F854" s="60"/>
      <c r="G854" s="60">
        <v>2</v>
      </c>
      <c r="H854" s="60"/>
      <c r="I854" s="60"/>
      <c r="J854" s="60"/>
      <c r="K854" s="60"/>
      <c r="L854" s="60"/>
    </row>
    <row r="855" spans="1:12" x14ac:dyDescent="0.25">
      <c r="A855" s="56"/>
      <c r="B855" s="23"/>
      <c r="C855" s="88"/>
      <c r="D855" s="23" t="s">
        <v>202</v>
      </c>
      <c r="E855" s="56"/>
      <c r="F855" s="118"/>
      <c r="G855" s="118"/>
      <c r="H855" s="118"/>
      <c r="I855" s="118"/>
      <c r="J855" s="118"/>
      <c r="K855" s="118"/>
      <c r="L855" s="118"/>
    </row>
    <row r="856" spans="1:12" x14ac:dyDescent="0.25">
      <c r="A856" s="168"/>
      <c r="B856" s="144" t="str">
        <f>'Nhân công'!B103</f>
        <v>N0015</v>
      </c>
      <c r="C856" s="34">
        <v>554</v>
      </c>
      <c r="D856" s="144" t="s">
        <v>1014</v>
      </c>
      <c r="E856" s="168" t="str">
        <f>'Nhân công'!G103</f>
        <v>công</v>
      </c>
      <c r="F856" s="60"/>
      <c r="G856" s="60"/>
      <c r="H856" s="60">
        <v>7.14</v>
      </c>
      <c r="I856" s="60"/>
      <c r="J856" s="60"/>
      <c r="K856" s="60">
        <f>ROUND(F851*H856,4)</f>
        <v>14.28</v>
      </c>
      <c r="L856" s="60"/>
    </row>
    <row r="857" spans="1:12" x14ac:dyDescent="0.25">
      <c r="A857" s="56"/>
      <c r="B857" s="23"/>
      <c r="C857" s="88"/>
      <c r="D857" s="23" t="s">
        <v>378</v>
      </c>
      <c r="E857" s="56"/>
      <c r="F857" s="118"/>
      <c r="G857" s="118"/>
      <c r="H857" s="118"/>
      <c r="I857" s="118"/>
      <c r="J857" s="118"/>
      <c r="K857" s="118"/>
      <c r="L857" s="118"/>
    </row>
    <row r="858" spans="1:12" x14ac:dyDescent="0.25">
      <c r="A858" s="168"/>
      <c r="B858" s="144" t="str">
        <f>'Máy thi công'!B384</f>
        <v>M9596</v>
      </c>
      <c r="C858" s="34">
        <v>755</v>
      </c>
      <c r="D858" s="144" t="str">
        <f>" - " &amp; 'Máy thi công'!D384</f>
        <v xml:space="preserve"> - Sà lan - trọng tải: 250 t</v>
      </c>
      <c r="E858" s="168" t="str">
        <f>'Máy thi công'!E384</f>
        <v>ca</v>
      </c>
      <c r="F858" s="60"/>
      <c r="G858" s="60"/>
      <c r="H858" s="60"/>
      <c r="I858" s="60">
        <v>2.0474999999999999</v>
      </c>
      <c r="J858" s="60"/>
      <c r="K858" s="60"/>
      <c r="L858" s="60">
        <f>ROUND(F851*I858,4)</f>
        <v>4.0949999999999998</v>
      </c>
    </row>
    <row r="859" spans="1:12" ht="30" x14ac:dyDescent="0.25">
      <c r="A859" s="168"/>
      <c r="B859" s="144" t="str">
        <f>'Máy thi công'!B391</f>
        <v>M9622</v>
      </c>
      <c r="C859" s="34">
        <v>757</v>
      </c>
      <c r="D859" s="144" t="str">
        <f>" - " &amp; 'Máy thi công'!D391</f>
        <v xml:space="preserve"> - Tầu kéo và phục vụ thi công thuỷ (làm neo, cấp dầu,...) - công suất: 150 cv</v>
      </c>
      <c r="E859" s="168" t="str">
        <f>'Máy thi công'!E391</f>
        <v>ca</v>
      </c>
      <c r="F859" s="60"/>
      <c r="G859" s="60"/>
      <c r="H859" s="60"/>
      <c r="I859" s="60">
        <v>0.14169999999999999</v>
      </c>
      <c r="J859" s="60"/>
      <c r="K859" s="60"/>
      <c r="L859" s="60">
        <f>ROUND(F851*I859,4)</f>
        <v>0.28339999999999999</v>
      </c>
    </row>
    <row r="860" spans="1:12" ht="30" x14ac:dyDescent="0.25">
      <c r="A860" s="168"/>
      <c r="B860" s="144" t="str">
        <f>'Máy thi công'!B101</f>
        <v>M9449</v>
      </c>
      <c r="C860" s="34">
        <v>722</v>
      </c>
      <c r="D860" s="144" t="str">
        <f>" - " &amp; 'Máy thi công'!D101</f>
        <v xml:space="preserve"> - Búa đóng cọc nổi (cả sà lan và máy phụ trợ) - trọng lượng búa: ≤ 1,8 t</v>
      </c>
      <c r="E860" s="168" t="str">
        <f>'Máy thi công'!E101</f>
        <v>ca</v>
      </c>
      <c r="F860" s="60"/>
      <c r="G860" s="60"/>
      <c r="H860" s="60"/>
      <c r="I860" s="60">
        <v>2.5499999999999998</v>
      </c>
      <c r="J860" s="60"/>
      <c r="K860" s="60"/>
      <c r="L860" s="60">
        <f>ROUND(F851*I860,4)</f>
        <v>5.0999999999999996</v>
      </c>
    </row>
    <row r="861" spans="1:12" x14ac:dyDescent="0.25">
      <c r="A861" s="168"/>
      <c r="B861" s="144" t="str">
        <f>'Máy thi công'!B135</f>
        <v>M9469</v>
      </c>
      <c r="C861" s="34">
        <v>729</v>
      </c>
      <c r="D861" s="144" t="str">
        <f>" - " &amp; 'Máy thi công'!D135</f>
        <v xml:space="preserve"> - Cần trục bánh xích - sức nâng: 25 t</v>
      </c>
      <c r="E861" s="168" t="str">
        <f>'Máy thi công'!E135</f>
        <v>ca</v>
      </c>
      <c r="F861" s="60"/>
      <c r="G861" s="60"/>
      <c r="H861" s="60"/>
      <c r="I861" s="60">
        <v>2.5499999999999998</v>
      </c>
      <c r="J861" s="60"/>
      <c r="K861" s="60"/>
      <c r="L861" s="60">
        <f>ROUND(F851*I861,4)</f>
        <v>5.0999999999999996</v>
      </c>
    </row>
    <row r="862" spans="1:12" x14ac:dyDescent="0.25">
      <c r="A862" s="168"/>
      <c r="B862" s="144" t="str">
        <f>'Máy thi công'!B398</f>
        <v>M0111</v>
      </c>
      <c r="C862" s="34">
        <v>601</v>
      </c>
      <c r="D862" s="144" t="str">
        <f>" - " &amp; 'Máy thi công'!D398</f>
        <v xml:space="preserve"> - Máy khác</v>
      </c>
      <c r="E862" s="168" t="str">
        <f>'Máy thi công'!E398</f>
        <v>%</v>
      </c>
      <c r="F862" s="60"/>
      <c r="G862" s="60"/>
      <c r="H862" s="60"/>
      <c r="I862" s="60">
        <v>2</v>
      </c>
      <c r="J862" s="60"/>
      <c r="K862" s="60"/>
      <c r="L862" s="60"/>
    </row>
    <row r="863" spans="1:12" x14ac:dyDescent="0.25">
      <c r="A863" s="65">
        <f>'Công trình'!A109</f>
        <v>85</v>
      </c>
      <c r="B863" s="14" t="str">
        <f>'Công trình'!B109</f>
        <v>AI.11912</v>
      </c>
      <c r="C863" s="94"/>
      <c r="D863" s="14" t="str">
        <f>'Công trình'!C109</f>
        <v>Sản xuất hệ sàn đạo, sàn thao tác</v>
      </c>
      <c r="E863" s="46" t="str">
        <f>'Công trình'!D109</f>
        <v>tấn</v>
      </c>
      <c r="F863" s="106">
        <f>'Công trình'!K109</f>
        <v>2.5261999999999998</v>
      </c>
      <c r="G863" s="126"/>
      <c r="H863" s="126"/>
      <c r="I863" s="126"/>
      <c r="J863" s="126"/>
      <c r="K863" s="126"/>
      <c r="L863" s="126"/>
    </row>
    <row r="864" spans="1:12" x14ac:dyDescent="0.25">
      <c r="A864" s="56"/>
      <c r="B864" s="23"/>
      <c r="C864" s="88"/>
      <c r="D864" s="23" t="s">
        <v>479</v>
      </c>
      <c r="E864" s="56"/>
      <c r="F864" s="118"/>
      <c r="G864" s="118"/>
      <c r="H864" s="118"/>
      <c r="I864" s="118"/>
      <c r="J864" s="118"/>
      <c r="K864" s="118"/>
      <c r="L864" s="118"/>
    </row>
    <row r="865" spans="1:12" x14ac:dyDescent="0.25">
      <c r="A865" s="168"/>
      <c r="B865" s="144" t="str">
        <f>'Vật liệu'!B401</f>
        <v>V00770</v>
      </c>
      <c r="C865" s="34">
        <v>400</v>
      </c>
      <c r="D865" s="144" t="str">
        <f>" - " &amp; 'Vật liệu'!D401</f>
        <v xml:space="preserve"> - Ô xy</v>
      </c>
      <c r="E865" s="168" t="str">
        <f>'Vật liệu'!E401</f>
        <v>Chai</v>
      </c>
      <c r="F865" s="60"/>
      <c r="G865" s="60">
        <v>2.1</v>
      </c>
      <c r="H865" s="60"/>
      <c r="I865" s="60"/>
      <c r="J865" s="60">
        <f>ROUND(F863*G865,4)</f>
        <v>5.3049999999999997</v>
      </c>
      <c r="K865" s="60"/>
      <c r="L865" s="60"/>
    </row>
    <row r="866" spans="1:12" x14ac:dyDescent="0.25">
      <c r="A866" s="168"/>
      <c r="B866" s="144" t="str">
        <f>'Vật liệu'!B200</f>
        <v>V00833</v>
      </c>
      <c r="C866" s="34">
        <v>411</v>
      </c>
      <c r="D866" s="144" t="str">
        <f>" - " &amp; 'Vật liệu'!D200</f>
        <v xml:space="preserve"> - Đất đèn</v>
      </c>
      <c r="E866" s="168" t="str">
        <f>'Vật liệu'!E200</f>
        <v>kg</v>
      </c>
      <c r="F866" s="60"/>
      <c r="G866" s="60">
        <v>8.4</v>
      </c>
      <c r="H866" s="60"/>
      <c r="I866" s="60"/>
      <c r="J866" s="60">
        <f>ROUND(F863*G866,4)</f>
        <v>21.220099999999999</v>
      </c>
      <c r="K866" s="60"/>
      <c r="L866" s="60"/>
    </row>
    <row r="867" spans="1:12" x14ac:dyDescent="0.25">
      <c r="A867" s="168"/>
      <c r="B867" s="144" t="str">
        <f>'Vật liệu'!B556</f>
        <v>V00641</v>
      </c>
      <c r="C867" s="34">
        <v>160</v>
      </c>
      <c r="D867" s="144" t="str">
        <f>" - " &amp; 'Vật liệu'!D556</f>
        <v xml:space="preserve"> - Thép hình</v>
      </c>
      <c r="E867" s="168" t="str">
        <f>'Vật liệu'!E556</f>
        <v>kg</v>
      </c>
      <c r="F867" s="60"/>
      <c r="G867" s="60">
        <v>0</v>
      </c>
      <c r="H867" s="60"/>
      <c r="I867" s="60"/>
      <c r="J867" s="60">
        <f>ROUND(F863*G867,4)</f>
        <v>0</v>
      </c>
      <c r="K867" s="60"/>
      <c r="L867" s="60"/>
    </row>
    <row r="868" spans="1:12" x14ac:dyDescent="0.25">
      <c r="A868" s="168"/>
      <c r="B868" s="144" t="str">
        <f>'Vật liệu'!B606</f>
        <v>V00671</v>
      </c>
      <c r="C868" s="34">
        <v>166</v>
      </c>
      <c r="D868" s="144" t="str">
        <f>" - " &amp; 'Vật liệu'!D606</f>
        <v xml:space="preserve"> - Thép tấm</v>
      </c>
      <c r="E868" s="168" t="str">
        <f>'Vật liệu'!E606</f>
        <v>kg</v>
      </c>
      <c r="F868" s="60"/>
      <c r="G868" s="60">
        <v>0</v>
      </c>
      <c r="H868" s="60"/>
      <c r="I868" s="60"/>
      <c r="J868" s="60">
        <f>ROUND(F863*G868,4)</f>
        <v>0</v>
      </c>
      <c r="K868" s="60"/>
      <c r="L868" s="60"/>
    </row>
    <row r="869" spans="1:12" x14ac:dyDescent="0.25">
      <c r="A869" s="168"/>
      <c r="B869" s="144" t="str">
        <f>'Vật liệu'!B450</f>
        <v>V00515</v>
      </c>
      <c r="C869" s="34">
        <v>154</v>
      </c>
      <c r="D869" s="144" t="str">
        <f>" - " &amp; 'Vật liệu'!D450</f>
        <v xml:space="preserve"> - Que hàn</v>
      </c>
      <c r="E869" s="168" t="str">
        <f>'Vật liệu'!E450</f>
        <v>kg</v>
      </c>
      <c r="F869" s="60"/>
      <c r="G869" s="60">
        <v>24.15</v>
      </c>
      <c r="H869" s="60"/>
      <c r="I869" s="60"/>
      <c r="J869" s="60">
        <f>ROUND(F863*G869,4)</f>
        <v>61.0077</v>
      </c>
      <c r="K869" s="60"/>
      <c r="L869" s="60"/>
    </row>
    <row r="870" spans="1:12" x14ac:dyDescent="0.25">
      <c r="A870" s="168"/>
      <c r="B870" s="144" t="str">
        <f>'Vật liệu'!B766</f>
        <v>V00750</v>
      </c>
      <c r="C870" s="34">
        <v>238</v>
      </c>
      <c r="D870" s="144" t="str">
        <f>" - " &amp; 'Vật liệu'!D766</f>
        <v xml:space="preserve"> - Vật liệu khác</v>
      </c>
      <c r="E870" s="168" t="str">
        <f>'Vật liệu'!E766</f>
        <v>%</v>
      </c>
      <c r="F870" s="60"/>
      <c r="G870" s="60">
        <v>5</v>
      </c>
      <c r="H870" s="60"/>
      <c r="I870" s="60"/>
      <c r="J870" s="60"/>
      <c r="K870" s="60"/>
      <c r="L870" s="60"/>
    </row>
    <row r="871" spans="1:12" x14ac:dyDescent="0.25">
      <c r="A871" s="56"/>
      <c r="B871" s="23"/>
      <c r="C871" s="88"/>
      <c r="D871" s="23" t="s">
        <v>202</v>
      </c>
      <c r="E871" s="56"/>
      <c r="F871" s="118"/>
      <c r="G871" s="118"/>
      <c r="H871" s="118"/>
      <c r="I871" s="118"/>
      <c r="J871" s="118"/>
      <c r="K871" s="118"/>
      <c r="L871" s="118"/>
    </row>
    <row r="872" spans="1:12" x14ac:dyDescent="0.25">
      <c r="A872" s="168"/>
      <c r="B872" s="144" t="str">
        <f>'Nhân công'!B130</f>
        <v>N0011</v>
      </c>
      <c r="C872" s="34">
        <v>550</v>
      </c>
      <c r="D872" s="144" t="s">
        <v>671</v>
      </c>
      <c r="E872" s="168" t="str">
        <f>'Nhân công'!G130</f>
        <v>công</v>
      </c>
      <c r="F872" s="60"/>
      <c r="G872" s="60"/>
      <c r="H872" s="60">
        <v>22.61</v>
      </c>
      <c r="I872" s="60"/>
      <c r="J872" s="60"/>
      <c r="K872" s="60">
        <f>ROUND(F863*H872,4)</f>
        <v>57.117400000000004</v>
      </c>
      <c r="L872" s="60"/>
    </row>
    <row r="873" spans="1:12" x14ac:dyDescent="0.25">
      <c r="A873" s="56"/>
      <c r="B873" s="23"/>
      <c r="C873" s="88"/>
      <c r="D873" s="23" t="s">
        <v>378</v>
      </c>
      <c r="E873" s="56"/>
      <c r="F873" s="118"/>
      <c r="G873" s="118"/>
      <c r="H873" s="118"/>
      <c r="I873" s="118"/>
      <c r="J873" s="118"/>
      <c r="K873" s="118"/>
      <c r="L873" s="118"/>
    </row>
    <row r="874" spans="1:12" x14ac:dyDescent="0.25">
      <c r="A874" s="168"/>
      <c r="B874" s="144" t="str">
        <f>'Máy thi công'!B148</f>
        <v>M9478</v>
      </c>
      <c r="C874" s="34">
        <v>733</v>
      </c>
      <c r="D874" s="144" t="str">
        <f>" - " &amp; 'Máy thi công'!D148</f>
        <v xml:space="preserve"> - Cần trục ô tô - sức nâng: 10 t</v>
      </c>
      <c r="E874" s="168" t="str">
        <f>'Máy thi công'!E148</f>
        <v>ca</v>
      </c>
      <c r="F874" s="60"/>
      <c r="G874" s="60"/>
      <c r="H874" s="60"/>
      <c r="I874" s="60">
        <v>0.27</v>
      </c>
      <c r="J874" s="60"/>
      <c r="K874" s="60"/>
      <c r="L874" s="60">
        <f>ROUND(F863*I874,4)</f>
        <v>0.68210000000000004</v>
      </c>
    </row>
    <row r="875" spans="1:12" x14ac:dyDescent="0.25">
      <c r="A875" s="168"/>
      <c r="B875" s="144" t="str">
        <f>'Máy thi công'!B177</f>
        <v>M112.2001</v>
      </c>
      <c r="C875" s="34">
        <v>703</v>
      </c>
      <c r="D875" s="144" t="str">
        <f>" - " &amp; 'Máy thi công'!D177</f>
        <v xml:space="preserve"> - Máy cắt sắt cầm tay - công suất: 1,7 kW</v>
      </c>
      <c r="E875" s="168" t="str">
        <f>'Máy thi công'!E177</f>
        <v>ca</v>
      </c>
      <c r="F875" s="60"/>
      <c r="G875" s="60"/>
      <c r="H875" s="60"/>
      <c r="I875" s="60">
        <v>0.4</v>
      </c>
      <c r="J875" s="60"/>
      <c r="K875" s="60"/>
      <c r="L875" s="60">
        <f>ROUND(F863*I875,4)</f>
        <v>1.0105</v>
      </c>
    </row>
    <row r="876" spans="1:12" x14ac:dyDescent="0.25">
      <c r="A876" s="168"/>
      <c r="B876" s="144" t="str">
        <f>'Máy thi công'!B6</f>
        <v>M9438</v>
      </c>
      <c r="C876" s="34">
        <v>714</v>
      </c>
      <c r="D876" s="144" t="str">
        <f>" - " &amp; 'Máy thi công'!D6</f>
        <v xml:space="preserve"> - Biến thế hàn xoay chiều - công suất: 23 kW</v>
      </c>
      <c r="E876" s="168" t="str">
        <f>'Máy thi công'!E6</f>
        <v>ca</v>
      </c>
      <c r="F876" s="60"/>
      <c r="G876" s="60"/>
      <c r="H876" s="60"/>
      <c r="I876" s="60">
        <v>4.5999999999999996</v>
      </c>
      <c r="J876" s="60"/>
      <c r="K876" s="60"/>
      <c r="L876" s="60">
        <f>ROUND(F863*I876,4)</f>
        <v>11.6205</v>
      </c>
    </row>
    <row r="877" spans="1:12" ht="28.5" x14ac:dyDescent="0.25">
      <c r="A877" s="65">
        <f>'Công trình'!A110</f>
        <v>86</v>
      </c>
      <c r="B877" s="14" t="str">
        <f>'Công trình'!B110</f>
        <v>TT</v>
      </c>
      <c r="C877" s="94"/>
      <c r="D877" s="14" t="str">
        <f>'Công trình'!C110</f>
        <v>Khấu hao hệ sàn đạo, sàn thao tác (Thi công trong vòng 1 tháng và 5 lần đóng nhổ)</v>
      </c>
      <c r="E877" s="46" t="str">
        <f>'Công trình'!D110</f>
        <v>tấn</v>
      </c>
      <c r="F877" s="106">
        <f>'Công trình'!K110</f>
        <v>0.93469999999999998</v>
      </c>
      <c r="G877" s="126"/>
      <c r="H877" s="126"/>
      <c r="I877" s="126"/>
      <c r="J877" s="126"/>
      <c r="K877" s="126"/>
      <c r="L877" s="126"/>
    </row>
    <row r="878" spans="1:12" x14ac:dyDescent="0.25">
      <c r="A878" s="56"/>
      <c r="B878" s="23"/>
      <c r="C878" s="88"/>
      <c r="D878" s="23" t="s">
        <v>479</v>
      </c>
      <c r="E878" s="56"/>
      <c r="F878" s="118"/>
      <c r="G878" s="118"/>
      <c r="H878" s="118"/>
      <c r="I878" s="118"/>
      <c r="J878" s="118"/>
      <c r="K878" s="118"/>
      <c r="L878" s="118"/>
    </row>
    <row r="879" spans="1:12" x14ac:dyDescent="0.25">
      <c r="A879" s="168"/>
      <c r="B879" s="144" t="str">
        <f>'Vật liệu'!B401</f>
        <v>V00770</v>
      </c>
      <c r="C879" s="34">
        <v>400</v>
      </c>
      <c r="D879" s="144" t="str">
        <f>" - " &amp; 'Vật liệu'!D401</f>
        <v xml:space="preserve"> - Ô xy</v>
      </c>
      <c r="E879" s="168" t="str">
        <f>'Vật liệu'!E401</f>
        <v>Chai</v>
      </c>
      <c r="F879" s="60"/>
      <c r="G879" s="60">
        <v>0</v>
      </c>
      <c r="H879" s="60"/>
      <c r="I879" s="60"/>
      <c r="J879" s="60">
        <f>ROUND(F877*G879,4)</f>
        <v>0</v>
      </c>
      <c r="K879" s="60"/>
      <c r="L879" s="60"/>
    </row>
    <row r="880" spans="1:12" x14ac:dyDescent="0.25">
      <c r="A880" s="168"/>
      <c r="B880" s="144" t="str">
        <f>'Vật liệu'!B200</f>
        <v>V00833</v>
      </c>
      <c r="C880" s="34">
        <v>411</v>
      </c>
      <c r="D880" s="144" t="str">
        <f>" - " &amp; 'Vật liệu'!D200</f>
        <v xml:space="preserve"> - Đất đèn</v>
      </c>
      <c r="E880" s="168" t="str">
        <f>'Vật liệu'!E200</f>
        <v>kg</v>
      </c>
      <c r="F880" s="60"/>
      <c r="G880" s="60">
        <v>0</v>
      </c>
      <c r="H880" s="60"/>
      <c r="I880" s="60"/>
      <c r="J880" s="60">
        <f>ROUND(F877*G880,4)</f>
        <v>0</v>
      </c>
      <c r="K880" s="60"/>
      <c r="L880" s="60"/>
    </row>
    <row r="881" spans="1:12" x14ac:dyDescent="0.25">
      <c r="A881" s="168"/>
      <c r="B881" s="144" t="str">
        <f>'Vật liệu'!B556</f>
        <v>V00641</v>
      </c>
      <c r="C881" s="34">
        <v>160</v>
      </c>
      <c r="D881" s="144" t="str">
        <f>" - " &amp; 'Vật liệu'!D556</f>
        <v xml:space="preserve"> - Thép hình</v>
      </c>
      <c r="E881" s="168" t="str">
        <f>'Vật liệu'!E556</f>
        <v>kg</v>
      </c>
      <c r="F881" s="60"/>
      <c r="G881" s="60">
        <v>697.85</v>
      </c>
      <c r="H881" s="60"/>
      <c r="I881" s="60"/>
      <c r="J881" s="60">
        <f>ROUND(F877*G881,4)</f>
        <v>652.28039999999999</v>
      </c>
      <c r="K881" s="60"/>
      <c r="L881" s="60"/>
    </row>
    <row r="882" spans="1:12" x14ac:dyDescent="0.25">
      <c r="A882" s="168"/>
      <c r="B882" s="144" t="str">
        <f>'Vật liệu'!B606</f>
        <v>V00671</v>
      </c>
      <c r="C882" s="34">
        <v>166</v>
      </c>
      <c r="D882" s="144" t="str">
        <f>" - " &amp; 'Vật liệu'!D606</f>
        <v xml:space="preserve"> - Thép tấm</v>
      </c>
      <c r="E882" s="168" t="str">
        <f>'Vật liệu'!E606</f>
        <v>kg</v>
      </c>
      <c r="F882" s="60"/>
      <c r="G882" s="60">
        <v>362.15</v>
      </c>
      <c r="H882" s="60"/>
      <c r="I882" s="60"/>
      <c r="J882" s="60">
        <f>ROUND(F877*G882,4)</f>
        <v>338.5016</v>
      </c>
      <c r="K882" s="60"/>
      <c r="L882" s="60"/>
    </row>
    <row r="883" spans="1:12" x14ac:dyDescent="0.25">
      <c r="A883" s="168"/>
      <c r="B883" s="144" t="str">
        <f>'Vật liệu'!B450</f>
        <v>V00515</v>
      </c>
      <c r="C883" s="34">
        <v>154</v>
      </c>
      <c r="D883" s="144" t="str">
        <f>" - " &amp; 'Vật liệu'!D450</f>
        <v xml:space="preserve"> - Que hàn</v>
      </c>
      <c r="E883" s="168" t="str">
        <f>'Vật liệu'!E450</f>
        <v>kg</v>
      </c>
      <c r="F883" s="60"/>
      <c r="G883" s="60">
        <v>0</v>
      </c>
      <c r="H883" s="60"/>
      <c r="I883" s="60"/>
      <c r="J883" s="60">
        <f>ROUND(F877*G883,4)</f>
        <v>0</v>
      </c>
      <c r="K883" s="60"/>
      <c r="L883" s="60"/>
    </row>
    <row r="884" spans="1:12" x14ac:dyDescent="0.25">
      <c r="A884" s="168"/>
      <c r="B884" s="144" t="str">
        <f>'Vật liệu'!B766</f>
        <v>V00750</v>
      </c>
      <c r="C884" s="34">
        <v>239</v>
      </c>
      <c r="D884" s="144" t="str">
        <f>" - " &amp; 'Vật liệu'!D766</f>
        <v xml:space="preserve"> - Vật liệu khác</v>
      </c>
      <c r="E884" s="168" t="str">
        <f>'Vật liệu'!E766</f>
        <v>%</v>
      </c>
      <c r="F884" s="60"/>
      <c r="G884" s="60">
        <v>5</v>
      </c>
      <c r="H884" s="60"/>
      <c r="I884" s="60"/>
      <c r="J884" s="60"/>
      <c r="K884" s="60"/>
      <c r="L884" s="60"/>
    </row>
    <row r="885" spans="1:12" ht="28.5" x14ac:dyDescent="0.25">
      <c r="A885" s="65">
        <f>'Công trình'!A112</f>
        <v>87</v>
      </c>
      <c r="B885" s="14" t="str">
        <f>'Công trình'!B112</f>
        <v>AI.63311</v>
      </c>
      <c r="C885" s="94"/>
      <c r="D885" s="14" t="str">
        <f>'Công trình'!C112</f>
        <v>Lắp dựng kết cấu thép hệ khung dàn, sàn đạo trên cạn</v>
      </c>
      <c r="E885" s="46" t="str">
        <f>'Công trình'!D112</f>
        <v>tấn</v>
      </c>
      <c r="F885" s="106">
        <f>'Công trình'!K112</f>
        <v>12.631</v>
      </c>
      <c r="G885" s="126"/>
      <c r="H885" s="126"/>
      <c r="I885" s="126"/>
      <c r="J885" s="126"/>
      <c r="K885" s="126"/>
      <c r="L885" s="126"/>
    </row>
    <row r="886" spans="1:12" x14ac:dyDescent="0.25">
      <c r="A886" s="56"/>
      <c r="B886" s="23"/>
      <c r="C886" s="88"/>
      <c r="D886" s="23" t="s">
        <v>479</v>
      </c>
      <c r="E886" s="56"/>
      <c r="F886" s="118"/>
      <c r="G886" s="118"/>
      <c r="H886" s="118"/>
      <c r="I886" s="118"/>
      <c r="J886" s="118"/>
      <c r="K886" s="118"/>
      <c r="L886" s="118"/>
    </row>
    <row r="887" spans="1:12" x14ac:dyDescent="0.25">
      <c r="A887" s="168"/>
      <c r="B887" s="144" t="str">
        <f>'Vật liệu'!B450</f>
        <v>V00515</v>
      </c>
      <c r="C887" s="34">
        <v>154</v>
      </c>
      <c r="D887" s="144" t="str">
        <f>" - " &amp; 'Vật liệu'!D450</f>
        <v xml:space="preserve"> - Que hàn</v>
      </c>
      <c r="E887" s="168" t="str">
        <f>'Vật liệu'!E450</f>
        <v>kg</v>
      </c>
      <c r="F887" s="60"/>
      <c r="G887" s="60">
        <v>12</v>
      </c>
      <c r="H887" s="60"/>
      <c r="I887" s="60"/>
      <c r="J887" s="60">
        <f>ROUND(F885*G887,4)</f>
        <v>151.572</v>
      </c>
      <c r="K887" s="60"/>
      <c r="L887" s="60"/>
    </row>
    <row r="888" spans="1:12" x14ac:dyDescent="0.25">
      <c r="A888" s="168"/>
      <c r="B888" s="144" t="str">
        <f>'Vật liệu'!B556</f>
        <v>V00641</v>
      </c>
      <c r="C888" s="34">
        <v>160</v>
      </c>
      <c r="D888" s="144" t="str">
        <f>" - " &amp; 'Vật liệu'!D556</f>
        <v xml:space="preserve"> - Thép hình</v>
      </c>
      <c r="E888" s="168" t="str">
        <f>'Vật liệu'!E556</f>
        <v>kg</v>
      </c>
      <c r="F888" s="60"/>
      <c r="G888" s="60">
        <v>0.45</v>
      </c>
      <c r="H888" s="60"/>
      <c r="I888" s="60"/>
      <c r="J888" s="60">
        <f>ROUND(F885*G888,4)</f>
        <v>5.6840000000000002</v>
      </c>
      <c r="K888" s="60"/>
      <c r="L888" s="60"/>
    </row>
    <row r="889" spans="1:12" x14ac:dyDescent="0.25">
      <c r="A889" s="168"/>
      <c r="B889" s="144" t="str">
        <f>'Vật liệu'!B20</f>
        <v>V00039</v>
      </c>
      <c r="C889" s="34">
        <v>122</v>
      </c>
      <c r="D889" s="144" t="str">
        <f>" - " &amp; 'Vật liệu'!D20</f>
        <v xml:space="preserve"> - Bu lông M20</v>
      </c>
      <c r="E889" s="168" t="str">
        <f>'Vật liệu'!E20</f>
        <v>cái</v>
      </c>
      <c r="F889" s="60"/>
      <c r="G889" s="60">
        <v>12</v>
      </c>
      <c r="H889" s="60"/>
      <c r="I889" s="60"/>
      <c r="J889" s="60">
        <f>ROUND(F885*G889,4)</f>
        <v>151.572</v>
      </c>
      <c r="K889" s="60"/>
      <c r="L889" s="60"/>
    </row>
    <row r="890" spans="1:12" x14ac:dyDescent="0.25">
      <c r="A890" s="168"/>
      <c r="B890" s="144" t="str">
        <f>'Vật liệu'!B766</f>
        <v>V00750</v>
      </c>
      <c r="C890" s="34">
        <v>243</v>
      </c>
      <c r="D890" s="144" t="str">
        <f>" - " &amp; 'Vật liệu'!D766</f>
        <v xml:space="preserve"> - Vật liệu khác</v>
      </c>
      <c r="E890" s="168" t="str">
        <f>'Vật liệu'!E766</f>
        <v>%</v>
      </c>
      <c r="F890" s="60"/>
      <c r="G890" s="60">
        <v>5</v>
      </c>
      <c r="H890" s="60"/>
      <c r="I890" s="60"/>
      <c r="J890" s="60"/>
      <c r="K890" s="60"/>
      <c r="L890" s="60"/>
    </row>
    <row r="891" spans="1:12" x14ac:dyDescent="0.25">
      <c r="A891" s="56"/>
      <c r="B891" s="23"/>
      <c r="C891" s="88"/>
      <c r="D891" s="23" t="s">
        <v>202</v>
      </c>
      <c r="E891" s="56"/>
      <c r="F891" s="118"/>
      <c r="G891" s="118"/>
      <c r="H891" s="118"/>
      <c r="I891" s="118"/>
      <c r="J891" s="118"/>
      <c r="K891" s="118"/>
      <c r="L891" s="118"/>
    </row>
    <row r="892" spans="1:12" x14ac:dyDescent="0.25">
      <c r="A892" s="168"/>
      <c r="B892" s="144" t="str">
        <f>'Nhân công'!B130</f>
        <v>N0011</v>
      </c>
      <c r="C892" s="34">
        <v>550</v>
      </c>
      <c r="D892" s="144" t="s">
        <v>671</v>
      </c>
      <c r="E892" s="168" t="str">
        <f>'Nhân công'!G130</f>
        <v>công</v>
      </c>
      <c r="F892" s="60"/>
      <c r="G892" s="60"/>
      <c r="H892" s="60">
        <v>9.5</v>
      </c>
      <c r="I892" s="60"/>
      <c r="J892" s="60"/>
      <c r="K892" s="60">
        <f>ROUND(F885*H892,4)</f>
        <v>119.9945</v>
      </c>
      <c r="L892" s="60"/>
    </row>
    <row r="893" spans="1:12" x14ac:dyDescent="0.25">
      <c r="A893" s="56"/>
      <c r="B893" s="23"/>
      <c r="C893" s="88"/>
      <c r="D893" s="23" t="s">
        <v>378</v>
      </c>
      <c r="E893" s="56"/>
      <c r="F893" s="118"/>
      <c r="G893" s="118"/>
      <c r="H893" s="118"/>
      <c r="I893" s="118"/>
      <c r="J893" s="118"/>
      <c r="K893" s="118"/>
      <c r="L893" s="118"/>
    </row>
    <row r="894" spans="1:12" x14ac:dyDescent="0.25">
      <c r="A894" s="168"/>
      <c r="B894" s="144" t="str">
        <f>'Máy thi công'!B6</f>
        <v>M9438</v>
      </c>
      <c r="C894" s="34">
        <v>714</v>
      </c>
      <c r="D894" s="144" t="str">
        <f>" - " &amp; 'Máy thi công'!D6</f>
        <v xml:space="preserve"> - Biến thế hàn xoay chiều - công suất: 23 kW</v>
      </c>
      <c r="E894" s="168" t="str">
        <f>'Máy thi công'!E6</f>
        <v>ca</v>
      </c>
      <c r="F894" s="60"/>
      <c r="G894" s="60"/>
      <c r="H894" s="60"/>
      <c r="I894" s="60">
        <v>3</v>
      </c>
      <c r="J894" s="60"/>
      <c r="K894" s="60"/>
      <c r="L894" s="60">
        <f>ROUND(F885*I894,4)</f>
        <v>37.893000000000001</v>
      </c>
    </row>
    <row r="895" spans="1:12" x14ac:dyDescent="0.25">
      <c r="A895" s="168"/>
      <c r="B895" s="144" t="str">
        <f>'Máy thi công'!B120</f>
        <v>M9468</v>
      </c>
      <c r="C895" s="34">
        <v>728</v>
      </c>
      <c r="D895" s="144" t="str">
        <f>" - " &amp; 'Máy thi công'!D120</f>
        <v xml:space="preserve"> - Cần trục bánh xích - sức nâng: 16 t</v>
      </c>
      <c r="E895" s="168" t="str">
        <f>'Máy thi công'!E120</f>
        <v>ca</v>
      </c>
      <c r="F895" s="60"/>
      <c r="G895" s="60"/>
      <c r="H895" s="60"/>
      <c r="I895" s="60">
        <v>0.27</v>
      </c>
      <c r="J895" s="60"/>
      <c r="K895" s="60"/>
      <c r="L895" s="60">
        <f>ROUND(F885*I895,4)</f>
        <v>3.4104000000000001</v>
      </c>
    </row>
    <row r="896" spans="1:12" ht="28.5" x14ac:dyDescent="0.25">
      <c r="A896" s="65">
        <f>'Công trình'!A113</f>
        <v>88</v>
      </c>
      <c r="B896" s="14" t="str">
        <f>'Công trình'!B113</f>
        <v>AI.63311</v>
      </c>
      <c r="C896" s="94"/>
      <c r="D896" s="14" t="str">
        <f>'Công trình'!C113</f>
        <v>Tháo dỡ kết cấu thép hệ khung dàn, sàn đạo trên cạn (60% Đg)</v>
      </c>
      <c r="E896" s="46" t="str">
        <f>'Công trình'!D113</f>
        <v>tấn</v>
      </c>
      <c r="F896" s="106">
        <f>'Công trình'!K113</f>
        <v>12.631</v>
      </c>
      <c r="G896" s="126"/>
      <c r="H896" s="126"/>
      <c r="I896" s="126"/>
      <c r="J896" s="126"/>
      <c r="K896" s="126"/>
      <c r="L896" s="126"/>
    </row>
    <row r="897" spans="1:12" x14ac:dyDescent="0.25">
      <c r="A897" s="56"/>
      <c r="B897" s="23"/>
      <c r="C897" s="88"/>
      <c r="D897" s="23" t="s">
        <v>479</v>
      </c>
      <c r="E897" s="56"/>
      <c r="F897" s="118"/>
      <c r="G897" s="118"/>
      <c r="H897" s="118"/>
      <c r="I897" s="118"/>
      <c r="J897" s="118"/>
      <c r="K897" s="118"/>
      <c r="L897" s="118"/>
    </row>
    <row r="898" spans="1:12" x14ac:dyDescent="0.25">
      <c r="A898" s="168"/>
      <c r="B898" s="144" t="str">
        <f>'Vật liệu'!B450</f>
        <v>V00515</v>
      </c>
      <c r="C898" s="34">
        <v>154</v>
      </c>
      <c r="D898" s="144" t="str">
        <f>" - " &amp; 'Vật liệu'!D450</f>
        <v xml:space="preserve"> - Que hàn</v>
      </c>
      <c r="E898" s="168" t="str">
        <f>'Vật liệu'!E450</f>
        <v>kg</v>
      </c>
      <c r="F898" s="60"/>
      <c r="G898" s="60">
        <v>7.2</v>
      </c>
      <c r="H898" s="60"/>
      <c r="I898" s="60"/>
      <c r="J898" s="60">
        <f>ROUND(F896*G898,4)</f>
        <v>90.943200000000004</v>
      </c>
      <c r="K898" s="60"/>
      <c r="L898" s="60"/>
    </row>
    <row r="899" spans="1:12" x14ac:dyDescent="0.25">
      <c r="A899" s="168"/>
      <c r="B899" s="144" t="str">
        <f>'Vật liệu'!B556</f>
        <v>V00641</v>
      </c>
      <c r="C899" s="34">
        <v>160</v>
      </c>
      <c r="D899" s="144" t="str">
        <f>" - " &amp; 'Vật liệu'!D556</f>
        <v xml:space="preserve"> - Thép hình</v>
      </c>
      <c r="E899" s="168" t="str">
        <f>'Vật liệu'!E556</f>
        <v>kg</v>
      </c>
      <c r="F899" s="60"/>
      <c r="G899" s="60">
        <v>0.27</v>
      </c>
      <c r="H899" s="60"/>
      <c r="I899" s="60"/>
      <c r="J899" s="60">
        <f>ROUND(F896*G899,4)</f>
        <v>3.4104000000000001</v>
      </c>
      <c r="K899" s="60"/>
      <c r="L899" s="60"/>
    </row>
    <row r="900" spans="1:12" x14ac:dyDescent="0.25">
      <c r="A900" s="168"/>
      <c r="B900" s="144" t="str">
        <f>'Vật liệu'!B20</f>
        <v>V00039</v>
      </c>
      <c r="C900" s="34">
        <v>122</v>
      </c>
      <c r="D900" s="144" t="str">
        <f>" - " &amp; 'Vật liệu'!D20</f>
        <v xml:space="preserve"> - Bu lông M20</v>
      </c>
      <c r="E900" s="168" t="str">
        <f>'Vật liệu'!E20</f>
        <v>cái</v>
      </c>
      <c r="F900" s="60"/>
      <c r="G900" s="60">
        <v>7.2</v>
      </c>
      <c r="H900" s="60"/>
      <c r="I900" s="60"/>
      <c r="J900" s="60">
        <f>ROUND(F896*G900,4)</f>
        <v>90.943200000000004</v>
      </c>
      <c r="K900" s="60"/>
      <c r="L900" s="60"/>
    </row>
    <row r="901" spans="1:12" x14ac:dyDescent="0.25">
      <c r="A901" s="168"/>
      <c r="B901" s="144" t="str">
        <f>'Vật liệu'!B766</f>
        <v>V00750</v>
      </c>
      <c r="C901" s="34">
        <v>244</v>
      </c>
      <c r="D901" s="144" t="str">
        <f>" - " &amp; 'Vật liệu'!D766</f>
        <v xml:space="preserve"> - Vật liệu khác</v>
      </c>
      <c r="E901" s="168" t="str">
        <f>'Vật liệu'!E766</f>
        <v>%</v>
      </c>
      <c r="F901" s="60"/>
      <c r="G901" s="60">
        <v>5</v>
      </c>
      <c r="H901" s="60"/>
      <c r="I901" s="60"/>
      <c r="J901" s="60"/>
      <c r="K901" s="60"/>
      <c r="L901" s="60"/>
    </row>
    <row r="902" spans="1:12" x14ac:dyDescent="0.25">
      <c r="A902" s="56"/>
      <c r="B902" s="23"/>
      <c r="C902" s="88"/>
      <c r="D902" s="23" t="s">
        <v>202</v>
      </c>
      <c r="E902" s="56"/>
      <c r="F902" s="118"/>
      <c r="G902" s="118"/>
      <c r="H902" s="118"/>
      <c r="I902" s="118"/>
      <c r="J902" s="118"/>
      <c r="K902" s="118"/>
      <c r="L902" s="118"/>
    </row>
    <row r="903" spans="1:12" x14ac:dyDescent="0.25">
      <c r="A903" s="168"/>
      <c r="B903" s="144" t="str">
        <f>'Nhân công'!B130</f>
        <v>N0011</v>
      </c>
      <c r="C903" s="34">
        <v>550</v>
      </c>
      <c r="D903" s="144" t="s">
        <v>671</v>
      </c>
      <c r="E903" s="168" t="str">
        <f>'Nhân công'!G130</f>
        <v>công</v>
      </c>
      <c r="F903" s="60"/>
      <c r="G903" s="60"/>
      <c r="H903" s="60">
        <v>5.7</v>
      </c>
      <c r="I903" s="60"/>
      <c r="J903" s="60"/>
      <c r="K903" s="60">
        <f>ROUND(F896*H903,4)</f>
        <v>71.996700000000004</v>
      </c>
      <c r="L903" s="60"/>
    </row>
    <row r="904" spans="1:12" x14ac:dyDescent="0.25">
      <c r="A904" s="56"/>
      <c r="B904" s="23"/>
      <c r="C904" s="88"/>
      <c r="D904" s="23" t="s">
        <v>378</v>
      </c>
      <c r="E904" s="56"/>
      <c r="F904" s="118"/>
      <c r="G904" s="118"/>
      <c r="H904" s="118"/>
      <c r="I904" s="118"/>
      <c r="J904" s="118"/>
      <c r="K904" s="118"/>
      <c r="L904" s="118"/>
    </row>
    <row r="905" spans="1:12" x14ac:dyDescent="0.25">
      <c r="A905" s="168"/>
      <c r="B905" s="144" t="str">
        <f>'Máy thi công'!B6</f>
        <v>M9438</v>
      </c>
      <c r="C905" s="34">
        <v>714</v>
      </c>
      <c r="D905" s="144" t="str">
        <f>" - " &amp; 'Máy thi công'!D6</f>
        <v xml:space="preserve"> - Biến thế hàn xoay chiều - công suất: 23 kW</v>
      </c>
      <c r="E905" s="168" t="str">
        <f>'Máy thi công'!E6</f>
        <v>ca</v>
      </c>
      <c r="F905" s="60"/>
      <c r="G905" s="60"/>
      <c r="H905" s="60"/>
      <c r="I905" s="60">
        <v>1.8</v>
      </c>
      <c r="J905" s="60"/>
      <c r="K905" s="60"/>
      <c r="L905" s="60">
        <f>ROUND(F896*I905,4)</f>
        <v>22.735800000000001</v>
      </c>
    </row>
    <row r="906" spans="1:12" x14ac:dyDescent="0.25">
      <c r="A906" s="168"/>
      <c r="B906" s="144" t="str">
        <f>'Máy thi công'!B120</f>
        <v>M9468</v>
      </c>
      <c r="C906" s="34">
        <v>728</v>
      </c>
      <c r="D906" s="144" t="str">
        <f>" - " &amp; 'Máy thi công'!D120</f>
        <v xml:space="preserve"> - Cần trục bánh xích - sức nâng: 16 t</v>
      </c>
      <c r="E906" s="168" t="str">
        <f>'Máy thi công'!E120</f>
        <v>ca</v>
      </c>
      <c r="F906" s="60"/>
      <c r="G906" s="60"/>
      <c r="H906" s="60"/>
      <c r="I906" s="60">
        <v>0.16200000000000001</v>
      </c>
      <c r="J906" s="60"/>
      <c r="K906" s="60"/>
      <c r="L906" s="60">
        <f>ROUND(F896*I906,4)</f>
        <v>2.0461999999999998</v>
      </c>
    </row>
    <row r="907" spans="1:12" ht="28.5" x14ac:dyDescent="0.25">
      <c r="A907" s="65">
        <f>'Công trình'!A114</f>
        <v>89</v>
      </c>
      <c r="B907" s="14" t="str">
        <f>'Công trình'!B114</f>
        <v>AC.22522</v>
      </c>
      <c r="C907" s="94"/>
      <c r="D907" s="14" t="str">
        <f>'Công trình'!C114</f>
        <v>Đóng cọc thép hình H300 trên mặt đất, chiều dài cọc &gt;10m, đất cấp II, phần ngập đất</v>
      </c>
      <c r="E907" s="46" t="str">
        <f>'Công trình'!D114</f>
        <v>100m</v>
      </c>
      <c r="F907" s="106">
        <f>'Công trình'!K114</f>
        <v>1.9</v>
      </c>
      <c r="G907" s="126"/>
      <c r="H907" s="126"/>
      <c r="I907" s="126"/>
      <c r="J907" s="126"/>
      <c r="K907" s="126"/>
      <c r="L907" s="126"/>
    </row>
    <row r="908" spans="1:12" x14ac:dyDescent="0.25">
      <c r="A908" s="56"/>
      <c r="B908" s="23"/>
      <c r="C908" s="88"/>
      <c r="D908" s="23" t="s">
        <v>479</v>
      </c>
      <c r="E908" s="56"/>
      <c r="F908" s="118"/>
      <c r="G908" s="118"/>
      <c r="H908" s="118"/>
      <c r="I908" s="118"/>
      <c r="J908" s="118"/>
      <c r="K908" s="118"/>
      <c r="L908" s="118"/>
    </row>
    <row r="909" spans="1:12" x14ac:dyDescent="0.25">
      <c r="A909" s="168"/>
      <c r="B909" s="144" t="str">
        <f>'Vật liệu'!B117</f>
        <v>V08281</v>
      </c>
      <c r="C909" s="34">
        <v>430</v>
      </c>
      <c r="D909" s="144" t="str">
        <f>" - " &amp; 'Vật liệu'!D117</f>
        <v xml:space="preserve"> - Cọc H300, L=14m</v>
      </c>
      <c r="E909" s="168" t="str">
        <f>'Vật liệu'!E117</f>
        <v>m</v>
      </c>
      <c r="F909" s="60"/>
      <c r="G909" s="60">
        <v>0</v>
      </c>
      <c r="H909" s="60"/>
      <c r="I909" s="60"/>
      <c r="J909" s="60">
        <f>ROUND(F907*G909,4)</f>
        <v>0</v>
      </c>
      <c r="K909" s="60"/>
      <c r="L909" s="60"/>
    </row>
    <row r="910" spans="1:12" x14ac:dyDescent="0.25">
      <c r="A910" s="168"/>
      <c r="B910" s="144" t="str">
        <f>'Vật liệu'!B766</f>
        <v>V00750</v>
      </c>
      <c r="C910" s="34">
        <v>245</v>
      </c>
      <c r="D910" s="144" t="str">
        <f>" - " &amp; 'Vật liệu'!D766</f>
        <v xml:space="preserve"> - Vật liệu khác</v>
      </c>
      <c r="E910" s="168" t="str">
        <f>'Vật liệu'!E766</f>
        <v>%</v>
      </c>
      <c r="F910" s="60"/>
      <c r="G910" s="60">
        <v>1</v>
      </c>
      <c r="H910" s="60"/>
      <c r="I910" s="60"/>
      <c r="J910" s="60"/>
      <c r="K910" s="60"/>
      <c r="L910" s="60"/>
    </row>
    <row r="911" spans="1:12" x14ac:dyDescent="0.25">
      <c r="A911" s="56"/>
      <c r="B911" s="23"/>
      <c r="C911" s="88"/>
      <c r="D911" s="23" t="s">
        <v>202</v>
      </c>
      <c r="E911" s="56"/>
      <c r="F911" s="118"/>
      <c r="G911" s="118"/>
      <c r="H911" s="118"/>
      <c r="I911" s="118"/>
      <c r="J911" s="118"/>
      <c r="K911" s="118"/>
      <c r="L911" s="118"/>
    </row>
    <row r="912" spans="1:12" x14ac:dyDescent="0.25">
      <c r="A912" s="168"/>
      <c r="B912" s="144" t="str">
        <f>'Nhân công'!B185</f>
        <v>N0020</v>
      </c>
      <c r="C912" s="34">
        <v>555</v>
      </c>
      <c r="D912" s="144" t="s">
        <v>625</v>
      </c>
      <c r="E912" s="168" t="str">
        <f>'Nhân công'!G185</f>
        <v>công</v>
      </c>
      <c r="F912" s="60"/>
      <c r="G912" s="60"/>
      <c r="H912" s="60">
        <v>6.72</v>
      </c>
      <c r="I912" s="60"/>
      <c r="J912" s="60"/>
      <c r="K912" s="60">
        <f>ROUND(F907*H912,4)</f>
        <v>12.768000000000001</v>
      </c>
      <c r="L912" s="60"/>
    </row>
    <row r="913" spans="1:12" x14ac:dyDescent="0.25">
      <c r="A913" s="56"/>
      <c r="B913" s="23"/>
      <c r="C913" s="88"/>
      <c r="D913" s="23" t="s">
        <v>378</v>
      </c>
      <c r="E913" s="56"/>
      <c r="F913" s="118"/>
      <c r="G913" s="118"/>
      <c r="H913" s="118"/>
      <c r="I913" s="118"/>
      <c r="J913" s="118"/>
      <c r="K913" s="118"/>
      <c r="L913" s="118"/>
    </row>
    <row r="914" spans="1:12" ht="30" x14ac:dyDescent="0.25">
      <c r="A914" s="168"/>
      <c r="B914" s="144" t="str">
        <f>'Máy thi công'!B85</f>
        <v>M9440</v>
      </c>
      <c r="C914" s="34">
        <v>716</v>
      </c>
      <c r="D914" s="144" t="str">
        <f>" - " &amp; 'Máy thi công'!D85</f>
        <v xml:space="preserve"> - Búa diezel chạy trên ray - trọng lượng đầu búa: 1,2 t</v>
      </c>
      <c r="E914" s="168" t="str">
        <f>'Máy thi công'!E85</f>
        <v>ca</v>
      </c>
      <c r="F914" s="60"/>
      <c r="G914" s="60"/>
      <c r="H914" s="60"/>
      <c r="I914" s="60">
        <v>3.36</v>
      </c>
      <c r="J914" s="60"/>
      <c r="K914" s="60"/>
      <c r="L914" s="60">
        <f>ROUND(F907*I914,4)</f>
        <v>6.3840000000000003</v>
      </c>
    </row>
    <row r="915" spans="1:12" x14ac:dyDescent="0.25">
      <c r="A915" s="168"/>
      <c r="B915" s="144" t="str">
        <f>'Máy thi công'!B398</f>
        <v>M0111</v>
      </c>
      <c r="C915" s="34">
        <v>603</v>
      </c>
      <c r="D915" s="144" t="str">
        <f>" - " &amp; 'Máy thi công'!D398</f>
        <v xml:space="preserve"> - Máy khác</v>
      </c>
      <c r="E915" s="168" t="str">
        <f>'Máy thi công'!E398</f>
        <v>%</v>
      </c>
      <c r="F915" s="60"/>
      <c r="G915" s="60"/>
      <c r="H915" s="60"/>
      <c r="I915" s="60">
        <v>1.5</v>
      </c>
      <c r="J915" s="60"/>
      <c r="K915" s="60"/>
      <c r="L915" s="60"/>
    </row>
    <row r="916" spans="1:12" ht="42.75" x14ac:dyDescent="0.25">
      <c r="A916" s="65">
        <f>'Công trình'!A115</f>
        <v>90</v>
      </c>
      <c r="B916" s="14" t="str">
        <f>'Công trình'!B115</f>
        <v>AC.22522</v>
      </c>
      <c r="C916" s="94"/>
      <c r="D916" s="14" t="str">
        <f>'Công trình'!C115</f>
        <v>Đóng cọc thép hình H300 trên mặt đất, chiều dài cọc &gt;10m, đất cấp II, phần không ngập đất (NC, MTC * 0,75)</v>
      </c>
      <c r="E916" s="46" t="str">
        <f>'Công trình'!D115</f>
        <v>100m</v>
      </c>
      <c r="F916" s="106">
        <f>'Công trình'!K115</f>
        <v>0.9</v>
      </c>
      <c r="G916" s="126"/>
      <c r="H916" s="126"/>
      <c r="I916" s="126"/>
      <c r="J916" s="126"/>
      <c r="K916" s="126"/>
      <c r="L916" s="126"/>
    </row>
    <row r="917" spans="1:12" x14ac:dyDescent="0.25">
      <c r="A917" s="56"/>
      <c r="B917" s="23"/>
      <c r="C917" s="88"/>
      <c r="D917" s="23" t="s">
        <v>479</v>
      </c>
      <c r="E917" s="56"/>
      <c r="F917" s="118"/>
      <c r="G917" s="118"/>
      <c r="H917" s="118"/>
      <c r="I917" s="118"/>
      <c r="J917" s="118"/>
      <c r="K917" s="118"/>
      <c r="L917" s="118"/>
    </row>
    <row r="918" spans="1:12" x14ac:dyDescent="0.25">
      <c r="A918" s="168"/>
      <c r="B918" s="144" t="str">
        <f>'Vật liệu'!B117</f>
        <v>V08281</v>
      </c>
      <c r="C918" s="34">
        <v>430</v>
      </c>
      <c r="D918" s="144" t="str">
        <f>" - " &amp; 'Vật liệu'!D117</f>
        <v xml:space="preserve"> - Cọc H300, L=14m</v>
      </c>
      <c r="E918" s="168" t="str">
        <f>'Vật liệu'!E117</f>
        <v>m</v>
      </c>
      <c r="F918" s="60"/>
      <c r="G918" s="60">
        <v>0</v>
      </c>
      <c r="H918" s="60"/>
      <c r="I918" s="60"/>
      <c r="J918" s="60">
        <f>ROUND(F916*G918,4)</f>
        <v>0</v>
      </c>
      <c r="K918" s="60"/>
      <c r="L918" s="60"/>
    </row>
    <row r="919" spans="1:12" x14ac:dyDescent="0.25">
      <c r="A919" s="168"/>
      <c r="B919" s="144" t="str">
        <f>'Vật liệu'!B766</f>
        <v>V00750</v>
      </c>
      <c r="C919" s="34">
        <v>246</v>
      </c>
      <c r="D919" s="144" t="str">
        <f>" - " &amp; 'Vật liệu'!D766</f>
        <v xml:space="preserve"> - Vật liệu khác</v>
      </c>
      <c r="E919" s="168" t="str">
        <f>'Vật liệu'!E766</f>
        <v>%</v>
      </c>
      <c r="F919" s="60"/>
      <c r="G919" s="60">
        <v>1</v>
      </c>
      <c r="H919" s="60"/>
      <c r="I919" s="60"/>
      <c r="J919" s="60"/>
      <c r="K919" s="60"/>
      <c r="L919" s="60"/>
    </row>
    <row r="920" spans="1:12" x14ac:dyDescent="0.25">
      <c r="A920" s="56"/>
      <c r="B920" s="23"/>
      <c r="C920" s="88"/>
      <c r="D920" s="23" t="s">
        <v>202</v>
      </c>
      <c r="E920" s="56"/>
      <c r="F920" s="118"/>
      <c r="G920" s="118"/>
      <c r="H920" s="118"/>
      <c r="I920" s="118"/>
      <c r="J920" s="118"/>
      <c r="K920" s="118"/>
      <c r="L920" s="118"/>
    </row>
    <row r="921" spans="1:12" x14ac:dyDescent="0.25">
      <c r="A921" s="168"/>
      <c r="B921" s="144" t="str">
        <f>'Nhân công'!B185</f>
        <v>N0020</v>
      </c>
      <c r="C921" s="34">
        <v>555</v>
      </c>
      <c r="D921" s="144" t="s">
        <v>625</v>
      </c>
      <c r="E921" s="168" t="str">
        <f>'Nhân công'!G185</f>
        <v>công</v>
      </c>
      <c r="F921" s="60"/>
      <c r="G921" s="60"/>
      <c r="H921" s="60">
        <v>5.79</v>
      </c>
      <c r="I921" s="60"/>
      <c r="J921" s="60"/>
      <c r="K921" s="60">
        <f>ROUND(F916*H921,4)</f>
        <v>5.2110000000000003</v>
      </c>
      <c r="L921" s="60"/>
    </row>
    <row r="922" spans="1:12" x14ac:dyDescent="0.25">
      <c r="A922" s="56"/>
      <c r="B922" s="23"/>
      <c r="C922" s="88"/>
      <c r="D922" s="23" t="s">
        <v>378</v>
      </c>
      <c r="E922" s="56"/>
      <c r="F922" s="118"/>
      <c r="G922" s="118"/>
      <c r="H922" s="118"/>
      <c r="I922" s="118"/>
      <c r="J922" s="118"/>
      <c r="K922" s="118"/>
      <c r="L922" s="118"/>
    </row>
    <row r="923" spans="1:12" ht="30" x14ac:dyDescent="0.25">
      <c r="A923" s="168"/>
      <c r="B923" s="144" t="str">
        <f>'Máy thi công'!B85</f>
        <v>M9440</v>
      </c>
      <c r="C923" s="34">
        <v>716</v>
      </c>
      <c r="D923" s="144" t="str">
        <f>" - " &amp; 'Máy thi công'!D85</f>
        <v xml:space="preserve"> - Búa diezel chạy trên ray - trọng lượng đầu búa: 1,2 t</v>
      </c>
      <c r="E923" s="168" t="str">
        <f>'Máy thi công'!E85</f>
        <v>ca</v>
      </c>
      <c r="F923" s="60"/>
      <c r="G923" s="60"/>
      <c r="H923" s="60"/>
      <c r="I923" s="60">
        <v>2.52</v>
      </c>
      <c r="J923" s="60"/>
      <c r="K923" s="60"/>
      <c r="L923" s="60">
        <f>ROUND(F916*I923,4)</f>
        <v>2.2679999999999998</v>
      </c>
    </row>
    <row r="924" spans="1:12" x14ac:dyDescent="0.25">
      <c r="A924" s="168"/>
      <c r="B924" s="144" t="str">
        <f>'Máy thi công'!B398</f>
        <v>M0111</v>
      </c>
      <c r="C924" s="34">
        <v>604</v>
      </c>
      <c r="D924" s="144" t="str">
        <f>" - " &amp; 'Máy thi công'!D398</f>
        <v xml:space="preserve"> - Máy khác</v>
      </c>
      <c r="E924" s="168" t="str">
        <f>'Máy thi công'!E398</f>
        <v>%</v>
      </c>
      <c r="F924" s="60"/>
      <c r="G924" s="60"/>
      <c r="H924" s="60"/>
      <c r="I924" s="60">
        <v>1.5</v>
      </c>
      <c r="J924" s="60"/>
      <c r="K924" s="60"/>
      <c r="L924" s="60"/>
    </row>
    <row r="925" spans="1:12" ht="28.5" x14ac:dyDescent="0.25">
      <c r="A925" s="65">
        <f>'Công trình'!A116</f>
        <v>91</v>
      </c>
      <c r="B925" s="14" t="str">
        <f>'Công trình'!B116</f>
        <v>TT</v>
      </c>
      <c r="C925" s="94"/>
      <c r="D925" s="14" t="str">
        <f>'Công trình'!C116</f>
        <v>Khấu hao cọc thép hình (Thi công trong vòng 3 tháng và 1 lần đóng nhổ)</v>
      </c>
      <c r="E925" s="46" t="str">
        <f>'Công trình'!D116</f>
        <v>100m</v>
      </c>
      <c r="F925" s="106">
        <f>'Công trình'!K116</f>
        <v>0.1046</v>
      </c>
      <c r="G925" s="126"/>
      <c r="H925" s="126"/>
      <c r="I925" s="126"/>
      <c r="J925" s="126"/>
      <c r="K925" s="126"/>
      <c r="L925" s="126"/>
    </row>
    <row r="926" spans="1:12" x14ac:dyDescent="0.25">
      <c r="A926" s="56"/>
      <c r="B926" s="23"/>
      <c r="C926" s="88"/>
      <c r="D926" s="23" t="s">
        <v>479</v>
      </c>
      <c r="E926" s="56"/>
      <c r="F926" s="118"/>
      <c r="G926" s="118"/>
      <c r="H926" s="118"/>
      <c r="I926" s="118"/>
      <c r="J926" s="118"/>
      <c r="K926" s="118"/>
      <c r="L926" s="118"/>
    </row>
    <row r="927" spans="1:12" x14ac:dyDescent="0.25">
      <c r="A927" s="168"/>
      <c r="B927" s="144" t="str">
        <f>'Vật liệu'!B117</f>
        <v>V08281</v>
      </c>
      <c r="C927" s="34">
        <v>430</v>
      </c>
      <c r="D927" s="144" t="str">
        <f>" - " &amp; 'Vật liệu'!D117</f>
        <v xml:space="preserve"> - Cọc H300, L=14m</v>
      </c>
      <c r="E927" s="168" t="str">
        <f>'Vật liệu'!E117</f>
        <v>m</v>
      </c>
      <c r="F927" s="60"/>
      <c r="G927" s="60">
        <v>100</v>
      </c>
      <c r="H927" s="60"/>
      <c r="I927" s="60"/>
      <c r="J927" s="60">
        <f>ROUND(F925*G927,4)</f>
        <v>10.46</v>
      </c>
      <c r="K927" s="60"/>
      <c r="L927" s="60"/>
    </row>
    <row r="928" spans="1:12" x14ac:dyDescent="0.25">
      <c r="A928" s="168"/>
      <c r="B928" s="144" t="str">
        <f>'Vật liệu'!B766</f>
        <v>V00750</v>
      </c>
      <c r="C928" s="34">
        <v>261</v>
      </c>
      <c r="D928" s="144" t="str">
        <f>" - " &amp; 'Vật liệu'!D766</f>
        <v xml:space="preserve"> - Vật liệu khác</v>
      </c>
      <c r="E928" s="168" t="str">
        <f>'Vật liệu'!E766</f>
        <v>%</v>
      </c>
      <c r="F928" s="60"/>
      <c r="G928" s="60">
        <v>1</v>
      </c>
      <c r="H928" s="60"/>
      <c r="I928" s="60"/>
      <c r="J928" s="60"/>
      <c r="K928" s="60"/>
      <c r="L928" s="60"/>
    </row>
    <row r="929" spans="1:12" ht="28.5" x14ac:dyDescent="0.25">
      <c r="A929" s="65">
        <f>'Công trình'!A118</f>
        <v>92</v>
      </c>
      <c r="B929" s="14" t="str">
        <f>'Công trình'!B118</f>
        <v>AC.23110</v>
      </c>
      <c r="C929" s="94"/>
      <c r="D929" s="14" t="str">
        <f>'Công trình'!C118</f>
        <v>Nhổ cọc thép hình làm tường chắn đất, sàn thao tác trên cạn</v>
      </c>
      <c r="E929" s="46" t="str">
        <f>'Công trình'!D118</f>
        <v>100m</v>
      </c>
      <c r="F929" s="106">
        <f>'Công trình'!K118</f>
        <v>2.8</v>
      </c>
      <c r="G929" s="126"/>
      <c r="H929" s="126"/>
      <c r="I929" s="126"/>
      <c r="J929" s="126"/>
      <c r="K929" s="126"/>
      <c r="L929" s="126"/>
    </row>
    <row r="930" spans="1:12" x14ac:dyDescent="0.25">
      <c r="A930" s="56"/>
      <c r="B930" s="23"/>
      <c r="C930" s="88"/>
      <c r="D930" s="23" t="s">
        <v>202</v>
      </c>
      <c r="E930" s="56"/>
      <c r="F930" s="118"/>
      <c r="G930" s="118"/>
      <c r="H930" s="118"/>
      <c r="I930" s="118"/>
      <c r="J930" s="118"/>
      <c r="K930" s="118"/>
      <c r="L930" s="118"/>
    </row>
    <row r="931" spans="1:12" x14ac:dyDescent="0.25">
      <c r="A931" s="168"/>
      <c r="B931" s="144" t="str">
        <f>'Nhân công'!B185</f>
        <v>N0020</v>
      </c>
      <c r="C931" s="34">
        <v>555</v>
      </c>
      <c r="D931" s="144" t="s">
        <v>625</v>
      </c>
      <c r="E931" s="168" t="str">
        <f>'Nhân công'!G185</f>
        <v>công</v>
      </c>
      <c r="F931" s="60"/>
      <c r="G931" s="60"/>
      <c r="H931" s="60">
        <v>2.66</v>
      </c>
      <c r="I931" s="60"/>
      <c r="J931" s="60"/>
      <c r="K931" s="60">
        <f>ROUND(F929*H931,4)</f>
        <v>7.4480000000000004</v>
      </c>
      <c r="L931" s="60"/>
    </row>
    <row r="932" spans="1:12" x14ac:dyDescent="0.25">
      <c r="A932" s="56"/>
      <c r="B932" s="23"/>
      <c r="C932" s="88"/>
      <c r="D932" s="23" t="s">
        <v>378</v>
      </c>
      <c r="E932" s="56"/>
      <c r="F932" s="118"/>
      <c r="G932" s="118"/>
      <c r="H932" s="118"/>
      <c r="I932" s="118"/>
      <c r="J932" s="118"/>
      <c r="K932" s="118"/>
      <c r="L932" s="118"/>
    </row>
    <row r="933" spans="1:12" x14ac:dyDescent="0.25">
      <c r="A933" s="168"/>
      <c r="B933" s="144" t="str">
        <f>'Máy thi công'!B135</f>
        <v>M9469</v>
      </c>
      <c r="C933" s="34">
        <v>729</v>
      </c>
      <c r="D933" s="144" t="str">
        <f>" - " &amp; 'Máy thi công'!D135</f>
        <v xml:space="preserve"> - Cần trục bánh xích - sức nâng: 25 t</v>
      </c>
      <c r="E933" s="168" t="str">
        <f>'Máy thi công'!E135</f>
        <v>ca</v>
      </c>
      <c r="F933" s="60"/>
      <c r="G933" s="60"/>
      <c r="H933" s="60"/>
      <c r="I933" s="60">
        <v>1.33</v>
      </c>
      <c r="J933" s="60"/>
      <c r="K933" s="60"/>
      <c r="L933" s="60">
        <f>ROUND(F929*I933,4)</f>
        <v>3.7240000000000002</v>
      </c>
    </row>
    <row r="934" spans="1:12" x14ac:dyDescent="0.25">
      <c r="A934" s="168"/>
      <c r="B934" s="144" t="str">
        <f>'Máy thi công'!B398</f>
        <v>M0111</v>
      </c>
      <c r="C934" s="34">
        <v>613</v>
      </c>
      <c r="D934" s="144" t="str">
        <f>" - " &amp; 'Máy thi công'!D398</f>
        <v xml:space="preserve"> - Máy khác</v>
      </c>
      <c r="E934" s="168" t="str">
        <f>'Máy thi công'!E398</f>
        <v>%</v>
      </c>
      <c r="F934" s="60"/>
      <c r="G934" s="60"/>
      <c r="H934" s="60"/>
      <c r="I934" s="60">
        <v>2</v>
      </c>
      <c r="J934" s="60"/>
      <c r="K934" s="60"/>
      <c r="L934" s="60"/>
    </row>
    <row r="935" spans="1:12" x14ac:dyDescent="0.25">
      <c r="A935" s="65">
        <f>'Công trình'!A120</f>
        <v>93</v>
      </c>
      <c r="B935" s="14" t="str">
        <f>'Công trình'!B120</f>
        <v>AI.11912</v>
      </c>
      <c r="C935" s="94"/>
      <c r="D935" s="14" t="str">
        <f>'Công trình'!C120</f>
        <v>Sản xuất hệ sàn đạo, sàn thao tác</v>
      </c>
      <c r="E935" s="46" t="str">
        <f>'Công trình'!D120</f>
        <v>tấn</v>
      </c>
      <c r="F935" s="106">
        <f>'Công trình'!K120</f>
        <v>5.2054999999999998</v>
      </c>
      <c r="G935" s="126"/>
      <c r="H935" s="126"/>
      <c r="I935" s="126"/>
      <c r="J935" s="126"/>
      <c r="K935" s="126"/>
      <c r="L935" s="126"/>
    </row>
    <row r="936" spans="1:12" x14ac:dyDescent="0.25">
      <c r="A936" s="56"/>
      <c r="B936" s="23"/>
      <c r="C936" s="88"/>
      <c r="D936" s="23" t="s">
        <v>479</v>
      </c>
      <c r="E936" s="56"/>
      <c r="F936" s="118"/>
      <c r="G936" s="118"/>
      <c r="H936" s="118"/>
      <c r="I936" s="118"/>
      <c r="J936" s="118"/>
      <c r="K936" s="118"/>
      <c r="L936" s="118"/>
    </row>
    <row r="937" spans="1:12" x14ac:dyDescent="0.25">
      <c r="A937" s="168"/>
      <c r="B937" s="144" t="str">
        <f>'Vật liệu'!B401</f>
        <v>V00770</v>
      </c>
      <c r="C937" s="34">
        <v>400</v>
      </c>
      <c r="D937" s="144" t="str">
        <f>" - " &amp; 'Vật liệu'!D401</f>
        <v xml:space="preserve"> - Ô xy</v>
      </c>
      <c r="E937" s="168" t="str">
        <f>'Vật liệu'!E401</f>
        <v>Chai</v>
      </c>
      <c r="F937" s="60"/>
      <c r="G937" s="60">
        <v>2.1</v>
      </c>
      <c r="H937" s="60"/>
      <c r="I937" s="60"/>
      <c r="J937" s="60">
        <f>ROUND(F935*G937,4)</f>
        <v>10.9316</v>
      </c>
      <c r="K937" s="60"/>
      <c r="L937" s="60"/>
    </row>
    <row r="938" spans="1:12" x14ac:dyDescent="0.25">
      <c r="A938" s="168"/>
      <c r="B938" s="144" t="str">
        <f>'Vật liệu'!B200</f>
        <v>V00833</v>
      </c>
      <c r="C938" s="34">
        <v>411</v>
      </c>
      <c r="D938" s="144" t="str">
        <f>" - " &amp; 'Vật liệu'!D200</f>
        <v xml:space="preserve"> - Đất đèn</v>
      </c>
      <c r="E938" s="168" t="str">
        <f>'Vật liệu'!E200</f>
        <v>kg</v>
      </c>
      <c r="F938" s="60"/>
      <c r="G938" s="60">
        <v>8.4</v>
      </c>
      <c r="H938" s="60"/>
      <c r="I938" s="60"/>
      <c r="J938" s="60">
        <f>ROUND(F935*G938,4)</f>
        <v>43.726199999999999</v>
      </c>
      <c r="K938" s="60"/>
      <c r="L938" s="60"/>
    </row>
    <row r="939" spans="1:12" x14ac:dyDescent="0.25">
      <c r="A939" s="168"/>
      <c r="B939" s="144" t="str">
        <f>'Vật liệu'!B556</f>
        <v>V00641</v>
      </c>
      <c r="C939" s="34">
        <v>160</v>
      </c>
      <c r="D939" s="144" t="str">
        <f>" - " &amp; 'Vật liệu'!D556</f>
        <v xml:space="preserve"> - Thép hình</v>
      </c>
      <c r="E939" s="168" t="str">
        <f>'Vật liệu'!E556</f>
        <v>kg</v>
      </c>
      <c r="F939" s="60"/>
      <c r="G939" s="60">
        <v>0</v>
      </c>
      <c r="H939" s="60"/>
      <c r="I939" s="60"/>
      <c r="J939" s="60">
        <f>ROUND(F935*G939,4)</f>
        <v>0</v>
      </c>
      <c r="K939" s="60"/>
      <c r="L939" s="60"/>
    </row>
    <row r="940" spans="1:12" x14ac:dyDescent="0.25">
      <c r="A940" s="168"/>
      <c r="B940" s="144" t="str">
        <f>'Vật liệu'!B606</f>
        <v>V00671</v>
      </c>
      <c r="C940" s="34">
        <v>166</v>
      </c>
      <c r="D940" s="144" t="str">
        <f>" - " &amp; 'Vật liệu'!D606</f>
        <v xml:space="preserve"> - Thép tấm</v>
      </c>
      <c r="E940" s="168" t="str">
        <f>'Vật liệu'!E606</f>
        <v>kg</v>
      </c>
      <c r="F940" s="60"/>
      <c r="G940" s="60">
        <v>0</v>
      </c>
      <c r="H940" s="60"/>
      <c r="I940" s="60"/>
      <c r="J940" s="60">
        <f>ROUND(F935*G940,4)</f>
        <v>0</v>
      </c>
      <c r="K940" s="60"/>
      <c r="L940" s="60"/>
    </row>
    <row r="941" spans="1:12" x14ac:dyDescent="0.25">
      <c r="A941" s="168"/>
      <c r="B941" s="144" t="str">
        <f>'Vật liệu'!B450</f>
        <v>V00515</v>
      </c>
      <c r="C941" s="34">
        <v>154</v>
      </c>
      <c r="D941" s="144" t="str">
        <f>" - " &amp; 'Vật liệu'!D450</f>
        <v xml:space="preserve"> - Que hàn</v>
      </c>
      <c r="E941" s="168" t="str">
        <f>'Vật liệu'!E450</f>
        <v>kg</v>
      </c>
      <c r="F941" s="60"/>
      <c r="G941" s="60">
        <v>24.15</v>
      </c>
      <c r="H941" s="60"/>
      <c r="I941" s="60"/>
      <c r="J941" s="60">
        <f>ROUND(F935*G941,4)</f>
        <v>125.7128</v>
      </c>
      <c r="K941" s="60"/>
      <c r="L941" s="60"/>
    </row>
    <row r="942" spans="1:12" x14ac:dyDescent="0.25">
      <c r="A942" s="168"/>
      <c r="B942" s="144" t="str">
        <f>'Vật liệu'!B766</f>
        <v>V00750</v>
      </c>
      <c r="C942" s="34">
        <v>241</v>
      </c>
      <c r="D942" s="144" t="str">
        <f>" - " &amp; 'Vật liệu'!D766</f>
        <v xml:space="preserve"> - Vật liệu khác</v>
      </c>
      <c r="E942" s="168" t="str">
        <f>'Vật liệu'!E766</f>
        <v>%</v>
      </c>
      <c r="F942" s="60"/>
      <c r="G942" s="60">
        <v>5</v>
      </c>
      <c r="H942" s="60"/>
      <c r="I942" s="60"/>
      <c r="J942" s="60"/>
      <c r="K942" s="60"/>
      <c r="L942" s="60"/>
    </row>
    <row r="943" spans="1:12" x14ac:dyDescent="0.25">
      <c r="A943" s="56"/>
      <c r="B943" s="23"/>
      <c r="C943" s="88"/>
      <c r="D943" s="23" t="s">
        <v>202</v>
      </c>
      <c r="E943" s="56"/>
      <c r="F943" s="118"/>
      <c r="G943" s="118"/>
      <c r="H943" s="118"/>
      <c r="I943" s="118"/>
      <c r="J943" s="118"/>
      <c r="K943" s="118"/>
      <c r="L943" s="118"/>
    </row>
    <row r="944" spans="1:12" x14ac:dyDescent="0.25">
      <c r="A944" s="168"/>
      <c r="B944" s="144" t="str">
        <f>'Nhân công'!B130</f>
        <v>N0011</v>
      </c>
      <c r="C944" s="34">
        <v>550</v>
      </c>
      <c r="D944" s="144" t="s">
        <v>671</v>
      </c>
      <c r="E944" s="168" t="str">
        <f>'Nhân công'!G130</f>
        <v>công</v>
      </c>
      <c r="F944" s="60"/>
      <c r="G944" s="60"/>
      <c r="H944" s="60">
        <v>22.61</v>
      </c>
      <c r="I944" s="60"/>
      <c r="J944" s="60"/>
      <c r="K944" s="60">
        <f>ROUND(F935*H944,4)</f>
        <v>117.6964</v>
      </c>
      <c r="L944" s="60"/>
    </row>
    <row r="945" spans="1:12" x14ac:dyDescent="0.25">
      <c r="A945" s="56"/>
      <c r="B945" s="23"/>
      <c r="C945" s="88"/>
      <c r="D945" s="23" t="s">
        <v>378</v>
      </c>
      <c r="E945" s="56"/>
      <c r="F945" s="118"/>
      <c r="G945" s="118"/>
      <c r="H945" s="118"/>
      <c r="I945" s="118"/>
      <c r="J945" s="118"/>
      <c r="K945" s="118"/>
      <c r="L945" s="118"/>
    </row>
    <row r="946" spans="1:12" x14ac:dyDescent="0.25">
      <c r="A946" s="168"/>
      <c r="B946" s="144" t="str">
        <f>'Máy thi công'!B148</f>
        <v>M9478</v>
      </c>
      <c r="C946" s="34">
        <v>733</v>
      </c>
      <c r="D946" s="144" t="str">
        <f>" - " &amp; 'Máy thi công'!D148</f>
        <v xml:space="preserve"> - Cần trục ô tô - sức nâng: 10 t</v>
      </c>
      <c r="E946" s="168" t="str">
        <f>'Máy thi công'!E148</f>
        <v>ca</v>
      </c>
      <c r="F946" s="60"/>
      <c r="G946" s="60"/>
      <c r="H946" s="60"/>
      <c r="I946" s="60">
        <v>0.27</v>
      </c>
      <c r="J946" s="60"/>
      <c r="K946" s="60"/>
      <c r="L946" s="60">
        <f>ROUND(F935*I946,4)</f>
        <v>1.4055</v>
      </c>
    </row>
    <row r="947" spans="1:12" x14ac:dyDescent="0.25">
      <c r="A947" s="168"/>
      <c r="B947" s="144" t="str">
        <f>'Máy thi công'!B177</f>
        <v>M112.2001</v>
      </c>
      <c r="C947" s="34">
        <v>703</v>
      </c>
      <c r="D947" s="144" t="str">
        <f>" - " &amp; 'Máy thi công'!D177</f>
        <v xml:space="preserve"> - Máy cắt sắt cầm tay - công suất: 1,7 kW</v>
      </c>
      <c r="E947" s="168" t="str">
        <f>'Máy thi công'!E177</f>
        <v>ca</v>
      </c>
      <c r="F947" s="60"/>
      <c r="G947" s="60"/>
      <c r="H947" s="60"/>
      <c r="I947" s="60">
        <v>0.4</v>
      </c>
      <c r="J947" s="60"/>
      <c r="K947" s="60"/>
      <c r="L947" s="60">
        <f>ROUND(F935*I947,4)</f>
        <v>2.0821999999999998</v>
      </c>
    </row>
    <row r="948" spans="1:12" x14ac:dyDescent="0.25">
      <c r="A948" s="168"/>
      <c r="B948" s="144" t="str">
        <f>'Máy thi công'!B6</f>
        <v>M9438</v>
      </c>
      <c r="C948" s="34">
        <v>714</v>
      </c>
      <c r="D948" s="144" t="str">
        <f>" - " &amp; 'Máy thi công'!D6</f>
        <v xml:space="preserve"> - Biến thế hàn xoay chiều - công suất: 23 kW</v>
      </c>
      <c r="E948" s="168" t="str">
        <f>'Máy thi công'!E6</f>
        <v>ca</v>
      </c>
      <c r="F948" s="60"/>
      <c r="G948" s="60"/>
      <c r="H948" s="60"/>
      <c r="I948" s="60">
        <v>4.5999999999999996</v>
      </c>
      <c r="J948" s="60"/>
      <c r="K948" s="60"/>
      <c r="L948" s="60">
        <f>ROUND(F935*I948,4)</f>
        <v>23.9453</v>
      </c>
    </row>
    <row r="949" spans="1:12" ht="28.5" x14ac:dyDescent="0.25">
      <c r="A949" s="65">
        <f>'Công trình'!A121</f>
        <v>94</v>
      </c>
      <c r="B949" s="14" t="str">
        <f>'Công trình'!B121</f>
        <v>TT</v>
      </c>
      <c r="C949" s="94"/>
      <c r="D949" s="14" t="str">
        <f>'Công trình'!C121</f>
        <v>Khấu hao hệ sàn đạo, sàn thao tác (Thi công trong vòng 1 tháng và 4 lần đóng nhổ)</v>
      </c>
      <c r="E949" s="46" t="str">
        <f>'Công trình'!D121</f>
        <v>tấn</v>
      </c>
      <c r="F949" s="106">
        <f>'Công trình'!K121</f>
        <v>1.5608</v>
      </c>
      <c r="G949" s="126"/>
      <c r="H949" s="126"/>
      <c r="I949" s="126"/>
      <c r="J949" s="126"/>
      <c r="K949" s="126"/>
      <c r="L949" s="126"/>
    </row>
    <row r="950" spans="1:12" x14ac:dyDescent="0.25">
      <c r="A950" s="56"/>
      <c r="B950" s="23"/>
      <c r="C950" s="88"/>
      <c r="D950" s="23" t="s">
        <v>479</v>
      </c>
      <c r="E950" s="56"/>
      <c r="F950" s="118"/>
      <c r="G950" s="118"/>
      <c r="H950" s="118"/>
      <c r="I950" s="118"/>
      <c r="J950" s="118"/>
      <c r="K950" s="118"/>
      <c r="L950" s="118"/>
    </row>
    <row r="951" spans="1:12" x14ac:dyDescent="0.25">
      <c r="A951" s="168"/>
      <c r="B951" s="144" t="str">
        <f>'Vật liệu'!B401</f>
        <v>V00770</v>
      </c>
      <c r="C951" s="34">
        <v>400</v>
      </c>
      <c r="D951" s="144" t="str">
        <f>" - " &amp; 'Vật liệu'!D401</f>
        <v xml:space="preserve"> - Ô xy</v>
      </c>
      <c r="E951" s="168" t="str">
        <f>'Vật liệu'!E401</f>
        <v>Chai</v>
      </c>
      <c r="F951" s="60"/>
      <c r="G951" s="60">
        <v>0</v>
      </c>
      <c r="H951" s="60"/>
      <c r="I951" s="60"/>
      <c r="J951" s="60">
        <f>ROUND(F949*G951,4)</f>
        <v>0</v>
      </c>
      <c r="K951" s="60"/>
      <c r="L951" s="60"/>
    </row>
    <row r="952" spans="1:12" x14ac:dyDescent="0.25">
      <c r="A952" s="168"/>
      <c r="B952" s="144" t="str">
        <f>'Vật liệu'!B200</f>
        <v>V00833</v>
      </c>
      <c r="C952" s="34">
        <v>411</v>
      </c>
      <c r="D952" s="144" t="str">
        <f>" - " &amp; 'Vật liệu'!D200</f>
        <v xml:space="preserve"> - Đất đèn</v>
      </c>
      <c r="E952" s="168" t="str">
        <f>'Vật liệu'!E200</f>
        <v>kg</v>
      </c>
      <c r="F952" s="60"/>
      <c r="G952" s="60">
        <v>0</v>
      </c>
      <c r="H952" s="60"/>
      <c r="I952" s="60"/>
      <c r="J952" s="60">
        <f>ROUND(F949*G952,4)</f>
        <v>0</v>
      </c>
      <c r="K952" s="60"/>
      <c r="L952" s="60"/>
    </row>
    <row r="953" spans="1:12" x14ac:dyDescent="0.25">
      <c r="A953" s="168"/>
      <c r="B953" s="144" t="str">
        <f>'Vật liệu'!B556</f>
        <v>V00641</v>
      </c>
      <c r="C953" s="34">
        <v>160</v>
      </c>
      <c r="D953" s="144" t="str">
        <f>" - " &amp; 'Vật liệu'!D556</f>
        <v xml:space="preserve"> - Thép hình</v>
      </c>
      <c r="E953" s="168" t="str">
        <f>'Vật liệu'!E556</f>
        <v>kg</v>
      </c>
      <c r="F953" s="60"/>
      <c r="G953" s="60">
        <v>697.85</v>
      </c>
      <c r="H953" s="60"/>
      <c r="I953" s="60"/>
      <c r="J953" s="60">
        <f>ROUND(F949*G953,4)</f>
        <v>1089.2043000000001</v>
      </c>
      <c r="K953" s="60"/>
      <c r="L953" s="60"/>
    </row>
    <row r="954" spans="1:12" x14ac:dyDescent="0.25">
      <c r="A954" s="168"/>
      <c r="B954" s="144" t="str">
        <f>'Vật liệu'!B606</f>
        <v>V00671</v>
      </c>
      <c r="C954" s="34">
        <v>166</v>
      </c>
      <c r="D954" s="144" t="str">
        <f>" - " &amp; 'Vật liệu'!D606</f>
        <v xml:space="preserve"> - Thép tấm</v>
      </c>
      <c r="E954" s="168" t="str">
        <f>'Vật liệu'!E606</f>
        <v>kg</v>
      </c>
      <c r="F954" s="60"/>
      <c r="G954" s="60">
        <v>362.15</v>
      </c>
      <c r="H954" s="60"/>
      <c r="I954" s="60"/>
      <c r="J954" s="60">
        <f>ROUND(F949*G954,4)</f>
        <v>565.24369999999999</v>
      </c>
      <c r="K954" s="60"/>
      <c r="L954" s="60"/>
    </row>
    <row r="955" spans="1:12" x14ac:dyDescent="0.25">
      <c r="A955" s="168"/>
      <c r="B955" s="144" t="str">
        <f>'Vật liệu'!B450</f>
        <v>V00515</v>
      </c>
      <c r="C955" s="34">
        <v>154</v>
      </c>
      <c r="D955" s="144" t="str">
        <f>" - " &amp; 'Vật liệu'!D450</f>
        <v xml:space="preserve"> - Que hàn</v>
      </c>
      <c r="E955" s="168" t="str">
        <f>'Vật liệu'!E450</f>
        <v>kg</v>
      </c>
      <c r="F955" s="60"/>
      <c r="G955" s="60">
        <v>0</v>
      </c>
      <c r="H955" s="60"/>
      <c r="I955" s="60"/>
      <c r="J955" s="60">
        <f>ROUND(F949*G955,4)</f>
        <v>0</v>
      </c>
      <c r="K955" s="60"/>
      <c r="L955" s="60"/>
    </row>
    <row r="956" spans="1:12" x14ac:dyDescent="0.25">
      <c r="A956" s="168"/>
      <c r="B956" s="144" t="str">
        <f>'Vật liệu'!B766</f>
        <v>V00750</v>
      </c>
      <c r="C956" s="34">
        <v>242</v>
      </c>
      <c r="D956" s="144" t="str">
        <f>" - " &amp; 'Vật liệu'!D766</f>
        <v xml:space="preserve"> - Vật liệu khác</v>
      </c>
      <c r="E956" s="168" t="str">
        <f>'Vật liệu'!E766</f>
        <v>%</v>
      </c>
      <c r="F956" s="60"/>
      <c r="G956" s="60">
        <v>5</v>
      </c>
      <c r="H956" s="60"/>
      <c r="I956" s="60"/>
      <c r="J956" s="60"/>
      <c r="K956" s="60"/>
      <c r="L956" s="60"/>
    </row>
    <row r="957" spans="1:12" ht="28.5" x14ac:dyDescent="0.25">
      <c r="A957" s="65">
        <f>'Công trình'!A123</f>
        <v>95</v>
      </c>
      <c r="B957" s="14" t="str">
        <f>'Công trình'!B123</f>
        <v>AI.63311</v>
      </c>
      <c r="C957" s="94"/>
      <c r="D957" s="14" t="str">
        <f>'Công trình'!C123</f>
        <v>Lắp dựng kết cấu thép hệ khung dàn, sàn đạo trên cạn</v>
      </c>
      <c r="E957" s="46" t="str">
        <f>'Công trình'!D123</f>
        <v>tấn</v>
      </c>
      <c r="F957" s="106">
        <f>'Công trình'!K123</f>
        <v>5.2054999999999998</v>
      </c>
      <c r="G957" s="126"/>
      <c r="H957" s="126"/>
      <c r="I957" s="126"/>
      <c r="J957" s="126"/>
      <c r="K957" s="126"/>
      <c r="L957" s="126"/>
    </row>
    <row r="958" spans="1:12" x14ac:dyDescent="0.25">
      <c r="A958" s="56"/>
      <c r="B958" s="23"/>
      <c r="C958" s="88"/>
      <c r="D958" s="23" t="s">
        <v>479</v>
      </c>
      <c r="E958" s="56"/>
      <c r="F958" s="118"/>
      <c r="G958" s="118"/>
      <c r="H958" s="118"/>
      <c r="I958" s="118"/>
      <c r="J958" s="118"/>
      <c r="K958" s="118"/>
      <c r="L958" s="118"/>
    </row>
    <row r="959" spans="1:12" x14ac:dyDescent="0.25">
      <c r="A959" s="168"/>
      <c r="B959" s="144" t="str">
        <f>'Vật liệu'!B450</f>
        <v>V00515</v>
      </c>
      <c r="C959" s="34">
        <v>154</v>
      </c>
      <c r="D959" s="144" t="str">
        <f>" - " &amp; 'Vật liệu'!D450</f>
        <v xml:space="preserve"> - Que hàn</v>
      </c>
      <c r="E959" s="168" t="str">
        <f>'Vật liệu'!E450</f>
        <v>kg</v>
      </c>
      <c r="F959" s="60"/>
      <c r="G959" s="60">
        <v>12</v>
      </c>
      <c r="H959" s="60"/>
      <c r="I959" s="60"/>
      <c r="J959" s="60">
        <f>ROUND(F957*G959,4)</f>
        <v>62.466000000000001</v>
      </c>
      <c r="K959" s="60"/>
      <c r="L959" s="60"/>
    </row>
    <row r="960" spans="1:12" x14ac:dyDescent="0.25">
      <c r="A960" s="168"/>
      <c r="B960" s="144" t="str">
        <f>'Vật liệu'!B556</f>
        <v>V00641</v>
      </c>
      <c r="C960" s="34">
        <v>160</v>
      </c>
      <c r="D960" s="144" t="str">
        <f>" - " &amp; 'Vật liệu'!D556</f>
        <v xml:space="preserve"> - Thép hình</v>
      </c>
      <c r="E960" s="168" t="str">
        <f>'Vật liệu'!E556</f>
        <v>kg</v>
      </c>
      <c r="F960" s="60"/>
      <c r="G960" s="60">
        <v>0.45</v>
      </c>
      <c r="H960" s="60"/>
      <c r="I960" s="60"/>
      <c r="J960" s="60">
        <f>ROUND(F957*G960,4)</f>
        <v>2.3424999999999998</v>
      </c>
      <c r="K960" s="60"/>
      <c r="L960" s="60"/>
    </row>
    <row r="961" spans="1:12" x14ac:dyDescent="0.25">
      <c r="A961" s="168"/>
      <c r="B961" s="144" t="str">
        <f>'Vật liệu'!B20</f>
        <v>V00039</v>
      </c>
      <c r="C961" s="34">
        <v>122</v>
      </c>
      <c r="D961" s="144" t="str">
        <f>" - " &amp; 'Vật liệu'!D20</f>
        <v xml:space="preserve"> - Bu lông M20</v>
      </c>
      <c r="E961" s="168" t="str">
        <f>'Vật liệu'!E20</f>
        <v>cái</v>
      </c>
      <c r="F961" s="60"/>
      <c r="G961" s="60">
        <v>12</v>
      </c>
      <c r="H961" s="60"/>
      <c r="I961" s="60"/>
      <c r="J961" s="60">
        <f>ROUND(F957*G961,4)</f>
        <v>62.466000000000001</v>
      </c>
      <c r="K961" s="60"/>
      <c r="L961" s="60"/>
    </row>
    <row r="962" spans="1:12" x14ac:dyDescent="0.25">
      <c r="A962" s="168"/>
      <c r="B962" s="144" t="str">
        <f>'Vật liệu'!B766</f>
        <v>V00750</v>
      </c>
      <c r="C962" s="34">
        <v>247</v>
      </c>
      <c r="D962" s="144" t="str">
        <f>" - " &amp; 'Vật liệu'!D766</f>
        <v xml:space="preserve"> - Vật liệu khác</v>
      </c>
      <c r="E962" s="168" t="str">
        <f>'Vật liệu'!E766</f>
        <v>%</v>
      </c>
      <c r="F962" s="60"/>
      <c r="G962" s="60">
        <v>5</v>
      </c>
      <c r="H962" s="60"/>
      <c r="I962" s="60"/>
      <c r="J962" s="60"/>
      <c r="K962" s="60"/>
      <c r="L962" s="60"/>
    </row>
    <row r="963" spans="1:12" x14ac:dyDescent="0.25">
      <c r="A963" s="56"/>
      <c r="B963" s="23"/>
      <c r="C963" s="88"/>
      <c r="D963" s="23" t="s">
        <v>202</v>
      </c>
      <c r="E963" s="56"/>
      <c r="F963" s="118"/>
      <c r="G963" s="118"/>
      <c r="H963" s="118"/>
      <c r="I963" s="118"/>
      <c r="J963" s="118"/>
      <c r="K963" s="118"/>
      <c r="L963" s="118"/>
    </row>
    <row r="964" spans="1:12" x14ac:dyDescent="0.25">
      <c r="A964" s="168"/>
      <c r="B964" s="144" t="str">
        <f>'Nhân công'!B130</f>
        <v>N0011</v>
      </c>
      <c r="C964" s="34">
        <v>550</v>
      </c>
      <c r="D964" s="144" t="s">
        <v>671</v>
      </c>
      <c r="E964" s="168" t="str">
        <f>'Nhân công'!G130</f>
        <v>công</v>
      </c>
      <c r="F964" s="60"/>
      <c r="G964" s="60"/>
      <c r="H964" s="60">
        <v>9.5</v>
      </c>
      <c r="I964" s="60"/>
      <c r="J964" s="60"/>
      <c r="K964" s="60">
        <f>ROUND(F957*H964,4)</f>
        <v>49.452300000000001</v>
      </c>
      <c r="L964" s="60"/>
    </row>
    <row r="965" spans="1:12" x14ac:dyDescent="0.25">
      <c r="A965" s="56"/>
      <c r="B965" s="23"/>
      <c r="C965" s="88"/>
      <c r="D965" s="23" t="s">
        <v>378</v>
      </c>
      <c r="E965" s="56"/>
      <c r="F965" s="118"/>
      <c r="G965" s="118"/>
      <c r="H965" s="118"/>
      <c r="I965" s="118"/>
      <c r="J965" s="118"/>
      <c r="K965" s="118"/>
      <c r="L965" s="118"/>
    </row>
    <row r="966" spans="1:12" x14ac:dyDescent="0.25">
      <c r="A966" s="168"/>
      <c r="B966" s="144" t="str">
        <f>'Máy thi công'!B6</f>
        <v>M9438</v>
      </c>
      <c r="C966" s="34">
        <v>714</v>
      </c>
      <c r="D966" s="144" t="str">
        <f>" - " &amp; 'Máy thi công'!D6</f>
        <v xml:space="preserve"> - Biến thế hàn xoay chiều - công suất: 23 kW</v>
      </c>
      <c r="E966" s="168" t="str">
        <f>'Máy thi công'!E6</f>
        <v>ca</v>
      </c>
      <c r="F966" s="60"/>
      <c r="G966" s="60"/>
      <c r="H966" s="60"/>
      <c r="I966" s="60">
        <v>3</v>
      </c>
      <c r="J966" s="60"/>
      <c r="K966" s="60"/>
      <c r="L966" s="60">
        <f>ROUND(F957*I966,4)</f>
        <v>15.6165</v>
      </c>
    </row>
    <row r="967" spans="1:12" x14ac:dyDescent="0.25">
      <c r="A967" s="168"/>
      <c r="B967" s="144" t="str">
        <f>'Máy thi công'!B120</f>
        <v>M9468</v>
      </c>
      <c r="C967" s="34">
        <v>728</v>
      </c>
      <c r="D967" s="144" t="str">
        <f>" - " &amp; 'Máy thi công'!D120</f>
        <v xml:space="preserve"> - Cần trục bánh xích - sức nâng: 16 t</v>
      </c>
      <c r="E967" s="168" t="str">
        <f>'Máy thi công'!E120</f>
        <v>ca</v>
      </c>
      <c r="F967" s="60"/>
      <c r="G967" s="60"/>
      <c r="H967" s="60"/>
      <c r="I967" s="60">
        <v>0.27</v>
      </c>
      <c r="J967" s="60"/>
      <c r="K967" s="60"/>
      <c r="L967" s="60">
        <f>ROUND(F957*I967,4)</f>
        <v>1.4055</v>
      </c>
    </row>
    <row r="968" spans="1:12" ht="28.5" x14ac:dyDescent="0.25">
      <c r="A968" s="65">
        <f>'Công trình'!A124</f>
        <v>96</v>
      </c>
      <c r="B968" s="14" t="str">
        <f>'Công trình'!B124</f>
        <v>AI.63311</v>
      </c>
      <c r="C968" s="94"/>
      <c r="D968" s="14" t="str">
        <f>'Công trình'!C124</f>
        <v>Tháo dỡ kết cấu thép hệ khung dàn, sàn đạo trên cạn (60% Đg)</v>
      </c>
      <c r="E968" s="46" t="str">
        <f>'Công trình'!D124</f>
        <v>tấn</v>
      </c>
      <c r="F968" s="106">
        <f>'Công trình'!K124</f>
        <v>5.2054999999999998</v>
      </c>
      <c r="G968" s="126"/>
      <c r="H968" s="126"/>
      <c r="I968" s="126"/>
      <c r="J968" s="126"/>
      <c r="K968" s="126"/>
      <c r="L968" s="126"/>
    </row>
    <row r="969" spans="1:12" x14ac:dyDescent="0.25">
      <c r="A969" s="56"/>
      <c r="B969" s="23"/>
      <c r="C969" s="88"/>
      <c r="D969" s="23" t="s">
        <v>479</v>
      </c>
      <c r="E969" s="56"/>
      <c r="F969" s="118"/>
      <c r="G969" s="118"/>
      <c r="H969" s="118"/>
      <c r="I969" s="118"/>
      <c r="J969" s="118"/>
      <c r="K969" s="118"/>
      <c r="L969" s="118"/>
    </row>
    <row r="970" spans="1:12" x14ac:dyDescent="0.25">
      <c r="A970" s="168"/>
      <c r="B970" s="144" t="str">
        <f>'Vật liệu'!B450</f>
        <v>V00515</v>
      </c>
      <c r="C970" s="34">
        <v>154</v>
      </c>
      <c r="D970" s="144" t="str">
        <f>" - " &amp; 'Vật liệu'!D450</f>
        <v xml:space="preserve"> - Que hàn</v>
      </c>
      <c r="E970" s="168" t="str">
        <f>'Vật liệu'!E450</f>
        <v>kg</v>
      </c>
      <c r="F970" s="60"/>
      <c r="G970" s="60">
        <v>7.2</v>
      </c>
      <c r="H970" s="60"/>
      <c r="I970" s="60"/>
      <c r="J970" s="60">
        <f>ROUND(F968*G970,4)</f>
        <v>37.479599999999998</v>
      </c>
      <c r="K970" s="60"/>
      <c r="L970" s="60"/>
    </row>
    <row r="971" spans="1:12" x14ac:dyDescent="0.25">
      <c r="A971" s="168"/>
      <c r="B971" s="144" t="str">
        <f>'Vật liệu'!B556</f>
        <v>V00641</v>
      </c>
      <c r="C971" s="34">
        <v>160</v>
      </c>
      <c r="D971" s="144" t="str">
        <f>" - " &amp; 'Vật liệu'!D556</f>
        <v xml:space="preserve"> - Thép hình</v>
      </c>
      <c r="E971" s="168" t="str">
        <f>'Vật liệu'!E556</f>
        <v>kg</v>
      </c>
      <c r="F971" s="60"/>
      <c r="G971" s="60">
        <v>0.27</v>
      </c>
      <c r="H971" s="60"/>
      <c r="I971" s="60"/>
      <c r="J971" s="60">
        <f>ROUND(F968*G971,4)</f>
        <v>1.4055</v>
      </c>
      <c r="K971" s="60"/>
      <c r="L971" s="60"/>
    </row>
    <row r="972" spans="1:12" x14ac:dyDescent="0.25">
      <c r="A972" s="168"/>
      <c r="B972" s="144" t="str">
        <f>'Vật liệu'!B20</f>
        <v>V00039</v>
      </c>
      <c r="C972" s="34">
        <v>122</v>
      </c>
      <c r="D972" s="144" t="str">
        <f>" - " &amp; 'Vật liệu'!D20</f>
        <v xml:space="preserve"> - Bu lông M20</v>
      </c>
      <c r="E972" s="168" t="str">
        <f>'Vật liệu'!E20</f>
        <v>cái</v>
      </c>
      <c r="F972" s="60"/>
      <c r="G972" s="60">
        <v>7.2</v>
      </c>
      <c r="H972" s="60"/>
      <c r="I972" s="60"/>
      <c r="J972" s="60">
        <f>ROUND(F968*G972,4)</f>
        <v>37.479599999999998</v>
      </c>
      <c r="K972" s="60"/>
      <c r="L972" s="60"/>
    </row>
    <row r="973" spans="1:12" x14ac:dyDescent="0.25">
      <c r="A973" s="168"/>
      <c r="B973" s="144" t="str">
        <f>'Vật liệu'!B766</f>
        <v>V00750</v>
      </c>
      <c r="C973" s="34">
        <v>248</v>
      </c>
      <c r="D973" s="144" t="str">
        <f>" - " &amp; 'Vật liệu'!D766</f>
        <v xml:space="preserve"> - Vật liệu khác</v>
      </c>
      <c r="E973" s="168" t="str">
        <f>'Vật liệu'!E766</f>
        <v>%</v>
      </c>
      <c r="F973" s="60"/>
      <c r="G973" s="60">
        <v>5</v>
      </c>
      <c r="H973" s="60"/>
      <c r="I973" s="60"/>
      <c r="J973" s="60"/>
      <c r="K973" s="60"/>
      <c r="L973" s="60"/>
    </row>
    <row r="974" spans="1:12" x14ac:dyDescent="0.25">
      <c r="A974" s="56"/>
      <c r="B974" s="23"/>
      <c r="C974" s="88"/>
      <c r="D974" s="23" t="s">
        <v>202</v>
      </c>
      <c r="E974" s="56"/>
      <c r="F974" s="118"/>
      <c r="G974" s="118"/>
      <c r="H974" s="118"/>
      <c r="I974" s="118"/>
      <c r="J974" s="118"/>
      <c r="K974" s="118"/>
      <c r="L974" s="118"/>
    </row>
    <row r="975" spans="1:12" x14ac:dyDescent="0.25">
      <c r="A975" s="168"/>
      <c r="B975" s="144" t="str">
        <f>'Nhân công'!B130</f>
        <v>N0011</v>
      </c>
      <c r="C975" s="34">
        <v>550</v>
      </c>
      <c r="D975" s="144" t="s">
        <v>671</v>
      </c>
      <c r="E975" s="168" t="str">
        <f>'Nhân công'!G130</f>
        <v>công</v>
      </c>
      <c r="F975" s="60"/>
      <c r="G975" s="60"/>
      <c r="H975" s="60">
        <v>5.7</v>
      </c>
      <c r="I975" s="60"/>
      <c r="J975" s="60"/>
      <c r="K975" s="60">
        <f>ROUND(F968*H975,4)</f>
        <v>29.671399999999998</v>
      </c>
      <c r="L975" s="60"/>
    </row>
    <row r="976" spans="1:12" x14ac:dyDescent="0.25">
      <c r="A976" s="56"/>
      <c r="B976" s="23"/>
      <c r="C976" s="88"/>
      <c r="D976" s="23" t="s">
        <v>378</v>
      </c>
      <c r="E976" s="56"/>
      <c r="F976" s="118"/>
      <c r="G976" s="118"/>
      <c r="H976" s="118"/>
      <c r="I976" s="118"/>
      <c r="J976" s="118"/>
      <c r="K976" s="118"/>
      <c r="L976" s="118"/>
    </row>
    <row r="977" spans="1:12" x14ac:dyDescent="0.25">
      <c r="A977" s="168"/>
      <c r="B977" s="144" t="str">
        <f>'Máy thi công'!B6</f>
        <v>M9438</v>
      </c>
      <c r="C977" s="34">
        <v>714</v>
      </c>
      <c r="D977" s="144" t="str">
        <f>" - " &amp; 'Máy thi công'!D6</f>
        <v xml:space="preserve"> - Biến thế hàn xoay chiều - công suất: 23 kW</v>
      </c>
      <c r="E977" s="168" t="str">
        <f>'Máy thi công'!E6</f>
        <v>ca</v>
      </c>
      <c r="F977" s="60"/>
      <c r="G977" s="60"/>
      <c r="H977" s="60"/>
      <c r="I977" s="60">
        <v>1.8</v>
      </c>
      <c r="J977" s="60"/>
      <c r="K977" s="60"/>
      <c r="L977" s="60">
        <f>ROUND(F968*I977,4)</f>
        <v>9.3698999999999995</v>
      </c>
    </row>
    <row r="978" spans="1:12" x14ac:dyDescent="0.25">
      <c r="A978" s="168"/>
      <c r="B978" s="144" t="str">
        <f>'Máy thi công'!B120</f>
        <v>M9468</v>
      </c>
      <c r="C978" s="34">
        <v>728</v>
      </c>
      <c r="D978" s="144" t="str">
        <f>" - " &amp; 'Máy thi công'!D120</f>
        <v xml:space="preserve"> - Cần trục bánh xích - sức nâng: 16 t</v>
      </c>
      <c r="E978" s="168" t="str">
        <f>'Máy thi công'!E120</f>
        <v>ca</v>
      </c>
      <c r="F978" s="60"/>
      <c r="G978" s="60"/>
      <c r="H978" s="60"/>
      <c r="I978" s="60">
        <v>0.16200000000000001</v>
      </c>
      <c r="J978" s="60"/>
      <c r="K978" s="60"/>
      <c r="L978" s="60">
        <f>ROUND(F968*I978,4)</f>
        <v>0.84330000000000005</v>
      </c>
    </row>
    <row r="979" spans="1:12" ht="28.5" x14ac:dyDescent="0.25">
      <c r="A979" s="65">
        <f>'Công trình'!A125</f>
        <v>97</v>
      </c>
      <c r="B979" s="14" t="str">
        <f>'Công trình'!B125</f>
        <v>AC.22522</v>
      </c>
      <c r="C979" s="94"/>
      <c r="D979" s="14" t="str">
        <f>'Công trình'!C125</f>
        <v>Đóng cọc thép hình H300 trên mặt đất, chiều dài cọc &gt;10m, đất cấp II, phần ngập đất</v>
      </c>
      <c r="E979" s="46" t="str">
        <f>'Công trình'!D125</f>
        <v>100m</v>
      </c>
      <c r="F979" s="106">
        <f>'Công trình'!K125</f>
        <v>0.34</v>
      </c>
      <c r="G979" s="126"/>
      <c r="H979" s="126"/>
      <c r="I979" s="126"/>
      <c r="J979" s="126"/>
      <c r="K979" s="126"/>
      <c r="L979" s="126"/>
    </row>
    <row r="980" spans="1:12" x14ac:dyDescent="0.25">
      <c r="A980" s="56"/>
      <c r="B980" s="23"/>
      <c r="C980" s="88"/>
      <c r="D980" s="23" t="s">
        <v>479</v>
      </c>
      <c r="E980" s="56"/>
      <c r="F980" s="118"/>
      <c r="G980" s="118"/>
      <c r="H980" s="118"/>
      <c r="I980" s="118"/>
      <c r="J980" s="118"/>
      <c r="K980" s="118"/>
      <c r="L980" s="118"/>
    </row>
    <row r="981" spans="1:12" x14ac:dyDescent="0.25">
      <c r="A981" s="168"/>
      <c r="B981" s="144" t="str">
        <f>'Vật liệu'!B117</f>
        <v>V08281</v>
      </c>
      <c r="C981" s="34">
        <v>430</v>
      </c>
      <c r="D981" s="144" t="str">
        <f>" - " &amp; 'Vật liệu'!D117</f>
        <v xml:space="preserve"> - Cọc H300, L=14m</v>
      </c>
      <c r="E981" s="168" t="str">
        <f>'Vật liệu'!E117</f>
        <v>m</v>
      </c>
      <c r="F981" s="60"/>
      <c r="G981" s="60">
        <v>0</v>
      </c>
      <c r="H981" s="60"/>
      <c r="I981" s="60"/>
      <c r="J981" s="60">
        <f>ROUND(F979*G981,4)</f>
        <v>0</v>
      </c>
      <c r="K981" s="60"/>
      <c r="L981" s="60"/>
    </row>
    <row r="982" spans="1:12" x14ac:dyDescent="0.25">
      <c r="A982" s="168"/>
      <c r="B982" s="144" t="str">
        <f>'Vật liệu'!B766</f>
        <v>V00750</v>
      </c>
      <c r="C982" s="34">
        <v>249</v>
      </c>
      <c r="D982" s="144" t="str">
        <f>" - " &amp; 'Vật liệu'!D766</f>
        <v xml:space="preserve"> - Vật liệu khác</v>
      </c>
      <c r="E982" s="168" t="str">
        <f>'Vật liệu'!E766</f>
        <v>%</v>
      </c>
      <c r="F982" s="60"/>
      <c r="G982" s="60">
        <v>1</v>
      </c>
      <c r="H982" s="60"/>
      <c r="I982" s="60"/>
      <c r="J982" s="60"/>
      <c r="K982" s="60"/>
      <c r="L982" s="60"/>
    </row>
    <row r="983" spans="1:12" x14ac:dyDescent="0.25">
      <c r="A983" s="56"/>
      <c r="B983" s="23"/>
      <c r="C983" s="88"/>
      <c r="D983" s="23" t="s">
        <v>202</v>
      </c>
      <c r="E983" s="56"/>
      <c r="F983" s="118"/>
      <c r="G983" s="118"/>
      <c r="H983" s="118"/>
      <c r="I983" s="118"/>
      <c r="J983" s="118"/>
      <c r="K983" s="118"/>
      <c r="L983" s="118"/>
    </row>
    <row r="984" spans="1:12" x14ac:dyDescent="0.25">
      <c r="A984" s="168"/>
      <c r="B984" s="144" t="str">
        <f>'Nhân công'!B185</f>
        <v>N0020</v>
      </c>
      <c r="C984" s="34">
        <v>555</v>
      </c>
      <c r="D984" s="144" t="s">
        <v>625</v>
      </c>
      <c r="E984" s="168" t="str">
        <f>'Nhân công'!G185</f>
        <v>công</v>
      </c>
      <c r="F984" s="60"/>
      <c r="G984" s="60"/>
      <c r="H984" s="60">
        <v>6.72</v>
      </c>
      <c r="I984" s="60"/>
      <c r="J984" s="60"/>
      <c r="K984" s="60">
        <f>ROUND(F979*H984,4)</f>
        <v>2.2848000000000002</v>
      </c>
      <c r="L984" s="60"/>
    </row>
    <row r="985" spans="1:12" x14ac:dyDescent="0.25">
      <c r="A985" s="56"/>
      <c r="B985" s="23"/>
      <c r="C985" s="88"/>
      <c r="D985" s="23" t="s">
        <v>378</v>
      </c>
      <c r="E985" s="56"/>
      <c r="F985" s="118"/>
      <c r="G985" s="118"/>
      <c r="H985" s="118"/>
      <c r="I985" s="118"/>
      <c r="J985" s="118"/>
      <c r="K985" s="118"/>
      <c r="L985" s="118"/>
    </row>
    <row r="986" spans="1:12" ht="30" x14ac:dyDescent="0.25">
      <c r="A986" s="168"/>
      <c r="B986" s="144" t="str">
        <f>'Máy thi công'!B85</f>
        <v>M9440</v>
      </c>
      <c r="C986" s="34">
        <v>716</v>
      </c>
      <c r="D986" s="144" t="str">
        <f>" - " &amp; 'Máy thi công'!D85</f>
        <v xml:space="preserve"> - Búa diezel chạy trên ray - trọng lượng đầu búa: 1,2 t</v>
      </c>
      <c r="E986" s="168" t="str">
        <f>'Máy thi công'!E85</f>
        <v>ca</v>
      </c>
      <c r="F986" s="60"/>
      <c r="G986" s="60"/>
      <c r="H986" s="60"/>
      <c r="I986" s="60">
        <v>3.36</v>
      </c>
      <c r="J986" s="60"/>
      <c r="K986" s="60"/>
      <c r="L986" s="60">
        <f>ROUND(F979*I986,4)</f>
        <v>1.1424000000000001</v>
      </c>
    </row>
    <row r="987" spans="1:12" x14ac:dyDescent="0.25">
      <c r="A987" s="168"/>
      <c r="B987" s="144" t="str">
        <f>'Máy thi công'!B398</f>
        <v>M0111</v>
      </c>
      <c r="C987" s="34">
        <v>605</v>
      </c>
      <c r="D987" s="144" t="str">
        <f>" - " &amp; 'Máy thi công'!D398</f>
        <v xml:space="preserve"> - Máy khác</v>
      </c>
      <c r="E987" s="168" t="str">
        <f>'Máy thi công'!E398</f>
        <v>%</v>
      </c>
      <c r="F987" s="60"/>
      <c r="G987" s="60"/>
      <c r="H987" s="60"/>
      <c r="I987" s="60">
        <v>1.5</v>
      </c>
      <c r="J987" s="60"/>
      <c r="K987" s="60"/>
      <c r="L987" s="60"/>
    </row>
    <row r="988" spans="1:12" ht="42.75" x14ac:dyDescent="0.25">
      <c r="A988" s="65">
        <f>'Công trình'!A126</f>
        <v>98</v>
      </c>
      <c r="B988" s="14" t="str">
        <f>'Công trình'!B126</f>
        <v>AC.22522</v>
      </c>
      <c r="C988" s="94"/>
      <c r="D988" s="14" t="str">
        <f>'Công trình'!C126</f>
        <v>Đóng cọc thép hình H300 trên mặt đất, chiều dài cọc &gt;10m, đất cấp II, phần không ngập đất (NC, MTC * 0,75)</v>
      </c>
      <c r="E988" s="46" t="str">
        <f>'Công trình'!D126</f>
        <v>100m</v>
      </c>
      <c r="F988" s="106">
        <f>'Công trình'!K126</f>
        <v>0.14000000000000001</v>
      </c>
      <c r="G988" s="126"/>
      <c r="H988" s="126"/>
      <c r="I988" s="126"/>
      <c r="J988" s="126"/>
      <c r="K988" s="126"/>
      <c r="L988" s="126"/>
    </row>
    <row r="989" spans="1:12" x14ac:dyDescent="0.25">
      <c r="A989" s="56"/>
      <c r="B989" s="23"/>
      <c r="C989" s="88"/>
      <c r="D989" s="23" t="s">
        <v>479</v>
      </c>
      <c r="E989" s="56"/>
      <c r="F989" s="118"/>
      <c r="G989" s="118"/>
      <c r="H989" s="118"/>
      <c r="I989" s="118"/>
      <c r="J989" s="118"/>
      <c r="K989" s="118"/>
      <c r="L989" s="118"/>
    </row>
    <row r="990" spans="1:12" x14ac:dyDescent="0.25">
      <c r="A990" s="168"/>
      <c r="B990" s="144" t="str">
        <f>'Vật liệu'!B117</f>
        <v>V08281</v>
      </c>
      <c r="C990" s="34">
        <v>430</v>
      </c>
      <c r="D990" s="144" t="str">
        <f>" - " &amp; 'Vật liệu'!D117</f>
        <v xml:space="preserve"> - Cọc H300, L=14m</v>
      </c>
      <c r="E990" s="168" t="str">
        <f>'Vật liệu'!E117</f>
        <v>m</v>
      </c>
      <c r="F990" s="60"/>
      <c r="G990" s="60">
        <v>0</v>
      </c>
      <c r="H990" s="60"/>
      <c r="I990" s="60"/>
      <c r="J990" s="60">
        <f>ROUND(F988*G990,4)</f>
        <v>0</v>
      </c>
      <c r="K990" s="60"/>
      <c r="L990" s="60"/>
    </row>
    <row r="991" spans="1:12" x14ac:dyDescent="0.25">
      <c r="A991" s="168"/>
      <c r="B991" s="144" t="str">
        <f>'Vật liệu'!B766</f>
        <v>V00750</v>
      </c>
      <c r="C991" s="34">
        <v>250</v>
      </c>
      <c r="D991" s="144" t="str">
        <f>" - " &amp; 'Vật liệu'!D766</f>
        <v xml:space="preserve"> - Vật liệu khác</v>
      </c>
      <c r="E991" s="168" t="str">
        <f>'Vật liệu'!E766</f>
        <v>%</v>
      </c>
      <c r="F991" s="60"/>
      <c r="G991" s="60">
        <v>1</v>
      </c>
      <c r="H991" s="60"/>
      <c r="I991" s="60"/>
      <c r="J991" s="60"/>
      <c r="K991" s="60"/>
      <c r="L991" s="60"/>
    </row>
    <row r="992" spans="1:12" x14ac:dyDescent="0.25">
      <c r="A992" s="56"/>
      <c r="B992" s="23"/>
      <c r="C992" s="88"/>
      <c r="D992" s="23" t="s">
        <v>202</v>
      </c>
      <c r="E992" s="56"/>
      <c r="F992" s="118"/>
      <c r="G992" s="118"/>
      <c r="H992" s="118"/>
      <c r="I992" s="118"/>
      <c r="J992" s="118"/>
      <c r="K992" s="118"/>
      <c r="L992" s="118"/>
    </row>
    <row r="993" spans="1:12" x14ac:dyDescent="0.25">
      <c r="A993" s="168"/>
      <c r="B993" s="144" t="str">
        <f>'Nhân công'!B185</f>
        <v>N0020</v>
      </c>
      <c r="C993" s="34">
        <v>555</v>
      </c>
      <c r="D993" s="144" t="s">
        <v>625</v>
      </c>
      <c r="E993" s="168" t="str">
        <f>'Nhân công'!G185</f>
        <v>công</v>
      </c>
      <c r="F993" s="60"/>
      <c r="G993" s="60"/>
      <c r="H993" s="60">
        <v>5.79</v>
      </c>
      <c r="I993" s="60"/>
      <c r="J993" s="60"/>
      <c r="K993" s="60">
        <f>ROUND(F988*H993,4)</f>
        <v>0.81059999999999999</v>
      </c>
      <c r="L993" s="60"/>
    </row>
    <row r="994" spans="1:12" x14ac:dyDescent="0.25">
      <c r="A994" s="56"/>
      <c r="B994" s="23"/>
      <c r="C994" s="88"/>
      <c r="D994" s="23" t="s">
        <v>378</v>
      </c>
      <c r="E994" s="56"/>
      <c r="F994" s="118"/>
      <c r="G994" s="118"/>
      <c r="H994" s="118"/>
      <c r="I994" s="118"/>
      <c r="J994" s="118"/>
      <c r="K994" s="118"/>
      <c r="L994" s="118"/>
    </row>
    <row r="995" spans="1:12" ht="30" x14ac:dyDescent="0.25">
      <c r="A995" s="168"/>
      <c r="B995" s="144" t="str">
        <f>'Máy thi công'!B85</f>
        <v>M9440</v>
      </c>
      <c r="C995" s="34">
        <v>716</v>
      </c>
      <c r="D995" s="144" t="str">
        <f>" - " &amp; 'Máy thi công'!D85</f>
        <v xml:space="preserve"> - Búa diezel chạy trên ray - trọng lượng đầu búa: 1,2 t</v>
      </c>
      <c r="E995" s="168" t="str">
        <f>'Máy thi công'!E85</f>
        <v>ca</v>
      </c>
      <c r="F995" s="60"/>
      <c r="G995" s="60"/>
      <c r="H995" s="60"/>
      <c r="I995" s="60">
        <v>2.52</v>
      </c>
      <c r="J995" s="60"/>
      <c r="K995" s="60"/>
      <c r="L995" s="60">
        <f>ROUND(F988*I995,4)</f>
        <v>0.3528</v>
      </c>
    </row>
    <row r="996" spans="1:12" x14ac:dyDescent="0.25">
      <c r="A996" s="168"/>
      <c r="B996" s="144" t="str">
        <f>'Máy thi công'!B398</f>
        <v>M0111</v>
      </c>
      <c r="C996" s="34">
        <v>606</v>
      </c>
      <c r="D996" s="144" t="str">
        <f>" - " &amp; 'Máy thi công'!D398</f>
        <v xml:space="preserve"> - Máy khác</v>
      </c>
      <c r="E996" s="168" t="str">
        <f>'Máy thi công'!E398</f>
        <v>%</v>
      </c>
      <c r="F996" s="60"/>
      <c r="G996" s="60"/>
      <c r="H996" s="60"/>
      <c r="I996" s="60">
        <v>1.5</v>
      </c>
      <c r="J996" s="60"/>
      <c r="K996" s="60"/>
      <c r="L996" s="60"/>
    </row>
    <row r="997" spans="1:12" ht="28.5" x14ac:dyDescent="0.25">
      <c r="A997" s="65">
        <f>'Công trình'!A127</f>
        <v>99</v>
      </c>
      <c r="B997" s="14" t="str">
        <f>'Công trình'!B127</f>
        <v>TT</v>
      </c>
      <c r="C997" s="94"/>
      <c r="D997" s="14" t="str">
        <f>'Công trình'!C127</f>
        <v>Khấu hao cọc thép hình (Thi công trong vòng 3 tháng và 1 lần đóng nhổ)</v>
      </c>
      <c r="E997" s="46" t="str">
        <f>'Công trình'!D127</f>
        <v>100m</v>
      </c>
      <c r="F997" s="106">
        <f>'Công trình'!K127</f>
        <v>7.2800000000000004E-2</v>
      </c>
      <c r="G997" s="126"/>
      <c r="H997" s="126"/>
      <c r="I997" s="126"/>
      <c r="J997" s="126"/>
      <c r="K997" s="126"/>
      <c r="L997" s="126"/>
    </row>
    <row r="998" spans="1:12" x14ac:dyDescent="0.25">
      <c r="A998" s="56"/>
      <c r="B998" s="23"/>
      <c r="C998" s="88"/>
      <c r="D998" s="23" t="s">
        <v>479</v>
      </c>
      <c r="E998" s="56"/>
      <c r="F998" s="118"/>
      <c r="G998" s="118"/>
      <c r="H998" s="118"/>
      <c r="I998" s="118"/>
      <c r="J998" s="118"/>
      <c r="K998" s="118"/>
      <c r="L998" s="118"/>
    </row>
    <row r="999" spans="1:12" x14ac:dyDescent="0.25">
      <c r="A999" s="168"/>
      <c r="B999" s="144" t="str">
        <f>'Vật liệu'!B117</f>
        <v>V08281</v>
      </c>
      <c r="C999" s="34">
        <v>430</v>
      </c>
      <c r="D999" s="144" t="str">
        <f>" - " &amp; 'Vật liệu'!D117</f>
        <v xml:space="preserve"> - Cọc H300, L=14m</v>
      </c>
      <c r="E999" s="168" t="str">
        <f>'Vật liệu'!E117</f>
        <v>m</v>
      </c>
      <c r="F999" s="60"/>
      <c r="G999" s="60">
        <v>100</v>
      </c>
      <c r="H999" s="60"/>
      <c r="I999" s="60"/>
      <c r="J999" s="60">
        <f>ROUND(F997*G999,4)</f>
        <v>7.28</v>
      </c>
      <c r="K999" s="60"/>
      <c r="L999" s="60"/>
    </row>
    <row r="1000" spans="1:12" x14ac:dyDescent="0.25">
      <c r="A1000" s="168"/>
      <c r="B1000" s="144" t="str">
        <f>'Vật liệu'!B766</f>
        <v>V00750</v>
      </c>
      <c r="C1000" s="34">
        <v>262</v>
      </c>
      <c r="D1000" s="144" t="str">
        <f>" - " &amp; 'Vật liệu'!D766</f>
        <v xml:space="preserve"> - Vật liệu khác</v>
      </c>
      <c r="E1000" s="168" t="str">
        <f>'Vật liệu'!E766</f>
        <v>%</v>
      </c>
      <c r="F1000" s="60"/>
      <c r="G1000" s="60">
        <v>1</v>
      </c>
      <c r="H1000" s="60"/>
      <c r="I1000" s="60"/>
      <c r="J1000" s="60"/>
      <c r="K1000" s="60"/>
      <c r="L1000" s="60"/>
    </row>
    <row r="1001" spans="1:12" ht="28.5" x14ac:dyDescent="0.25">
      <c r="A1001" s="65">
        <f>'Công trình'!A129</f>
        <v>100</v>
      </c>
      <c r="B1001" s="14" t="str">
        <f>'Công trình'!B129</f>
        <v>AC.23110</v>
      </c>
      <c r="C1001" s="94"/>
      <c r="D1001" s="14" t="str">
        <f>'Công trình'!C129</f>
        <v>Nhổ cọc thép hình làm tường chắn đất, sàn thao tác trên cạn</v>
      </c>
      <c r="E1001" s="46" t="str">
        <f>'Công trình'!D129</f>
        <v>100m</v>
      </c>
      <c r="F1001" s="106">
        <f>'Công trình'!K129</f>
        <v>0.48</v>
      </c>
      <c r="G1001" s="126"/>
      <c r="H1001" s="126"/>
      <c r="I1001" s="126"/>
      <c r="J1001" s="126"/>
      <c r="K1001" s="126"/>
      <c r="L1001" s="126"/>
    </row>
    <row r="1002" spans="1:12" x14ac:dyDescent="0.25">
      <c r="A1002" s="56"/>
      <c r="B1002" s="23"/>
      <c r="C1002" s="88"/>
      <c r="D1002" s="23" t="s">
        <v>202</v>
      </c>
      <c r="E1002" s="56"/>
      <c r="F1002" s="118"/>
      <c r="G1002" s="118"/>
      <c r="H1002" s="118"/>
      <c r="I1002" s="118"/>
      <c r="J1002" s="118"/>
      <c r="K1002" s="118"/>
      <c r="L1002" s="118"/>
    </row>
    <row r="1003" spans="1:12" x14ac:dyDescent="0.25">
      <c r="A1003" s="168"/>
      <c r="B1003" s="144" t="str">
        <f>'Nhân công'!B185</f>
        <v>N0020</v>
      </c>
      <c r="C1003" s="34">
        <v>555</v>
      </c>
      <c r="D1003" s="144" t="s">
        <v>625</v>
      </c>
      <c r="E1003" s="168" t="str">
        <f>'Nhân công'!G185</f>
        <v>công</v>
      </c>
      <c r="F1003" s="60"/>
      <c r="G1003" s="60"/>
      <c r="H1003" s="60">
        <v>2.66</v>
      </c>
      <c r="I1003" s="60"/>
      <c r="J1003" s="60"/>
      <c r="K1003" s="60">
        <f>ROUND(F1001*H1003,4)</f>
        <v>1.2767999999999999</v>
      </c>
      <c r="L1003" s="60"/>
    </row>
    <row r="1004" spans="1:12" x14ac:dyDescent="0.25">
      <c r="A1004" s="56"/>
      <c r="B1004" s="23"/>
      <c r="C1004" s="88"/>
      <c r="D1004" s="23" t="s">
        <v>378</v>
      </c>
      <c r="E1004" s="56"/>
      <c r="F1004" s="118"/>
      <c r="G1004" s="118"/>
      <c r="H1004" s="118"/>
      <c r="I1004" s="118"/>
      <c r="J1004" s="118"/>
      <c r="K1004" s="118"/>
      <c r="L1004" s="118"/>
    </row>
    <row r="1005" spans="1:12" x14ac:dyDescent="0.25">
      <c r="A1005" s="168"/>
      <c r="B1005" s="144" t="str">
        <f>'Máy thi công'!B135</f>
        <v>M9469</v>
      </c>
      <c r="C1005" s="34">
        <v>729</v>
      </c>
      <c r="D1005" s="144" t="str">
        <f>" - " &amp; 'Máy thi công'!D135</f>
        <v xml:space="preserve"> - Cần trục bánh xích - sức nâng: 25 t</v>
      </c>
      <c r="E1005" s="168" t="str">
        <f>'Máy thi công'!E135</f>
        <v>ca</v>
      </c>
      <c r="F1005" s="60"/>
      <c r="G1005" s="60"/>
      <c r="H1005" s="60"/>
      <c r="I1005" s="60">
        <v>1.33</v>
      </c>
      <c r="J1005" s="60"/>
      <c r="K1005" s="60"/>
      <c r="L1005" s="60">
        <f>ROUND(F1001*I1005,4)</f>
        <v>0.63839999999999997</v>
      </c>
    </row>
    <row r="1006" spans="1:12" x14ac:dyDescent="0.25">
      <c r="A1006" s="168"/>
      <c r="B1006" s="144" t="str">
        <f>'Máy thi công'!B398</f>
        <v>M0111</v>
      </c>
      <c r="C1006" s="34">
        <v>614</v>
      </c>
      <c r="D1006" s="144" t="str">
        <f>" - " &amp; 'Máy thi công'!D398</f>
        <v xml:space="preserve"> - Máy khác</v>
      </c>
      <c r="E1006" s="168" t="str">
        <f>'Máy thi công'!E398</f>
        <v>%</v>
      </c>
      <c r="F1006" s="60"/>
      <c r="G1006" s="60"/>
      <c r="H1006" s="60"/>
      <c r="I1006" s="60">
        <v>2</v>
      </c>
      <c r="J1006" s="60"/>
      <c r="K1006" s="60"/>
      <c r="L1006" s="60"/>
    </row>
    <row r="1007" spans="1:12" ht="28.5" x14ac:dyDescent="0.25">
      <c r="A1007" s="65">
        <f>'Công trình'!A131</f>
        <v>101</v>
      </c>
      <c r="B1007" s="14" t="str">
        <f>'Công trình'!B131</f>
        <v>AC.22112</v>
      </c>
      <c r="C1007" s="94"/>
      <c r="D1007" s="14" t="str">
        <f>'Công trình'!C131</f>
        <v>Đóng cừ Larsen IV trên mặt đất chiều dài cọc &lt;=12m đất cấp II, ngập đất 15,5m</v>
      </c>
      <c r="E1007" s="46" t="str">
        <f>'Công trình'!D131</f>
        <v>100m</v>
      </c>
      <c r="F1007" s="106">
        <f>'Công trình'!K131</f>
        <v>23.895</v>
      </c>
      <c r="G1007" s="126"/>
      <c r="H1007" s="126"/>
      <c r="I1007" s="126"/>
      <c r="J1007" s="126"/>
      <c r="K1007" s="126"/>
      <c r="L1007" s="126"/>
    </row>
    <row r="1008" spans="1:12" x14ac:dyDescent="0.25">
      <c r="A1008" s="56"/>
      <c r="B1008" s="23"/>
      <c r="C1008" s="88"/>
      <c r="D1008" s="23" t="s">
        <v>479</v>
      </c>
      <c r="E1008" s="56"/>
      <c r="F1008" s="118"/>
      <c r="G1008" s="118"/>
      <c r="H1008" s="118"/>
      <c r="I1008" s="118"/>
      <c r="J1008" s="118"/>
      <c r="K1008" s="118"/>
      <c r="L1008" s="118"/>
    </row>
    <row r="1009" spans="1:12" x14ac:dyDescent="0.25">
      <c r="A1009" s="168"/>
      <c r="B1009" s="144" t="str">
        <f>'Vật liệu'!B134</f>
        <v>V08282</v>
      </c>
      <c r="C1009" s="34">
        <v>435</v>
      </c>
      <c r="D1009" s="144" t="str">
        <f>" - " &amp; 'Vật liệu'!D134</f>
        <v xml:space="preserve"> - Cừ Larsen IV</v>
      </c>
      <c r="E1009" s="168" t="str">
        <f>'Vật liệu'!E134</f>
        <v>m</v>
      </c>
      <c r="F1009" s="60"/>
      <c r="G1009" s="60">
        <v>0</v>
      </c>
      <c r="H1009" s="60"/>
      <c r="I1009" s="60"/>
      <c r="J1009" s="60">
        <f>ROUND(F1007*G1009,4)</f>
        <v>0</v>
      </c>
      <c r="K1009" s="60"/>
      <c r="L1009" s="60"/>
    </row>
    <row r="1010" spans="1:12" x14ac:dyDescent="0.25">
      <c r="A1010" s="168"/>
      <c r="B1010" s="144" t="str">
        <f>'Vật liệu'!B766</f>
        <v>V00750</v>
      </c>
      <c r="C1010" s="34">
        <v>251</v>
      </c>
      <c r="D1010" s="144" t="str">
        <f>" - " &amp; 'Vật liệu'!D766</f>
        <v xml:space="preserve"> - Vật liệu khác</v>
      </c>
      <c r="E1010" s="168" t="str">
        <f>'Vật liệu'!E766</f>
        <v>%</v>
      </c>
      <c r="F1010" s="60"/>
      <c r="G1010" s="60">
        <v>0.5</v>
      </c>
      <c r="H1010" s="60"/>
      <c r="I1010" s="60"/>
      <c r="J1010" s="60"/>
      <c r="K1010" s="60"/>
      <c r="L1010" s="60"/>
    </row>
    <row r="1011" spans="1:12" x14ac:dyDescent="0.25">
      <c r="A1011" s="56"/>
      <c r="B1011" s="23"/>
      <c r="C1011" s="88"/>
      <c r="D1011" s="23" t="s">
        <v>202</v>
      </c>
      <c r="E1011" s="56"/>
      <c r="F1011" s="118"/>
      <c r="G1011" s="118"/>
      <c r="H1011" s="118"/>
      <c r="I1011" s="118"/>
      <c r="J1011" s="118"/>
      <c r="K1011" s="118"/>
      <c r="L1011" s="118"/>
    </row>
    <row r="1012" spans="1:12" x14ac:dyDescent="0.25">
      <c r="A1012" s="168"/>
      <c r="B1012" s="144" t="str">
        <f>'Nhân công'!B185</f>
        <v>N0020</v>
      </c>
      <c r="C1012" s="34">
        <v>555</v>
      </c>
      <c r="D1012" s="144" t="s">
        <v>625</v>
      </c>
      <c r="E1012" s="168" t="str">
        <f>'Nhân công'!G185</f>
        <v>công</v>
      </c>
      <c r="F1012" s="60"/>
      <c r="G1012" s="60"/>
      <c r="H1012" s="60">
        <v>12.2</v>
      </c>
      <c r="I1012" s="60"/>
      <c r="J1012" s="60"/>
      <c r="K1012" s="60">
        <f>ROUND(F1007*H1012,4)</f>
        <v>291.51900000000001</v>
      </c>
      <c r="L1012" s="60"/>
    </row>
    <row r="1013" spans="1:12" x14ac:dyDescent="0.25">
      <c r="A1013" s="56"/>
      <c r="B1013" s="23"/>
      <c r="C1013" s="88"/>
      <c r="D1013" s="23" t="s">
        <v>378</v>
      </c>
      <c r="E1013" s="56"/>
      <c r="F1013" s="118"/>
      <c r="G1013" s="118"/>
      <c r="H1013" s="118"/>
      <c r="I1013" s="118"/>
      <c r="J1013" s="118"/>
      <c r="K1013" s="118"/>
      <c r="L1013" s="118"/>
    </row>
    <row r="1014" spans="1:12" ht="30" x14ac:dyDescent="0.25">
      <c r="A1014" s="168"/>
      <c r="B1014" s="144" t="str">
        <f>'Máy thi công'!B98</f>
        <v>M9444</v>
      </c>
      <c r="C1014" s="34">
        <v>719</v>
      </c>
      <c r="D1014" s="144" t="str">
        <f>" - " &amp; 'Máy thi công'!D98</f>
        <v xml:space="preserve"> - Búa diezel tự hành, bánh xích - trọng lượng đầu búa: 1,8 t</v>
      </c>
      <c r="E1014" s="168" t="str">
        <f>'Máy thi công'!E98</f>
        <v>ca</v>
      </c>
      <c r="F1014" s="60"/>
      <c r="G1014" s="60"/>
      <c r="H1014" s="60"/>
      <c r="I1014" s="60">
        <v>4.09</v>
      </c>
      <c r="J1014" s="60"/>
      <c r="K1014" s="60"/>
      <c r="L1014" s="60">
        <f>ROUND(F1007*I1014,4)</f>
        <v>97.730599999999995</v>
      </c>
    </row>
    <row r="1015" spans="1:12" x14ac:dyDescent="0.25">
      <c r="A1015" s="168"/>
      <c r="B1015" s="144" t="str">
        <f>'Máy thi công'!B398</f>
        <v>M0111</v>
      </c>
      <c r="C1015" s="34">
        <v>607</v>
      </c>
      <c r="D1015" s="144" t="str">
        <f>" - " &amp; 'Máy thi công'!D398</f>
        <v xml:space="preserve"> - Máy khác</v>
      </c>
      <c r="E1015" s="168" t="str">
        <f>'Máy thi công'!E398</f>
        <v>%</v>
      </c>
      <c r="F1015" s="60"/>
      <c r="G1015" s="60"/>
      <c r="H1015" s="60"/>
      <c r="I1015" s="60">
        <v>3</v>
      </c>
      <c r="J1015" s="60"/>
      <c r="K1015" s="60"/>
      <c r="L1015" s="60"/>
    </row>
    <row r="1016" spans="1:12" ht="42.75" x14ac:dyDescent="0.25">
      <c r="A1016" s="65">
        <f>'Công trình'!A132</f>
        <v>102</v>
      </c>
      <c r="B1016" s="14" t="str">
        <f>'Công trình'!B132</f>
        <v>AC.22112</v>
      </c>
      <c r="C1016" s="94"/>
      <c r="D1016" s="14" t="str">
        <f>'Công trình'!C132</f>
        <v>Đóng cừ Larsen IV trên mặt đất chiều dài cọc &lt;=12m đất cấp II, không ngập đất (NC, MTC * 0,75)</v>
      </c>
      <c r="E1016" s="46" t="str">
        <f>'Công trình'!D132</f>
        <v>100m</v>
      </c>
      <c r="F1016" s="106">
        <f>'Công trình'!K132</f>
        <v>7.9649999999999999</v>
      </c>
      <c r="G1016" s="126"/>
      <c r="H1016" s="126"/>
      <c r="I1016" s="126"/>
      <c r="J1016" s="126"/>
      <c r="K1016" s="126"/>
      <c r="L1016" s="126"/>
    </row>
    <row r="1017" spans="1:12" x14ac:dyDescent="0.25">
      <c r="A1017" s="56"/>
      <c r="B1017" s="23"/>
      <c r="C1017" s="88"/>
      <c r="D1017" s="23" t="s">
        <v>479</v>
      </c>
      <c r="E1017" s="56"/>
      <c r="F1017" s="118"/>
      <c r="G1017" s="118"/>
      <c r="H1017" s="118"/>
      <c r="I1017" s="118"/>
      <c r="J1017" s="118"/>
      <c r="K1017" s="118"/>
      <c r="L1017" s="118"/>
    </row>
    <row r="1018" spans="1:12" x14ac:dyDescent="0.25">
      <c r="A1018" s="168"/>
      <c r="B1018" s="144" t="str">
        <f>'Vật liệu'!B134</f>
        <v>V08282</v>
      </c>
      <c r="C1018" s="34">
        <v>435</v>
      </c>
      <c r="D1018" s="144" t="str">
        <f>" - " &amp; 'Vật liệu'!D134</f>
        <v xml:space="preserve"> - Cừ Larsen IV</v>
      </c>
      <c r="E1018" s="168" t="str">
        <f>'Vật liệu'!E134</f>
        <v>m</v>
      </c>
      <c r="F1018" s="60"/>
      <c r="G1018" s="60">
        <v>0</v>
      </c>
      <c r="H1018" s="60"/>
      <c r="I1018" s="60"/>
      <c r="J1018" s="60">
        <f>ROUND(F1016*G1018,4)</f>
        <v>0</v>
      </c>
      <c r="K1018" s="60"/>
      <c r="L1018" s="60"/>
    </row>
    <row r="1019" spans="1:12" x14ac:dyDescent="0.25">
      <c r="A1019" s="168"/>
      <c r="B1019" s="144" t="str">
        <f>'Vật liệu'!B766</f>
        <v>V00750</v>
      </c>
      <c r="C1019" s="34">
        <v>252</v>
      </c>
      <c r="D1019" s="144" t="str">
        <f>" - " &amp; 'Vật liệu'!D766</f>
        <v xml:space="preserve"> - Vật liệu khác</v>
      </c>
      <c r="E1019" s="168" t="str">
        <f>'Vật liệu'!E766</f>
        <v>%</v>
      </c>
      <c r="F1019" s="60"/>
      <c r="G1019" s="60">
        <v>0.5</v>
      </c>
      <c r="H1019" s="60"/>
      <c r="I1019" s="60"/>
      <c r="J1019" s="60"/>
      <c r="K1019" s="60"/>
      <c r="L1019" s="60"/>
    </row>
    <row r="1020" spans="1:12" x14ac:dyDescent="0.25">
      <c r="A1020" s="56"/>
      <c r="B1020" s="23"/>
      <c r="C1020" s="88"/>
      <c r="D1020" s="23" t="s">
        <v>202</v>
      </c>
      <c r="E1020" s="56"/>
      <c r="F1020" s="118"/>
      <c r="G1020" s="118"/>
      <c r="H1020" s="118"/>
      <c r="I1020" s="118"/>
      <c r="J1020" s="118"/>
      <c r="K1020" s="118"/>
      <c r="L1020" s="118"/>
    </row>
    <row r="1021" spans="1:12" x14ac:dyDescent="0.25">
      <c r="A1021" s="168"/>
      <c r="B1021" s="144" t="str">
        <f>'Nhân công'!B185</f>
        <v>N0020</v>
      </c>
      <c r="C1021" s="34">
        <v>555</v>
      </c>
      <c r="D1021" s="144" t="s">
        <v>625</v>
      </c>
      <c r="E1021" s="168" t="str">
        <f>'Nhân công'!G185</f>
        <v>công</v>
      </c>
      <c r="F1021" s="60"/>
      <c r="G1021" s="60"/>
      <c r="H1021" s="60">
        <v>9.15</v>
      </c>
      <c r="I1021" s="60"/>
      <c r="J1021" s="60"/>
      <c r="K1021" s="60">
        <f>ROUND(F1016*H1021,4)</f>
        <v>72.879800000000003</v>
      </c>
      <c r="L1021" s="60"/>
    </row>
    <row r="1022" spans="1:12" x14ac:dyDescent="0.25">
      <c r="A1022" s="56"/>
      <c r="B1022" s="23"/>
      <c r="C1022" s="88"/>
      <c r="D1022" s="23" t="s">
        <v>378</v>
      </c>
      <c r="E1022" s="56"/>
      <c r="F1022" s="118"/>
      <c r="G1022" s="118"/>
      <c r="H1022" s="118"/>
      <c r="I1022" s="118"/>
      <c r="J1022" s="118"/>
      <c r="K1022" s="118"/>
      <c r="L1022" s="118"/>
    </row>
    <row r="1023" spans="1:12" ht="30" x14ac:dyDescent="0.25">
      <c r="A1023" s="168"/>
      <c r="B1023" s="144" t="str">
        <f>'Máy thi công'!B98</f>
        <v>M9444</v>
      </c>
      <c r="C1023" s="34">
        <v>719</v>
      </c>
      <c r="D1023" s="144" t="str">
        <f>" - " &amp; 'Máy thi công'!D98</f>
        <v xml:space="preserve"> - Búa diezel tự hành, bánh xích - trọng lượng đầu búa: 1,8 t</v>
      </c>
      <c r="E1023" s="168" t="str">
        <f>'Máy thi công'!E98</f>
        <v>ca</v>
      </c>
      <c r="F1023" s="60"/>
      <c r="G1023" s="60"/>
      <c r="H1023" s="60"/>
      <c r="I1023" s="60">
        <v>3.0674999999999999</v>
      </c>
      <c r="J1023" s="60"/>
      <c r="K1023" s="60"/>
      <c r="L1023" s="60">
        <f>ROUND(F1016*I1023,4)</f>
        <v>24.432600000000001</v>
      </c>
    </row>
    <row r="1024" spans="1:12" x14ac:dyDescent="0.25">
      <c r="A1024" s="168"/>
      <c r="B1024" s="144" t="str">
        <f>'Máy thi công'!B398</f>
        <v>M0111</v>
      </c>
      <c r="C1024" s="34">
        <v>608</v>
      </c>
      <c r="D1024" s="144" t="str">
        <f>" - " &amp; 'Máy thi công'!D398</f>
        <v xml:space="preserve"> - Máy khác</v>
      </c>
      <c r="E1024" s="168" t="str">
        <f>'Máy thi công'!E398</f>
        <v>%</v>
      </c>
      <c r="F1024" s="60"/>
      <c r="G1024" s="60"/>
      <c r="H1024" s="60"/>
      <c r="I1024" s="60">
        <v>3</v>
      </c>
      <c r="J1024" s="60"/>
      <c r="K1024" s="60"/>
      <c r="L1024" s="60"/>
    </row>
    <row r="1025" spans="1:12" ht="28.5" x14ac:dyDescent="0.25">
      <c r="A1025" s="65">
        <f>'Công trình'!A133</f>
        <v>103</v>
      </c>
      <c r="B1025" s="14" t="str">
        <f>'Công trình'!B133</f>
        <v>TT</v>
      </c>
      <c r="C1025" s="94"/>
      <c r="D1025" s="14" t="str">
        <f>'Công trình'!C133</f>
        <v>Khấu hao cừ Larsen (Thi công trong vòng 3 tháng và 1 lần đóng nhổ)</v>
      </c>
      <c r="E1025" s="46" t="str">
        <f>'Công trình'!D133</f>
        <v>100m</v>
      </c>
      <c r="F1025" s="106">
        <f>'Công trình'!K133</f>
        <v>2.2334000000000001</v>
      </c>
      <c r="G1025" s="126"/>
      <c r="H1025" s="126"/>
      <c r="I1025" s="126"/>
      <c r="J1025" s="126"/>
      <c r="K1025" s="126"/>
      <c r="L1025" s="126"/>
    </row>
    <row r="1026" spans="1:12" x14ac:dyDescent="0.25">
      <c r="A1026" s="56"/>
      <c r="B1026" s="23"/>
      <c r="C1026" s="88"/>
      <c r="D1026" s="23" t="s">
        <v>479</v>
      </c>
      <c r="E1026" s="56"/>
      <c r="F1026" s="118"/>
      <c r="G1026" s="118"/>
      <c r="H1026" s="118"/>
      <c r="I1026" s="118"/>
      <c r="J1026" s="118"/>
      <c r="K1026" s="118"/>
      <c r="L1026" s="118"/>
    </row>
    <row r="1027" spans="1:12" x14ac:dyDescent="0.25">
      <c r="A1027" s="168"/>
      <c r="B1027" s="144" t="str">
        <f>'Vật liệu'!B134</f>
        <v>V08282</v>
      </c>
      <c r="C1027" s="34">
        <v>435</v>
      </c>
      <c r="D1027" s="144" t="str">
        <f>" - " &amp; 'Vật liệu'!D134</f>
        <v xml:space="preserve"> - Cừ Larsen IV</v>
      </c>
      <c r="E1027" s="168" t="str">
        <f>'Vật liệu'!E134</f>
        <v>m</v>
      </c>
      <c r="F1027" s="60"/>
      <c r="G1027" s="60">
        <v>100</v>
      </c>
      <c r="H1027" s="60"/>
      <c r="I1027" s="60"/>
      <c r="J1027" s="60">
        <f>ROUND(F1025*G1027,4)</f>
        <v>223.34</v>
      </c>
      <c r="K1027" s="60"/>
      <c r="L1027" s="60"/>
    </row>
    <row r="1028" spans="1:12" x14ac:dyDescent="0.25">
      <c r="A1028" s="168"/>
      <c r="B1028" s="144" t="str">
        <f>'Vật liệu'!B766</f>
        <v>V00750</v>
      </c>
      <c r="C1028" s="34">
        <v>253</v>
      </c>
      <c r="D1028" s="144" t="str">
        <f>" - " &amp; 'Vật liệu'!D766</f>
        <v xml:space="preserve"> - Vật liệu khác</v>
      </c>
      <c r="E1028" s="168" t="str">
        <f>'Vật liệu'!E766</f>
        <v>%</v>
      </c>
      <c r="F1028" s="60"/>
      <c r="G1028" s="60">
        <v>0.5</v>
      </c>
      <c r="H1028" s="60"/>
      <c r="I1028" s="60"/>
      <c r="J1028" s="60"/>
      <c r="K1028" s="60"/>
      <c r="L1028" s="60"/>
    </row>
    <row r="1029" spans="1:12" ht="28.5" x14ac:dyDescent="0.25">
      <c r="A1029" s="65">
        <f>'Công trình'!A135</f>
        <v>104</v>
      </c>
      <c r="B1029" s="14" t="str">
        <f>'Công trình'!B135</f>
        <v>AC.23210</v>
      </c>
      <c r="C1029" s="94"/>
      <c r="D1029" s="14" t="str">
        <f>'Công trình'!C135</f>
        <v>Nhổ cọc cừ Larsen 3, larsen 4 trên cạn bằng búa rung, cần cẩu 25T</v>
      </c>
      <c r="E1029" s="46" t="str">
        <f>'Công trình'!D135</f>
        <v>100m</v>
      </c>
      <c r="F1029" s="106">
        <f>'Công trình'!K135</f>
        <v>31.86</v>
      </c>
      <c r="G1029" s="126"/>
      <c r="H1029" s="126"/>
      <c r="I1029" s="126"/>
      <c r="J1029" s="126"/>
      <c r="K1029" s="126"/>
      <c r="L1029" s="126"/>
    </row>
    <row r="1030" spans="1:12" x14ac:dyDescent="0.25">
      <c r="A1030" s="56"/>
      <c r="B1030" s="23"/>
      <c r="C1030" s="88"/>
      <c r="D1030" s="23" t="s">
        <v>202</v>
      </c>
      <c r="E1030" s="56"/>
      <c r="F1030" s="118"/>
      <c r="G1030" s="118"/>
      <c r="H1030" s="118"/>
      <c r="I1030" s="118"/>
      <c r="J1030" s="118"/>
      <c r="K1030" s="118"/>
      <c r="L1030" s="118"/>
    </row>
    <row r="1031" spans="1:12" x14ac:dyDescent="0.25">
      <c r="A1031" s="168"/>
      <c r="B1031" s="144" t="str">
        <f>'Nhân công'!B185</f>
        <v>N0020</v>
      </c>
      <c r="C1031" s="34">
        <v>555</v>
      </c>
      <c r="D1031" s="144" t="s">
        <v>625</v>
      </c>
      <c r="E1031" s="168" t="str">
        <f>'Nhân công'!G185</f>
        <v>công</v>
      </c>
      <c r="F1031" s="60"/>
      <c r="G1031" s="60"/>
      <c r="H1031" s="60">
        <v>7.15</v>
      </c>
      <c r="I1031" s="60"/>
      <c r="J1031" s="60"/>
      <c r="K1031" s="60">
        <f>ROUND(F1029*H1031,4)</f>
        <v>227.79900000000001</v>
      </c>
      <c r="L1031" s="60"/>
    </row>
    <row r="1032" spans="1:12" x14ac:dyDescent="0.25">
      <c r="A1032" s="56"/>
      <c r="B1032" s="23"/>
      <c r="C1032" s="88"/>
      <c r="D1032" s="23" t="s">
        <v>378</v>
      </c>
      <c r="E1032" s="56"/>
      <c r="F1032" s="118"/>
      <c r="G1032" s="118"/>
      <c r="H1032" s="118"/>
      <c r="I1032" s="118"/>
      <c r="J1032" s="118"/>
      <c r="K1032" s="118"/>
      <c r="L1032" s="118"/>
    </row>
    <row r="1033" spans="1:12" x14ac:dyDescent="0.25">
      <c r="A1033" s="168"/>
      <c r="B1033" s="144" t="str">
        <f>'Máy thi công'!B135</f>
        <v>M9469</v>
      </c>
      <c r="C1033" s="34">
        <v>729</v>
      </c>
      <c r="D1033" s="144" t="str">
        <f>" - " &amp; 'Máy thi công'!D135</f>
        <v xml:space="preserve"> - Cần trục bánh xích - sức nâng: 25 t</v>
      </c>
      <c r="E1033" s="168" t="str">
        <f>'Máy thi công'!E135</f>
        <v>ca</v>
      </c>
      <c r="F1033" s="60"/>
      <c r="G1033" s="60"/>
      <c r="H1033" s="60"/>
      <c r="I1033" s="60">
        <v>2.2000000000000002</v>
      </c>
      <c r="J1033" s="60"/>
      <c r="K1033" s="60"/>
      <c r="L1033" s="60">
        <f>ROUND(F1029*I1033,4)</f>
        <v>70.091999999999999</v>
      </c>
    </row>
    <row r="1034" spans="1:12" x14ac:dyDescent="0.25">
      <c r="A1034" s="168"/>
      <c r="B1034" s="144" t="str">
        <f>'Máy thi công'!B105</f>
        <v>M9446</v>
      </c>
      <c r="C1034" s="34">
        <v>720</v>
      </c>
      <c r="D1034" s="144" t="str">
        <f>" - " &amp; 'Máy thi công'!D105</f>
        <v xml:space="preserve"> - Búa rung - công suất: 170 kW</v>
      </c>
      <c r="E1034" s="168" t="str">
        <f>'Máy thi công'!E105</f>
        <v>ca</v>
      </c>
      <c r="F1034" s="60"/>
      <c r="G1034" s="60"/>
      <c r="H1034" s="60"/>
      <c r="I1034" s="60">
        <v>2.23</v>
      </c>
      <c r="J1034" s="60"/>
      <c r="K1034" s="60"/>
      <c r="L1034" s="60">
        <f>ROUND(F1029*I1034,4)</f>
        <v>71.047799999999995</v>
      </c>
    </row>
    <row r="1035" spans="1:12" x14ac:dyDescent="0.25">
      <c r="A1035" s="168"/>
      <c r="B1035" s="144" t="str">
        <f>'Máy thi công'!B398</f>
        <v>M0111</v>
      </c>
      <c r="C1035" s="34">
        <v>683</v>
      </c>
      <c r="D1035" s="144" t="str">
        <f>" - " &amp; 'Máy thi công'!D398</f>
        <v xml:space="preserve"> - Máy khác</v>
      </c>
      <c r="E1035" s="168" t="str">
        <f>'Máy thi công'!E398</f>
        <v>%</v>
      </c>
      <c r="F1035" s="60"/>
      <c r="G1035" s="60"/>
      <c r="H1035" s="60"/>
      <c r="I1035" s="60">
        <v>3</v>
      </c>
      <c r="J1035" s="60"/>
      <c r="K1035" s="60"/>
      <c r="L1035" s="60"/>
    </row>
    <row r="1036" spans="1:12" x14ac:dyDescent="0.25">
      <c r="A1036" s="65">
        <f>'Công trình'!A136</f>
        <v>105</v>
      </c>
      <c r="B1036" s="14" t="str">
        <f>'Công trình'!B136</f>
        <v>AI.11912</v>
      </c>
      <c r="C1036" s="94"/>
      <c r="D1036" s="14" t="str">
        <f>'Công trình'!C136</f>
        <v>Sản xuất hệ sàn đạo, sàn thao tác</v>
      </c>
      <c r="E1036" s="46" t="str">
        <f>'Công trình'!D136</f>
        <v>tấn</v>
      </c>
      <c r="F1036" s="106">
        <f>'Công trình'!K136</f>
        <v>82.426400000000001</v>
      </c>
      <c r="G1036" s="126"/>
      <c r="H1036" s="126"/>
      <c r="I1036" s="126"/>
      <c r="J1036" s="126"/>
      <c r="K1036" s="126"/>
      <c r="L1036" s="126"/>
    </row>
    <row r="1037" spans="1:12" x14ac:dyDescent="0.25">
      <c r="A1037" s="56"/>
      <c r="B1037" s="23"/>
      <c r="C1037" s="88"/>
      <c r="D1037" s="23" t="s">
        <v>479</v>
      </c>
      <c r="E1037" s="56"/>
      <c r="F1037" s="118"/>
      <c r="G1037" s="118"/>
      <c r="H1037" s="118"/>
      <c r="I1037" s="118"/>
      <c r="J1037" s="118"/>
      <c r="K1037" s="118"/>
      <c r="L1037" s="118"/>
    </row>
    <row r="1038" spans="1:12" x14ac:dyDescent="0.25">
      <c r="A1038" s="168"/>
      <c r="B1038" s="144" t="str">
        <f>'Vật liệu'!B401</f>
        <v>V00770</v>
      </c>
      <c r="C1038" s="34">
        <v>400</v>
      </c>
      <c r="D1038" s="144" t="str">
        <f>" - " &amp; 'Vật liệu'!D401</f>
        <v xml:space="preserve"> - Ô xy</v>
      </c>
      <c r="E1038" s="168" t="str">
        <f>'Vật liệu'!E401</f>
        <v>Chai</v>
      </c>
      <c r="F1038" s="60"/>
      <c r="G1038" s="60">
        <v>2.1</v>
      </c>
      <c r="H1038" s="60"/>
      <c r="I1038" s="60"/>
      <c r="J1038" s="60">
        <f>ROUND(F1036*G1038,4)</f>
        <v>173.09540000000001</v>
      </c>
      <c r="K1038" s="60"/>
      <c r="L1038" s="60"/>
    </row>
    <row r="1039" spans="1:12" x14ac:dyDescent="0.25">
      <c r="A1039" s="168"/>
      <c r="B1039" s="144" t="str">
        <f>'Vật liệu'!B200</f>
        <v>V00833</v>
      </c>
      <c r="C1039" s="34">
        <v>411</v>
      </c>
      <c r="D1039" s="144" t="str">
        <f>" - " &amp; 'Vật liệu'!D200</f>
        <v xml:space="preserve"> - Đất đèn</v>
      </c>
      <c r="E1039" s="168" t="str">
        <f>'Vật liệu'!E200</f>
        <v>kg</v>
      </c>
      <c r="F1039" s="60"/>
      <c r="G1039" s="60">
        <v>8.4</v>
      </c>
      <c r="H1039" s="60"/>
      <c r="I1039" s="60"/>
      <c r="J1039" s="60">
        <f>ROUND(F1036*G1039,4)</f>
        <v>692.3818</v>
      </c>
      <c r="K1039" s="60"/>
      <c r="L1039" s="60"/>
    </row>
    <row r="1040" spans="1:12" x14ac:dyDescent="0.25">
      <c r="A1040" s="168"/>
      <c r="B1040" s="144" t="str">
        <f>'Vật liệu'!B556</f>
        <v>V00641</v>
      </c>
      <c r="C1040" s="34">
        <v>160</v>
      </c>
      <c r="D1040" s="144" t="str">
        <f>" - " &amp; 'Vật liệu'!D556</f>
        <v xml:space="preserve"> - Thép hình</v>
      </c>
      <c r="E1040" s="168" t="str">
        <f>'Vật liệu'!E556</f>
        <v>kg</v>
      </c>
      <c r="F1040" s="60"/>
      <c r="G1040" s="60">
        <v>0</v>
      </c>
      <c r="H1040" s="60"/>
      <c r="I1040" s="60"/>
      <c r="J1040" s="60">
        <f>ROUND(F1036*G1040,4)</f>
        <v>0</v>
      </c>
      <c r="K1040" s="60"/>
      <c r="L1040" s="60"/>
    </row>
    <row r="1041" spans="1:12" x14ac:dyDescent="0.25">
      <c r="A1041" s="168"/>
      <c r="B1041" s="144" t="str">
        <f>'Vật liệu'!B606</f>
        <v>V00671</v>
      </c>
      <c r="C1041" s="34">
        <v>166</v>
      </c>
      <c r="D1041" s="144" t="str">
        <f>" - " &amp; 'Vật liệu'!D606</f>
        <v xml:space="preserve"> - Thép tấm</v>
      </c>
      <c r="E1041" s="168" t="str">
        <f>'Vật liệu'!E606</f>
        <v>kg</v>
      </c>
      <c r="F1041" s="60"/>
      <c r="G1041" s="60">
        <v>0</v>
      </c>
      <c r="H1041" s="60"/>
      <c r="I1041" s="60"/>
      <c r="J1041" s="60">
        <f>ROUND(F1036*G1041,4)</f>
        <v>0</v>
      </c>
      <c r="K1041" s="60"/>
      <c r="L1041" s="60"/>
    </row>
    <row r="1042" spans="1:12" x14ac:dyDescent="0.25">
      <c r="A1042" s="168"/>
      <c r="B1042" s="144" t="str">
        <f>'Vật liệu'!B450</f>
        <v>V00515</v>
      </c>
      <c r="C1042" s="34">
        <v>154</v>
      </c>
      <c r="D1042" s="144" t="str">
        <f>" - " &amp; 'Vật liệu'!D450</f>
        <v xml:space="preserve"> - Que hàn</v>
      </c>
      <c r="E1042" s="168" t="str">
        <f>'Vật liệu'!E450</f>
        <v>kg</v>
      </c>
      <c r="F1042" s="60"/>
      <c r="G1042" s="60">
        <v>24.15</v>
      </c>
      <c r="H1042" s="60"/>
      <c r="I1042" s="60"/>
      <c r="J1042" s="60">
        <f>ROUND(F1036*G1042,4)</f>
        <v>1990.5976000000001</v>
      </c>
      <c r="K1042" s="60"/>
      <c r="L1042" s="60"/>
    </row>
    <row r="1043" spans="1:12" x14ac:dyDescent="0.25">
      <c r="A1043" s="168"/>
      <c r="B1043" s="144" t="str">
        <f>'Vật liệu'!B766</f>
        <v>V00750</v>
      </c>
      <c r="C1043" s="34">
        <v>254</v>
      </c>
      <c r="D1043" s="144" t="str">
        <f>" - " &amp; 'Vật liệu'!D766</f>
        <v xml:space="preserve"> - Vật liệu khác</v>
      </c>
      <c r="E1043" s="168" t="str">
        <f>'Vật liệu'!E766</f>
        <v>%</v>
      </c>
      <c r="F1043" s="60"/>
      <c r="G1043" s="60">
        <v>5</v>
      </c>
      <c r="H1043" s="60"/>
      <c r="I1043" s="60"/>
      <c r="J1043" s="60"/>
      <c r="K1043" s="60"/>
      <c r="L1043" s="60"/>
    </row>
    <row r="1044" spans="1:12" x14ac:dyDescent="0.25">
      <c r="A1044" s="56"/>
      <c r="B1044" s="23"/>
      <c r="C1044" s="88"/>
      <c r="D1044" s="23" t="s">
        <v>202</v>
      </c>
      <c r="E1044" s="56"/>
      <c r="F1044" s="118"/>
      <c r="G1044" s="118"/>
      <c r="H1044" s="118"/>
      <c r="I1044" s="118"/>
      <c r="J1044" s="118"/>
      <c r="K1044" s="118"/>
      <c r="L1044" s="118"/>
    </row>
    <row r="1045" spans="1:12" x14ac:dyDescent="0.25">
      <c r="A1045" s="168"/>
      <c r="B1045" s="144" t="str">
        <f>'Nhân công'!B130</f>
        <v>N0011</v>
      </c>
      <c r="C1045" s="34">
        <v>550</v>
      </c>
      <c r="D1045" s="144" t="s">
        <v>671</v>
      </c>
      <c r="E1045" s="168" t="str">
        <f>'Nhân công'!G130</f>
        <v>công</v>
      </c>
      <c r="F1045" s="60"/>
      <c r="G1045" s="60"/>
      <c r="H1045" s="60">
        <v>22.61</v>
      </c>
      <c r="I1045" s="60"/>
      <c r="J1045" s="60"/>
      <c r="K1045" s="60">
        <f>ROUND(F1036*H1045,4)</f>
        <v>1863.6609000000001</v>
      </c>
      <c r="L1045" s="60"/>
    </row>
    <row r="1046" spans="1:12" x14ac:dyDescent="0.25">
      <c r="A1046" s="56"/>
      <c r="B1046" s="23"/>
      <c r="C1046" s="88"/>
      <c r="D1046" s="23" t="s">
        <v>378</v>
      </c>
      <c r="E1046" s="56"/>
      <c r="F1046" s="118"/>
      <c r="G1046" s="118"/>
      <c r="H1046" s="118"/>
      <c r="I1046" s="118"/>
      <c r="J1046" s="118"/>
      <c r="K1046" s="118"/>
      <c r="L1046" s="118"/>
    </row>
    <row r="1047" spans="1:12" x14ac:dyDescent="0.25">
      <c r="A1047" s="168"/>
      <c r="B1047" s="144" t="str">
        <f>'Máy thi công'!B148</f>
        <v>M9478</v>
      </c>
      <c r="C1047" s="34">
        <v>733</v>
      </c>
      <c r="D1047" s="144" t="str">
        <f>" - " &amp; 'Máy thi công'!D148</f>
        <v xml:space="preserve"> - Cần trục ô tô - sức nâng: 10 t</v>
      </c>
      <c r="E1047" s="168" t="str">
        <f>'Máy thi công'!E148</f>
        <v>ca</v>
      </c>
      <c r="F1047" s="60"/>
      <c r="G1047" s="60"/>
      <c r="H1047" s="60"/>
      <c r="I1047" s="60">
        <v>0.27</v>
      </c>
      <c r="J1047" s="60"/>
      <c r="K1047" s="60"/>
      <c r="L1047" s="60">
        <f>ROUND(F1036*I1047,4)</f>
        <v>22.255099999999999</v>
      </c>
    </row>
    <row r="1048" spans="1:12" x14ac:dyDescent="0.25">
      <c r="A1048" s="168"/>
      <c r="B1048" s="144" t="str">
        <f>'Máy thi công'!B177</f>
        <v>M112.2001</v>
      </c>
      <c r="C1048" s="34">
        <v>703</v>
      </c>
      <c r="D1048" s="144" t="str">
        <f>" - " &amp; 'Máy thi công'!D177</f>
        <v xml:space="preserve"> - Máy cắt sắt cầm tay - công suất: 1,7 kW</v>
      </c>
      <c r="E1048" s="168" t="str">
        <f>'Máy thi công'!E177</f>
        <v>ca</v>
      </c>
      <c r="F1048" s="60"/>
      <c r="G1048" s="60"/>
      <c r="H1048" s="60"/>
      <c r="I1048" s="60">
        <v>0.4</v>
      </c>
      <c r="J1048" s="60"/>
      <c r="K1048" s="60"/>
      <c r="L1048" s="60">
        <f>ROUND(F1036*I1048,4)</f>
        <v>32.970599999999997</v>
      </c>
    </row>
    <row r="1049" spans="1:12" x14ac:dyDescent="0.25">
      <c r="A1049" s="168"/>
      <c r="B1049" s="144" t="str">
        <f>'Máy thi công'!B6</f>
        <v>M9438</v>
      </c>
      <c r="C1049" s="34">
        <v>714</v>
      </c>
      <c r="D1049" s="144" t="str">
        <f>" - " &amp; 'Máy thi công'!D6</f>
        <v xml:space="preserve"> - Biến thế hàn xoay chiều - công suất: 23 kW</v>
      </c>
      <c r="E1049" s="168" t="str">
        <f>'Máy thi công'!E6</f>
        <v>ca</v>
      </c>
      <c r="F1049" s="60"/>
      <c r="G1049" s="60"/>
      <c r="H1049" s="60"/>
      <c r="I1049" s="60">
        <v>4.5999999999999996</v>
      </c>
      <c r="J1049" s="60"/>
      <c r="K1049" s="60"/>
      <c r="L1049" s="60">
        <f>ROUND(F1036*I1049,4)</f>
        <v>379.16140000000001</v>
      </c>
    </row>
    <row r="1050" spans="1:12" ht="28.5" x14ac:dyDescent="0.25">
      <c r="A1050" s="65">
        <f>'Công trình'!A137</f>
        <v>106</v>
      </c>
      <c r="B1050" s="14" t="str">
        <f>'Công trình'!B137</f>
        <v>TT</v>
      </c>
      <c r="C1050" s="94"/>
      <c r="D1050" s="14" t="str">
        <f>'Công trình'!C137</f>
        <v>Khấu hao hệ sàn đạo, sàn thao tác (Thi công trong vòng 3 tháng và 1 lần đóng nhổ)</v>
      </c>
      <c r="E1050" s="46" t="str">
        <f>'Công trình'!D137</f>
        <v>tấn</v>
      </c>
      <c r="F1050" s="106">
        <f>'Công trình'!K137</f>
        <v>10.715400000000001</v>
      </c>
      <c r="G1050" s="126"/>
      <c r="H1050" s="126"/>
      <c r="I1050" s="126"/>
      <c r="J1050" s="126"/>
      <c r="K1050" s="126"/>
      <c r="L1050" s="126"/>
    </row>
    <row r="1051" spans="1:12" x14ac:dyDescent="0.25">
      <c r="A1051" s="56"/>
      <c r="B1051" s="23"/>
      <c r="C1051" s="88"/>
      <c r="D1051" s="23" t="s">
        <v>479</v>
      </c>
      <c r="E1051" s="56"/>
      <c r="F1051" s="118"/>
      <c r="G1051" s="118"/>
      <c r="H1051" s="118"/>
      <c r="I1051" s="118"/>
      <c r="J1051" s="118"/>
      <c r="K1051" s="118"/>
      <c r="L1051" s="118"/>
    </row>
    <row r="1052" spans="1:12" x14ac:dyDescent="0.25">
      <c r="A1052" s="168"/>
      <c r="B1052" s="144" t="str">
        <f>'Vật liệu'!B401</f>
        <v>V00770</v>
      </c>
      <c r="C1052" s="34">
        <v>400</v>
      </c>
      <c r="D1052" s="144" t="str">
        <f>" - " &amp; 'Vật liệu'!D401</f>
        <v xml:space="preserve"> - Ô xy</v>
      </c>
      <c r="E1052" s="168" t="str">
        <f>'Vật liệu'!E401</f>
        <v>Chai</v>
      </c>
      <c r="F1052" s="60"/>
      <c r="G1052" s="60">
        <v>0</v>
      </c>
      <c r="H1052" s="60"/>
      <c r="I1052" s="60"/>
      <c r="J1052" s="60">
        <f>ROUND(F1050*G1052,4)</f>
        <v>0</v>
      </c>
      <c r="K1052" s="60"/>
      <c r="L1052" s="60"/>
    </row>
    <row r="1053" spans="1:12" x14ac:dyDescent="0.25">
      <c r="A1053" s="168"/>
      <c r="B1053" s="144" t="str">
        <f>'Vật liệu'!B200</f>
        <v>V00833</v>
      </c>
      <c r="C1053" s="34">
        <v>411</v>
      </c>
      <c r="D1053" s="144" t="str">
        <f>" - " &amp; 'Vật liệu'!D200</f>
        <v xml:space="preserve"> - Đất đèn</v>
      </c>
      <c r="E1053" s="168" t="str">
        <f>'Vật liệu'!E200</f>
        <v>kg</v>
      </c>
      <c r="F1053" s="60"/>
      <c r="G1053" s="60">
        <v>0</v>
      </c>
      <c r="H1053" s="60"/>
      <c r="I1053" s="60"/>
      <c r="J1053" s="60">
        <f>ROUND(F1050*G1053,4)</f>
        <v>0</v>
      </c>
      <c r="K1053" s="60"/>
      <c r="L1053" s="60"/>
    </row>
    <row r="1054" spans="1:12" x14ac:dyDescent="0.25">
      <c r="A1054" s="168"/>
      <c r="B1054" s="144" t="str">
        <f>'Vật liệu'!B556</f>
        <v>V00641</v>
      </c>
      <c r="C1054" s="34">
        <v>160</v>
      </c>
      <c r="D1054" s="144" t="str">
        <f>" - " &amp; 'Vật liệu'!D556</f>
        <v xml:space="preserve"> - Thép hình</v>
      </c>
      <c r="E1054" s="168" t="str">
        <f>'Vật liệu'!E556</f>
        <v>kg</v>
      </c>
      <c r="F1054" s="60"/>
      <c r="G1054" s="60">
        <v>697.85</v>
      </c>
      <c r="H1054" s="60"/>
      <c r="I1054" s="60"/>
      <c r="J1054" s="60">
        <f>ROUND(F1050*G1054,4)</f>
        <v>7477.7419</v>
      </c>
      <c r="K1054" s="60"/>
      <c r="L1054" s="60"/>
    </row>
    <row r="1055" spans="1:12" x14ac:dyDescent="0.25">
      <c r="A1055" s="168"/>
      <c r="B1055" s="144" t="str">
        <f>'Vật liệu'!B606</f>
        <v>V00671</v>
      </c>
      <c r="C1055" s="34">
        <v>166</v>
      </c>
      <c r="D1055" s="144" t="str">
        <f>" - " &amp; 'Vật liệu'!D606</f>
        <v xml:space="preserve"> - Thép tấm</v>
      </c>
      <c r="E1055" s="168" t="str">
        <f>'Vật liệu'!E606</f>
        <v>kg</v>
      </c>
      <c r="F1055" s="60"/>
      <c r="G1055" s="60">
        <v>362.15</v>
      </c>
      <c r="H1055" s="60"/>
      <c r="I1055" s="60"/>
      <c r="J1055" s="60">
        <f>ROUND(F1050*G1055,4)</f>
        <v>3880.5821000000001</v>
      </c>
      <c r="K1055" s="60"/>
      <c r="L1055" s="60"/>
    </row>
    <row r="1056" spans="1:12" x14ac:dyDescent="0.25">
      <c r="A1056" s="168"/>
      <c r="B1056" s="144" t="str">
        <f>'Vật liệu'!B450</f>
        <v>V00515</v>
      </c>
      <c r="C1056" s="34">
        <v>154</v>
      </c>
      <c r="D1056" s="144" t="str">
        <f>" - " &amp; 'Vật liệu'!D450</f>
        <v xml:space="preserve"> - Que hàn</v>
      </c>
      <c r="E1056" s="168" t="str">
        <f>'Vật liệu'!E450</f>
        <v>kg</v>
      </c>
      <c r="F1056" s="60"/>
      <c r="G1056" s="60">
        <v>0</v>
      </c>
      <c r="H1056" s="60"/>
      <c r="I1056" s="60"/>
      <c r="J1056" s="60">
        <f>ROUND(F1050*G1056,4)</f>
        <v>0</v>
      </c>
      <c r="K1056" s="60"/>
      <c r="L1056" s="60"/>
    </row>
    <row r="1057" spans="1:12" x14ac:dyDescent="0.25">
      <c r="A1057" s="168"/>
      <c r="B1057" s="144" t="str">
        <f>'Vật liệu'!B766</f>
        <v>V00750</v>
      </c>
      <c r="C1057" s="34">
        <v>255</v>
      </c>
      <c r="D1057" s="144" t="str">
        <f>" - " &amp; 'Vật liệu'!D766</f>
        <v xml:space="preserve"> - Vật liệu khác</v>
      </c>
      <c r="E1057" s="168" t="str">
        <f>'Vật liệu'!E766</f>
        <v>%</v>
      </c>
      <c r="F1057" s="60"/>
      <c r="G1057" s="60">
        <v>5</v>
      </c>
      <c r="H1057" s="60"/>
      <c r="I1057" s="60"/>
      <c r="J1057" s="60"/>
      <c r="K1057" s="60"/>
      <c r="L1057" s="60"/>
    </row>
    <row r="1058" spans="1:12" ht="28.5" x14ac:dyDescent="0.25">
      <c r="A1058" s="65">
        <f>'Công trình'!A139</f>
        <v>107</v>
      </c>
      <c r="B1058" s="14" t="str">
        <f>'Công trình'!B139</f>
        <v>AI.63311</v>
      </c>
      <c r="C1058" s="94"/>
      <c r="D1058" s="14" t="str">
        <f>'Công trình'!C139</f>
        <v>Lắp dựng kết cấu thép hệ khung dàn, sàn đạo trên cạn</v>
      </c>
      <c r="E1058" s="46" t="str">
        <f>'Công trình'!D139</f>
        <v>tấn</v>
      </c>
      <c r="F1058" s="106">
        <f>'Công trình'!K139</f>
        <v>82.426400000000001</v>
      </c>
      <c r="G1058" s="126"/>
      <c r="H1058" s="126"/>
      <c r="I1058" s="126"/>
      <c r="J1058" s="126"/>
      <c r="K1058" s="126"/>
      <c r="L1058" s="126"/>
    </row>
    <row r="1059" spans="1:12" x14ac:dyDescent="0.25">
      <c r="A1059" s="56"/>
      <c r="B1059" s="23"/>
      <c r="C1059" s="88"/>
      <c r="D1059" s="23" t="s">
        <v>479</v>
      </c>
      <c r="E1059" s="56"/>
      <c r="F1059" s="118"/>
      <c r="G1059" s="118"/>
      <c r="H1059" s="118"/>
      <c r="I1059" s="118"/>
      <c r="J1059" s="118"/>
      <c r="K1059" s="118"/>
      <c r="L1059" s="118"/>
    </row>
    <row r="1060" spans="1:12" x14ac:dyDescent="0.25">
      <c r="A1060" s="168"/>
      <c r="B1060" s="144" t="str">
        <f>'Vật liệu'!B450</f>
        <v>V00515</v>
      </c>
      <c r="C1060" s="34">
        <v>154</v>
      </c>
      <c r="D1060" s="144" t="str">
        <f>" - " &amp; 'Vật liệu'!D450</f>
        <v xml:space="preserve"> - Que hàn</v>
      </c>
      <c r="E1060" s="168" t="str">
        <f>'Vật liệu'!E450</f>
        <v>kg</v>
      </c>
      <c r="F1060" s="60"/>
      <c r="G1060" s="60">
        <v>12</v>
      </c>
      <c r="H1060" s="60"/>
      <c r="I1060" s="60"/>
      <c r="J1060" s="60">
        <f>ROUND(F1058*G1060,4)</f>
        <v>989.11680000000001</v>
      </c>
      <c r="K1060" s="60"/>
      <c r="L1060" s="60"/>
    </row>
    <row r="1061" spans="1:12" x14ac:dyDescent="0.25">
      <c r="A1061" s="168"/>
      <c r="B1061" s="144" t="str">
        <f>'Vật liệu'!B556</f>
        <v>V00641</v>
      </c>
      <c r="C1061" s="34">
        <v>160</v>
      </c>
      <c r="D1061" s="144" t="str">
        <f>" - " &amp; 'Vật liệu'!D556</f>
        <v xml:space="preserve"> - Thép hình</v>
      </c>
      <c r="E1061" s="168" t="str">
        <f>'Vật liệu'!E556</f>
        <v>kg</v>
      </c>
      <c r="F1061" s="60"/>
      <c r="G1061" s="60">
        <v>0.45</v>
      </c>
      <c r="H1061" s="60"/>
      <c r="I1061" s="60"/>
      <c r="J1061" s="60">
        <f>ROUND(F1058*G1061,4)</f>
        <v>37.091900000000003</v>
      </c>
      <c r="K1061" s="60"/>
      <c r="L1061" s="60"/>
    </row>
    <row r="1062" spans="1:12" x14ac:dyDescent="0.25">
      <c r="A1062" s="168"/>
      <c r="B1062" s="144" t="str">
        <f>'Vật liệu'!B20</f>
        <v>V00039</v>
      </c>
      <c r="C1062" s="34">
        <v>122</v>
      </c>
      <c r="D1062" s="144" t="str">
        <f>" - " &amp; 'Vật liệu'!D20</f>
        <v xml:space="preserve"> - Bu lông M20</v>
      </c>
      <c r="E1062" s="168" t="str">
        <f>'Vật liệu'!E20</f>
        <v>cái</v>
      </c>
      <c r="F1062" s="60"/>
      <c r="G1062" s="60">
        <v>12</v>
      </c>
      <c r="H1062" s="60"/>
      <c r="I1062" s="60"/>
      <c r="J1062" s="60">
        <f>ROUND(F1058*G1062,4)</f>
        <v>989.11680000000001</v>
      </c>
      <c r="K1062" s="60"/>
      <c r="L1062" s="60"/>
    </row>
    <row r="1063" spans="1:12" x14ac:dyDescent="0.25">
      <c r="A1063" s="168"/>
      <c r="B1063" s="144" t="str">
        <f>'Vật liệu'!B766</f>
        <v>V00750</v>
      </c>
      <c r="C1063" s="34">
        <v>256</v>
      </c>
      <c r="D1063" s="144" t="str">
        <f>" - " &amp; 'Vật liệu'!D766</f>
        <v xml:space="preserve"> - Vật liệu khác</v>
      </c>
      <c r="E1063" s="168" t="str">
        <f>'Vật liệu'!E766</f>
        <v>%</v>
      </c>
      <c r="F1063" s="60"/>
      <c r="G1063" s="60">
        <v>5</v>
      </c>
      <c r="H1063" s="60"/>
      <c r="I1063" s="60"/>
      <c r="J1063" s="60"/>
      <c r="K1063" s="60"/>
      <c r="L1063" s="60"/>
    </row>
    <row r="1064" spans="1:12" x14ac:dyDescent="0.25">
      <c r="A1064" s="56"/>
      <c r="B1064" s="23"/>
      <c r="C1064" s="88"/>
      <c r="D1064" s="23" t="s">
        <v>202</v>
      </c>
      <c r="E1064" s="56"/>
      <c r="F1064" s="118"/>
      <c r="G1064" s="118"/>
      <c r="H1064" s="118"/>
      <c r="I1064" s="118"/>
      <c r="J1064" s="118"/>
      <c r="K1064" s="118"/>
      <c r="L1064" s="118"/>
    </row>
    <row r="1065" spans="1:12" x14ac:dyDescent="0.25">
      <c r="A1065" s="168"/>
      <c r="B1065" s="144" t="str">
        <f>'Nhân công'!B130</f>
        <v>N0011</v>
      </c>
      <c r="C1065" s="34">
        <v>550</v>
      </c>
      <c r="D1065" s="144" t="s">
        <v>671</v>
      </c>
      <c r="E1065" s="168" t="str">
        <f>'Nhân công'!G130</f>
        <v>công</v>
      </c>
      <c r="F1065" s="60"/>
      <c r="G1065" s="60"/>
      <c r="H1065" s="60">
        <v>9.5</v>
      </c>
      <c r="I1065" s="60"/>
      <c r="J1065" s="60"/>
      <c r="K1065" s="60">
        <f>ROUND(F1058*H1065,4)</f>
        <v>783.05079999999998</v>
      </c>
      <c r="L1065" s="60"/>
    </row>
    <row r="1066" spans="1:12" x14ac:dyDescent="0.25">
      <c r="A1066" s="56"/>
      <c r="B1066" s="23"/>
      <c r="C1066" s="88"/>
      <c r="D1066" s="23" t="s">
        <v>378</v>
      </c>
      <c r="E1066" s="56"/>
      <c r="F1066" s="118"/>
      <c r="G1066" s="118"/>
      <c r="H1066" s="118"/>
      <c r="I1066" s="118"/>
      <c r="J1066" s="118"/>
      <c r="K1066" s="118"/>
      <c r="L1066" s="118"/>
    </row>
    <row r="1067" spans="1:12" x14ac:dyDescent="0.25">
      <c r="A1067" s="168"/>
      <c r="B1067" s="144" t="str">
        <f>'Máy thi công'!B6</f>
        <v>M9438</v>
      </c>
      <c r="C1067" s="34">
        <v>714</v>
      </c>
      <c r="D1067" s="144" t="str">
        <f>" - " &amp; 'Máy thi công'!D6</f>
        <v xml:space="preserve"> - Biến thế hàn xoay chiều - công suất: 23 kW</v>
      </c>
      <c r="E1067" s="168" t="str">
        <f>'Máy thi công'!E6</f>
        <v>ca</v>
      </c>
      <c r="F1067" s="60"/>
      <c r="G1067" s="60"/>
      <c r="H1067" s="60"/>
      <c r="I1067" s="60">
        <v>3</v>
      </c>
      <c r="J1067" s="60"/>
      <c r="K1067" s="60"/>
      <c r="L1067" s="60">
        <f>ROUND(F1058*I1067,4)</f>
        <v>247.2792</v>
      </c>
    </row>
    <row r="1068" spans="1:12" x14ac:dyDescent="0.25">
      <c r="A1068" s="168"/>
      <c r="B1068" s="144" t="str">
        <f>'Máy thi công'!B120</f>
        <v>M9468</v>
      </c>
      <c r="C1068" s="34">
        <v>728</v>
      </c>
      <c r="D1068" s="144" t="str">
        <f>" - " &amp; 'Máy thi công'!D120</f>
        <v xml:space="preserve"> - Cần trục bánh xích - sức nâng: 16 t</v>
      </c>
      <c r="E1068" s="168" t="str">
        <f>'Máy thi công'!E120</f>
        <v>ca</v>
      </c>
      <c r="F1068" s="60"/>
      <c r="G1068" s="60"/>
      <c r="H1068" s="60"/>
      <c r="I1068" s="60">
        <v>0.27</v>
      </c>
      <c r="J1068" s="60"/>
      <c r="K1068" s="60"/>
      <c r="L1068" s="60">
        <f>ROUND(F1058*I1068,4)</f>
        <v>22.255099999999999</v>
      </c>
    </row>
    <row r="1069" spans="1:12" ht="28.5" x14ac:dyDescent="0.25">
      <c r="A1069" s="65">
        <f>'Công trình'!A140</f>
        <v>108</v>
      </c>
      <c r="B1069" s="14" t="str">
        <f>'Công trình'!B140</f>
        <v>AI.63311</v>
      </c>
      <c r="C1069" s="94"/>
      <c r="D1069" s="14" t="str">
        <f>'Công trình'!C140</f>
        <v>Tháo dỡ kết cấu thép hệ khung dàn, sàn đạo trên cạn (60% Đg)</v>
      </c>
      <c r="E1069" s="46" t="str">
        <f>'Công trình'!D140</f>
        <v>tấn</v>
      </c>
      <c r="F1069" s="106">
        <f>'Công trình'!K140</f>
        <v>82.426400000000001</v>
      </c>
      <c r="G1069" s="126"/>
      <c r="H1069" s="126"/>
      <c r="I1069" s="126"/>
      <c r="J1069" s="126"/>
      <c r="K1069" s="126"/>
      <c r="L1069" s="126"/>
    </row>
    <row r="1070" spans="1:12" x14ac:dyDescent="0.25">
      <c r="A1070" s="56"/>
      <c r="B1070" s="23"/>
      <c r="C1070" s="88"/>
      <c r="D1070" s="23" t="s">
        <v>479</v>
      </c>
      <c r="E1070" s="56"/>
      <c r="F1070" s="118"/>
      <c r="G1070" s="118"/>
      <c r="H1070" s="118"/>
      <c r="I1070" s="118"/>
      <c r="J1070" s="118"/>
      <c r="K1070" s="118"/>
      <c r="L1070" s="118"/>
    </row>
    <row r="1071" spans="1:12" x14ac:dyDescent="0.25">
      <c r="A1071" s="168"/>
      <c r="B1071" s="144" t="str">
        <f>'Vật liệu'!B450</f>
        <v>V00515</v>
      </c>
      <c r="C1071" s="34">
        <v>154</v>
      </c>
      <c r="D1071" s="144" t="str">
        <f>" - " &amp; 'Vật liệu'!D450</f>
        <v xml:space="preserve"> - Que hàn</v>
      </c>
      <c r="E1071" s="168" t="str">
        <f>'Vật liệu'!E450</f>
        <v>kg</v>
      </c>
      <c r="F1071" s="60"/>
      <c r="G1071" s="60">
        <v>7.2</v>
      </c>
      <c r="H1071" s="60"/>
      <c r="I1071" s="60"/>
      <c r="J1071" s="60">
        <f>ROUND(F1069*G1071,4)</f>
        <v>593.4701</v>
      </c>
      <c r="K1071" s="60"/>
      <c r="L1071" s="60"/>
    </row>
    <row r="1072" spans="1:12" x14ac:dyDescent="0.25">
      <c r="A1072" s="168"/>
      <c r="B1072" s="144" t="str">
        <f>'Vật liệu'!B556</f>
        <v>V00641</v>
      </c>
      <c r="C1072" s="34">
        <v>160</v>
      </c>
      <c r="D1072" s="144" t="str">
        <f>" - " &amp; 'Vật liệu'!D556</f>
        <v xml:space="preserve"> - Thép hình</v>
      </c>
      <c r="E1072" s="168" t="str">
        <f>'Vật liệu'!E556</f>
        <v>kg</v>
      </c>
      <c r="F1072" s="60"/>
      <c r="G1072" s="60">
        <v>0.27</v>
      </c>
      <c r="H1072" s="60"/>
      <c r="I1072" s="60"/>
      <c r="J1072" s="60">
        <f>ROUND(F1069*G1072,4)</f>
        <v>22.255099999999999</v>
      </c>
      <c r="K1072" s="60"/>
      <c r="L1072" s="60"/>
    </row>
    <row r="1073" spans="1:12" x14ac:dyDescent="0.25">
      <c r="A1073" s="168"/>
      <c r="B1073" s="144" t="str">
        <f>'Vật liệu'!B20</f>
        <v>V00039</v>
      </c>
      <c r="C1073" s="34">
        <v>122</v>
      </c>
      <c r="D1073" s="144" t="str">
        <f>" - " &amp; 'Vật liệu'!D20</f>
        <v xml:space="preserve"> - Bu lông M20</v>
      </c>
      <c r="E1073" s="168" t="str">
        <f>'Vật liệu'!E20</f>
        <v>cái</v>
      </c>
      <c r="F1073" s="60"/>
      <c r="G1073" s="60">
        <v>7.2</v>
      </c>
      <c r="H1073" s="60"/>
      <c r="I1073" s="60"/>
      <c r="J1073" s="60">
        <f>ROUND(F1069*G1073,4)</f>
        <v>593.4701</v>
      </c>
      <c r="K1073" s="60"/>
      <c r="L1073" s="60"/>
    </row>
    <row r="1074" spans="1:12" x14ac:dyDescent="0.25">
      <c r="A1074" s="168"/>
      <c r="B1074" s="144" t="str">
        <f>'Vật liệu'!B766</f>
        <v>V00750</v>
      </c>
      <c r="C1074" s="34">
        <v>257</v>
      </c>
      <c r="D1074" s="144" t="str">
        <f>" - " &amp; 'Vật liệu'!D766</f>
        <v xml:space="preserve"> - Vật liệu khác</v>
      </c>
      <c r="E1074" s="168" t="str">
        <f>'Vật liệu'!E766</f>
        <v>%</v>
      </c>
      <c r="F1074" s="60"/>
      <c r="G1074" s="60">
        <v>5</v>
      </c>
      <c r="H1074" s="60"/>
      <c r="I1074" s="60"/>
      <c r="J1074" s="60"/>
      <c r="K1074" s="60"/>
      <c r="L1074" s="60"/>
    </row>
    <row r="1075" spans="1:12" x14ac:dyDescent="0.25">
      <c r="A1075" s="56"/>
      <c r="B1075" s="23"/>
      <c r="C1075" s="88"/>
      <c r="D1075" s="23" t="s">
        <v>202</v>
      </c>
      <c r="E1075" s="56"/>
      <c r="F1075" s="118"/>
      <c r="G1075" s="118"/>
      <c r="H1075" s="118"/>
      <c r="I1075" s="118"/>
      <c r="J1075" s="118"/>
      <c r="K1075" s="118"/>
      <c r="L1075" s="118"/>
    </row>
    <row r="1076" spans="1:12" x14ac:dyDescent="0.25">
      <c r="A1076" s="168"/>
      <c r="B1076" s="144" t="str">
        <f>'Nhân công'!B130</f>
        <v>N0011</v>
      </c>
      <c r="C1076" s="34">
        <v>550</v>
      </c>
      <c r="D1076" s="144" t="s">
        <v>671</v>
      </c>
      <c r="E1076" s="168" t="str">
        <f>'Nhân công'!G130</f>
        <v>công</v>
      </c>
      <c r="F1076" s="60"/>
      <c r="G1076" s="60"/>
      <c r="H1076" s="60">
        <v>5.7</v>
      </c>
      <c r="I1076" s="60"/>
      <c r="J1076" s="60"/>
      <c r="K1076" s="60">
        <f>ROUND(F1069*H1076,4)</f>
        <v>469.83049999999997</v>
      </c>
      <c r="L1076" s="60"/>
    </row>
    <row r="1077" spans="1:12" x14ac:dyDescent="0.25">
      <c r="A1077" s="56"/>
      <c r="B1077" s="23"/>
      <c r="C1077" s="88"/>
      <c r="D1077" s="23" t="s">
        <v>378</v>
      </c>
      <c r="E1077" s="56"/>
      <c r="F1077" s="118"/>
      <c r="G1077" s="118"/>
      <c r="H1077" s="118"/>
      <c r="I1077" s="118"/>
      <c r="J1077" s="118"/>
      <c r="K1077" s="118"/>
      <c r="L1077" s="118"/>
    </row>
    <row r="1078" spans="1:12" x14ac:dyDescent="0.25">
      <c r="A1078" s="168"/>
      <c r="B1078" s="144" t="str">
        <f>'Máy thi công'!B6</f>
        <v>M9438</v>
      </c>
      <c r="C1078" s="34">
        <v>714</v>
      </c>
      <c r="D1078" s="144" t="str">
        <f>" - " &amp; 'Máy thi công'!D6</f>
        <v xml:space="preserve"> - Biến thế hàn xoay chiều - công suất: 23 kW</v>
      </c>
      <c r="E1078" s="168" t="str">
        <f>'Máy thi công'!E6</f>
        <v>ca</v>
      </c>
      <c r="F1078" s="60"/>
      <c r="G1078" s="60"/>
      <c r="H1078" s="60"/>
      <c r="I1078" s="60">
        <v>1.8</v>
      </c>
      <c r="J1078" s="60"/>
      <c r="K1078" s="60"/>
      <c r="L1078" s="60">
        <f>ROUND(F1069*I1078,4)</f>
        <v>148.36750000000001</v>
      </c>
    </row>
    <row r="1079" spans="1:12" x14ac:dyDescent="0.25">
      <c r="A1079" s="168"/>
      <c r="B1079" s="144" t="str">
        <f>'Máy thi công'!B120</f>
        <v>M9468</v>
      </c>
      <c r="C1079" s="34">
        <v>728</v>
      </c>
      <c r="D1079" s="144" t="str">
        <f>" - " &amp; 'Máy thi công'!D120</f>
        <v xml:space="preserve"> - Cần trục bánh xích - sức nâng: 16 t</v>
      </c>
      <c r="E1079" s="168" t="str">
        <f>'Máy thi công'!E120</f>
        <v>ca</v>
      </c>
      <c r="F1079" s="60"/>
      <c r="G1079" s="60"/>
      <c r="H1079" s="60"/>
      <c r="I1079" s="60">
        <v>0.16200000000000001</v>
      </c>
      <c r="J1079" s="60"/>
      <c r="K1079" s="60"/>
      <c r="L1079" s="60">
        <f>ROUND(F1069*I1079,4)</f>
        <v>13.3531</v>
      </c>
    </row>
    <row r="1080" spans="1:12" x14ac:dyDescent="0.25">
      <c r="A1080" s="65">
        <f>'Công trình'!A141</f>
        <v>109</v>
      </c>
      <c r="B1080" s="14" t="str">
        <f>'Công trình'!B141</f>
        <v>TT</v>
      </c>
      <c r="C1080" s="94"/>
      <c r="D1080" s="14" t="str">
        <f>'Công trình'!C141</f>
        <v>Bu long M22</v>
      </c>
      <c r="E1080" s="46" t="str">
        <f>'Công trình'!D141</f>
        <v>bộ</v>
      </c>
      <c r="F1080" s="106">
        <f>'Công trình'!K141</f>
        <v>1952</v>
      </c>
      <c r="G1080" s="126"/>
      <c r="H1080" s="126"/>
      <c r="I1080" s="126"/>
      <c r="J1080" s="126"/>
      <c r="K1080" s="126"/>
      <c r="L1080" s="126"/>
    </row>
    <row r="1081" spans="1:12" x14ac:dyDescent="0.25">
      <c r="A1081" s="56"/>
      <c r="B1081" s="23"/>
      <c r="C1081" s="88"/>
      <c r="D1081" s="23" t="s">
        <v>479</v>
      </c>
      <c r="E1081" s="56"/>
      <c r="F1081" s="118"/>
      <c r="G1081" s="118"/>
      <c r="H1081" s="118"/>
      <c r="I1081" s="118"/>
      <c r="J1081" s="118"/>
      <c r="K1081" s="118"/>
      <c r="L1081" s="118"/>
    </row>
    <row r="1082" spans="1:12" x14ac:dyDescent="0.25">
      <c r="A1082" s="168"/>
      <c r="B1082" s="144" t="str">
        <f>'Vật liệu'!B38</f>
        <v>V12689</v>
      </c>
      <c r="C1082" s="34">
        <v>453</v>
      </c>
      <c r="D1082" s="144" t="str">
        <f>" - " &amp; 'Vật liệu'!D38</f>
        <v xml:space="preserve"> - Bulông M22x350</v>
      </c>
      <c r="E1082" s="168" t="str">
        <f>'Vật liệu'!E38</f>
        <v>cái</v>
      </c>
      <c r="F1082" s="60"/>
      <c r="G1082" s="60">
        <v>1</v>
      </c>
      <c r="H1082" s="60"/>
      <c r="I1082" s="60"/>
      <c r="J1082" s="60">
        <f>ROUND(F1080*G1082,4)</f>
        <v>1952</v>
      </c>
      <c r="K1082" s="60"/>
      <c r="L1082" s="60"/>
    </row>
    <row r="1083" spans="1:12" ht="28.5" x14ac:dyDescent="0.25">
      <c r="A1083" s="65">
        <f>'Công trình'!A142</f>
        <v>110</v>
      </c>
      <c r="B1083" s="14" t="str">
        <f>'Công trình'!B142</f>
        <v>AC.22522</v>
      </c>
      <c r="C1083" s="94"/>
      <c r="D1083" s="14" t="str">
        <f>'Công trình'!C142</f>
        <v>Đóng cọc thép hình H300 trên mặt đất, chiều dài cọc &gt;10m, đất cấp II, phần ngập đất</v>
      </c>
      <c r="E1083" s="46" t="str">
        <f>'Công trình'!D142</f>
        <v>100m</v>
      </c>
      <c r="F1083" s="106">
        <f>'Công trình'!K142</f>
        <v>2.7</v>
      </c>
      <c r="G1083" s="126"/>
      <c r="H1083" s="126"/>
      <c r="I1083" s="126"/>
      <c r="J1083" s="126"/>
      <c r="K1083" s="126"/>
      <c r="L1083" s="126"/>
    </row>
    <row r="1084" spans="1:12" x14ac:dyDescent="0.25">
      <c r="A1084" s="56"/>
      <c r="B1084" s="23"/>
      <c r="C1084" s="88"/>
      <c r="D1084" s="23" t="s">
        <v>479</v>
      </c>
      <c r="E1084" s="56"/>
      <c r="F1084" s="118"/>
      <c r="G1084" s="118"/>
      <c r="H1084" s="118"/>
      <c r="I1084" s="118"/>
      <c r="J1084" s="118"/>
      <c r="K1084" s="118"/>
      <c r="L1084" s="118"/>
    </row>
    <row r="1085" spans="1:12" x14ac:dyDescent="0.25">
      <c r="A1085" s="168"/>
      <c r="B1085" s="144" t="str">
        <f>'Vật liệu'!B323</f>
        <v>V08281</v>
      </c>
      <c r="C1085" s="34">
        <v>433</v>
      </c>
      <c r="D1085" s="144" t="str">
        <f>" - " &amp; 'Vật liệu'!D323</f>
        <v xml:space="preserve"> - H(300x300x13x21)mm</v>
      </c>
      <c r="E1085" s="168" t="str">
        <f>'Vật liệu'!E323</f>
        <v>m</v>
      </c>
      <c r="F1085" s="60"/>
      <c r="G1085" s="60">
        <v>0</v>
      </c>
      <c r="H1085" s="60"/>
      <c r="I1085" s="60"/>
      <c r="J1085" s="60">
        <f>ROUND(F1083*G1085,4)</f>
        <v>0</v>
      </c>
      <c r="K1085" s="60"/>
      <c r="L1085" s="60"/>
    </row>
    <row r="1086" spans="1:12" x14ac:dyDescent="0.25">
      <c r="A1086" s="168"/>
      <c r="B1086" s="144" t="str">
        <f>'Vật liệu'!B766</f>
        <v>V00750</v>
      </c>
      <c r="C1086" s="34">
        <v>258</v>
      </c>
      <c r="D1086" s="144" t="str">
        <f>" - " &amp; 'Vật liệu'!D766</f>
        <v xml:space="preserve"> - Vật liệu khác</v>
      </c>
      <c r="E1086" s="168" t="str">
        <f>'Vật liệu'!E766</f>
        <v>%</v>
      </c>
      <c r="F1086" s="60"/>
      <c r="G1086" s="60">
        <v>1</v>
      </c>
      <c r="H1086" s="60"/>
      <c r="I1086" s="60"/>
      <c r="J1086" s="60"/>
      <c r="K1086" s="60"/>
      <c r="L1086" s="60"/>
    </row>
    <row r="1087" spans="1:12" x14ac:dyDescent="0.25">
      <c r="A1087" s="56"/>
      <c r="B1087" s="23"/>
      <c r="C1087" s="88"/>
      <c r="D1087" s="23" t="s">
        <v>202</v>
      </c>
      <c r="E1087" s="56"/>
      <c r="F1087" s="118"/>
      <c r="G1087" s="118"/>
      <c r="H1087" s="118"/>
      <c r="I1087" s="118"/>
      <c r="J1087" s="118"/>
      <c r="K1087" s="118"/>
      <c r="L1087" s="118"/>
    </row>
    <row r="1088" spans="1:12" x14ac:dyDescent="0.25">
      <c r="A1088" s="168"/>
      <c r="B1088" s="144" t="str">
        <f>'Nhân công'!B185</f>
        <v>N0020</v>
      </c>
      <c r="C1088" s="34">
        <v>555</v>
      </c>
      <c r="D1088" s="144" t="s">
        <v>625</v>
      </c>
      <c r="E1088" s="168" t="str">
        <f>'Nhân công'!G185</f>
        <v>công</v>
      </c>
      <c r="F1088" s="60"/>
      <c r="G1088" s="60"/>
      <c r="H1088" s="60">
        <v>6.72</v>
      </c>
      <c r="I1088" s="60"/>
      <c r="J1088" s="60"/>
      <c r="K1088" s="60">
        <f>ROUND(F1083*H1088,4)</f>
        <v>18.143999999999998</v>
      </c>
      <c r="L1088" s="60"/>
    </row>
    <row r="1089" spans="1:12" x14ac:dyDescent="0.25">
      <c r="A1089" s="56"/>
      <c r="B1089" s="23"/>
      <c r="C1089" s="88"/>
      <c r="D1089" s="23" t="s">
        <v>378</v>
      </c>
      <c r="E1089" s="56"/>
      <c r="F1089" s="118"/>
      <c r="G1089" s="118"/>
      <c r="H1089" s="118"/>
      <c r="I1089" s="118"/>
      <c r="J1089" s="118"/>
      <c r="K1089" s="118"/>
      <c r="L1089" s="118"/>
    </row>
    <row r="1090" spans="1:12" ht="30" x14ac:dyDescent="0.25">
      <c r="A1090" s="168"/>
      <c r="B1090" s="144" t="str">
        <f>'Máy thi công'!B85</f>
        <v>M9440</v>
      </c>
      <c r="C1090" s="34">
        <v>716</v>
      </c>
      <c r="D1090" s="144" t="str">
        <f>" - " &amp; 'Máy thi công'!D85</f>
        <v xml:space="preserve"> - Búa diezel chạy trên ray - trọng lượng đầu búa: 1,2 t</v>
      </c>
      <c r="E1090" s="168" t="str">
        <f>'Máy thi công'!E85</f>
        <v>ca</v>
      </c>
      <c r="F1090" s="60"/>
      <c r="G1090" s="60"/>
      <c r="H1090" s="60"/>
      <c r="I1090" s="60">
        <v>3.36</v>
      </c>
      <c r="J1090" s="60"/>
      <c r="K1090" s="60"/>
      <c r="L1090" s="60">
        <f>ROUND(F1083*I1090,4)</f>
        <v>9.0719999999999992</v>
      </c>
    </row>
    <row r="1091" spans="1:12" x14ac:dyDescent="0.25">
      <c r="A1091" s="168"/>
      <c r="B1091" s="144" t="str">
        <f>'Máy thi công'!B398</f>
        <v>M0111</v>
      </c>
      <c r="C1091" s="34">
        <v>610</v>
      </c>
      <c r="D1091" s="144" t="str">
        <f>" - " &amp; 'Máy thi công'!D398</f>
        <v xml:space="preserve"> - Máy khác</v>
      </c>
      <c r="E1091" s="168" t="str">
        <f>'Máy thi công'!E398</f>
        <v>%</v>
      </c>
      <c r="F1091" s="60"/>
      <c r="G1091" s="60"/>
      <c r="H1091" s="60"/>
      <c r="I1091" s="60">
        <v>1.5</v>
      </c>
      <c r="J1091" s="60"/>
      <c r="K1091" s="60"/>
      <c r="L1091" s="60"/>
    </row>
    <row r="1092" spans="1:12" ht="42.75" x14ac:dyDescent="0.25">
      <c r="A1092" s="65">
        <f>'Công trình'!A143</f>
        <v>111</v>
      </c>
      <c r="B1092" s="14" t="str">
        <f>'Công trình'!B143</f>
        <v>AC.22522</v>
      </c>
      <c r="C1092" s="94"/>
      <c r="D1092" s="14" t="str">
        <f>'Công trình'!C143</f>
        <v>Đóng cọc thép hình H300 trên mặt đất, chiều dài cọc &gt;10m, đất cấp II, phần không ngập đất (NC, MTC * 0,75)</v>
      </c>
      <c r="E1092" s="46" t="str">
        <f>'Công trình'!D143</f>
        <v>100m</v>
      </c>
      <c r="F1092" s="106">
        <f>'Công trình'!K143</f>
        <v>0.9</v>
      </c>
      <c r="G1092" s="126"/>
      <c r="H1092" s="126"/>
      <c r="I1092" s="126"/>
      <c r="J1092" s="126"/>
      <c r="K1092" s="126"/>
      <c r="L1092" s="126"/>
    </row>
    <row r="1093" spans="1:12" x14ac:dyDescent="0.25">
      <c r="A1093" s="56"/>
      <c r="B1093" s="23"/>
      <c r="C1093" s="88"/>
      <c r="D1093" s="23" t="s">
        <v>479</v>
      </c>
      <c r="E1093" s="56"/>
      <c r="F1093" s="118"/>
      <c r="G1093" s="118"/>
      <c r="H1093" s="118"/>
      <c r="I1093" s="118"/>
      <c r="J1093" s="118"/>
      <c r="K1093" s="118"/>
      <c r="L1093" s="118"/>
    </row>
    <row r="1094" spans="1:12" x14ac:dyDescent="0.25">
      <c r="A1094" s="168"/>
      <c r="B1094" s="144" t="str">
        <f>'Vật liệu'!B323</f>
        <v>V08281</v>
      </c>
      <c r="C1094" s="34">
        <v>433</v>
      </c>
      <c r="D1094" s="144" t="str">
        <f>" - " &amp; 'Vật liệu'!D323</f>
        <v xml:space="preserve"> - H(300x300x13x21)mm</v>
      </c>
      <c r="E1094" s="168" t="str">
        <f>'Vật liệu'!E323</f>
        <v>m</v>
      </c>
      <c r="F1094" s="60"/>
      <c r="G1094" s="60">
        <v>0</v>
      </c>
      <c r="H1094" s="60"/>
      <c r="I1094" s="60"/>
      <c r="J1094" s="60">
        <f>ROUND(F1092*G1094,4)</f>
        <v>0</v>
      </c>
      <c r="K1094" s="60"/>
      <c r="L1094" s="60"/>
    </row>
    <row r="1095" spans="1:12" x14ac:dyDescent="0.25">
      <c r="A1095" s="168"/>
      <c r="B1095" s="144" t="str">
        <f>'Vật liệu'!B766</f>
        <v>V00750</v>
      </c>
      <c r="C1095" s="34">
        <v>259</v>
      </c>
      <c r="D1095" s="144" t="str">
        <f>" - " &amp; 'Vật liệu'!D766</f>
        <v xml:space="preserve"> - Vật liệu khác</v>
      </c>
      <c r="E1095" s="168" t="str">
        <f>'Vật liệu'!E766</f>
        <v>%</v>
      </c>
      <c r="F1095" s="60"/>
      <c r="G1095" s="60">
        <v>1</v>
      </c>
      <c r="H1095" s="60"/>
      <c r="I1095" s="60"/>
      <c r="J1095" s="60"/>
      <c r="K1095" s="60"/>
      <c r="L1095" s="60"/>
    </row>
    <row r="1096" spans="1:12" x14ac:dyDescent="0.25">
      <c r="A1096" s="56"/>
      <c r="B1096" s="23"/>
      <c r="C1096" s="88"/>
      <c r="D1096" s="23" t="s">
        <v>202</v>
      </c>
      <c r="E1096" s="56"/>
      <c r="F1096" s="118"/>
      <c r="G1096" s="118"/>
      <c r="H1096" s="118"/>
      <c r="I1096" s="118"/>
      <c r="J1096" s="118"/>
      <c r="K1096" s="118"/>
      <c r="L1096" s="118"/>
    </row>
    <row r="1097" spans="1:12" x14ac:dyDescent="0.25">
      <c r="A1097" s="168"/>
      <c r="B1097" s="144" t="str">
        <f>'Nhân công'!B185</f>
        <v>N0020</v>
      </c>
      <c r="C1097" s="34">
        <v>555</v>
      </c>
      <c r="D1097" s="144" t="s">
        <v>625</v>
      </c>
      <c r="E1097" s="168" t="str">
        <f>'Nhân công'!G185</f>
        <v>công</v>
      </c>
      <c r="F1097" s="60"/>
      <c r="G1097" s="60"/>
      <c r="H1097" s="60">
        <v>5.79</v>
      </c>
      <c r="I1097" s="60"/>
      <c r="J1097" s="60"/>
      <c r="K1097" s="60">
        <f>ROUND(F1092*H1097,4)</f>
        <v>5.2110000000000003</v>
      </c>
      <c r="L1097" s="60"/>
    </row>
    <row r="1098" spans="1:12" x14ac:dyDescent="0.25">
      <c r="A1098" s="56"/>
      <c r="B1098" s="23"/>
      <c r="C1098" s="88"/>
      <c r="D1098" s="23" t="s">
        <v>378</v>
      </c>
      <c r="E1098" s="56"/>
      <c r="F1098" s="118"/>
      <c r="G1098" s="118"/>
      <c r="H1098" s="118"/>
      <c r="I1098" s="118"/>
      <c r="J1098" s="118"/>
      <c r="K1098" s="118"/>
      <c r="L1098" s="118"/>
    </row>
    <row r="1099" spans="1:12" ht="30" x14ac:dyDescent="0.25">
      <c r="A1099" s="168"/>
      <c r="B1099" s="144" t="str">
        <f>'Máy thi công'!B85</f>
        <v>M9440</v>
      </c>
      <c r="C1099" s="34">
        <v>716</v>
      </c>
      <c r="D1099" s="144" t="str">
        <f>" - " &amp; 'Máy thi công'!D85</f>
        <v xml:space="preserve"> - Búa diezel chạy trên ray - trọng lượng đầu búa: 1,2 t</v>
      </c>
      <c r="E1099" s="168" t="str">
        <f>'Máy thi công'!E85</f>
        <v>ca</v>
      </c>
      <c r="F1099" s="60"/>
      <c r="G1099" s="60"/>
      <c r="H1099" s="60"/>
      <c r="I1099" s="60">
        <v>2.52</v>
      </c>
      <c r="J1099" s="60"/>
      <c r="K1099" s="60"/>
      <c r="L1099" s="60">
        <f>ROUND(F1092*I1099,4)</f>
        <v>2.2679999999999998</v>
      </c>
    </row>
    <row r="1100" spans="1:12" x14ac:dyDescent="0.25">
      <c r="A1100" s="168"/>
      <c r="B1100" s="144" t="str">
        <f>'Máy thi công'!B398</f>
        <v>M0111</v>
      </c>
      <c r="C1100" s="34">
        <v>611</v>
      </c>
      <c r="D1100" s="144" t="str">
        <f>" - " &amp; 'Máy thi công'!D398</f>
        <v xml:space="preserve"> - Máy khác</v>
      </c>
      <c r="E1100" s="168" t="str">
        <f>'Máy thi công'!E398</f>
        <v>%</v>
      </c>
      <c r="F1100" s="60"/>
      <c r="G1100" s="60"/>
      <c r="H1100" s="60"/>
      <c r="I1100" s="60">
        <v>1.5</v>
      </c>
      <c r="J1100" s="60"/>
      <c r="K1100" s="60"/>
      <c r="L1100" s="60"/>
    </row>
    <row r="1101" spans="1:12" ht="28.5" x14ac:dyDescent="0.25">
      <c r="A1101" s="65">
        <f>'Công trình'!A144</f>
        <v>112</v>
      </c>
      <c r="B1101" s="14" t="str">
        <f>'Công trình'!B144</f>
        <v>TT</v>
      </c>
      <c r="C1101" s="94"/>
      <c r="D1101" s="14" t="str">
        <f>'Công trình'!C144</f>
        <v>Khấu hao cọc thép hình (Thi công trong vòng 3 tháng và 1 lần đóng nhổ)</v>
      </c>
      <c r="E1101" s="46" t="str">
        <f>'Công trình'!D144</f>
        <v>100m</v>
      </c>
      <c r="F1101" s="106">
        <f>'Công trình'!K144</f>
        <v>0.25240000000000001</v>
      </c>
      <c r="G1101" s="126"/>
      <c r="H1101" s="126"/>
      <c r="I1101" s="126"/>
      <c r="J1101" s="126"/>
      <c r="K1101" s="126"/>
      <c r="L1101" s="126"/>
    </row>
    <row r="1102" spans="1:12" x14ac:dyDescent="0.25">
      <c r="A1102" s="56"/>
      <c r="B1102" s="23"/>
      <c r="C1102" s="88"/>
      <c r="D1102" s="23" t="s">
        <v>479</v>
      </c>
      <c r="E1102" s="56"/>
      <c r="F1102" s="118"/>
      <c r="G1102" s="118"/>
      <c r="H1102" s="118"/>
      <c r="I1102" s="118"/>
      <c r="J1102" s="118"/>
      <c r="K1102" s="118"/>
      <c r="L1102" s="118"/>
    </row>
    <row r="1103" spans="1:12" x14ac:dyDescent="0.25">
      <c r="A1103" s="168"/>
      <c r="B1103" s="144" t="str">
        <f>'Vật liệu'!B323</f>
        <v>V08281</v>
      </c>
      <c r="C1103" s="34">
        <v>433</v>
      </c>
      <c r="D1103" s="144" t="str">
        <f>" - " &amp; 'Vật liệu'!D323</f>
        <v xml:space="preserve"> - H(300x300x13x21)mm</v>
      </c>
      <c r="E1103" s="168" t="str">
        <f>'Vật liệu'!E323</f>
        <v>m</v>
      </c>
      <c r="F1103" s="60"/>
      <c r="G1103" s="60">
        <v>100</v>
      </c>
      <c r="H1103" s="60"/>
      <c r="I1103" s="60"/>
      <c r="J1103" s="60">
        <f>ROUND(F1101*G1103,4)</f>
        <v>25.24</v>
      </c>
      <c r="K1103" s="60"/>
      <c r="L1103" s="60"/>
    </row>
    <row r="1104" spans="1:12" x14ac:dyDescent="0.25">
      <c r="A1104" s="168"/>
      <c r="B1104" s="144" t="str">
        <f>'Vật liệu'!B766</f>
        <v>V00750</v>
      </c>
      <c r="C1104" s="34">
        <v>260</v>
      </c>
      <c r="D1104" s="144" t="str">
        <f>" - " &amp; 'Vật liệu'!D766</f>
        <v xml:space="preserve"> - Vật liệu khác</v>
      </c>
      <c r="E1104" s="168" t="str">
        <f>'Vật liệu'!E766</f>
        <v>%</v>
      </c>
      <c r="F1104" s="60"/>
      <c r="G1104" s="60">
        <v>1</v>
      </c>
      <c r="H1104" s="60"/>
      <c r="I1104" s="60"/>
      <c r="J1104" s="60"/>
      <c r="K1104" s="60"/>
      <c r="L1104" s="60"/>
    </row>
    <row r="1105" spans="1:12" ht="28.5" x14ac:dyDescent="0.25">
      <c r="A1105" s="65">
        <f>'Công trình'!A146</f>
        <v>113</v>
      </c>
      <c r="B1105" s="14" t="str">
        <f>'Công trình'!B146</f>
        <v>AC.23110</v>
      </c>
      <c r="C1105" s="94"/>
      <c r="D1105" s="14" t="str">
        <f>'Công trình'!C146</f>
        <v>Nhổ cọc thép hình làm tường chắn đất, sàn thao tác trên cạn</v>
      </c>
      <c r="E1105" s="46" t="str">
        <f>'Công trình'!D146</f>
        <v>100m</v>
      </c>
      <c r="F1105" s="106">
        <f>'Công trình'!K146</f>
        <v>3.6</v>
      </c>
      <c r="G1105" s="126"/>
      <c r="H1105" s="126"/>
      <c r="I1105" s="126"/>
      <c r="J1105" s="126"/>
      <c r="K1105" s="126"/>
      <c r="L1105" s="126"/>
    </row>
    <row r="1106" spans="1:12" x14ac:dyDescent="0.25">
      <c r="A1106" s="56"/>
      <c r="B1106" s="23"/>
      <c r="C1106" s="88"/>
      <c r="D1106" s="23" t="s">
        <v>202</v>
      </c>
      <c r="E1106" s="56"/>
      <c r="F1106" s="118"/>
      <c r="G1106" s="118"/>
      <c r="H1106" s="118"/>
      <c r="I1106" s="118"/>
      <c r="J1106" s="118"/>
      <c r="K1106" s="118"/>
      <c r="L1106" s="118"/>
    </row>
    <row r="1107" spans="1:12" x14ac:dyDescent="0.25">
      <c r="A1107" s="168"/>
      <c r="B1107" s="144" t="str">
        <f>'Nhân công'!B185</f>
        <v>N0020</v>
      </c>
      <c r="C1107" s="34">
        <v>555</v>
      </c>
      <c r="D1107" s="144" t="s">
        <v>625</v>
      </c>
      <c r="E1107" s="168" t="str">
        <f>'Nhân công'!G185</f>
        <v>công</v>
      </c>
      <c r="F1107" s="60"/>
      <c r="G1107" s="60"/>
      <c r="H1107" s="60">
        <v>2.66</v>
      </c>
      <c r="I1107" s="60"/>
      <c r="J1107" s="60"/>
      <c r="K1107" s="60">
        <f>ROUND(F1105*H1107,4)</f>
        <v>9.5760000000000005</v>
      </c>
      <c r="L1107" s="60"/>
    </row>
    <row r="1108" spans="1:12" x14ac:dyDescent="0.25">
      <c r="A1108" s="56"/>
      <c r="B1108" s="23"/>
      <c r="C1108" s="88"/>
      <c r="D1108" s="23" t="s">
        <v>378</v>
      </c>
      <c r="E1108" s="56"/>
      <c r="F1108" s="118"/>
      <c r="G1108" s="118"/>
      <c r="H1108" s="118"/>
      <c r="I1108" s="118"/>
      <c r="J1108" s="118"/>
      <c r="K1108" s="118"/>
      <c r="L1108" s="118"/>
    </row>
    <row r="1109" spans="1:12" x14ac:dyDescent="0.25">
      <c r="A1109" s="168"/>
      <c r="B1109" s="144" t="str">
        <f>'Máy thi công'!B135</f>
        <v>M9469</v>
      </c>
      <c r="C1109" s="34">
        <v>729</v>
      </c>
      <c r="D1109" s="144" t="str">
        <f>" - " &amp; 'Máy thi công'!D135</f>
        <v xml:space="preserve"> - Cần trục bánh xích - sức nâng: 25 t</v>
      </c>
      <c r="E1109" s="168" t="str">
        <f>'Máy thi công'!E135</f>
        <v>ca</v>
      </c>
      <c r="F1109" s="60"/>
      <c r="G1109" s="60"/>
      <c r="H1109" s="60"/>
      <c r="I1109" s="60">
        <v>1.33</v>
      </c>
      <c r="J1109" s="60"/>
      <c r="K1109" s="60"/>
      <c r="L1109" s="60">
        <f>ROUND(F1105*I1109,4)</f>
        <v>4.7880000000000003</v>
      </c>
    </row>
    <row r="1110" spans="1:12" x14ac:dyDescent="0.25">
      <c r="A1110" s="168"/>
      <c r="B1110" s="144" t="str">
        <f>'Máy thi công'!B398</f>
        <v>M0111</v>
      </c>
      <c r="C1110" s="34">
        <v>612</v>
      </c>
      <c r="D1110" s="144" t="str">
        <f>" - " &amp; 'Máy thi công'!D398</f>
        <v xml:space="preserve"> - Máy khác</v>
      </c>
      <c r="E1110" s="168" t="str">
        <f>'Máy thi công'!E398</f>
        <v>%</v>
      </c>
      <c r="F1110" s="60"/>
      <c r="G1110" s="60"/>
      <c r="H1110" s="60"/>
      <c r="I1110" s="60">
        <v>2</v>
      </c>
      <c r="J1110" s="60"/>
      <c r="K1110" s="60"/>
      <c r="L1110" s="60"/>
    </row>
    <row r="1111" spans="1:12" x14ac:dyDescent="0.25">
      <c r="A1111" s="65">
        <f>'Công trình'!A147</f>
        <v>114</v>
      </c>
      <c r="B1111" s="14" t="str">
        <f>'Công trình'!B147</f>
        <v>AI.11411</v>
      </c>
      <c r="C1111" s="94"/>
      <c r="D1111" s="14" t="str">
        <f>'Công trình'!C147</f>
        <v>Sản xuất thang sắt</v>
      </c>
      <c r="E1111" s="46" t="str">
        <f>'Công trình'!D147</f>
        <v>tấn</v>
      </c>
      <c r="F1111" s="106">
        <f>'Công trình'!K147</f>
        <v>7.4099999999999999E-2</v>
      </c>
      <c r="G1111" s="126"/>
      <c r="H1111" s="126"/>
      <c r="I1111" s="126"/>
      <c r="J1111" s="126"/>
      <c r="K1111" s="126"/>
      <c r="L1111" s="126"/>
    </row>
    <row r="1112" spans="1:12" x14ac:dyDescent="0.25">
      <c r="A1112" s="56"/>
      <c r="B1112" s="23"/>
      <c r="C1112" s="88"/>
      <c r="D1112" s="23" t="s">
        <v>479</v>
      </c>
      <c r="E1112" s="56"/>
      <c r="F1112" s="118"/>
      <c r="G1112" s="118"/>
      <c r="H1112" s="118"/>
      <c r="I1112" s="118"/>
      <c r="J1112" s="118"/>
      <c r="K1112" s="118"/>
      <c r="L1112" s="118"/>
    </row>
    <row r="1113" spans="1:12" x14ac:dyDescent="0.25">
      <c r="A1113" s="168"/>
      <c r="B1113" s="144" t="str">
        <f>'Vật liệu'!B401</f>
        <v>V00770</v>
      </c>
      <c r="C1113" s="34">
        <v>400</v>
      </c>
      <c r="D1113" s="144" t="str">
        <f>" - " &amp; 'Vật liệu'!D401</f>
        <v xml:space="preserve"> - Ô xy</v>
      </c>
      <c r="E1113" s="168" t="str">
        <f>'Vật liệu'!E401</f>
        <v>Chai</v>
      </c>
      <c r="F1113" s="60"/>
      <c r="G1113" s="60">
        <v>0.48</v>
      </c>
      <c r="H1113" s="60"/>
      <c r="I1113" s="60"/>
      <c r="J1113" s="60">
        <f>ROUND(F1111*G1113,4)</f>
        <v>3.56E-2</v>
      </c>
      <c r="K1113" s="60"/>
      <c r="L1113" s="60"/>
    </row>
    <row r="1114" spans="1:12" x14ac:dyDescent="0.25">
      <c r="A1114" s="168"/>
      <c r="B1114" s="144" t="str">
        <f>'Vật liệu'!B200</f>
        <v>V00833</v>
      </c>
      <c r="C1114" s="34">
        <v>411</v>
      </c>
      <c r="D1114" s="144" t="str">
        <f>" - " &amp; 'Vật liệu'!D200</f>
        <v xml:space="preserve"> - Đất đèn</v>
      </c>
      <c r="E1114" s="168" t="str">
        <f>'Vật liệu'!E200</f>
        <v>kg</v>
      </c>
      <c r="F1114" s="60"/>
      <c r="G1114" s="60">
        <v>1.93</v>
      </c>
      <c r="H1114" s="60"/>
      <c r="I1114" s="60"/>
      <c r="J1114" s="60">
        <f>ROUND(F1111*G1114,4)</f>
        <v>0.14299999999999999</v>
      </c>
      <c r="K1114" s="60"/>
      <c r="L1114" s="60"/>
    </row>
    <row r="1115" spans="1:12" x14ac:dyDescent="0.25">
      <c r="A1115" s="168"/>
      <c r="B1115" s="144" t="str">
        <f>'Vật liệu'!B450</f>
        <v>V00515</v>
      </c>
      <c r="C1115" s="34">
        <v>154</v>
      </c>
      <c r="D1115" s="144" t="str">
        <f>" - " &amp; 'Vật liệu'!D450</f>
        <v xml:space="preserve"> - Que hàn</v>
      </c>
      <c r="E1115" s="168" t="str">
        <f>'Vật liệu'!E450</f>
        <v>kg</v>
      </c>
      <c r="F1115" s="60"/>
      <c r="G1115" s="60">
        <v>24.5</v>
      </c>
      <c r="H1115" s="60"/>
      <c r="I1115" s="60"/>
      <c r="J1115" s="60">
        <f>ROUND(F1111*G1115,4)</f>
        <v>1.8154999999999999</v>
      </c>
      <c r="K1115" s="60"/>
      <c r="L1115" s="60"/>
    </row>
    <row r="1116" spans="1:12" x14ac:dyDescent="0.25">
      <c r="A1116" s="168"/>
      <c r="B1116" s="144" t="str">
        <f>'Vật liệu'!B556</f>
        <v>V00641</v>
      </c>
      <c r="C1116" s="34">
        <v>160</v>
      </c>
      <c r="D1116" s="144" t="str">
        <f>" - " &amp; 'Vật liệu'!D556</f>
        <v xml:space="preserve"> - Thép hình</v>
      </c>
      <c r="E1116" s="168" t="str">
        <f>'Vật liệu'!E556</f>
        <v>kg</v>
      </c>
      <c r="F1116" s="60"/>
      <c r="G1116" s="60">
        <v>618.4</v>
      </c>
      <c r="H1116" s="60"/>
      <c r="I1116" s="60"/>
      <c r="J1116" s="60">
        <f>ROUND(F1111*G1116,4)</f>
        <v>45.823399999999999</v>
      </c>
      <c r="K1116" s="60"/>
      <c r="L1116" s="60"/>
    </row>
    <row r="1117" spans="1:12" x14ac:dyDescent="0.25">
      <c r="A1117" s="168"/>
      <c r="B1117" s="144" t="str">
        <f>'Vật liệu'!B648</f>
        <v>V00656</v>
      </c>
      <c r="C1117" s="34">
        <v>165</v>
      </c>
      <c r="D1117" s="144" t="str">
        <f>" - " &amp; 'Vật liệu'!D648</f>
        <v xml:space="preserve"> - Thép tròn</v>
      </c>
      <c r="E1117" s="168" t="str">
        <f>'Vật liệu'!E648</f>
        <v>kg</v>
      </c>
      <c r="F1117" s="60"/>
      <c r="G1117" s="60">
        <v>416.5</v>
      </c>
      <c r="H1117" s="60"/>
      <c r="I1117" s="60"/>
      <c r="J1117" s="60">
        <f>ROUND(F1111*G1117,4)</f>
        <v>30.8627</v>
      </c>
      <c r="K1117" s="60"/>
      <c r="L1117" s="60"/>
    </row>
    <row r="1118" spans="1:12" x14ac:dyDescent="0.25">
      <c r="A1118" s="56"/>
      <c r="B1118" s="23"/>
      <c r="C1118" s="88"/>
      <c r="D1118" s="23" t="s">
        <v>202</v>
      </c>
      <c r="E1118" s="56"/>
      <c r="F1118" s="118"/>
      <c r="G1118" s="118"/>
      <c r="H1118" s="118"/>
      <c r="I1118" s="118"/>
      <c r="J1118" s="118"/>
      <c r="K1118" s="118"/>
      <c r="L1118" s="118"/>
    </row>
    <row r="1119" spans="1:12" x14ac:dyDescent="0.25">
      <c r="A1119" s="168"/>
      <c r="B1119" s="144" t="str">
        <f>'Nhân công'!B45</f>
        <v>N0009</v>
      </c>
      <c r="C1119" s="34">
        <v>546</v>
      </c>
      <c r="D1119" s="144" t="s">
        <v>1052</v>
      </c>
      <c r="E1119" s="168" t="str">
        <f>'Nhân công'!G45</f>
        <v>công</v>
      </c>
      <c r="F1119" s="60"/>
      <c r="G1119" s="60"/>
      <c r="H1119" s="60">
        <v>29.614999999999998</v>
      </c>
      <c r="I1119" s="60"/>
      <c r="J1119" s="60"/>
      <c r="K1119" s="60">
        <f>ROUND(F1111*H1119,4)</f>
        <v>2.1945000000000001</v>
      </c>
      <c r="L1119" s="60"/>
    </row>
    <row r="1120" spans="1:12" x14ac:dyDescent="0.25">
      <c r="A1120" s="56"/>
      <c r="B1120" s="23"/>
      <c r="C1120" s="88"/>
      <c r="D1120" s="23" t="s">
        <v>378</v>
      </c>
      <c r="E1120" s="56"/>
      <c r="F1120" s="118"/>
      <c r="G1120" s="118"/>
      <c r="H1120" s="118"/>
      <c r="I1120" s="118"/>
      <c r="J1120" s="118"/>
      <c r="K1120" s="118"/>
      <c r="L1120" s="118"/>
    </row>
    <row r="1121" spans="1:12" x14ac:dyDescent="0.25">
      <c r="A1121" s="168"/>
      <c r="B1121" s="144" t="str">
        <f>'Máy thi công'!B281</f>
        <v>M112.1502</v>
      </c>
      <c r="C1121" s="34">
        <v>702</v>
      </c>
      <c r="D1121" s="144" t="str">
        <f>" - " &amp; 'Máy thi công'!D281</f>
        <v xml:space="preserve"> - Máy khoan đứng - công suất: 4,5 kW</v>
      </c>
      <c r="E1121" s="168" t="str">
        <f>'Máy thi công'!E281</f>
        <v>ca</v>
      </c>
      <c r="F1121" s="60"/>
      <c r="G1121" s="60"/>
      <c r="H1121" s="60"/>
      <c r="I1121" s="60">
        <v>1.75</v>
      </c>
      <c r="J1121" s="60"/>
      <c r="K1121" s="60"/>
      <c r="L1121" s="60">
        <f>ROUND(F1111*I1121,4)</f>
        <v>0.12970000000000001</v>
      </c>
    </row>
    <row r="1122" spans="1:12" x14ac:dyDescent="0.25">
      <c r="A1122" s="168"/>
      <c r="B1122" s="144" t="str">
        <f>'Máy thi công'!B6</f>
        <v>M9438</v>
      </c>
      <c r="C1122" s="34">
        <v>714</v>
      </c>
      <c r="D1122" s="144" t="str">
        <f>" - " &amp; 'Máy thi công'!D6</f>
        <v xml:space="preserve"> - Biến thế hàn xoay chiều - công suất: 23 kW</v>
      </c>
      <c r="E1122" s="168" t="str">
        <f>'Máy thi công'!E6</f>
        <v>ca</v>
      </c>
      <c r="F1122" s="60"/>
      <c r="G1122" s="60"/>
      <c r="H1122" s="60"/>
      <c r="I1122" s="60">
        <v>6.15</v>
      </c>
      <c r="J1122" s="60"/>
      <c r="K1122" s="60"/>
      <c r="L1122" s="60">
        <f>ROUND(F1111*I1122,4)</f>
        <v>0.45569999999999999</v>
      </c>
    </row>
    <row r="1123" spans="1:12" x14ac:dyDescent="0.25">
      <c r="A1123" s="65">
        <f>'Công trình'!A148</f>
        <v>115</v>
      </c>
      <c r="B1123" s="14" t="str">
        <f>'Công trình'!B148</f>
        <v>AI.61171</v>
      </c>
      <c r="C1123" s="94"/>
      <c r="D1123" s="14" t="str">
        <f>'Công trình'!C148</f>
        <v>Lắp sàn thang sắt</v>
      </c>
      <c r="E1123" s="46" t="str">
        <f>'Công trình'!D148</f>
        <v>tấn</v>
      </c>
      <c r="F1123" s="106">
        <f>'Công trình'!K148</f>
        <v>7.4099999999999999E-2</v>
      </c>
      <c r="G1123" s="126"/>
      <c r="H1123" s="126"/>
      <c r="I1123" s="126"/>
      <c r="J1123" s="126"/>
      <c r="K1123" s="126"/>
      <c r="L1123" s="126"/>
    </row>
    <row r="1124" spans="1:12" x14ac:dyDescent="0.25">
      <c r="A1124" s="56"/>
      <c r="B1124" s="23"/>
      <c r="C1124" s="88"/>
      <c r="D1124" s="23" t="s">
        <v>479</v>
      </c>
      <c r="E1124" s="56"/>
      <c r="F1124" s="118"/>
      <c r="G1124" s="118"/>
      <c r="H1124" s="118"/>
      <c r="I1124" s="118"/>
      <c r="J1124" s="118"/>
      <c r="K1124" s="118"/>
      <c r="L1124" s="118"/>
    </row>
    <row r="1125" spans="1:12" x14ac:dyDescent="0.25">
      <c r="A1125" s="168"/>
      <c r="B1125" s="144" t="str">
        <f>'Vật liệu'!B450</f>
        <v>V00515</v>
      </c>
      <c r="C1125" s="34">
        <v>154</v>
      </c>
      <c r="D1125" s="144" t="str">
        <f>" - " &amp; 'Vật liệu'!D450</f>
        <v xml:space="preserve"> - Que hàn</v>
      </c>
      <c r="E1125" s="168" t="str">
        <f>'Vật liệu'!E450</f>
        <v>kg</v>
      </c>
      <c r="F1125" s="60"/>
      <c r="G1125" s="60">
        <v>12</v>
      </c>
      <c r="H1125" s="60"/>
      <c r="I1125" s="60"/>
      <c r="J1125" s="60">
        <f>ROUND(F1123*G1125,4)</f>
        <v>0.88919999999999999</v>
      </c>
      <c r="K1125" s="60"/>
      <c r="L1125" s="60"/>
    </row>
    <row r="1126" spans="1:12" x14ac:dyDescent="0.25">
      <c r="A1126" s="168"/>
      <c r="B1126" s="144" t="str">
        <f>'Vật liệu'!B30</f>
        <v>V00049</v>
      </c>
      <c r="C1126" s="34">
        <v>123</v>
      </c>
      <c r="D1126" s="144" t="str">
        <f>" - " &amp; 'Vật liệu'!D30</f>
        <v xml:space="preserve"> - Bu lông M20x80</v>
      </c>
      <c r="E1126" s="168" t="str">
        <f>'Vật liệu'!E30</f>
        <v>cái</v>
      </c>
      <c r="F1126" s="60"/>
      <c r="G1126" s="60">
        <v>12</v>
      </c>
      <c r="H1126" s="60"/>
      <c r="I1126" s="60"/>
      <c r="J1126" s="60">
        <f>ROUND(F1123*G1126,4)</f>
        <v>0.88919999999999999</v>
      </c>
      <c r="K1126" s="60"/>
      <c r="L1126" s="60"/>
    </row>
    <row r="1127" spans="1:12" x14ac:dyDescent="0.25">
      <c r="A1127" s="168"/>
      <c r="B1127" s="144" t="str">
        <f>'Vật liệu'!B766</f>
        <v>V00750</v>
      </c>
      <c r="C1127" s="34">
        <v>263</v>
      </c>
      <c r="D1127" s="144" t="str">
        <f>" - " &amp; 'Vật liệu'!D766</f>
        <v xml:space="preserve"> - Vật liệu khác</v>
      </c>
      <c r="E1127" s="168" t="str">
        <f>'Vật liệu'!E766</f>
        <v>%</v>
      </c>
      <c r="F1127" s="60"/>
      <c r="G1127" s="60">
        <v>5</v>
      </c>
      <c r="H1127" s="60"/>
      <c r="I1127" s="60"/>
      <c r="J1127" s="60"/>
      <c r="K1127" s="60"/>
      <c r="L1127" s="60"/>
    </row>
    <row r="1128" spans="1:12" x14ac:dyDescent="0.25">
      <c r="A1128" s="56"/>
      <c r="B1128" s="23"/>
      <c r="C1128" s="88"/>
      <c r="D1128" s="23" t="s">
        <v>202</v>
      </c>
      <c r="E1128" s="56"/>
      <c r="F1128" s="118"/>
      <c r="G1128" s="118"/>
      <c r="H1128" s="118"/>
      <c r="I1128" s="118"/>
      <c r="J1128" s="118"/>
      <c r="K1128" s="118"/>
      <c r="L1128" s="118"/>
    </row>
    <row r="1129" spans="1:12" x14ac:dyDescent="0.25">
      <c r="A1129" s="168"/>
      <c r="B1129" s="144" t="str">
        <f>'Nhân công'!B6</f>
        <v>N0006</v>
      </c>
      <c r="C1129" s="34">
        <v>545</v>
      </c>
      <c r="D1129" s="144" t="s">
        <v>256</v>
      </c>
      <c r="E1129" s="168" t="str">
        <f>'Nhân công'!G6</f>
        <v>công</v>
      </c>
      <c r="F1129" s="60"/>
      <c r="G1129" s="60"/>
      <c r="H1129" s="60">
        <v>13.63</v>
      </c>
      <c r="I1129" s="60"/>
      <c r="J1129" s="60"/>
      <c r="K1129" s="60">
        <f>ROUND(F1123*H1129,4)</f>
        <v>1.01</v>
      </c>
      <c r="L1129" s="60"/>
    </row>
    <row r="1130" spans="1:12" x14ac:dyDescent="0.25">
      <c r="A1130" s="56"/>
      <c r="B1130" s="23"/>
      <c r="C1130" s="88"/>
      <c r="D1130" s="23" t="s">
        <v>378</v>
      </c>
      <c r="E1130" s="56"/>
      <c r="F1130" s="118"/>
      <c r="G1130" s="118"/>
      <c r="H1130" s="118"/>
      <c r="I1130" s="118"/>
      <c r="J1130" s="118"/>
      <c r="K1130" s="118"/>
      <c r="L1130" s="118"/>
    </row>
    <row r="1131" spans="1:12" x14ac:dyDescent="0.25">
      <c r="A1131" s="168"/>
      <c r="B1131" s="144" t="str">
        <f>'Máy thi công'!B6</f>
        <v>M9438</v>
      </c>
      <c r="C1131" s="34">
        <v>714</v>
      </c>
      <c r="D1131" s="144" t="str">
        <f>" - " &amp; 'Máy thi công'!D6</f>
        <v xml:space="preserve"> - Biến thế hàn xoay chiều - công suất: 23 kW</v>
      </c>
      <c r="E1131" s="168" t="str">
        <f>'Máy thi công'!E6</f>
        <v>ca</v>
      </c>
      <c r="F1131" s="60"/>
      <c r="G1131" s="60"/>
      <c r="H1131" s="60"/>
      <c r="I1131" s="60">
        <v>3</v>
      </c>
      <c r="J1131" s="60"/>
      <c r="K1131" s="60"/>
      <c r="L1131" s="60">
        <f>ROUND(F1123*I1131,4)</f>
        <v>0.2223</v>
      </c>
    </row>
    <row r="1132" spans="1:12" x14ac:dyDescent="0.25">
      <c r="A1132" s="168"/>
      <c r="B1132" s="144" t="str">
        <f>'Máy thi công'!B148</f>
        <v>M9478</v>
      </c>
      <c r="C1132" s="34">
        <v>733</v>
      </c>
      <c r="D1132" s="144" t="str">
        <f>" - " &amp; 'Máy thi công'!D148</f>
        <v xml:space="preserve"> - Cần trục ô tô - sức nâng: 10 t</v>
      </c>
      <c r="E1132" s="168" t="str">
        <f>'Máy thi công'!E148</f>
        <v>ca</v>
      </c>
      <c r="F1132" s="60"/>
      <c r="G1132" s="60"/>
      <c r="H1132" s="60"/>
      <c r="I1132" s="60">
        <v>0.42</v>
      </c>
      <c r="J1132" s="60"/>
      <c r="K1132" s="60"/>
      <c r="L1132" s="60">
        <f>ROUND(F1123*I1132,4)</f>
        <v>3.1099999999999999E-2</v>
      </c>
    </row>
    <row r="1133" spans="1:12" ht="28.5" x14ac:dyDescent="0.25">
      <c r="A1133" s="65">
        <f>'Công trình'!A149</f>
        <v>116</v>
      </c>
      <c r="B1133" s="14" t="str">
        <f>'Công trình'!B149</f>
        <v>AC.11121</v>
      </c>
      <c r="C1133" s="94"/>
      <c r="D1133" s="14" t="str">
        <f>'Công trình'!C149</f>
        <v>Đóng cọc tràm chiều dài cọc ngập đất &gt;2,5m đất cấp I</v>
      </c>
      <c r="E1133" s="46" t="str">
        <f>'Công trình'!D149</f>
        <v>100m</v>
      </c>
      <c r="F1133" s="106">
        <f>'Công trình'!K149</f>
        <v>21.15</v>
      </c>
      <c r="G1133" s="126"/>
      <c r="H1133" s="126"/>
      <c r="I1133" s="126"/>
      <c r="J1133" s="126"/>
      <c r="K1133" s="126"/>
      <c r="L1133" s="126"/>
    </row>
    <row r="1134" spans="1:12" x14ac:dyDescent="0.25">
      <c r="A1134" s="56"/>
      <c r="B1134" s="23"/>
      <c r="C1134" s="88"/>
      <c r="D1134" s="23" t="s">
        <v>479</v>
      </c>
      <c r="E1134" s="56"/>
      <c r="F1134" s="118"/>
      <c r="G1134" s="118"/>
      <c r="H1134" s="118"/>
      <c r="I1134" s="118"/>
      <c r="J1134" s="118"/>
      <c r="K1134" s="118"/>
      <c r="L1134" s="118"/>
    </row>
    <row r="1135" spans="1:12" x14ac:dyDescent="0.25">
      <c r="A1135" s="168"/>
      <c r="B1135" s="144" t="str">
        <f>'Vật liệu'!B307</f>
        <v>V00402</v>
      </c>
      <c r="C1135" s="34">
        <v>142</v>
      </c>
      <c r="D1135" s="144" t="str">
        <f>" - " &amp; 'Vật liệu'!D307</f>
        <v xml:space="preserve"> - Gỗ ván</v>
      </c>
      <c r="E1135" s="168" t="str">
        <f>'Vật liệu'!E307</f>
        <v>m3</v>
      </c>
      <c r="F1135" s="60"/>
      <c r="G1135" s="60">
        <v>0.01</v>
      </c>
      <c r="H1135" s="60"/>
      <c r="I1135" s="60"/>
      <c r="J1135" s="60">
        <f>ROUND(F1133*G1135,4)</f>
        <v>0.21149999999999999</v>
      </c>
      <c r="K1135" s="60"/>
      <c r="L1135" s="60"/>
    </row>
    <row r="1136" spans="1:12" x14ac:dyDescent="0.25">
      <c r="A1136" s="168"/>
      <c r="B1136" s="144" t="str">
        <f>'Vật liệu'!B124</f>
        <v>V32325</v>
      </c>
      <c r="C1136" s="34">
        <v>466</v>
      </c>
      <c r="D1136" s="144" t="str">
        <f>" - " &amp; 'Vật liệu'!D124</f>
        <v xml:space="preserve"> - Cọc tràm</v>
      </c>
      <c r="E1136" s="168" t="str">
        <f>'Vật liệu'!E124</f>
        <v>m</v>
      </c>
      <c r="F1136" s="60"/>
      <c r="G1136" s="60">
        <v>105</v>
      </c>
      <c r="H1136" s="60"/>
      <c r="I1136" s="60"/>
      <c r="J1136" s="60">
        <f>ROUND(F1133*G1136,4)</f>
        <v>2220.75</v>
      </c>
      <c r="K1136" s="60"/>
      <c r="L1136" s="60"/>
    </row>
    <row r="1137" spans="1:12" x14ac:dyDescent="0.25">
      <c r="A1137" s="168"/>
      <c r="B1137" s="144" t="str">
        <f>'Vật liệu'!B101</f>
        <v>V00116</v>
      </c>
      <c r="C1137" s="34">
        <v>129</v>
      </c>
      <c r="D1137" s="144" t="str">
        <f>" - " &amp; 'Vật liệu'!D101</f>
        <v xml:space="preserve"> - Cây chống</v>
      </c>
      <c r="E1137" s="168" t="str">
        <f>'Vật liệu'!E101</f>
        <v>cây</v>
      </c>
      <c r="F1137" s="60"/>
      <c r="G1137" s="60">
        <v>1.65</v>
      </c>
      <c r="H1137" s="60"/>
      <c r="I1137" s="60"/>
      <c r="J1137" s="60">
        <f>ROUND(F1133*G1137,4)</f>
        <v>34.897500000000001</v>
      </c>
      <c r="K1137" s="60"/>
      <c r="L1137" s="60"/>
    </row>
    <row r="1138" spans="1:12" x14ac:dyDescent="0.25">
      <c r="A1138" s="168"/>
      <c r="B1138" s="144" t="str">
        <f>'Vật liệu'!B766</f>
        <v>V00750</v>
      </c>
      <c r="C1138" s="34">
        <v>264</v>
      </c>
      <c r="D1138" s="144" t="str">
        <f>" - " &amp; 'Vật liệu'!D766</f>
        <v xml:space="preserve"> - Vật liệu khác</v>
      </c>
      <c r="E1138" s="168" t="str">
        <f>'Vật liệu'!E766</f>
        <v>%</v>
      </c>
      <c r="F1138" s="60"/>
      <c r="G1138" s="60">
        <v>5</v>
      </c>
      <c r="H1138" s="60"/>
      <c r="I1138" s="60"/>
      <c r="J1138" s="60"/>
      <c r="K1138" s="60"/>
      <c r="L1138" s="60"/>
    </row>
    <row r="1139" spans="1:12" x14ac:dyDescent="0.25">
      <c r="A1139" s="56"/>
      <c r="B1139" s="23"/>
      <c r="C1139" s="88"/>
      <c r="D1139" s="23" t="s">
        <v>202</v>
      </c>
      <c r="E1139" s="56"/>
      <c r="F1139" s="118"/>
      <c r="G1139" s="118"/>
      <c r="H1139" s="118"/>
      <c r="I1139" s="118"/>
      <c r="J1139" s="118"/>
      <c r="K1139" s="118"/>
      <c r="L1139" s="118"/>
    </row>
    <row r="1140" spans="1:12" x14ac:dyDescent="0.25">
      <c r="A1140" s="168"/>
      <c r="B1140" s="144" t="str">
        <f>'Nhân công'!B103</f>
        <v>N0015</v>
      </c>
      <c r="C1140" s="34">
        <v>554</v>
      </c>
      <c r="D1140" s="144" t="s">
        <v>1014</v>
      </c>
      <c r="E1140" s="168" t="str">
        <f>'Nhân công'!G103</f>
        <v>công</v>
      </c>
      <c r="F1140" s="60"/>
      <c r="G1140" s="60"/>
      <c r="H1140" s="60">
        <v>2.5299999999999998</v>
      </c>
      <c r="I1140" s="60"/>
      <c r="J1140" s="60"/>
      <c r="K1140" s="60">
        <f>ROUND(F1133*H1140,4)</f>
        <v>53.509500000000003</v>
      </c>
      <c r="L1140" s="60"/>
    </row>
    <row r="1141" spans="1:12" x14ac:dyDescent="0.25">
      <c r="A1141" s="65">
        <f>'Công trình'!A150</f>
        <v>117</v>
      </c>
      <c r="B1141" s="14" t="str">
        <f>'Công trình'!B150</f>
        <v>AL.16122</v>
      </c>
      <c r="C1141" s="94"/>
      <c r="D1141" s="14" t="str">
        <f>'Công trình'!C150</f>
        <v>Rải vải địa kỹ thuật làm móng công trình</v>
      </c>
      <c r="E1141" s="46" t="str">
        <f>'Công trình'!D150</f>
        <v>100m2</v>
      </c>
      <c r="F1141" s="106">
        <f>'Công trình'!K150</f>
        <v>0.73209999999999997</v>
      </c>
      <c r="G1141" s="126"/>
      <c r="H1141" s="126"/>
      <c r="I1141" s="126"/>
      <c r="J1141" s="126"/>
      <c r="K1141" s="126"/>
      <c r="L1141" s="126"/>
    </row>
    <row r="1142" spans="1:12" x14ac:dyDescent="0.25">
      <c r="A1142" s="56"/>
      <c r="B1142" s="23"/>
      <c r="C1142" s="88"/>
      <c r="D1142" s="23" t="s">
        <v>479</v>
      </c>
      <c r="E1142" s="56"/>
      <c r="F1142" s="118"/>
      <c r="G1142" s="118"/>
      <c r="H1142" s="118"/>
      <c r="I1142" s="118"/>
      <c r="J1142" s="118"/>
      <c r="K1142" s="118"/>
      <c r="L1142" s="118"/>
    </row>
    <row r="1143" spans="1:12" x14ac:dyDescent="0.25">
      <c r="A1143" s="168"/>
      <c r="B1143" s="144" t="str">
        <f>'Vật liệu'!B709</f>
        <v>V00749</v>
      </c>
      <c r="C1143" s="34">
        <v>174</v>
      </c>
      <c r="D1143" s="144" t="str">
        <f>" - " &amp; 'Vật liệu'!D709</f>
        <v xml:space="preserve"> - Vải địa kỹ thuật</v>
      </c>
      <c r="E1143" s="168" t="str">
        <f>'Vật liệu'!E709</f>
        <v>m2</v>
      </c>
      <c r="F1143" s="60"/>
      <c r="G1143" s="60">
        <v>110</v>
      </c>
      <c r="H1143" s="60"/>
      <c r="I1143" s="60"/>
      <c r="J1143" s="60">
        <f>ROUND(F1141*G1143,4)</f>
        <v>80.531000000000006</v>
      </c>
      <c r="K1143" s="60"/>
      <c r="L1143" s="60"/>
    </row>
    <row r="1144" spans="1:12" x14ac:dyDescent="0.25">
      <c r="A1144" s="168"/>
      <c r="B1144" s="144" t="str">
        <f>'Vật liệu'!B766</f>
        <v>V00750</v>
      </c>
      <c r="C1144" s="34">
        <v>265</v>
      </c>
      <c r="D1144" s="144" t="str">
        <f>" - " &amp; 'Vật liệu'!D766</f>
        <v xml:space="preserve"> - Vật liệu khác</v>
      </c>
      <c r="E1144" s="168" t="str">
        <f>'Vật liệu'!E766</f>
        <v>%</v>
      </c>
      <c r="F1144" s="60"/>
      <c r="G1144" s="60">
        <v>0.2</v>
      </c>
      <c r="H1144" s="60"/>
      <c r="I1144" s="60"/>
      <c r="J1144" s="60"/>
      <c r="K1144" s="60"/>
      <c r="L1144" s="60"/>
    </row>
    <row r="1145" spans="1:12" x14ac:dyDescent="0.25">
      <c r="A1145" s="56"/>
      <c r="B1145" s="23"/>
      <c r="C1145" s="88"/>
      <c r="D1145" s="23" t="s">
        <v>202</v>
      </c>
      <c r="E1145" s="56"/>
      <c r="F1145" s="118"/>
      <c r="G1145" s="118"/>
      <c r="H1145" s="118"/>
      <c r="I1145" s="118"/>
      <c r="J1145" s="118"/>
      <c r="K1145" s="118"/>
      <c r="L1145" s="118"/>
    </row>
    <row r="1146" spans="1:12" x14ac:dyDescent="0.25">
      <c r="A1146" s="168"/>
      <c r="B1146" s="144" t="str">
        <f>'Nhân công'!B103</f>
        <v>N0015</v>
      </c>
      <c r="C1146" s="34">
        <v>554</v>
      </c>
      <c r="D1146" s="144" t="s">
        <v>1014</v>
      </c>
      <c r="E1146" s="168" t="str">
        <f>'Nhân công'!G103</f>
        <v>công</v>
      </c>
      <c r="F1146" s="60"/>
      <c r="G1146" s="60"/>
      <c r="H1146" s="60">
        <v>1.08</v>
      </c>
      <c r="I1146" s="60"/>
      <c r="J1146" s="60"/>
      <c r="K1146" s="60">
        <f>ROUND(F1141*H1146,4)</f>
        <v>0.79069999999999996</v>
      </c>
      <c r="L1146" s="60"/>
    </row>
    <row r="1147" spans="1:12" ht="28.5" x14ac:dyDescent="0.25">
      <c r="A1147" s="65">
        <f>'Công trình'!A151</f>
        <v>118</v>
      </c>
      <c r="B1147" s="14" t="str">
        <f>'Công trình'!B151</f>
        <v>TT</v>
      </c>
      <c r="C1147" s="94"/>
      <c r="D1147" s="14" t="str">
        <f>'Công trình'!C151</f>
        <v>Làm tầng lọc đá dăm 1x2 (Tính theo QĐ65/2003/029)</v>
      </c>
      <c r="E1147" s="46" t="str">
        <f>'Công trình'!D151</f>
        <v>m3</v>
      </c>
      <c r="F1147" s="106">
        <f>'Công trình'!K151</f>
        <v>7.43</v>
      </c>
      <c r="G1147" s="126"/>
      <c r="H1147" s="126"/>
      <c r="I1147" s="126"/>
      <c r="J1147" s="126"/>
      <c r="K1147" s="126"/>
      <c r="L1147" s="126"/>
    </row>
    <row r="1148" spans="1:12" x14ac:dyDescent="0.25">
      <c r="A1148" s="56"/>
      <c r="B1148" s="23"/>
      <c r="C1148" s="88"/>
      <c r="D1148" s="23" t="s">
        <v>479</v>
      </c>
      <c r="E1148" s="56"/>
      <c r="F1148" s="118"/>
      <c r="G1148" s="118"/>
      <c r="H1148" s="118"/>
      <c r="I1148" s="118"/>
      <c r="J1148" s="118"/>
      <c r="K1148" s="118"/>
      <c r="L1148" s="118"/>
    </row>
    <row r="1149" spans="1:12" x14ac:dyDescent="0.25">
      <c r="A1149" s="168"/>
      <c r="B1149" s="144" t="str">
        <f>'Vật liệu'!B142</f>
        <v>V05207</v>
      </c>
      <c r="C1149" s="34">
        <v>416</v>
      </c>
      <c r="D1149" s="144" t="str">
        <f>" - " &amp; 'Vật liệu'!D142</f>
        <v xml:space="preserve"> - Đá 1x2</v>
      </c>
      <c r="E1149" s="168" t="str">
        <f>'Vật liệu'!E142</f>
        <v>m3</v>
      </c>
      <c r="F1149" s="60"/>
      <c r="G1149" s="60">
        <v>1.22</v>
      </c>
      <c r="H1149" s="60"/>
      <c r="I1149" s="60"/>
      <c r="J1149" s="60">
        <f>ROUND(F1147*G1149,4)</f>
        <v>9.0646000000000004</v>
      </c>
      <c r="K1149" s="60"/>
      <c r="L1149" s="60"/>
    </row>
    <row r="1150" spans="1:12" x14ac:dyDescent="0.25">
      <c r="A1150" s="56"/>
      <c r="B1150" s="23"/>
      <c r="C1150" s="88"/>
      <c r="D1150" s="23" t="s">
        <v>202</v>
      </c>
      <c r="E1150" s="56"/>
      <c r="F1150" s="118"/>
      <c r="G1150" s="118"/>
      <c r="H1150" s="118"/>
      <c r="I1150" s="118"/>
      <c r="J1150" s="118"/>
      <c r="K1150" s="118"/>
      <c r="L1150" s="118"/>
    </row>
    <row r="1151" spans="1:12" x14ac:dyDescent="0.25">
      <c r="A1151" s="168"/>
      <c r="B1151" s="144" t="str">
        <f>'Nhân công'!B45</f>
        <v>N0009</v>
      </c>
      <c r="C1151" s="34">
        <v>546</v>
      </c>
      <c r="D1151" s="144" t="s">
        <v>1052</v>
      </c>
      <c r="E1151" s="168" t="str">
        <f>'Nhân công'!G45</f>
        <v>công</v>
      </c>
      <c r="F1151" s="60"/>
      <c r="G1151" s="60"/>
      <c r="H1151" s="60">
        <v>2.1579999999999999</v>
      </c>
      <c r="I1151" s="60"/>
      <c r="J1151" s="60"/>
      <c r="K1151" s="60">
        <f>ROUND(F1147*H1151,4)</f>
        <v>16.033899999999999</v>
      </c>
      <c r="L1151" s="60"/>
    </row>
    <row r="1152" spans="1:12" x14ac:dyDescent="0.25">
      <c r="A1152" s="65">
        <f>'Công trình'!A152</f>
        <v>119</v>
      </c>
      <c r="B1152" s="14" t="str">
        <f>'Công trình'!B152</f>
        <v>AB.13411</v>
      </c>
      <c r="C1152" s="94"/>
      <c r="D1152" s="14" t="str">
        <f>'Công trình'!C152</f>
        <v>Đắp cát nền móng công trình</v>
      </c>
      <c r="E1152" s="46" t="str">
        <f>'Công trình'!D152</f>
        <v>m3</v>
      </c>
      <c r="F1152" s="106">
        <f>'Công trình'!K152</f>
        <v>4.96</v>
      </c>
      <c r="G1152" s="126"/>
      <c r="H1152" s="126"/>
      <c r="I1152" s="126"/>
      <c r="J1152" s="126"/>
      <c r="K1152" s="126"/>
      <c r="L1152" s="126"/>
    </row>
    <row r="1153" spans="1:12" x14ac:dyDescent="0.25">
      <c r="A1153" s="56"/>
      <c r="B1153" s="23"/>
      <c r="C1153" s="88"/>
      <c r="D1153" s="23" t="s">
        <v>479</v>
      </c>
      <c r="E1153" s="56"/>
      <c r="F1153" s="118"/>
      <c r="G1153" s="118"/>
      <c r="H1153" s="118"/>
      <c r="I1153" s="118"/>
      <c r="J1153" s="118"/>
      <c r="K1153" s="118"/>
      <c r="L1153" s="118"/>
    </row>
    <row r="1154" spans="1:12" x14ac:dyDescent="0.25">
      <c r="A1154" s="168"/>
      <c r="B1154" s="144" t="str">
        <f>'Vật liệu'!B45</f>
        <v>V00113</v>
      </c>
      <c r="C1154" s="34">
        <v>127</v>
      </c>
      <c r="D1154" s="144" t="str">
        <f>" - " &amp; 'Vật liệu'!D45</f>
        <v xml:space="preserve"> - Cát đen</v>
      </c>
      <c r="E1154" s="168" t="str">
        <f>'Vật liệu'!E45</f>
        <v>m3</v>
      </c>
      <c r="F1154" s="60"/>
      <c r="G1154" s="60">
        <v>1.22</v>
      </c>
      <c r="H1154" s="60"/>
      <c r="I1154" s="60"/>
      <c r="J1154" s="60">
        <f>ROUND(F1152*G1154,4)</f>
        <v>6.0511999999999997</v>
      </c>
      <c r="K1154" s="60"/>
      <c r="L1154" s="60"/>
    </row>
    <row r="1155" spans="1:12" x14ac:dyDescent="0.25">
      <c r="A1155" s="168"/>
      <c r="B1155" s="144" t="str">
        <f>'Vật liệu'!B766</f>
        <v>V00750</v>
      </c>
      <c r="C1155" s="34">
        <v>266</v>
      </c>
      <c r="D1155" s="144" t="str">
        <f>" - " &amp; 'Vật liệu'!D766</f>
        <v xml:space="preserve"> - Vật liệu khác</v>
      </c>
      <c r="E1155" s="168" t="str">
        <f>'Vật liệu'!E766</f>
        <v>%</v>
      </c>
      <c r="F1155" s="60"/>
      <c r="G1155" s="60">
        <v>2</v>
      </c>
      <c r="H1155" s="60"/>
      <c r="I1155" s="60"/>
      <c r="J1155" s="60"/>
      <c r="K1155" s="60"/>
      <c r="L1155" s="60"/>
    </row>
    <row r="1156" spans="1:12" x14ac:dyDescent="0.25">
      <c r="A1156" s="56"/>
      <c r="B1156" s="23"/>
      <c r="C1156" s="88"/>
      <c r="D1156" s="23" t="s">
        <v>202</v>
      </c>
      <c r="E1156" s="56"/>
      <c r="F1156" s="118"/>
      <c r="G1156" s="118"/>
      <c r="H1156" s="118"/>
      <c r="I1156" s="118"/>
      <c r="J1156" s="118"/>
      <c r="K1156" s="118"/>
      <c r="L1156" s="118"/>
    </row>
    <row r="1157" spans="1:12" x14ac:dyDescent="0.25">
      <c r="A1157" s="168"/>
      <c r="B1157" s="144" t="str">
        <f>'Nhân công'!B6</f>
        <v>N0006</v>
      </c>
      <c r="C1157" s="34">
        <v>545</v>
      </c>
      <c r="D1157" s="144" t="s">
        <v>256</v>
      </c>
      <c r="E1157" s="168" t="str">
        <f>'Nhân công'!G6</f>
        <v>công</v>
      </c>
      <c r="F1157" s="60"/>
      <c r="G1157" s="60"/>
      <c r="H1157" s="60">
        <v>0.45</v>
      </c>
      <c r="I1157" s="60"/>
      <c r="J1157" s="60"/>
      <c r="K1157" s="60">
        <f>ROUND(F1152*H1157,4)</f>
        <v>2.2320000000000002</v>
      </c>
      <c r="L1157" s="60"/>
    </row>
    <row r="1158" spans="1:12" ht="42.75" x14ac:dyDescent="0.25">
      <c r="A1158" s="65">
        <f>'Công trình'!A153</f>
        <v>120</v>
      </c>
      <c r="B1158" s="14" t="str">
        <f>'Công trình'!B153</f>
        <v>AB.81144</v>
      </c>
      <c r="C1158" s="94"/>
      <c r="D1158" s="14" t="str">
        <f>'Công trình'!C153</f>
        <v>Nạo vét đất pha cát từ 15-20%, đất bùn lỏng ở kênh mương bằng máy đào gầu dây 0,65m3, chiều cao đổ đất &gt;3</v>
      </c>
      <c r="E1158" s="46" t="str">
        <f>'Công trình'!D153</f>
        <v>100m3</v>
      </c>
      <c r="F1158" s="106">
        <f>'Công trình'!K153</f>
        <v>57.617899999999999</v>
      </c>
      <c r="G1158" s="126"/>
      <c r="H1158" s="126"/>
      <c r="I1158" s="126"/>
      <c r="J1158" s="126"/>
      <c r="K1158" s="126"/>
      <c r="L1158" s="126"/>
    </row>
    <row r="1159" spans="1:12" x14ac:dyDescent="0.25">
      <c r="A1159" s="56"/>
      <c r="B1159" s="23"/>
      <c r="C1159" s="88"/>
      <c r="D1159" s="23" t="s">
        <v>202</v>
      </c>
      <c r="E1159" s="56"/>
      <c r="F1159" s="118"/>
      <c r="G1159" s="118"/>
      <c r="H1159" s="118"/>
      <c r="I1159" s="118"/>
      <c r="J1159" s="118"/>
      <c r="K1159" s="118"/>
      <c r="L1159" s="118"/>
    </row>
    <row r="1160" spans="1:12" x14ac:dyDescent="0.25">
      <c r="A1160" s="168"/>
      <c r="B1160" s="144" t="str">
        <f>'Nhân công'!B130</f>
        <v>N0011</v>
      </c>
      <c r="C1160" s="34">
        <v>550</v>
      </c>
      <c r="D1160" s="144" t="s">
        <v>671</v>
      </c>
      <c r="E1160" s="168" t="str">
        <f>'Nhân công'!G130</f>
        <v>công</v>
      </c>
      <c r="F1160" s="60"/>
      <c r="G1160" s="60"/>
      <c r="H1160" s="60">
        <v>1.5</v>
      </c>
      <c r="I1160" s="60"/>
      <c r="J1160" s="60"/>
      <c r="K1160" s="60">
        <f>ROUND(F1158*H1160,4)</f>
        <v>86.426900000000003</v>
      </c>
      <c r="L1160" s="60"/>
    </row>
    <row r="1161" spans="1:12" x14ac:dyDescent="0.25">
      <c r="A1161" s="56"/>
      <c r="B1161" s="23"/>
      <c r="C1161" s="88"/>
      <c r="D1161" s="23" t="s">
        <v>378</v>
      </c>
      <c r="E1161" s="56"/>
      <c r="F1161" s="118"/>
      <c r="G1161" s="118"/>
      <c r="H1161" s="118"/>
      <c r="I1161" s="118"/>
      <c r="J1161" s="118"/>
      <c r="K1161" s="118"/>
      <c r="L1161" s="118"/>
    </row>
    <row r="1162" spans="1:12" x14ac:dyDescent="0.25">
      <c r="A1162" s="168"/>
      <c r="B1162" s="144" t="str">
        <f>'Máy thi công'!B384</f>
        <v>M9596</v>
      </c>
      <c r="C1162" s="34">
        <v>755</v>
      </c>
      <c r="D1162" s="144" t="str">
        <f>" - " &amp; 'Máy thi công'!D384</f>
        <v xml:space="preserve"> - Sà lan - trọng tải: 250 t</v>
      </c>
      <c r="E1162" s="168" t="str">
        <f>'Máy thi công'!E384</f>
        <v>ca</v>
      </c>
      <c r="F1162" s="60"/>
      <c r="G1162" s="60"/>
      <c r="H1162" s="60"/>
      <c r="I1162" s="60">
        <v>0.72</v>
      </c>
      <c r="J1162" s="60"/>
      <c r="K1162" s="60"/>
      <c r="L1162" s="60">
        <f>ROUND(F1158*I1162,4)</f>
        <v>41.484900000000003</v>
      </c>
    </row>
    <row r="1163" spans="1:12" ht="30" x14ac:dyDescent="0.25">
      <c r="A1163" s="168"/>
      <c r="B1163" s="144" t="str">
        <f>'Máy thi công'!B267</f>
        <v>M9567</v>
      </c>
      <c r="C1163" s="34">
        <v>749</v>
      </c>
      <c r="D1163" s="144" t="str">
        <f>" - " &amp; 'Máy thi công'!D267</f>
        <v xml:space="preserve"> - Máy đào gầu ngoạm (gầu dây) - dung tích gầu: 0,65 m3</v>
      </c>
      <c r="E1163" s="168" t="str">
        <f>'Máy thi công'!E267</f>
        <v>ca</v>
      </c>
      <c r="F1163" s="60"/>
      <c r="G1163" s="60"/>
      <c r="H1163" s="60"/>
      <c r="I1163" s="60">
        <v>0.72</v>
      </c>
      <c r="J1163" s="60"/>
      <c r="K1163" s="60"/>
      <c r="L1163" s="60">
        <f>ROUND(F1158*I1163,4)</f>
        <v>41.484900000000003</v>
      </c>
    </row>
    <row r="1164" spans="1:12" ht="28.5" x14ac:dyDescent="0.25">
      <c r="A1164" s="65">
        <f>'Công trình'!A154</f>
        <v>121</v>
      </c>
      <c r="B1164" s="14" t="str">
        <f>'Công trình'!B154</f>
        <v>AB.36120</v>
      </c>
      <c r="C1164" s="94"/>
      <c r="D1164" s="14" t="str">
        <f>'Công trình'!C154</f>
        <v>Xói hút bùn trong khung vây phòng nước, các trụ dưới nước</v>
      </c>
      <c r="E1164" s="46" t="str">
        <f>'Công trình'!D154</f>
        <v>m3</v>
      </c>
      <c r="F1164" s="106">
        <f>'Công trình'!K154</f>
        <v>271.7</v>
      </c>
      <c r="G1164" s="126"/>
      <c r="H1164" s="126"/>
      <c r="I1164" s="126"/>
      <c r="J1164" s="126"/>
      <c r="K1164" s="126"/>
      <c r="L1164" s="126"/>
    </row>
    <row r="1165" spans="1:12" x14ac:dyDescent="0.25">
      <c r="A1165" s="56"/>
      <c r="B1165" s="23"/>
      <c r="C1165" s="88"/>
      <c r="D1165" s="23" t="s">
        <v>479</v>
      </c>
      <c r="E1165" s="56"/>
      <c r="F1165" s="118"/>
      <c r="G1165" s="118"/>
      <c r="H1165" s="118"/>
      <c r="I1165" s="118"/>
      <c r="J1165" s="118"/>
      <c r="K1165" s="118"/>
      <c r="L1165" s="118"/>
    </row>
    <row r="1166" spans="1:12" x14ac:dyDescent="0.25">
      <c r="A1166" s="168"/>
      <c r="B1166" s="144" t="str">
        <f>'Vật liệu'!B438</f>
        <v>V49108</v>
      </c>
      <c r="C1166" s="34">
        <v>515</v>
      </c>
      <c r="D1166" s="144" t="str">
        <f>" - " &amp; 'Vật liệu'!D438</f>
        <v xml:space="preserve"> - Ống xói đường kính 250mm</v>
      </c>
      <c r="E1166" s="168" t="str">
        <f>'Vật liệu'!E438</f>
        <v>m</v>
      </c>
      <c r="F1166" s="60"/>
      <c r="G1166" s="60">
        <v>5.0000000000000001E-3</v>
      </c>
      <c r="H1166" s="60"/>
      <c r="I1166" s="60"/>
      <c r="J1166" s="60">
        <f>ROUND(F1164*G1166,4)</f>
        <v>1.3585</v>
      </c>
      <c r="K1166" s="60"/>
      <c r="L1166" s="60"/>
    </row>
    <row r="1167" spans="1:12" x14ac:dyDescent="0.25">
      <c r="A1167" s="168"/>
      <c r="B1167" s="144" t="str">
        <f>'Vật liệu'!B440</f>
        <v>V49109</v>
      </c>
      <c r="C1167" s="34">
        <v>516</v>
      </c>
      <c r="D1167" s="144" t="str">
        <f>" - " &amp; 'Vật liệu'!D440</f>
        <v xml:space="preserve"> - Ống xói đường kính 50mm</v>
      </c>
      <c r="E1167" s="168" t="str">
        <f>'Vật liệu'!E440</f>
        <v>m</v>
      </c>
      <c r="F1167" s="60"/>
      <c r="G1167" s="60">
        <v>5.0000000000000001E-3</v>
      </c>
      <c r="H1167" s="60"/>
      <c r="I1167" s="60"/>
      <c r="J1167" s="60">
        <f>ROUND(F1164*G1167,4)</f>
        <v>1.3585</v>
      </c>
      <c r="K1167" s="60"/>
      <c r="L1167" s="60"/>
    </row>
    <row r="1168" spans="1:12" x14ac:dyDescent="0.25">
      <c r="A1168" s="168"/>
      <c r="B1168" s="144" t="str">
        <f>'Vật liệu'!B436</f>
        <v>V49107</v>
      </c>
      <c r="C1168" s="34">
        <v>514</v>
      </c>
      <c r="D1168" s="144" t="str">
        <f>" - " &amp; 'Vật liệu'!D436</f>
        <v xml:space="preserve"> - Ống xói đường kính 150mm</v>
      </c>
      <c r="E1168" s="168" t="str">
        <f>'Vật liệu'!E436</f>
        <v>m</v>
      </c>
      <c r="F1168" s="60"/>
      <c r="G1168" s="60">
        <v>5.0000000000000001E-3</v>
      </c>
      <c r="H1168" s="60"/>
      <c r="I1168" s="60"/>
      <c r="J1168" s="60">
        <f>ROUND(F1164*G1168,4)</f>
        <v>1.3585</v>
      </c>
      <c r="K1168" s="60"/>
      <c r="L1168" s="60"/>
    </row>
    <row r="1169" spans="1:12" x14ac:dyDescent="0.25">
      <c r="A1169" s="168"/>
      <c r="B1169" s="144" t="str">
        <f>'Vật liệu'!B766</f>
        <v>V00750</v>
      </c>
      <c r="C1169" s="34">
        <v>267</v>
      </c>
      <c r="D1169" s="144" t="str">
        <f>" - " &amp; 'Vật liệu'!D766</f>
        <v xml:space="preserve"> - Vật liệu khác</v>
      </c>
      <c r="E1169" s="168" t="str">
        <f>'Vật liệu'!E766</f>
        <v>%</v>
      </c>
      <c r="F1169" s="60"/>
      <c r="G1169" s="60">
        <v>5</v>
      </c>
      <c r="H1169" s="60"/>
      <c r="I1169" s="60"/>
      <c r="J1169" s="60"/>
      <c r="K1169" s="60"/>
      <c r="L1169" s="60"/>
    </row>
    <row r="1170" spans="1:12" x14ac:dyDescent="0.25">
      <c r="A1170" s="56"/>
      <c r="B1170" s="23"/>
      <c r="C1170" s="88"/>
      <c r="D1170" s="23" t="s">
        <v>202</v>
      </c>
      <c r="E1170" s="56"/>
      <c r="F1170" s="118"/>
      <c r="G1170" s="118"/>
      <c r="H1170" s="118"/>
      <c r="I1170" s="118"/>
      <c r="J1170" s="118"/>
      <c r="K1170" s="118"/>
      <c r="L1170" s="118"/>
    </row>
    <row r="1171" spans="1:12" x14ac:dyDescent="0.25">
      <c r="A1171" s="168"/>
      <c r="B1171" s="144" t="str">
        <f>'Nhân công'!B230</f>
        <v>N0021</v>
      </c>
      <c r="C1171" s="34">
        <v>556</v>
      </c>
      <c r="D1171" s="144" t="s">
        <v>225</v>
      </c>
      <c r="E1171" s="168" t="str">
        <f>'Nhân công'!G230</f>
        <v>công</v>
      </c>
      <c r="F1171" s="60"/>
      <c r="G1171" s="60"/>
      <c r="H1171" s="60">
        <v>0.53</v>
      </c>
      <c r="I1171" s="60"/>
      <c r="J1171" s="60"/>
      <c r="K1171" s="60">
        <f>ROUND(F1164*H1171,4)</f>
        <v>144.001</v>
      </c>
      <c r="L1171" s="60"/>
    </row>
    <row r="1172" spans="1:12" x14ac:dyDescent="0.25">
      <c r="A1172" s="56"/>
      <c r="B1172" s="23"/>
      <c r="C1172" s="88"/>
      <c r="D1172" s="23" t="s">
        <v>378</v>
      </c>
      <c r="E1172" s="56"/>
      <c r="F1172" s="118"/>
      <c r="G1172" s="118"/>
      <c r="H1172" s="118"/>
      <c r="I1172" s="118"/>
      <c r="J1172" s="118"/>
      <c r="K1172" s="118"/>
      <c r="L1172" s="118"/>
    </row>
    <row r="1173" spans="1:12" x14ac:dyDescent="0.25">
      <c r="A1173" s="168"/>
      <c r="B1173" s="144" t="str">
        <f>'Máy thi công'!B111</f>
        <v>M9464</v>
      </c>
      <c r="C1173" s="34">
        <v>724</v>
      </c>
      <c r="D1173" s="144" t="str">
        <f>" - " &amp; 'Máy thi công'!D111</f>
        <v xml:space="preserve"> - Cần cẩu nổi: Kéo theo - sức nâng 30 t</v>
      </c>
      <c r="E1173" s="168" t="str">
        <f>'Máy thi công'!E111</f>
        <v>ca</v>
      </c>
      <c r="F1173" s="60"/>
      <c r="G1173" s="60"/>
      <c r="H1173" s="60"/>
      <c r="I1173" s="60">
        <v>6.5000000000000002E-2</v>
      </c>
      <c r="J1173" s="60"/>
      <c r="K1173" s="60"/>
      <c r="L1173" s="60">
        <f>ROUND(F1164*I1173,4)</f>
        <v>17.660499999999999</v>
      </c>
    </row>
    <row r="1174" spans="1:12" x14ac:dyDescent="0.25">
      <c r="A1174" s="168"/>
      <c r="B1174" s="144" t="str">
        <f>'Máy thi công'!B173</f>
        <v>M0055</v>
      </c>
      <c r="C1174" s="34">
        <v>561</v>
      </c>
      <c r="D1174" s="144" t="str">
        <f>" - " &amp; 'Máy thi công'!D173</f>
        <v xml:space="preserve"> - Máy bơm nước 200m3/h</v>
      </c>
      <c r="E1174" s="168" t="str">
        <f>'Máy thi công'!E173</f>
        <v>ca</v>
      </c>
      <c r="F1174" s="60"/>
      <c r="G1174" s="60"/>
      <c r="H1174" s="60"/>
      <c r="I1174" s="60">
        <v>6.5000000000000002E-2</v>
      </c>
      <c r="J1174" s="60"/>
      <c r="K1174" s="60"/>
      <c r="L1174" s="60">
        <f>ROUND(F1164*I1174,4)</f>
        <v>17.660499999999999</v>
      </c>
    </row>
    <row r="1175" spans="1:12" x14ac:dyDescent="0.25">
      <c r="A1175" s="168"/>
      <c r="B1175" s="144" t="str">
        <f>'Máy thi công'!B109</f>
        <v>M9455</v>
      </c>
      <c r="C1175" s="34">
        <v>723</v>
      </c>
      <c r="D1175" s="144" t="str">
        <f>" - " &amp; 'Máy thi công'!D109</f>
        <v xml:space="preserve"> - Ca nô - công suất: 150 cv</v>
      </c>
      <c r="E1175" s="168" t="str">
        <f>'Máy thi công'!E109</f>
        <v>ca</v>
      </c>
      <c r="F1175" s="60"/>
      <c r="G1175" s="60"/>
      <c r="H1175" s="60"/>
      <c r="I1175" s="60">
        <v>1E-3</v>
      </c>
      <c r="J1175" s="60"/>
      <c r="K1175" s="60"/>
      <c r="L1175" s="60">
        <f>ROUND(F1164*I1175,4)</f>
        <v>0.2717</v>
      </c>
    </row>
    <row r="1176" spans="1:12" ht="30" x14ac:dyDescent="0.25">
      <c r="A1176" s="168"/>
      <c r="B1176" s="144" t="str">
        <f>'Máy thi công'!B293</f>
        <v>M9536</v>
      </c>
      <c r="C1176" s="34">
        <v>739</v>
      </c>
      <c r="D1176" s="144" t="str">
        <f>" - " &amp; 'Máy thi công'!D293</f>
        <v xml:space="preserve"> - Máy nén khí, động cơ diezel - năng suất: 1200 m3/h</v>
      </c>
      <c r="E1176" s="168" t="str">
        <f>'Máy thi công'!E293</f>
        <v>ca</v>
      </c>
      <c r="F1176" s="60"/>
      <c r="G1176" s="60"/>
      <c r="H1176" s="60"/>
      <c r="I1176" s="60">
        <v>6.5000000000000002E-2</v>
      </c>
      <c r="J1176" s="60"/>
      <c r="K1176" s="60"/>
      <c r="L1176" s="60">
        <f>ROUND(F1164*I1176,4)</f>
        <v>17.660499999999999</v>
      </c>
    </row>
    <row r="1177" spans="1:12" x14ac:dyDescent="0.25">
      <c r="A1177" s="168"/>
      <c r="B1177" s="144" t="str">
        <f>'Máy thi công'!B175</f>
        <v>M8978</v>
      </c>
      <c r="C1177" s="34">
        <v>712</v>
      </c>
      <c r="D1177" s="144" t="str">
        <f>" - " &amp; 'Máy thi công'!D175</f>
        <v xml:space="preserve"> - Máy bơm xói 4MC (75 kW)</v>
      </c>
      <c r="E1177" s="168" t="str">
        <f>'Máy thi công'!E175</f>
        <v>ca</v>
      </c>
      <c r="F1177" s="60"/>
      <c r="G1177" s="60"/>
      <c r="H1177" s="60"/>
      <c r="I1177" s="60">
        <v>6.5000000000000002E-2</v>
      </c>
      <c r="J1177" s="60"/>
      <c r="K1177" s="60"/>
      <c r="L1177" s="60">
        <f>ROUND(F1164*I1177,4)</f>
        <v>17.660499999999999</v>
      </c>
    </row>
    <row r="1178" spans="1:12" x14ac:dyDescent="0.25">
      <c r="A1178" s="168"/>
      <c r="B1178" s="144" t="str">
        <f>'Máy thi công'!B389</f>
        <v>M9598</v>
      </c>
      <c r="C1178" s="34">
        <v>756</v>
      </c>
      <c r="D1178" s="144" t="str">
        <f>" - " &amp; 'Máy thi công'!D389</f>
        <v xml:space="preserve"> - Sà lan - trọng tải: 400 t</v>
      </c>
      <c r="E1178" s="168" t="str">
        <f>'Máy thi công'!E389</f>
        <v>ca</v>
      </c>
      <c r="F1178" s="60"/>
      <c r="G1178" s="60"/>
      <c r="H1178" s="60"/>
      <c r="I1178" s="60">
        <v>0.1</v>
      </c>
      <c r="J1178" s="60"/>
      <c r="K1178" s="60"/>
      <c r="L1178" s="60">
        <f>ROUND(F1164*I1178,4)</f>
        <v>27.17</v>
      </c>
    </row>
    <row r="1179" spans="1:12" x14ac:dyDescent="0.25">
      <c r="A1179" s="168"/>
      <c r="B1179" s="144" t="str">
        <f>'Máy thi công'!B398</f>
        <v>M0111</v>
      </c>
      <c r="C1179" s="34">
        <v>616</v>
      </c>
      <c r="D1179" s="144" t="str">
        <f>" - " &amp; 'Máy thi công'!D398</f>
        <v xml:space="preserve"> - Máy khác</v>
      </c>
      <c r="E1179" s="168" t="str">
        <f>'Máy thi công'!E398</f>
        <v>%</v>
      </c>
      <c r="F1179" s="60"/>
      <c r="G1179" s="60"/>
      <c r="H1179" s="60"/>
      <c r="I1179" s="60">
        <v>5</v>
      </c>
      <c r="J1179" s="60"/>
      <c r="K1179" s="60"/>
      <c r="L1179" s="60"/>
    </row>
    <row r="1180" spans="1:12" ht="28.5" x14ac:dyDescent="0.25">
      <c r="A1180" s="65">
        <f>'Công trình'!A155</f>
        <v>122</v>
      </c>
      <c r="B1180" s="14" t="str">
        <f>'Công trình'!B155</f>
        <v>AB.65120</v>
      </c>
      <c r="C1180" s="94"/>
      <c r="D1180" s="14" t="str">
        <f>'Công trình'!C155</f>
        <v>Đắp đất công trình bằng đầm cóc, độ chặt K=0,90</v>
      </c>
      <c r="E1180" s="46" t="str">
        <f>'Công trình'!D155</f>
        <v>100m3</v>
      </c>
      <c r="F1180" s="106">
        <f>'Công trình'!K155</f>
        <v>15.079599999999999</v>
      </c>
      <c r="G1180" s="126"/>
      <c r="H1180" s="126"/>
      <c r="I1180" s="126"/>
      <c r="J1180" s="126"/>
      <c r="K1180" s="126"/>
      <c r="L1180" s="126"/>
    </row>
    <row r="1181" spans="1:12" x14ac:dyDescent="0.25">
      <c r="A1181" s="56"/>
      <c r="B1181" s="23"/>
      <c r="C1181" s="88"/>
      <c r="D1181" s="23" t="s">
        <v>202</v>
      </c>
      <c r="E1181" s="56"/>
      <c r="F1181" s="118"/>
      <c r="G1181" s="118"/>
      <c r="H1181" s="118"/>
      <c r="I1181" s="118"/>
      <c r="J1181" s="118"/>
      <c r="K1181" s="118"/>
      <c r="L1181" s="118"/>
    </row>
    <row r="1182" spans="1:12" x14ac:dyDescent="0.25">
      <c r="A1182" s="168"/>
      <c r="B1182" s="144" t="str">
        <f>'Nhân công'!B130</f>
        <v>N0011</v>
      </c>
      <c r="C1182" s="34">
        <v>550</v>
      </c>
      <c r="D1182" s="144" t="s">
        <v>671</v>
      </c>
      <c r="E1182" s="168" t="str">
        <f>'Nhân công'!G130</f>
        <v>công</v>
      </c>
      <c r="F1182" s="60"/>
      <c r="G1182" s="60"/>
      <c r="H1182" s="60">
        <v>8.84</v>
      </c>
      <c r="I1182" s="60"/>
      <c r="J1182" s="60"/>
      <c r="K1182" s="60">
        <f>ROUND(F1180*H1182,4)</f>
        <v>133.30369999999999</v>
      </c>
      <c r="L1182" s="60"/>
    </row>
    <row r="1183" spans="1:12" x14ac:dyDescent="0.25">
      <c r="A1183" s="56"/>
      <c r="B1183" s="23"/>
      <c r="C1183" s="88"/>
      <c r="D1183" s="23" t="s">
        <v>378</v>
      </c>
      <c r="E1183" s="56"/>
      <c r="F1183" s="118"/>
      <c r="G1183" s="118"/>
      <c r="H1183" s="118"/>
      <c r="I1183" s="118"/>
      <c r="J1183" s="118"/>
      <c r="K1183" s="118"/>
      <c r="L1183" s="118"/>
    </row>
    <row r="1184" spans="1:12" x14ac:dyDescent="0.25">
      <c r="A1184" s="168"/>
      <c r="B1184" s="144" t="str">
        <f>'Máy thi công'!B258</f>
        <v>M9577</v>
      </c>
      <c r="C1184" s="34">
        <v>752</v>
      </c>
      <c r="D1184" s="144" t="str">
        <f>" - " &amp; 'Máy thi công'!D258</f>
        <v xml:space="preserve"> - Máy đầm đất cầm tay - trọng lượng : 60 kg</v>
      </c>
      <c r="E1184" s="168" t="str">
        <f>'Máy thi công'!E258</f>
        <v>ca</v>
      </c>
      <c r="F1184" s="60"/>
      <c r="G1184" s="60"/>
      <c r="H1184" s="60"/>
      <c r="I1184" s="60">
        <v>4.42</v>
      </c>
      <c r="J1184" s="60"/>
      <c r="K1184" s="60"/>
      <c r="L1184" s="60">
        <f>ROUND(F1180*I1184,4)</f>
        <v>66.651799999999994</v>
      </c>
    </row>
    <row r="1185" spans="1:12" x14ac:dyDescent="0.25">
      <c r="A1185" s="65">
        <f>'Công trình'!A157</f>
        <v>123</v>
      </c>
      <c r="B1185" s="14" t="str">
        <f>'Công trình'!B157</f>
        <v>AI.11912</v>
      </c>
      <c r="C1185" s="94"/>
      <c r="D1185" s="14" t="str">
        <f>'Công trình'!C157</f>
        <v>Sản xuất cầu công tác</v>
      </c>
      <c r="E1185" s="46" t="str">
        <f>'Công trình'!D157</f>
        <v>tấn</v>
      </c>
      <c r="F1185" s="106">
        <f>'Công trình'!K157</f>
        <v>40.184899999999999</v>
      </c>
      <c r="G1185" s="126"/>
      <c r="H1185" s="126"/>
      <c r="I1185" s="126"/>
      <c r="J1185" s="126"/>
      <c r="K1185" s="126"/>
      <c r="L1185" s="126"/>
    </row>
    <row r="1186" spans="1:12" x14ac:dyDescent="0.25">
      <c r="A1186" s="56"/>
      <c r="B1186" s="23"/>
      <c r="C1186" s="88"/>
      <c r="D1186" s="23" t="s">
        <v>479</v>
      </c>
      <c r="E1186" s="56"/>
      <c r="F1186" s="118"/>
      <c r="G1186" s="118"/>
      <c r="H1186" s="118"/>
      <c r="I1186" s="118"/>
      <c r="J1186" s="118"/>
      <c r="K1186" s="118"/>
      <c r="L1186" s="118"/>
    </row>
    <row r="1187" spans="1:12" x14ac:dyDescent="0.25">
      <c r="A1187" s="168"/>
      <c r="B1187" s="144" t="str">
        <f>'Vật liệu'!B401</f>
        <v>V00770</v>
      </c>
      <c r="C1187" s="34">
        <v>400</v>
      </c>
      <c r="D1187" s="144" t="str">
        <f>" - " &amp; 'Vật liệu'!D401</f>
        <v xml:space="preserve"> - Ô xy</v>
      </c>
      <c r="E1187" s="168" t="str">
        <f>'Vật liệu'!E401</f>
        <v>Chai</v>
      </c>
      <c r="F1187" s="60"/>
      <c r="G1187" s="60">
        <v>2.1</v>
      </c>
      <c r="H1187" s="60"/>
      <c r="I1187" s="60"/>
      <c r="J1187" s="60">
        <f>ROUND(F1185*G1187,4)</f>
        <v>84.388300000000001</v>
      </c>
      <c r="K1187" s="60"/>
      <c r="L1187" s="60"/>
    </row>
    <row r="1188" spans="1:12" x14ac:dyDescent="0.25">
      <c r="A1188" s="168"/>
      <c r="B1188" s="144" t="str">
        <f>'Vật liệu'!B200</f>
        <v>V00833</v>
      </c>
      <c r="C1188" s="34">
        <v>411</v>
      </c>
      <c r="D1188" s="144" t="str">
        <f>" - " &amp; 'Vật liệu'!D200</f>
        <v xml:space="preserve"> - Đất đèn</v>
      </c>
      <c r="E1188" s="168" t="str">
        <f>'Vật liệu'!E200</f>
        <v>kg</v>
      </c>
      <c r="F1188" s="60"/>
      <c r="G1188" s="60">
        <v>8.4</v>
      </c>
      <c r="H1188" s="60"/>
      <c r="I1188" s="60"/>
      <c r="J1188" s="60">
        <f>ROUND(F1185*G1188,4)</f>
        <v>337.5532</v>
      </c>
      <c r="K1188" s="60"/>
      <c r="L1188" s="60"/>
    </row>
    <row r="1189" spans="1:12" x14ac:dyDescent="0.25">
      <c r="A1189" s="168"/>
      <c r="B1189" s="144" t="str">
        <f>'Vật liệu'!B556</f>
        <v>V00641</v>
      </c>
      <c r="C1189" s="34">
        <v>160</v>
      </c>
      <c r="D1189" s="144" t="str">
        <f>" - " &amp; 'Vật liệu'!D556</f>
        <v xml:space="preserve"> - Thép hình</v>
      </c>
      <c r="E1189" s="168" t="str">
        <f>'Vật liệu'!E556</f>
        <v>kg</v>
      </c>
      <c r="F1189" s="60"/>
      <c r="G1189" s="60">
        <v>0</v>
      </c>
      <c r="H1189" s="60"/>
      <c r="I1189" s="60"/>
      <c r="J1189" s="60">
        <f>ROUND(F1185*G1189,4)</f>
        <v>0</v>
      </c>
      <c r="K1189" s="60"/>
      <c r="L1189" s="60"/>
    </row>
    <row r="1190" spans="1:12" x14ac:dyDescent="0.25">
      <c r="A1190" s="168"/>
      <c r="B1190" s="144" t="str">
        <f>'Vật liệu'!B606</f>
        <v>V00671</v>
      </c>
      <c r="C1190" s="34">
        <v>166</v>
      </c>
      <c r="D1190" s="144" t="str">
        <f>" - " &amp; 'Vật liệu'!D606</f>
        <v xml:space="preserve"> - Thép tấm</v>
      </c>
      <c r="E1190" s="168" t="str">
        <f>'Vật liệu'!E606</f>
        <v>kg</v>
      </c>
      <c r="F1190" s="60"/>
      <c r="G1190" s="60">
        <v>0</v>
      </c>
      <c r="H1190" s="60"/>
      <c r="I1190" s="60"/>
      <c r="J1190" s="60">
        <f>ROUND(F1185*G1190,4)</f>
        <v>0</v>
      </c>
      <c r="K1190" s="60"/>
      <c r="L1190" s="60"/>
    </row>
    <row r="1191" spans="1:12" x14ac:dyDescent="0.25">
      <c r="A1191" s="168"/>
      <c r="B1191" s="144" t="str">
        <f>'Vật liệu'!B450</f>
        <v>V00515</v>
      </c>
      <c r="C1191" s="34">
        <v>154</v>
      </c>
      <c r="D1191" s="144" t="str">
        <f>" - " &amp; 'Vật liệu'!D450</f>
        <v xml:space="preserve"> - Que hàn</v>
      </c>
      <c r="E1191" s="168" t="str">
        <f>'Vật liệu'!E450</f>
        <v>kg</v>
      </c>
      <c r="F1191" s="60"/>
      <c r="G1191" s="60">
        <v>24.15</v>
      </c>
      <c r="H1191" s="60"/>
      <c r="I1191" s="60"/>
      <c r="J1191" s="60">
        <f>ROUND(F1185*G1191,4)</f>
        <v>970.46529999999996</v>
      </c>
      <c r="K1191" s="60"/>
      <c r="L1191" s="60"/>
    </row>
    <row r="1192" spans="1:12" x14ac:dyDescent="0.25">
      <c r="A1192" s="168"/>
      <c r="B1192" s="144" t="str">
        <f>'Vật liệu'!B766</f>
        <v>V00750</v>
      </c>
      <c r="C1192" s="34">
        <v>273</v>
      </c>
      <c r="D1192" s="144" t="str">
        <f>" - " &amp; 'Vật liệu'!D766</f>
        <v xml:space="preserve"> - Vật liệu khác</v>
      </c>
      <c r="E1192" s="168" t="str">
        <f>'Vật liệu'!E766</f>
        <v>%</v>
      </c>
      <c r="F1192" s="60"/>
      <c r="G1192" s="60">
        <v>5</v>
      </c>
      <c r="H1192" s="60"/>
      <c r="I1192" s="60"/>
      <c r="J1192" s="60"/>
      <c r="K1192" s="60"/>
      <c r="L1192" s="60"/>
    </row>
    <row r="1193" spans="1:12" x14ac:dyDescent="0.25">
      <c r="A1193" s="56"/>
      <c r="B1193" s="23"/>
      <c r="C1193" s="88"/>
      <c r="D1193" s="23" t="s">
        <v>202</v>
      </c>
      <c r="E1193" s="56"/>
      <c r="F1193" s="118"/>
      <c r="G1193" s="118"/>
      <c r="H1193" s="118"/>
      <c r="I1193" s="118"/>
      <c r="J1193" s="118"/>
      <c r="K1193" s="118"/>
      <c r="L1193" s="118"/>
    </row>
    <row r="1194" spans="1:12" x14ac:dyDescent="0.25">
      <c r="A1194" s="168"/>
      <c r="B1194" s="144" t="str">
        <f>'Nhân công'!B130</f>
        <v>N0011</v>
      </c>
      <c r="C1194" s="34">
        <v>550</v>
      </c>
      <c r="D1194" s="144" t="s">
        <v>671</v>
      </c>
      <c r="E1194" s="168" t="str">
        <f>'Nhân công'!G130</f>
        <v>công</v>
      </c>
      <c r="F1194" s="60"/>
      <c r="G1194" s="60"/>
      <c r="H1194" s="60">
        <v>22.61</v>
      </c>
      <c r="I1194" s="60"/>
      <c r="J1194" s="60"/>
      <c r="K1194" s="60">
        <f>ROUND(F1185*H1194,4)</f>
        <v>908.5806</v>
      </c>
      <c r="L1194" s="60"/>
    </row>
    <row r="1195" spans="1:12" x14ac:dyDescent="0.25">
      <c r="A1195" s="56"/>
      <c r="B1195" s="23"/>
      <c r="C1195" s="88"/>
      <c r="D1195" s="23" t="s">
        <v>378</v>
      </c>
      <c r="E1195" s="56"/>
      <c r="F1195" s="118"/>
      <c r="G1195" s="118"/>
      <c r="H1195" s="118"/>
      <c r="I1195" s="118"/>
      <c r="J1195" s="118"/>
      <c r="K1195" s="118"/>
      <c r="L1195" s="118"/>
    </row>
    <row r="1196" spans="1:12" x14ac:dyDescent="0.25">
      <c r="A1196" s="168"/>
      <c r="B1196" s="144" t="str">
        <f>'Máy thi công'!B148</f>
        <v>M9478</v>
      </c>
      <c r="C1196" s="34">
        <v>733</v>
      </c>
      <c r="D1196" s="144" t="str">
        <f>" - " &amp; 'Máy thi công'!D148</f>
        <v xml:space="preserve"> - Cần trục ô tô - sức nâng: 10 t</v>
      </c>
      <c r="E1196" s="168" t="str">
        <f>'Máy thi công'!E148</f>
        <v>ca</v>
      </c>
      <c r="F1196" s="60"/>
      <c r="G1196" s="60"/>
      <c r="H1196" s="60"/>
      <c r="I1196" s="60">
        <v>0.27</v>
      </c>
      <c r="J1196" s="60"/>
      <c r="K1196" s="60"/>
      <c r="L1196" s="60">
        <f>ROUND(F1185*I1196,4)</f>
        <v>10.8499</v>
      </c>
    </row>
    <row r="1197" spans="1:12" x14ac:dyDescent="0.25">
      <c r="A1197" s="168"/>
      <c r="B1197" s="144" t="str">
        <f>'Máy thi công'!B177</f>
        <v>M112.2001</v>
      </c>
      <c r="C1197" s="34">
        <v>703</v>
      </c>
      <c r="D1197" s="144" t="str">
        <f>" - " &amp; 'Máy thi công'!D177</f>
        <v xml:space="preserve"> - Máy cắt sắt cầm tay - công suất: 1,7 kW</v>
      </c>
      <c r="E1197" s="168" t="str">
        <f>'Máy thi công'!E177</f>
        <v>ca</v>
      </c>
      <c r="F1197" s="60"/>
      <c r="G1197" s="60"/>
      <c r="H1197" s="60"/>
      <c r="I1197" s="60">
        <v>0.4</v>
      </c>
      <c r="J1197" s="60"/>
      <c r="K1197" s="60"/>
      <c r="L1197" s="60">
        <f>ROUND(F1185*I1197,4)</f>
        <v>16.074000000000002</v>
      </c>
    </row>
    <row r="1198" spans="1:12" x14ac:dyDescent="0.25">
      <c r="A1198" s="168"/>
      <c r="B1198" s="144" t="str">
        <f>'Máy thi công'!B6</f>
        <v>M9438</v>
      </c>
      <c r="C1198" s="34">
        <v>714</v>
      </c>
      <c r="D1198" s="144" t="str">
        <f>" - " &amp; 'Máy thi công'!D6</f>
        <v xml:space="preserve"> - Biến thế hàn xoay chiều - công suất: 23 kW</v>
      </c>
      <c r="E1198" s="168" t="str">
        <f>'Máy thi công'!E6</f>
        <v>ca</v>
      </c>
      <c r="F1198" s="60"/>
      <c r="G1198" s="60"/>
      <c r="H1198" s="60"/>
      <c r="I1198" s="60">
        <v>4.5999999999999996</v>
      </c>
      <c r="J1198" s="60"/>
      <c r="K1198" s="60"/>
      <c r="L1198" s="60">
        <f>ROUND(F1185*I1198,4)</f>
        <v>184.85050000000001</v>
      </c>
    </row>
    <row r="1199" spans="1:12" ht="28.5" x14ac:dyDescent="0.25">
      <c r="A1199" s="65">
        <f>'Công trình'!A158</f>
        <v>124</v>
      </c>
      <c r="B1199" s="14" t="str">
        <f>'Công trình'!B158</f>
        <v>TT</v>
      </c>
      <c r="C1199" s="94"/>
      <c r="D1199" s="14" t="str">
        <f>'Công trình'!C158</f>
        <v>Khấu hao hệ sàn đạo, sàn thao tác (Thi công trong vòng 3 tháng và 1 lần đóng nhổ)</v>
      </c>
      <c r="E1199" s="46" t="str">
        <f>'Công trình'!D158</f>
        <v>tấn</v>
      </c>
      <c r="F1199" s="106">
        <f>'Công trình'!K158</f>
        <v>5.2240000000000002</v>
      </c>
      <c r="G1199" s="126"/>
      <c r="H1199" s="126"/>
      <c r="I1199" s="126"/>
      <c r="J1199" s="126"/>
      <c r="K1199" s="126"/>
      <c r="L1199" s="126"/>
    </row>
    <row r="1200" spans="1:12" x14ac:dyDescent="0.25">
      <c r="A1200" s="56"/>
      <c r="B1200" s="23"/>
      <c r="C1200" s="88"/>
      <c r="D1200" s="23" t="s">
        <v>479</v>
      </c>
      <c r="E1200" s="56"/>
      <c r="F1200" s="118"/>
      <c r="G1200" s="118"/>
      <c r="H1200" s="118"/>
      <c r="I1200" s="118"/>
      <c r="J1200" s="118"/>
      <c r="K1200" s="118"/>
      <c r="L1200" s="118"/>
    </row>
    <row r="1201" spans="1:12" x14ac:dyDescent="0.25">
      <c r="A1201" s="168"/>
      <c r="B1201" s="144" t="str">
        <f>'Vật liệu'!B401</f>
        <v>V00770</v>
      </c>
      <c r="C1201" s="34">
        <v>400</v>
      </c>
      <c r="D1201" s="144" t="str">
        <f>" - " &amp; 'Vật liệu'!D401</f>
        <v xml:space="preserve"> - Ô xy</v>
      </c>
      <c r="E1201" s="168" t="str">
        <f>'Vật liệu'!E401</f>
        <v>Chai</v>
      </c>
      <c r="F1201" s="60"/>
      <c r="G1201" s="60">
        <v>0</v>
      </c>
      <c r="H1201" s="60"/>
      <c r="I1201" s="60"/>
      <c r="J1201" s="60">
        <f>ROUND(F1199*G1201,4)</f>
        <v>0</v>
      </c>
      <c r="K1201" s="60"/>
      <c r="L1201" s="60"/>
    </row>
    <row r="1202" spans="1:12" x14ac:dyDescent="0.25">
      <c r="A1202" s="168"/>
      <c r="B1202" s="144" t="str">
        <f>'Vật liệu'!B200</f>
        <v>V00833</v>
      </c>
      <c r="C1202" s="34">
        <v>411</v>
      </c>
      <c r="D1202" s="144" t="str">
        <f>" - " &amp; 'Vật liệu'!D200</f>
        <v xml:space="preserve"> - Đất đèn</v>
      </c>
      <c r="E1202" s="168" t="str">
        <f>'Vật liệu'!E200</f>
        <v>kg</v>
      </c>
      <c r="F1202" s="60"/>
      <c r="G1202" s="60">
        <v>0</v>
      </c>
      <c r="H1202" s="60"/>
      <c r="I1202" s="60"/>
      <c r="J1202" s="60">
        <f>ROUND(F1199*G1202,4)</f>
        <v>0</v>
      </c>
      <c r="K1202" s="60"/>
      <c r="L1202" s="60"/>
    </row>
    <row r="1203" spans="1:12" x14ac:dyDescent="0.25">
      <c r="A1203" s="168"/>
      <c r="B1203" s="144" t="str">
        <f>'Vật liệu'!B556</f>
        <v>V00641</v>
      </c>
      <c r="C1203" s="34">
        <v>160</v>
      </c>
      <c r="D1203" s="144" t="str">
        <f>" - " &amp; 'Vật liệu'!D556</f>
        <v xml:space="preserve"> - Thép hình</v>
      </c>
      <c r="E1203" s="168" t="str">
        <f>'Vật liệu'!E556</f>
        <v>kg</v>
      </c>
      <c r="F1203" s="60"/>
      <c r="G1203" s="60">
        <v>697.85</v>
      </c>
      <c r="H1203" s="60"/>
      <c r="I1203" s="60"/>
      <c r="J1203" s="60">
        <f>ROUND(F1199*G1203,4)</f>
        <v>3645.5684000000001</v>
      </c>
      <c r="K1203" s="60"/>
      <c r="L1203" s="60"/>
    </row>
    <row r="1204" spans="1:12" x14ac:dyDescent="0.25">
      <c r="A1204" s="168"/>
      <c r="B1204" s="144" t="str">
        <f>'Vật liệu'!B606</f>
        <v>V00671</v>
      </c>
      <c r="C1204" s="34">
        <v>166</v>
      </c>
      <c r="D1204" s="144" t="str">
        <f>" - " &amp; 'Vật liệu'!D606</f>
        <v xml:space="preserve"> - Thép tấm</v>
      </c>
      <c r="E1204" s="168" t="str">
        <f>'Vật liệu'!E606</f>
        <v>kg</v>
      </c>
      <c r="F1204" s="60"/>
      <c r="G1204" s="60">
        <v>362.15</v>
      </c>
      <c r="H1204" s="60"/>
      <c r="I1204" s="60"/>
      <c r="J1204" s="60">
        <f>ROUND(F1199*G1204,4)</f>
        <v>1891.8715999999999</v>
      </c>
      <c r="K1204" s="60"/>
      <c r="L1204" s="60"/>
    </row>
    <row r="1205" spans="1:12" x14ac:dyDescent="0.25">
      <c r="A1205" s="168"/>
      <c r="B1205" s="144" t="str">
        <f>'Vật liệu'!B450</f>
        <v>V00515</v>
      </c>
      <c r="C1205" s="34">
        <v>154</v>
      </c>
      <c r="D1205" s="144" t="str">
        <f>" - " &amp; 'Vật liệu'!D450</f>
        <v xml:space="preserve"> - Que hàn</v>
      </c>
      <c r="E1205" s="168" t="str">
        <f>'Vật liệu'!E450</f>
        <v>kg</v>
      </c>
      <c r="F1205" s="60"/>
      <c r="G1205" s="60">
        <v>0</v>
      </c>
      <c r="H1205" s="60"/>
      <c r="I1205" s="60"/>
      <c r="J1205" s="60">
        <f>ROUND(F1199*G1205,4)</f>
        <v>0</v>
      </c>
      <c r="K1205" s="60"/>
      <c r="L1205" s="60"/>
    </row>
    <row r="1206" spans="1:12" x14ac:dyDescent="0.25">
      <c r="A1206" s="168"/>
      <c r="B1206" s="144" t="str">
        <f>'Vật liệu'!B766</f>
        <v>V00750</v>
      </c>
      <c r="C1206" s="34">
        <v>272</v>
      </c>
      <c r="D1206" s="144" t="str">
        <f>" - " &amp; 'Vật liệu'!D766</f>
        <v xml:space="preserve"> - Vật liệu khác</v>
      </c>
      <c r="E1206" s="168" t="str">
        <f>'Vật liệu'!E766</f>
        <v>%</v>
      </c>
      <c r="F1206" s="60"/>
      <c r="G1206" s="60">
        <v>5</v>
      </c>
      <c r="H1206" s="60"/>
      <c r="I1206" s="60"/>
      <c r="J1206" s="60"/>
      <c r="K1206" s="60"/>
      <c r="L1206" s="60"/>
    </row>
    <row r="1207" spans="1:12" ht="28.5" x14ac:dyDescent="0.25">
      <c r="A1207" s="65">
        <f>'Công trình'!A160</f>
        <v>125</v>
      </c>
      <c r="B1207" s="14" t="str">
        <f>'Công trình'!B160</f>
        <v>AI.63311</v>
      </c>
      <c r="C1207" s="94"/>
      <c r="D1207" s="14" t="str">
        <f>'Công trình'!C160</f>
        <v>Lắp dựng kết cấu thép hệ khung dàn, sàn đạo trên cạn</v>
      </c>
      <c r="E1207" s="46" t="str">
        <f>'Công trình'!D160</f>
        <v>tấn</v>
      </c>
      <c r="F1207" s="106">
        <f>'Công trình'!K160</f>
        <v>40.184899999999999</v>
      </c>
      <c r="G1207" s="126"/>
      <c r="H1207" s="126"/>
      <c r="I1207" s="126"/>
      <c r="J1207" s="126"/>
      <c r="K1207" s="126"/>
      <c r="L1207" s="126"/>
    </row>
    <row r="1208" spans="1:12" x14ac:dyDescent="0.25">
      <c r="A1208" s="56"/>
      <c r="B1208" s="23"/>
      <c r="C1208" s="88"/>
      <c r="D1208" s="23" t="s">
        <v>479</v>
      </c>
      <c r="E1208" s="56"/>
      <c r="F1208" s="118"/>
      <c r="G1208" s="118"/>
      <c r="H1208" s="118"/>
      <c r="I1208" s="118"/>
      <c r="J1208" s="118"/>
      <c r="K1208" s="118"/>
      <c r="L1208" s="118"/>
    </row>
    <row r="1209" spans="1:12" x14ac:dyDescent="0.25">
      <c r="A1209" s="168"/>
      <c r="B1209" s="144" t="str">
        <f>'Vật liệu'!B450</f>
        <v>V00515</v>
      </c>
      <c r="C1209" s="34">
        <v>154</v>
      </c>
      <c r="D1209" s="144" t="str">
        <f>" - " &amp; 'Vật liệu'!D450</f>
        <v xml:space="preserve"> - Que hàn</v>
      </c>
      <c r="E1209" s="168" t="str">
        <f>'Vật liệu'!E450</f>
        <v>kg</v>
      </c>
      <c r="F1209" s="60"/>
      <c r="G1209" s="60">
        <v>12</v>
      </c>
      <c r="H1209" s="60"/>
      <c r="I1209" s="60"/>
      <c r="J1209" s="60">
        <f>ROUND(F1207*G1209,4)</f>
        <v>482.21879999999999</v>
      </c>
      <c r="K1209" s="60"/>
      <c r="L1209" s="60"/>
    </row>
    <row r="1210" spans="1:12" x14ac:dyDescent="0.25">
      <c r="A1210" s="168"/>
      <c r="B1210" s="144" t="str">
        <f>'Vật liệu'!B556</f>
        <v>V00641</v>
      </c>
      <c r="C1210" s="34">
        <v>160</v>
      </c>
      <c r="D1210" s="144" t="str">
        <f>" - " &amp; 'Vật liệu'!D556</f>
        <v xml:space="preserve"> - Thép hình</v>
      </c>
      <c r="E1210" s="168" t="str">
        <f>'Vật liệu'!E556</f>
        <v>kg</v>
      </c>
      <c r="F1210" s="60"/>
      <c r="G1210" s="60">
        <v>0.45</v>
      </c>
      <c r="H1210" s="60"/>
      <c r="I1210" s="60"/>
      <c r="J1210" s="60">
        <f>ROUND(F1207*G1210,4)</f>
        <v>18.083200000000001</v>
      </c>
      <c r="K1210" s="60"/>
      <c r="L1210" s="60"/>
    </row>
    <row r="1211" spans="1:12" x14ac:dyDescent="0.25">
      <c r="A1211" s="168"/>
      <c r="B1211" s="144" t="str">
        <f>'Vật liệu'!B20</f>
        <v>V00039</v>
      </c>
      <c r="C1211" s="34">
        <v>122</v>
      </c>
      <c r="D1211" s="144" t="str">
        <f>" - " &amp; 'Vật liệu'!D20</f>
        <v xml:space="preserve"> - Bu lông M20</v>
      </c>
      <c r="E1211" s="168" t="str">
        <f>'Vật liệu'!E20</f>
        <v>cái</v>
      </c>
      <c r="F1211" s="60"/>
      <c r="G1211" s="60">
        <v>12</v>
      </c>
      <c r="H1211" s="60"/>
      <c r="I1211" s="60"/>
      <c r="J1211" s="60">
        <f>ROUND(F1207*G1211,4)</f>
        <v>482.21879999999999</v>
      </c>
      <c r="K1211" s="60"/>
      <c r="L1211" s="60"/>
    </row>
    <row r="1212" spans="1:12" x14ac:dyDescent="0.25">
      <c r="A1212" s="168"/>
      <c r="B1212" s="144" t="str">
        <f>'Vật liệu'!B766</f>
        <v>V00750</v>
      </c>
      <c r="C1212" s="34">
        <v>270</v>
      </c>
      <c r="D1212" s="144" t="str">
        <f>" - " &amp; 'Vật liệu'!D766</f>
        <v xml:space="preserve"> - Vật liệu khác</v>
      </c>
      <c r="E1212" s="168" t="str">
        <f>'Vật liệu'!E766</f>
        <v>%</v>
      </c>
      <c r="F1212" s="60"/>
      <c r="G1212" s="60">
        <v>5</v>
      </c>
      <c r="H1212" s="60"/>
      <c r="I1212" s="60"/>
      <c r="J1212" s="60"/>
      <c r="K1212" s="60"/>
      <c r="L1212" s="60"/>
    </row>
    <row r="1213" spans="1:12" x14ac:dyDescent="0.25">
      <c r="A1213" s="56"/>
      <c r="B1213" s="23"/>
      <c r="C1213" s="88"/>
      <c r="D1213" s="23" t="s">
        <v>202</v>
      </c>
      <c r="E1213" s="56"/>
      <c r="F1213" s="118"/>
      <c r="G1213" s="118"/>
      <c r="H1213" s="118"/>
      <c r="I1213" s="118"/>
      <c r="J1213" s="118"/>
      <c r="K1213" s="118"/>
      <c r="L1213" s="118"/>
    </row>
    <row r="1214" spans="1:12" x14ac:dyDescent="0.25">
      <c r="A1214" s="168"/>
      <c r="B1214" s="144" t="str">
        <f>'Nhân công'!B130</f>
        <v>N0011</v>
      </c>
      <c r="C1214" s="34">
        <v>550</v>
      </c>
      <c r="D1214" s="144" t="s">
        <v>671</v>
      </c>
      <c r="E1214" s="168" t="str">
        <f>'Nhân công'!G130</f>
        <v>công</v>
      </c>
      <c r="F1214" s="60"/>
      <c r="G1214" s="60"/>
      <c r="H1214" s="60">
        <v>9.5</v>
      </c>
      <c r="I1214" s="60"/>
      <c r="J1214" s="60"/>
      <c r="K1214" s="60">
        <f>ROUND(F1207*H1214,4)</f>
        <v>381.75659999999999</v>
      </c>
      <c r="L1214" s="60"/>
    </row>
    <row r="1215" spans="1:12" x14ac:dyDescent="0.25">
      <c r="A1215" s="56"/>
      <c r="B1215" s="23"/>
      <c r="C1215" s="88"/>
      <c r="D1215" s="23" t="s">
        <v>378</v>
      </c>
      <c r="E1215" s="56"/>
      <c r="F1215" s="118"/>
      <c r="G1215" s="118"/>
      <c r="H1215" s="118"/>
      <c r="I1215" s="118"/>
      <c r="J1215" s="118"/>
      <c r="K1215" s="118"/>
      <c r="L1215" s="118"/>
    </row>
    <row r="1216" spans="1:12" x14ac:dyDescent="0.25">
      <c r="A1216" s="168"/>
      <c r="B1216" s="144" t="str">
        <f>'Máy thi công'!B6</f>
        <v>M9438</v>
      </c>
      <c r="C1216" s="34">
        <v>714</v>
      </c>
      <c r="D1216" s="144" t="str">
        <f>" - " &amp; 'Máy thi công'!D6</f>
        <v xml:space="preserve"> - Biến thế hàn xoay chiều - công suất: 23 kW</v>
      </c>
      <c r="E1216" s="168" t="str">
        <f>'Máy thi công'!E6</f>
        <v>ca</v>
      </c>
      <c r="F1216" s="60"/>
      <c r="G1216" s="60"/>
      <c r="H1216" s="60"/>
      <c r="I1216" s="60">
        <v>3</v>
      </c>
      <c r="J1216" s="60"/>
      <c r="K1216" s="60"/>
      <c r="L1216" s="60">
        <f>ROUND(F1207*I1216,4)</f>
        <v>120.5547</v>
      </c>
    </row>
    <row r="1217" spans="1:12" x14ac:dyDescent="0.25">
      <c r="A1217" s="168"/>
      <c r="B1217" s="144" t="str">
        <f>'Máy thi công'!B120</f>
        <v>M9468</v>
      </c>
      <c r="C1217" s="34">
        <v>728</v>
      </c>
      <c r="D1217" s="144" t="str">
        <f>" - " &amp; 'Máy thi công'!D120</f>
        <v xml:space="preserve"> - Cần trục bánh xích - sức nâng: 16 t</v>
      </c>
      <c r="E1217" s="168" t="str">
        <f>'Máy thi công'!E120</f>
        <v>ca</v>
      </c>
      <c r="F1217" s="60"/>
      <c r="G1217" s="60"/>
      <c r="H1217" s="60"/>
      <c r="I1217" s="60">
        <v>0.27</v>
      </c>
      <c r="J1217" s="60"/>
      <c r="K1217" s="60"/>
      <c r="L1217" s="60">
        <f>ROUND(F1207*I1217,4)</f>
        <v>10.8499</v>
      </c>
    </row>
    <row r="1218" spans="1:12" ht="28.5" x14ac:dyDescent="0.25">
      <c r="A1218" s="65">
        <f>'Công trình'!A161</f>
        <v>126</v>
      </c>
      <c r="B1218" s="14" t="str">
        <f>'Công trình'!B161</f>
        <v>AI.63311</v>
      </c>
      <c r="C1218" s="94"/>
      <c r="D1218" s="14" t="str">
        <f>'Công trình'!C161</f>
        <v>Tháo dỡ kết cấu thép hệ khung dàn, sàn đạo trên cạn (60% Đg)</v>
      </c>
      <c r="E1218" s="46" t="str">
        <f>'Công trình'!D161</f>
        <v>tấn</v>
      </c>
      <c r="F1218" s="106">
        <f>'Công trình'!K161</f>
        <v>40.184899999999999</v>
      </c>
      <c r="G1218" s="126"/>
      <c r="H1218" s="126"/>
      <c r="I1218" s="126"/>
      <c r="J1218" s="126"/>
      <c r="K1218" s="126"/>
      <c r="L1218" s="126"/>
    </row>
    <row r="1219" spans="1:12" x14ac:dyDescent="0.25">
      <c r="A1219" s="56"/>
      <c r="B1219" s="23"/>
      <c r="C1219" s="88"/>
      <c r="D1219" s="23" t="s">
        <v>479</v>
      </c>
      <c r="E1219" s="56"/>
      <c r="F1219" s="118"/>
      <c r="G1219" s="118"/>
      <c r="H1219" s="118"/>
      <c r="I1219" s="118"/>
      <c r="J1219" s="118"/>
      <c r="K1219" s="118"/>
      <c r="L1219" s="118"/>
    </row>
    <row r="1220" spans="1:12" x14ac:dyDescent="0.25">
      <c r="A1220" s="168"/>
      <c r="B1220" s="144" t="str">
        <f>'Vật liệu'!B450</f>
        <v>V00515</v>
      </c>
      <c r="C1220" s="34">
        <v>154</v>
      </c>
      <c r="D1220" s="144" t="str">
        <f>" - " &amp; 'Vật liệu'!D450</f>
        <v xml:space="preserve"> - Que hàn</v>
      </c>
      <c r="E1220" s="168" t="str">
        <f>'Vật liệu'!E450</f>
        <v>kg</v>
      </c>
      <c r="F1220" s="60"/>
      <c r="G1220" s="60">
        <v>7.2</v>
      </c>
      <c r="H1220" s="60"/>
      <c r="I1220" s="60"/>
      <c r="J1220" s="60">
        <f>ROUND(F1218*G1220,4)</f>
        <v>289.3313</v>
      </c>
      <c r="K1220" s="60"/>
      <c r="L1220" s="60"/>
    </row>
    <row r="1221" spans="1:12" x14ac:dyDescent="0.25">
      <c r="A1221" s="168"/>
      <c r="B1221" s="144" t="str">
        <f>'Vật liệu'!B556</f>
        <v>V00641</v>
      </c>
      <c r="C1221" s="34">
        <v>160</v>
      </c>
      <c r="D1221" s="144" t="str">
        <f>" - " &amp; 'Vật liệu'!D556</f>
        <v xml:space="preserve"> - Thép hình</v>
      </c>
      <c r="E1221" s="168" t="str">
        <f>'Vật liệu'!E556</f>
        <v>kg</v>
      </c>
      <c r="F1221" s="60"/>
      <c r="G1221" s="60">
        <v>0.27</v>
      </c>
      <c r="H1221" s="60"/>
      <c r="I1221" s="60"/>
      <c r="J1221" s="60">
        <f>ROUND(F1218*G1221,4)</f>
        <v>10.8499</v>
      </c>
      <c r="K1221" s="60"/>
      <c r="L1221" s="60"/>
    </row>
    <row r="1222" spans="1:12" x14ac:dyDescent="0.25">
      <c r="A1222" s="168"/>
      <c r="B1222" s="144" t="str">
        <f>'Vật liệu'!B20</f>
        <v>V00039</v>
      </c>
      <c r="C1222" s="34">
        <v>122</v>
      </c>
      <c r="D1222" s="144" t="str">
        <f>" - " &amp; 'Vật liệu'!D20</f>
        <v xml:space="preserve"> - Bu lông M20</v>
      </c>
      <c r="E1222" s="168" t="str">
        <f>'Vật liệu'!E20</f>
        <v>cái</v>
      </c>
      <c r="F1222" s="60"/>
      <c r="G1222" s="60">
        <v>7.2</v>
      </c>
      <c r="H1222" s="60"/>
      <c r="I1222" s="60"/>
      <c r="J1222" s="60">
        <f>ROUND(F1218*G1222,4)</f>
        <v>289.3313</v>
      </c>
      <c r="K1222" s="60"/>
      <c r="L1222" s="60"/>
    </row>
    <row r="1223" spans="1:12" x14ac:dyDescent="0.25">
      <c r="A1223" s="168"/>
      <c r="B1223" s="144" t="str">
        <f>'Vật liệu'!B766</f>
        <v>V00750</v>
      </c>
      <c r="C1223" s="34">
        <v>271</v>
      </c>
      <c r="D1223" s="144" t="str">
        <f>" - " &amp; 'Vật liệu'!D766</f>
        <v xml:space="preserve"> - Vật liệu khác</v>
      </c>
      <c r="E1223" s="168" t="str">
        <f>'Vật liệu'!E766</f>
        <v>%</v>
      </c>
      <c r="F1223" s="60"/>
      <c r="G1223" s="60">
        <v>5</v>
      </c>
      <c r="H1223" s="60"/>
      <c r="I1223" s="60"/>
      <c r="J1223" s="60"/>
      <c r="K1223" s="60"/>
      <c r="L1223" s="60"/>
    </row>
    <row r="1224" spans="1:12" x14ac:dyDescent="0.25">
      <c r="A1224" s="56"/>
      <c r="B1224" s="23"/>
      <c r="C1224" s="88"/>
      <c r="D1224" s="23" t="s">
        <v>202</v>
      </c>
      <c r="E1224" s="56"/>
      <c r="F1224" s="118"/>
      <c r="G1224" s="118"/>
      <c r="H1224" s="118"/>
      <c r="I1224" s="118"/>
      <c r="J1224" s="118"/>
      <c r="K1224" s="118"/>
      <c r="L1224" s="118"/>
    </row>
    <row r="1225" spans="1:12" x14ac:dyDescent="0.25">
      <c r="A1225" s="168"/>
      <c r="B1225" s="144" t="str">
        <f>'Nhân công'!B130</f>
        <v>N0011</v>
      </c>
      <c r="C1225" s="34">
        <v>550</v>
      </c>
      <c r="D1225" s="144" t="s">
        <v>671</v>
      </c>
      <c r="E1225" s="168" t="str">
        <f>'Nhân công'!G130</f>
        <v>công</v>
      </c>
      <c r="F1225" s="60"/>
      <c r="G1225" s="60"/>
      <c r="H1225" s="60">
        <v>5.7</v>
      </c>
      <c r="I1225" s="60"/>
      <c r="J1225" s="60"/>
      <c r="K1225" s="60">
        <f>ROUND(F1218*H1225,4)</f>
        <v>229.0539</v>
      </c>
      <c r="L1225" s="60"/>
    </row>
    <row r="1226" spans="1:12" x14ac:dyDescent="0.25">
      <c r="A1226" s="56"/>
      <c r="B1226" s="23"/>
      <c r="C1226" s="88"/>
      <c r="D1226" s="23" t="s">
        <v>378</v>
      </c>
      <c r="E1226" s="56"/>
      <c r="F1226" s="118"/>
      <c r="G1226" s="118"/>
      <c r="H1226" s="118"/>
      <c r="I1226" s="118"/>
      <c r="J1226" s="118"/>
      <c r="K1226" s="118"/>
      <c r="L1226" s="118"/>
    </row>
    <row r="1227" spans="1:12" x14ac:dyDescent="0.25">
      <c r="A1227" s="168"/>
      <c r="B1227" s="144" t="str">
        <f>'Máy thi công'!B6</f>
        <v>M9438</v>
      </c>
      <c r="C1227" s="34">
        <v>714</v>
      </c>
      <c r="D1227" s="144" t="str">
        <f>" - " &amp; 'Máy thi công'!D6</f>
        <v xml:space="preserve"> - Biến thế hàn xoay chiều - công suất: 23 kW</v>
      </c>
      <c r="E1227" s="168" t="str">
        <f>'Máy thi công'!E6</f>
        <v>ca</v>
      </c>
      <c r="F1227" s="60"/>
      <c r="G1227" s="60"/>
      <c r="H1227" s="60"/>
      <c r="I1227" s="60">
        <v>1.8</v>
      </c>
      <c r="J1227" s="60"/>
      <c r="K1227" s="60"/>
      <c r="L1227" s="60">
        <f>ROUND(F1218*I1227,4)</f>
        <v>72.332800000000006</v>
      </c>
    </row>
    <row r="1228" spans="1:12" x14ac:dyDescent="0.25">
      <c r="A1228" s="168"/>
      <c r="B1228" s="144" t="str">
        <f>'Máy thi công'!B120</f>
        <v>M9468</v>
      </c>
      <c r="C1228" s="34">
        <v>728</v>
      </c>
      <c r="D1228" s="144" t="str">
        <f>" - " &amp; 'Máy thi công'!D120</f>
        <v xml:space="preserve"> - Cần trục bánh xích - sức nâng: 16 t</v>
      </c>
      <c r="E1228" s="168" t="str">
        <f>'Máy thi công'!E120</f>
        <v>ca</v>
      </c>
      <c r="F1228" s="60"/>
      <c r="G1228" s="60"/>
      <c r="H1228" s="60"/>
      <c r="I1228" s="60">
        <v>0.16200000000000001</v>
      </c>
      <c r="J1228" s="60"/>
      <c r="K1228" s="60"/>
      <c r="L1228" s="60">
        <f>ROUND(F1218*I1228,4)</f>
        <v>6.51</v>
      </c>
    </row>
    <row r="1229" spans="1:12" ht="42.75" x14ac:dyDescent="0.25">
      <c r="A1229" s="65">
        <f>'Công trình'!A162</f>
        <v>127</v>
      </c>
      <c r="B1229" s="14" t="str">
        <f>'Công trình'!B162</f>
        <v>AC.22522</v>
      </c>
      <c r="C1229" s="94"/>
      <c r="D1229" s="14" t="str">
        <f>'Công trình'!C162</f>
        <v>Đóng cọc thép hình I350x150, dài 14m đóng ngập đất 11m trên mặt đất, đất cấp II, phần ngập đất</v>
      </c>
      <c r="E1229" s="46" t="str">
        <f>'Công trình'!D162</f>
        <v>100m</v>
      </c>
      <c r="F1229" s="106">
        <f>'Công trình'!K162</f>
        <v>3.08</v>
      </c>
      <c r="G1229" s="126"/>
      <c r="H1229" s="126"/>
      <c r="I1229" s="126"/>
      <c r="J1229" s="126"/>
      <c r="K1229" s="126"/>
      <c r="L1229" s="126"/>
    </row>
    <row r="1230" spans="1:12" x14ac:dyDescent="0.25">
      <c r="A1230" s="56"/>
      <c r="B1230" s="23"/>
      <c r="C1230" s="88"/>
      <c r="D1230" s="23" t="s">
        <v>479</v>
      </c>
      <c r="E1230" s="56"/>
      <c r="F1230" s="118"/>
      <c r="G1230" s="118"/>
      <c r="H1230" s="118"/>
      <c r="I1230" s="118"/>
      <c r="J1230" s="118"/>
      <c r="K1230" s="118"/>
      <c r="L1230" s="118"/>
    </row>
    <row r="1231" spans="1:12" x14ac:dyDescent="0.25">
      <c r="A1231" s="168"/>
      <c r="B1231" s="144" t="str">
        <f>'Vật liệu'!B327</f>
        <v>V08281</v>
      </c>
      <c r="C1231" s="34">
        <v>432</v>
      </c>
      <c r="D1231" s="144" t="str">
        <f>" - " &amp; 'Vật liệu'!D327</f>
        <v xml:space="preserve"> - H(400x400x13x21)mm</v>
      </c>
      <c r="E1231" s="168" t="str">
        <f>'Vật liệu'!E327</f>
        <v>m</v>
      </c>
      <c r="F1231" s="60"/>
      <c r="G1231" s="60">
        <v>0</v>
      </c>
      <c r="H1231" s="60"/>
      <c r="I1231" s="60"/>
      <c r="J1231" s="60">
        <f>ROUND(F1229*G1231,4)</f>
        <v>0</v>
      </c>
      <c r="K1231" s="60"/>
      <c r="L1231" s="60"/>
    </row>
    <row r="1232" spans="1:12" x14ac:dyDescent="0.25">
      <c r="A1232" s="168"/>
      <c r="B1232" s="144" t="str">
        <f>'Vật liệu'!B766</f>
        <v>V00750</v>
      </c>
      <c r="C1232" s="34">
        <v>274</v>
      </c>
      <c r="D1232" s="144" t="str">
        <f>" - " &amp; 'Vật liệu'!D766</f>
        <v xml:space="preserve"> - Vật liệu khác</v>
      </c>
      <c r="E1232" s="168" t="str">
        <f>'Vật liệu'!E766</f>
        <v>%</v>
      </c>
      <c r="F1232" s="60"/>
      <c r="G1232" s="60">
        <v>1</v>
      </c>
      <c r="H1232" s="60"/>
      <c r="I1232" s="60"/>
      <c r="J1232" s="60"/>
      <c r="K1232" s="60"/>
      <c r="L1232" s="60"/>
    </row>
    <row r="1233" spans="1:12" x14ac:dyDescent="0.25">
      <c r="A1233" s="56"/>
      <c r="B1233" s="23"/>
      <c r="C1233" s="88"/>
      <c r="D1233" s="23" t="s">
        <v>202</v>
      </c>
      <c r="E1233" s="56"/>
      <c r="F1233" s="118"/>
      <c r="G1233" s="118"/>
      <c r="H1233" s="118"/>
      <c r="I1233" s="118"/>
      <c r="J1233" s="118"/>
      <c r="K1233" s="118"/>
      <c r="L1233" s="118"/>
    </row>
    <row r="1234" spans="1:12" x14ac:dyDescent="0.25">
      <c r="A1234" s="168"/>
      <c r="B1234" s="144" t="str">
        <f>'Nhân công'!B185</f>
        <v>N0020</v>
      </c>
      <c r="C1234" s="34">
        <v>555</v>
      </c>
      <c r="D1234" s="144" t="s">
        <v>625</v>
      </c>
      <c r="E1234" s="168" t="str">
        <f>'Nhân công'!G185</f>
        <v>công</v>
      </c>
      <c r="F1234" s="60"/>
      <c r="G1234" s="60"/>
      <c r="H1234" s="60">
        <v>6.72</v>
      </c>
      <c r="I1234" s="60"/>
      <c r="J1234" s="60"/>
      <c r="K1234" s="60">
        <f>ROUND(F1229*H1234,4)</f>
        <v>20.697600000000001</v>
      </c>
      <c r="L1234" s="60"/>
    </row>
    <row r="1235" spans="1:12" x14ac:dyDescent="0.25">
      <c r="A1235" s="56"/>
      <c r="B1235" s="23"/>
      <c r="C1235" s="88"/>
      <c r="D1235" s="23" t="s">
        <v>378</v>
      </c>
      <c r="E1235" s="56"/>
      <c r="F1235" s="118"/>
      <c r="G1235" s="118"/>
      <c r="H1235" s="118"/>
      <c r="I1235" s="118"/>
      <c r="J1235" s="118"/>
      <c r="K1235" s="118"/>
      <c r="L1235" s="118"/>
    </row>
    <row r="1236" spans="1:12" ht="30" x14ac:dyDescent="0.25">
      <c r="A1236" s="168"/>
      <c r="B1236" s="144" t="str">
        <f>'Máy thi công'!B85</f>
        <v>M9440</v>
      </c>
      <c r="C1236" s="34">
        <v>716</v>
      </c>
      <c r="D1236" s="144" t="str">
        <f>" - " &amp; 'Máy thi công'!D85</f>
        <v xml:space="preserve"> - Búa diezel chạy trên ray - trọng lượng đầu búa: 1,2 t</v>
      </c>
      <c r="E1236" s="168" t="str">
        <f>'Máy thi công'!E85</f>
        <v>ca</v>
      </c>
      <c r="F1236" s="60"/>
      <c r="G1236" s="60"/>
      <c r="H1236" s="60"/>
      <c r="I1236" s="60">
        <v>3.36</v>
      </c>
      <c r="J1236" s="60"/>
      <c r="K1236" s="60"/>
      <c r="L1236" s="60">
        <f>ROUND(F1229*I1236,4)</f>
        <v>10.348800000000001</v>
      </c>
    </row>
    <row r="1237" spans="1:12" x14ac:dyDescent="0.25">
      <c r="A1237" s="168"/>
      <c r="B1237" s="144" t="str">
        <f>'Máy thi công'!B398</f>
        <v>M0111</v>
      </c>
      <c r="C1237" s="34">
        <v>617</v>
      </c>
      <c r="D1237" s="144" t="str">
        <f>" - " &amp; 'Máy thi công'!D398</f>
        <v xml:space="preserve"> - Máy khác</v>
      </c>
      <c r="E1237" s="168" t="str">
        <f>'Máy thi công'!E398</f>
        <v>%</v>
      </c>
      <c r="F1237" s="60"/>
      <c r="G1237" s="60"/>
      <c r="H1237" s="60"/>
      <c r="I1237" s="60">
        <v>1.5</v>
      </c>
      <c r="J1237" s="60"/>
      <c r="K1237" s="60"/>
      <c r="L1237" s="60"/>
    </row>
    <row r="1238" spans="1:12" ht="42.75" x14ac:dyDescent="0.25">
      <c r="A1238" s="65">
        <f>'Công trình'!A163</f>
        <v>128</v>
      </c>
      <c r="B1238" s="14" t="str">
        <f>'Công trình'!B163</f>
        <v>AC.22522</v>
      </c>
      <c r="C1238" s="94"/>
      <c r="D1238" s="14" t="str">
        <f>'Công trình'!C163</f>
        <v>Đóng cọc thép hình I350x150, dài 14m đóng không ngập đất 3m, đất cấp II, phần không ngập đất (NC, MTC * 0,75)</v>
      </c>
      <c r="E1238" s="46" t="str">
        <f>'Công trình'!D163</f>
        <v>100m</v>
      </c>
      <c r="F1238" s="106">
        <f>'Công trình'!K163</f>
        <v>0.84</v>
      </c>
      <c r="G1238" s="126"/>
      <c r="H1238" s="126"/>
      <c r="I1238" s="126"/>
      <c r="J1238" s="126"/>
      <c r="K1238" s="126"/>
      <c r="L1238" s="126"/>
    </row>
    <row r="1239" spans="1:12" x14ac:dyDescent="0.25">
      <c r="A1239" s="56"/>
      <c r="B1239" s="23"/>
      <c r="C1239" s="88"/>
      <c r="D1239" s="23" t="s">
        <v>479</v>
      </c>
      <c r="E1239" s="56"/>
      <c r="F1239" s="118"/>
      <c r="G1239" s="118"/>
      <c r="H1239" s="118"/>
      <c r="I1239" s="118"/>
      <c r="J1239" s="118"/>
      <c r="K1239" s="118"/>
      <c r="L1239" s="118"/>
    </row>
    <row r="1240" spans="1:12" x14ac:dyDescent="0.25">
      <c r="A1240" s="168"/>
      <c r="B1240" s="144" t="str">
        <f>'Vật liệu'!B327</f>
        <v>V08281</v>
      </c>
      <c r="C1240" s="34">
        <v>432</v>
      </c>
      <c r="D1240" s="144" t="str">
        <f>" - " &amp; 'Vật liệu'!D327</f>
        <v xml:space="preserve"> - H(400x400x13x21)mm</v>
      </c>
      <c r="E1240" s="168" t="str">
        <f>'Vật liệu'!E327</f>
        <v>m</v>
      </c>
      <c r="F1240" s="60"/>
      <c r="G1240" s="60">
        <v>0</v>
      </c>
      <c r="H1240" s="60"/>
      <c r="I1240" s="60"/>
      <c r="J1240" s="60">
        <f>ROUND(F1238*G1240,4)</f>
        <v>0</v>
      </c>
      <c r="K1240" s="60"/>
      <c r="L1240" s="60"/>
    </row>
    <row r="1241" spans="1:12" x14ac:dyDescent="0.25">
      <c r="A1241" s="168"/>
      <c r="B1241" s="144" t="str">
        <f>'Vật liệu'!B766</f>
        <v>V00750</v>
      </c>
      <c r="C1241" s="34">
        <v>275</v>
      </c>
      <c r="D1241" s="144" t="str">
        <f>" - " &amp; 'Vật liệu'!D766</f>
        <v xml:space="preserve"> - Vật liệu khác</v>
      </c>
      <c r="E1241" s="168" t="str">
        <f>'Vật liệu'!E766</f>
        <v>%</v>
      </c>
      <c r="F1241" s="60"/>
      <c r="G1241" s="60">
        <v>1</v>
      </c>
      <c r="H1241" s="60"/>
      <c r="I1241" s="60"/>
      <c r="J1241" s="60"/>
      <c r="K1241" s="60"/>
      <c r="L1241" s="60"/>
    </row>
    <row r="1242" spans="1:12" x14ac:dyDescent="0.25">
      <c r="A1242" s="56"/>
      <c r="B1242" s="23"/>
      <c r="C1242" s="88"/>
      <c r="D1242" s="23" t="s">
        <v>202</v>
      </c>
      <c r="E1242" s="56"/>
      <c r="F1242" s="118"/>
      <c r="G1242" s="118"/>
      <c r="H1242" s="118"/>
      <c r="I1242" s="118"/>
      <c r="J1242" s="118"/>
      <c r="K1242" s="118"/>
      <c r="L1242" s="118"/>
    </row>
    <row r="1243" spans="1:12" x14ac:dyDescent="0.25">
      <c r="A1243" s="168"/>
      <c r="B1243" s="144" t="str">
        <f>'Nhân công'!B185</f>
        <v>N0020</v>
      </c>
      <c r="C1243" s="34">
        <v>555</v>
      </c>
      <c r="D1243" s="144" t="s">
        <v>625</v>
      </c>
      <c r="E1243" s="168" t="str">
        <f>'Nhân công'!G185</f>
        <v>công</v>
      </c>
      <c r="F1243" s="60"/>
      <c r="G1243" s="60"/>
      <c r="H1243" s="60">
        <v>5.79</v>
      </c>
      <c r="I1243" s="60"/>
      <c r="J1243" s="60"/>
      <c r="K1243" s="60">
        <f>ROUND(F1238*H1243,4)</f>
        <v>4.8635999999999999</v>
      </c>
      <c r="L1243" s="60"/>
    </row>
    <row r="1244" spans="1:12" x14ac:dyDescent="0.25">
      <c r="A1244" s="56"/>
      <c r="B1244" s="23"/>
      <c r="C1244" s="88"/>
      <c r="D1244" s="23" t="s">
        <v>378</v>
      </c>
      <c r="E1244" s="56"/>
      <c r="F1244" s="118"/>
      <c r="G1244" s="118"/>
      <c r="H1244" s="118"/>
      <c r="I1244" s="118"/>
      <c r="J1244" s="118"/>
      <c r="K1244" s="118"/>
      <c r="L1244" s="118"/>
    </row>
    <row r="1245" spans="1:12" ht="30" x14ac:dyDescent="0.25">
      <c r="A1245" s="168"/>
      <c r="B1245" s="144" t="str">
        <f>'Máy thi công'!B85</f>
        <v>M9440</v>
      </c>
      <c r="C1245" s="34">
        <v>716</v>
      </c>
      <c r="D1245" s="144" t="str">
        <f>" - " &amp; 'Máy thi công'!D85</f>
        <v xml:space="preserve"> - Búa diezel chạy trên ray - trọng lượng đầu búa: 1,2 t</v>
      </c>
      <c r="E1245" s="168" t="str">
        <f>'Máy thi công'!E85</f>
        <v>ca</v>
      </c>
      <c r="F1245" s="60"/>
      <c r="G1245" s="60"/>
      <c r="H1245" s="60"/>
      <c r="I1245" s="60">
        <v>2.52</v>
      </c>
      <c r="J1245" s="60"/>
      <c r="K1245" s="60"/>
      <c r="L1245" s="60">
        <f>ROUND(F1238*I1245,4)</f>
        <v>2.1168</v>
      </c>
    </row>
    <row r="1246" spans="1:12" x14ac:dyDescent="0.25">
      <c r="A1246" s="168"/>
      <c r="B1246" s="144" t="str">
        <f>'Máy thi công'!B398</f>
        <v>M0111</v>
      </c>
      <c r="C1246" s="34">
        <v>618</v>
      </c>
      <c r="D1246" s="144" t="str">
        <f>" - " &amp; 'Máy thi công'!D398</f>
        <v xml:space="preserve"> - Máy khác</v>
      </c>
      <c r="E1246" s="168" t="str">
        <f>'Máy thi công'!E398</f>
        <v>%</v>
      </c>
      <c r="F1246" s="60"/>
      <c r="G1246" s="60"/>
      <c r="H1246" s="60"/>
      <c r="I1246" s="60">
        <v>1.5</v>
      </c>
      <c r="J1246" s="60"/>
      <c r="K1246" s="60"/>
      <c r="L1246" s="60"/>
    </row>
    <row r="1247" spans="1:12" ht="28.5" x14ac:dyDescent="0.25">
      <c r="A1247" s="65">
        <f>'Công trình'!A164</f>
        <v>129</v>
      </c>
      <c r="B1247" s="14" t="str">
        <f>'Công trình'!B164</f>
        <v>TT</v>
      </c>
      <c r="C1247" s="94"/>
      <c r="D1247" s="14" t="str">
        <f>'Công trình'!C164</f>
        <v>Khấu hao cọc thép hình (Thi công trong vòng 3 tháng và 1 lần đóng nhổ)</v>
      </c>
      <c r="E1247" s="46" t="str">
        <f>'Công trình'!D164</f>
        <v>100m</v>
      </c>
      <c r="F1247" s="106">
        <f>'Công trình'!K164</f>
        <v>0.27479999999999999</v>
      </c>
      <c r="G1247" s="126"/>
      <c r="H1247" s="126"/>
      <c r="I1247" s="126"/>
      <c r="J1247" s="126"/>
      <c r="K1247" s="126"/>
      <c r="L1247" s="126"/>
    </row>
    <row r="1248" spans="1:12" x14ac:dyDescent="0.25">
      <c r="A1248" s="56"/>
      <c r="B1248" s="23"/>
      <c r="C1248" s="88"/>
      <c r="D1248" s="23" t="s">
        <v>479</v>
      </c>
      <c r="E1248" s="56"/>
      <c r="F1248" s="118"/>
      <c r="G1248" s="118"/>
      <c r="H1248" s="118"/>
      <c r="I1248" s="118"/>
      <c r="J1248" s="118"/>
      <c r="K1248" s="118"/>
      <c r="L1248" s="118"/>
    </row>
    <row r="1249" spans="1:12" x14ac:dyDescent="0.25">
      <c r="A1249" s="168"/>
      <c r="B1249" s="144" t="str">
        <f>'Vật liệu'!B327</f>
        <v>V08281</v>
      </c>
      <c r="C1249" s="34">
        <v>432</v>
      </c>
      <c r="D1249" s="144" t="str">
        <f>" - " &amp; 'Vật liệu'!D327</f>
        <v xml:space="preserve"> - H(400x400x13x21)mm</v>
      </c>
      <c r="E1249" s="168" t="str">
        <f>'Vật liệu'!E327</f>
        <v>m</v>
      </c>
      <c r="F1249" s="60"/>
      <c r="G1249" s="60">
        <v>100</v>
      </c>
      <c r="H1249" s="60"/>
      <c r="I1249" s="60"/>
      <c r="J1249" s="60">
        <f>ROUND(F1247*G1249,4)</f>
        <v>27.48</v>
      </c>
      <c r="K1249" s="60"/>
      <c r="L1249" s="60"/>
    </row>
    <row r="1250" spans="1:12" x14ac:dyDescent="0.25">
      <c r="A1250" s="168"/>
      <c r="B1250" s="144" t="str">
        <f>'Vật liệu'!B766</f>
        <v>V00750</v>
      </c>
      <c r="C1250" s="34">
        <v>276</v>
      </c>
      <c r="D1250" s="144" t="str">
        <f>" - " &amp; 'Vật liệu'!D766</f>
        <v xml:space="preserve"> - Vật liệu khác</v>
      </c>
      <c r="E1250" s="168" t="str">
        <f>'Vật liệu'!E766</f>
        <v>%</v>
      </c>
      <c r="F1250" s="60"/>
      <c r="G1250" s="60">
        <v>1</v>
      </c>
      <c r="H1250" s="60"/>
      <c r="I1250" s="60"/>
      <c r="J1250" s="60"/>
      <c r="K1250" s="60"/>
      <c r="L1250" s="60"/>
    </row>
    <row r="1251" spans="1:12" ht="28.5" x14ac:dyDescent="0.25">
      <c r="A1251" s="65">
        <f>'Công trình'!A166</f>
        <v>130</v>
      </c>
      <c r="B1251" s="14" t="str">
        <f>'Công trình'!B166</f>
        <v>AC.23110</v>
      </c>
      <c r="C1251" s="94"/>
      <c r="D1251" s="14" t="str">
        <f>'Công trình'!C166</f>
        <v>Nhổ cọc thép hình làm tường chắn đất, sàn thao tác trên cạn</v>
      </c>
      <c r="E1251" s="46" t="str">
        <f>'Công trình'!D166</f>
        <v>100m</v>
      </c>
      <c r="F1251" s="106">
        <f>'Công trình'!K166</f>
        <v>3.92</v>
      </c>
      <c r="G1251" s="126"/>
      <c r="H1251" s="126"/>
      <c r="I1251" s="126"/>
      <c r="J1251" s="126"/>
      <c r="K1251" s="126"/>
      <c r="L1251" s="126"/>
    </row>
    <row r="1252" spans="1:12" x14ac:dyDescent="0.25">
      <c r="A1252" s="56"/>
      <c r="B1252" s="23"/>
      <c r="C1252" s="88"/>
      <c r="D1252" s="23" t="s">
        <v>202</v>
      </c>
      <c r="E1252" s="56"/>
      <c r="F1252" s="118"/>
      <c r="G1252" s="118"/>
      <c r="H1252" s="118"/>
      <c r="I1252" s="118"/>
      <c r="J1252" s="118"/>
      <c r="K1252" s="118"/>
      <c r="L1252" s="118"/>
    </row>
    <row r="1253" spans="1:12" x14ac:dyDescent="0.25">
      <c r="A1253" s="168"/>
      <c r="B1253" s="144" t="str">
        <f>'Nhân công'!B185</f>
        <v>N0020</v>
      </c>
      <c r="C1253" s="34">
        <v>555</v>
      </c>
      <c r="D1253" s="144" t="s">
        <v>625</v>
      </c>
      <c r="E1253" s="168" t="str">
        <f>'Nhân công'!G185</f>
        <v>công</v>
      </c>
      <c r="F1253" s="60"/>
      <c r="G1253" s="60"/>
      <c r="H1253" s="60">
        <v>2.66</v>
      </c>
      <c r="I1253" s="60"/>
      <c r="J1253" s="60"/>
      <c r="K1253" s="60">
        <f>ROUND(F1251*H1253,4)</f>
        <v>10.427199999999999</v>
      </c>
      <c r="L1253" s="60"/>
    </row>
    <row r="1254" spans="1:12" x14ac:dyDescent="0.25">
      <c r="A1254" s="56"/>
      <c r="B1254" s="23"/>
      <c r="C1254" s="88"/>
      <c r="D1254" s="23" t="s">
        <v>378</v>
      </c>
      <c r="E1254" s="56"/>
      <c r="F1254" s="118"/>
      <c r="G1254" s="118"/>
      <c r="H1254" s="118"/>
      <c r="I1254" s="118"/>
      <c r="J1254" s="118"/>
      <c r="K1254" s="118"/>
      <c r="L1254" s="118"/>
    </row>
    <row r="1255" spans="1:12" x14ac:dyDescent="0.25">
      <c r="A1255" s="168"/>
      <c r="B1255" s="144" t="str">
        <f>'Máy thi công'!B135</f>
        <v>M9469</v>
      </c>
      <c r="C1255" s="34">
        <v>729</v>
      </c>
      <c r="D1255" s="144" t="str">
        <f>" - " &amp; 'Máy thi công'!D135</f>
        <v xml:space="preserve"> - Cần trục bánh xích - sức nâng: 25 t</v>
      </c>
      <c r="E1255" s="168" t="str">
        <f>'Máy thi công'!E135</f>
        <v>ca</v>
      </c>
      <c r="F1255" s="60"/>
      <c r="G1255" s="60"/>
      <c r="H1255" s="60"/>
      <c r="I1255" s="60">
        <v>1.33</v>
      </c>
      <c r="J1255" s="60"/>
      <c r="K1255" s="60"/>
      <c r="L1255" s="60">
        <f>ROUND(F1251*I1255,4)</f>
        <v>5.2135999999999996</v>
      </c>
    </row>
    <row r="1256" spans="1:12" x14ac:dyDescent="0.25">
      <c r="A1256" s="168"/>
      <c r="B1256" s="144" t="str">
        <f>'Máy thi công'!B398</f>
        <v>M0111</v>
      </c>
      <c r="C1256" s="34">
        <v>619</v>
      </c>
      <c r="D1256" s="144" t="str">
        <f>" - " &amp; 'Máy thi công'!D398</f>
        <v xml:space="preserve"> - Máy khác</v>
      </c>
      <c r="E1256" s="168" t="str">
        <f>'Máy thi công'!E398</f>
        <v>%</v>
      </c>
      <c r="F1256" s="60"/>
      <c r="G1256" s="60"/>
      <c r="H1256" s="60"/>
      <c r="I1256" s="60">
        <v>2</v>
      </c>
      <c r="J1256" s="60"/>
      <c r="K1256" s="60"/>
      <c r="L1256" s="60"/>
    </row>
    <row r="1257" spans="1:12" ht="28.5" x14ac:dyDescent="0.25">
      <c r="A1257" s="65">
        <f>'Công trình'!A167</f>
        <v>131</v>
      </c>
      <c r="B1257" s="14" t="str">
        <f>'Công trình'!B167</f>
        <v>AG.11413</v>
      </c>
      <c r="C1257" s="94"/>
      <c r="D1257" s="14" t="str">
        <f>'Công trình'!C167</f>
        <v>Bê tông tấm đan đúc sẵn đá 1x2, vữa BT mác 200</v>
      </c>
      <c r="E1257" s="46" t="str">
        <f>'Công trình'!D167</f>
        <v>m3</v>
      </c>
      <c r="F1257" s="106">
        <f>'Công trình'!K167</f>
        <v>8.7799999999999994</v>
      </c>
      <c r="G1257" s="126"/>
      <c r="H1257" s="126"/>
      <c r="I1257" s="126"/>
      <c r="J1257" s="126"/>
      <c r="K1257" s="126"/>
      <c r="L1257" s="126"/>
    </row>
    <row r="1258" spans="1:12" x14ac:dyDescent="0.25">
      <c r="A1258" s="56"/>
      <c r="B1258" s="23"/>
      <c r="C1258" s="88"/>
      <c r="D1258" s="23" t="s">
        <v>479</v>
      </c>
      <c r="E1258" s="56"/>
      <c r="F1258" s="118"/>
      <c r="G1258" s="118"/>
      <c r="H1258" s="118"/>
      <c r="I1258" s="118"/>
      <c r="J1258" s="118"/>
      <c r="K1258" s="118"/>
      <c r="L1258" s="118"/>
    </row>
    <row r="1259" spans="1:12" x14ac:dyDescent="0.25">
      <c r="A1259" s="168"/>
      <c r="B1259" s="144" t="str">
        <f>'Vật liệu'!B721</f>
        <v>V00761</v>
      </c>
      <c r="C1259" s="34">
        <v>397</v>
      </c>
      <c r="D1259" s="144" t="str">
        <f>" - " &amp; 'Vật liệu'!D721</f>
        <v xml:space="preserve"> - Xi măng PC40</v>
      </c>
      <c r="E1259" s="168" t="str">
        <f>'Vật liệu'!E721</f>
        <v>kg</v>
      </c>
      <c r="F1259" s="60"/>
      <c r="G1259" s="60">
        <v>285.21499999999997</v>
      </c>
      <c r="H1259" s="60"/>
      <c r="I1259" s="60"/>
      <c r="J1259" s="60">
        <f>ROUND(F1257*G1259,4)</f>
        <v>2504.1876999999999</v>
      </c>
      <c r="K1259" s="60"/>
      <c r="L1259" s="60"/>
    </row>
    <row r="1260" spans="1:12" x14ac:dyDescent="0.25">
      <c r="A1260" s="168"/>
      <c r="B1260" s="144" t="str">
        <f>'Vật liệu'!B54</f>
        <v>V00112</v>
      </c>
      <c r="C1260" s="34">
        <v>125</v>
      </c>
      <c r="D1260" s="144" t="str">
        <f>" - " &amp; 'Vật liệu'!D54</f>
        <v xml:space="preserve"> - Cát vàng</v>
      </c>
      <c r="E1260" s="168" t="str">
        <f>'Vật liệu'!E54</f>
        <v>m3</v>
      </c>
      <c r="F1260" s="60"/>
      <c r="G1260" s="60">
        <v>0.50039999999999996</v>
      </c>
      <c r="H1260" s="60"/>
      <c r="I1260" s="60"/>
      <c r="J1260" s="60">
        <f>ROUND(F1257*G1260,4)</f>
        <v>4.3935000000000004</v>
      </c>
      <c r="K1260" s="60"/>
      <c r="L1260" s="60"/>
    </row>
    <row r="1261" spans="1:12" x14ac:dyDescent="0.25">
      <c r="A1261" s="168"/>
      <c r="B1261" s="144" t="str">
        <f>'Vật liệu'!B142</f>
        <v>V05207</v>
      </c>
      <c r="C1261" s="34">
        <v>416</v>
      </c>
      <c r="D1261" s="144" t="str">
        <f>" - " &amp; 'Vật liệu'!D142</f>
        <v xml:space="preserve"> - Đá 1x2</v>
      </c>
      <c r="E1261" s="168" t="str">
        <f>'Vật liệu'!E142</f>
        <v>m3</v>
      </c>
      <c r="F1261" s="60"/>
      <c r="G1261" s="60">
        <v>0.90439999999999998</v>
      </c>
      <c r="H1261" s="60"/>
      <c r="I1261" s="60"/>
      <c r="J1261" s="60">
        <f>ROUND(F1257*G1261,4)</f>
        <v>7.9405999999999999</v>
      </c>
      <c r="K1261" s="60"/>
      <c r="L1261" s="60"/>
    </row>
    <row r="1262" spans="1:12" x14ac:dyDescent="0.25">
      <c r="A1262" s="168"/>
      <c r="B1262" s="144" t="str">
        <f>'Vật liệu'!B353</f>
        <v>V00494</v>
      </c>
      <c r="C1262" s="34">
        <v>148</v>
      </c>
      <c r="D1262" s="144" t="str">
        <f>" - " &amp; 'Vật liệu'!D353</f>
        <v xml:space="preserve"> - Nước</v>
      </c>
      <c r="E1262" s="168" t="str">
        <f>'Vật liệu'!E353</f>
        <v>lít</v>
      </c>
      <c r="F1262" s="60"/>
      <c r="G1262" s="60">
        <v>187.77500000000001</v>
      </c>
      <c r="H1262" s="60"/>
      <c r="I1262" s="60"/>
      <c r="J1262" s="60">
        <f>ROUND(F1257*G1262,4)</f>
        <v>1648.6645000000001</v>
      </c>
      <c r="K1262" s="60"/>
      <c r="L1262" s="60"/>
    </row>
    <row r="1263" spans="1:12" x14ac:dyDescent="0.25">
      <c r="A1263" s="168"/>
      <c r="B1263" s="144" t="str">
        <f>'Vật liệu'!B766</f>
        <v>V00750</v>
      </c>
      <c r="C1263" s="34">
        <v>277</v>
      </c>
      <c r="D1263" s="144" t="str">
        <f>" - " &amp; 'Vật liệu'!D766</f>
        <v xml:space="preserve"> - Vật liệu khác</v>
      </c>
      <c r="E1263" s="168" t="str">
        <f>'Vật liệu'!E766</f>
        <v>%</v>
      </c>
      <c r="F1263" s="60"/>
      <c r="G1263" s="60">
        <v>0.5</v>
      </c>
      <c r="H1263" s="60"/>
      <c r="I1263" s="60"/>
      <c r="J1263" s="60"/>
      <c r="K1263" s="60"/>
      <c r="L1263" s="60"/>
    </row>
    <row r="1264" spans="1:12" x14ac:dyDescent="0.25">
      <c r="A1264" s="56"/>
      <c r="B1264" s="23"/>
      <c r="C1264" s="88"/>
      <c r="D1264" s="23" t="s">
        <v>202</v>
      </c>
      <c r="E1264" s="56"/>
      <c r="F1264" s="118"/>
      <c r="G1264" s="118"/>
      <c r="H1264" s="118"/>
      <c r="I1264" s="118"/>
      <c r="J1264" s="118"/>
      <c r="K1264" s="118"/>
      <c r="L1264" s="118"/>
    </row>
    <row r="1265" spans="1:12" x14ac:dyDescent="0.25">
      <c r="A1265" s="168"/>
      <c r="B1265" s="144" t="str">
        <f>'Nhân công'!B6</f>
        <v>N0006</v>
      </c>
      <c r="C1265" s="34">
        <v>545</v>
      </c>
      <c r="D1265" s="144" t="s">
        <v>256</v>
      </c>
      <c r="E1265" s="168" t="str">
        <f>'Nhân công'!G6</f>
        <v>công</v>
      </c>
      <c r="F1265" s="60"/>
      <c r="G1265" s="60"/>
      <c r="H1265" s="60">
        <v>2.57</v>
      </c>
      <c r="I1265" s="60"/>
      <c r="J1265" s="60"/>
      <c r="K1265" s="60">
        <f>ROUND(F1257*H1265,4)</f>
        <v>22.564599999999999</v>
      </c>
      <c r="L1265" s="60"/>
    </row>
    <row r="1266" spans="1:12" x14ac:dyDescent="0.25">
      <c r="A1266" s="56"/>
      <c r="B1266" s="23"/>
      <c r="C1266" s="88"/>
      <c r="D1266" s="23" t="s">
        <v>378</v>
      </c>
      <c r="E1266" s="56"/>
      <c r="F1266" s="118"/>
      <c r="G1266" s="118"/>
      <c r="H1266" s="118"/>
      <c r="I1266" s="118"/>
      <c r="J1266" s="118"/>
      <c r="K1266" s="118"/>
      <c r="L1266" s="118"/>
    </row>
    <row r="1267" spans="1:12" x14ac:dyDescent="0.25">
      <c r="A1267" s="168"/>
      <c r="B1267" s="144" t="str">
        <f>'Máy thi công'!B306</f>
        <v>M9555</v>
      </c>
      <c r="C1267" s="34">
        <v>744</v>
      </c>
      <c r="D1267" s="144" t="str">
        <f>" - " &amp; 'Máy thi công'!D306</f>
        <v xml:space="preserve"> - Máy trộn bê tông - dung tích: 250 lít</v>
      </c>
      <c r="E1267" s="168" t="str">
        <f>'Máy thi công'!E306</f>
        <v>ca</v>
      </c>
      <c r="F1267" s="60"/>
      <c r="G1267" s="60"/>
      <c r="H1267" s="60"/>
      <c r="I1267" s="60">
        <v>9.5000000000000001E-2</v>
      </c>
      <c r="J1267" s="60"/>
      <c r="K1267" s="60"/>
      <c r="L1267" s="60">
        <f>ROUND(F1257*I1267,4)</f>
        <v>0.83409999999999995</v>
      </c>
    </row>
    <row r="1268" spans="1:12" ht="28.5" x14ac:dyDescent="0.25">
      <c r="A1268" s="65">
        <f>'Công trình'!A168</f>
        <v>132</v>
      </c>
      <c r="B1268" s="14" t="str">
        <f>'Công trình'!B168</f>
        <v>AG.32211</v>
      </c>
      <c r="C1268" s="94"/>
      <c r="D1268" s="14" t="str">
        <f>'Công trình'!C168</f>
        <v>Sản xuất, lắp dựng tháo dỡ ván khuôn kim loại các loại cấu kiện khác</v>
      </c>
      <c r="E1268" s="46" t="str">
        <f>'Công trình'!D168</f>
        <v>100m2</v>
      </c>
      <c r="F1268" s="106">
        <f>'Công trình'!K168</f>
        <v>0.31719999999999998</v>
      </c>
      <c r="G1268" s="126"/>
      <c r="H1268" s="126"/>
      <c r="I1268" s="126"/>
      <c r="J1268" s="126"/>
      <c r="K1268" s="126"/>
      <c r="L1268" s="126"/>
    </row>
    <row r="1269" spans="1:12" x14ac:dyDescent="0.25">
      <c r="A1269" s="56"/>
      <c r="B1269" s="23"/>
      <c r="C1269" s="88"/>
      <c r="D1269" s="23" t="s">
        <v>479</v>
      </c>
      <c r="E1269" s="56"/>
      <c r="F1269" s="118"/>
      <c r="G1269" s="118"/>
      <c r="H1269" s="118"/>
      <c r="I1269" s="118"/>
      <c r="J1269" s="118"/>
      <c r="K1269" s="118"/>
      <c r="L1269" s="118"/>
    </row>
    <row r="1270" spans="1:12" x14ac:dyDescent="0.25">
      <c r="A1270" s="168"/>
      <c r="B1270" s="144" t="str">
        <f>'Vật liệu'!B450</f>
        <v>V00515</v>
      </c>
      <c r="C1270" s="34">
        <v>154</v>
      </c>
      <c r="D1270" s="144" t="str">
        <f>" - " &amp; 'Vật liệu'!D450</f>
        <v xml:space="preserve"> - Que hàn</v>
      </c>
      <c r="E1270" s="168" t="str">
        <f>'Vật liệu'!E450</f>
        <v>kg</v>
      </c>
      <c r="F1270" s="60"/>
      <c r="G1270" s="60">
        <v>1.9</v>
      </c>
      <c r="H1270" s="60"/>
      <c r="I1270" s="60"/>
      <c r="J1270" s="60">
        <f>ROUND(F1268*G1270,4)</f>
        <v>0.60270000000000001</v>
      </c>
      <c r="K1270" s="60"/>
      <c r="L1270" s="60"/>
    </row>
    <row r="1271" spans="1:12" x14ac:dyDescent="0.25">
      <c r="A1271" s="168"/>
      <c r="B1271" s="144" t="str">
        <f>'Vật liệu'!B606</f>
        <v>V00671</v>
      </c>
      <c r="C1271" s="34">
        <v>166</v>
      </c>
      <c r="D1271" s="144" t="str">
        <f>" - " &amp; 'Vật liệu'!D606</f>
        <v xml:space="preserve"> - Thép tấm</v>
      </c>
      <c r="E1271" s="168" t="str">
        <f>'Vật liệu'!E606</f>
        <v>kg</v>
      </c>
      <c r="F1271" s="60"/>
      <c r="G1271" s="60">
        <v>17.27</v>
      </c>
      <c r="H1271" s="60"/>
      <c r="I1271" s="60"/>
      <c r="J1271" s="60">
        <f>ROUND(F1268*G1271,4)</f>
        <v>5.4779999999999998</v>
      </c>
      <c r="K1271" s="60"/>
      <c r="L1271" s="60"/>
    </row>
    <row r="1272" spans="1:12" x14ac:dyDescent="0.25">
      <c r="A1272" s="168"/>
      <c r="B1272" s="144" t="str">
        <f>'Vật liệu'!B556</f>
        <v>V00641</v>
      </c>
      <c r="C1272" s="34">
        <v>160</v>
      </c>
      <c r="D1272" s="144" t="str">
        <f>" - " &amp; 'Vật liệu'!D556</f>
        <v xml:space="preserve"> - Thép hình</v>
      </c>
      <c r="E1272" s="168" t="str">
        <f>'Vật liệu'!E556</f>
        <v>kg</v>
      </c>
      <c r="F1272" s="60"/>
      <c r="G1272" s="60">
        <v>16.28</v>
      </c>
      <c r="H1272" s="60"/>
      <c r="I1272" s="60"/>
      <c r="J1272" s="60">
        <f>ROUND(F1268*G1272,4)</f>
        <v>5.1639999999999997</v>
      </c>
      <c r="K1272" s="60"/>
      <c r="L1272" s="60"/>
    </row>
    <row r="1273" spans="1:12" x14ac:dyDescent="0.25">
      <c r="A1273" s="168"/>
      <c r="B1273" s="144" t="str">
        <f>'Vật liệu'!B766</f>
        <v>V00750</v>
      </c>
      <c r="C1273" s="34">
        <v>278</v>
      </c>
      <c r="D1273" s="144" t="str">
        <f>" - " &amp; 'Vật liệu'!D766</f>
        <v xml:space="preserve"> - Vật liệu khác</v>
      </c>
      <c r="E1273" s="168" t="str">
        <f>'Vật liệu'!E766</f>
        <v>%</v>
      </c>
      <c r="F1273" s="60"/>
      <c r="G1273" s="60">
        <v>5</v>
      </c>
      <c r="H1273" s="60"/>
      <c r="I1273" s="60"/>
      <c r="J1273" s="60"/>
      <c r="K1273" s="60"/>
      <c r="L1273" s="60"/>
    </row>
    <row r="1274" spans="1:12" x14ac:dyDescent="0.25">
      <c r="A1274" s="56"/>
      <c r="B1274" s="23"/>
      <c r="C1274" s="88"/>
      <c r="D1274" s="23" t="s">
        <v>202</v>
      </c>
      <c r="E1274" s="56"/>
      <c r="F1274" s="118"/>
      <c r="G1274" s="118"/>
      <c r="H1274" s="118"/>
      <c r="I1274" s="118"/>
      <c r="J1274" s="118"/>
      <c r="K1274" s="118"/>
      <c r="L1274" s="118"/>
    </row>
    <row r="1275" spans="1:12" x14ac:dyDescent="0.25">
      <c r="A1275" s="168"/>
      <c r="B1275" s="144" t="str">
        <f>'Nhân công'!B130</f>
        <v>N0011</v>
      </c>
      <c r="C1275" s="34">
        <v>550</v>
      </c>
      <c r="D1275" s="144" t="s">
        <v>671</v>
      </c>
      <c r="E1275" s="168" t="str">
        <f>'Nhân công'!G130</f>
        <v>công</v>
      </c>
      <c r="F1275" s="60"/>
      <c r="G1275" s="60"/>
      <c r="H1275" s="60">
        <v>31.76</v>
      </c>
      <c r="I1275" s="60"/>
      <c r="J1275" s="60"/>
      <c r="K1275" s="60">
        <f>ROUND(F1268*H1275,4)</f>
        <v>10.074299999999999</v>
      </c>
      <c r="L1275" s="60"/>
    </row>
    <row r="1276" spans="1:12" x14ac:dyDescent="0.25">
      <c r="A1276" s="56"/>
      <c r="B1276" s="23"/>
      <c r="C1276" s="88"/>
      <c r="D1276" s="23" t="s">
        <v>378</v>
      </c>
      <c r="E1276" s="56"/>
      <c r="F1276" s="118"/>
      <c r="G1276" s="118"/>
      <c r="H1276" s="118"/>
      <c r="I1276" s="118"/>
      <c r="J1276" s="118"/>
      <c r="K1276" s="118"/>
      <c r="L1276" s="118"/>
    </row>
    <row r="1277" spans="1:12" x14ac:dyDescent="0.25">
      <c r="A1277" s="168"/>
      <c r="B1277" s="144" t="str">
        <f>'Máy thi công'!B6</f>
        <v>M9438</v>
      </c>
      <c r="C1277" s="34">
        <v>714</v>
      </c>
      <c r="D1277" s="144" t="str">
        <f>" - " &amp; 'Máy thi công'!D6</f>
        <v xml:space="preserve"> - Biến thế hàn xoay chiều - công suất: 23 kW</v>
      </c>
      <c r="E1277" s="168" t="str">
        <f>'Máy thi công'!E6</f>
        <v>ca</v>
      </c>
      <c r="F1277" s="60"/>
      <c r="G1277" s="60"/>
      <c r="H1277" s="60"/>
      <c r="I1277" s="60">
        <v>0.69</v>
      </c>
      <c r="J1277" s="60"/>
      <c r="K1277" s="60"/>
      <c r="L1277" s="60">
        <f>ROUND(F1268*I1277,4)</f>
        <v>0.21890000000000001</v>
      </c>
    </row>
    <row r="1278" spans="1:12" x14ac:dyDescent="0.25">
      <c r="A1278" s="168"/>
      <c r="B1278" s="144" t="str">
        <f>'Máy thi công'!B398</f>
        <v>M0111</v>
      </c>
      <c r="C1278" s="34">
        <v>620</v>
      </c>
      <c r="D1278" s="144" t="str">
        <f>" - " &amp; 'Máy thi công'!D398</f>
        <v xml:space="preserve"> - Máy khác</v>
      </c>
      <c r="E1278" s="168" t="str">
        <f>'Máy thi công'!E398</f>
        <v>%</v>
      </c>
      <c r="F1278" s="60"/>
      <c r="G1278" s="60"/>
      <c r="H1278" s="60"/>
      <c r="I1278" s="60">
        <v>15</v>
      </c>
      <c r="J1278" s="60"/>
      <c r="K1278" s="60"/>
      <c r="L1278" s="60"/>
    </row>
    <row r="1279" spans="1:12" ht="28.5" x14ac:dyDescent="0.25">
      <c r="A1279" s="65">
        <f>'Công trình'!A169</f>
        <v>133</v>
      </c>
      <c r="B1279" s="14" t="str">
        <f>'Công trình'!B169</f>
        <v>AG.42141</v>
      </c>
      <c r="C1279" s="94"/>
      <c r="D1279" s="14" t="str">
        <f>'Công trình'!C169</f>
        <v>Lắp các loại cấu kiện BT đúc sẵn bằng thủ công trọng lượng &gt;250kg, vữa XM mác 100</v>
      </c>
      <c r="E1279" s="46" t="str">
        <f>'Công trình'!D169</f>
        <v>cái</v>
      </c>
      <c r="F1279" s="106">
        <f>'Công trình'!K169</f>
        <v>61</v>
      </c>
      <c r="G1279" s="126"/>
      <c r="H1279" s="126"/>
      <c r="I1279" s="126"/>
      <c r="J1279" s="126"/>
      <c r="K1279" s="126"/>
      <c r="L1279" s="126"/>
    </row>
    <row r="1280" spans="1:12" x14ac:dyDescent="0.25">
      <c r="A1280" s="56"/>
      <c r="B1280" s="23"/>
      <c r="C1280" s="88"/>
      <c r="D1280" s="23" t="s">
        <v>479</v>
      </c>
      <c r="E1280" s="56"/>
      <c r="F1280" s="118"/>
      <c r="G1280" s="118"/>
      <c r="H1280" s="118"/>
      <c r="I1280" s="118"/>
      <c r="J1280" s="118"/>
      <c r="K1280" s="118"/>
      <c r="L1280" s="118"/>
    </row>
    <row r="1281" spans="1:12" x14ac:dyDescent="0.25">
      <c r="A1281" s="168"/>
      <c r="B1281" s="144" t="str">
        <f>'Vật liệu'!B721</f>
        <v>V00761</v>
      </c>
      <c r="C1281" s="34">
        <v>397</v>
      </c>
      <c r="D1281" s="144" t="str">
        <f>" - " &amp; 'Vật liệu'!D721</f>
        <v xml:space="preserve"> - Xi măng PC40</v>
      </c>
      <c r="E1281" s="168" t="str">
        <f>'Vật liệu'!E721</f>
        <v>kg</v>
      </c>
      <c r="F1281" s="60"/>
      <c r="G1281" s="60">
        <v>2.9702000000000002</v>
      </c>
      <c r="H1281" s="60"/>
      <c r="I1281" s="60"/>
      <c r="J1281" s="60">
        <f>ROUND(F1279*G1281,4)</f>
        <v>181.18219999999999</v>
      </c>
      <c r="K1281" s="60"/>
      <c r="L1281" s="60"/>
    </row>
    <row r="1282" spans="1:12" x14ac:dyDescent="0.25">
      <c r="A1282" s="168"/>
      <c r="B1282" s="144" t="str">
        <f>'Vật liệu'!B54</f>
        <v>V00112</v>
      </c>
      <c r="C1282" s="34">
        <v>125</v>
      </c>
      <c r="D1282" s="144" t="str">
        <f>" - " &amp; 'Vật liệu'!D54</f>
        <v xml:space="preserve"> - Cát vàng</v>
      </c>
      <c r="E1282" s="168" t="str">
        <f>'Vật liệu'!E54</f>
        <v>m3</v>
      </c>
      <c r="F1282" s="60"/>
      <c r="G1282" s="60">
        <v>1.11E-2</v>
      </c>
      <c r="H1282" s="60"/>
      <c r="I1282" s="60"/>
      <c r="J1282" s="60">
        <f>ROUND(F1279*G1282,4)</f>
        <v>0.67710000000000004</v>
      </c>
      <c r="K1282" s="60"/>
      <c r="L1282" s="60"/>
    </row>
    <row r="1283" spans="1:12" x14ac:dyDescent="0.25">
      <c r="A1283" s="168"/>
      <c r="B1283" s="144" t="str">
        <f>'Vật liệu'!B353</f>
        <v>V00494</v>
      </c>
      <c r="C1283" s="34">
        <v>148</v>
      </c>
      <c r="D1283" s="144" t="str">
        <f>" - " &amp; 'Vật liệu'!D353</f>
        <v xml:space="preserve"> - Nước</v>
      </c>
      <c r="E1283" s="168" t="str">
        <f>'Vật liệu'!E353</f>
        <v>lít</v>
      </c>
      <c r="F1283" s="60"/>
      <c r="G1283" s="60">
        <v>2.6</v>
      </c>
      <c r="H1283" s="60"/>
      <c r="I1283" s="60"/>
      <c r="J1283" s="60">
        <f>ROUND(F1279*G1283,4)</f>
        <v>158.6</v>
      </c>
      <c r="K1283" s="60"/>
      <c r="L1283" s="60"/>
    </row>
    <row r="1284" spans="1:12" x14ac:dyDescent="0.25">
      <c r="A1284" s="168"/>
      <c r="B1284" s="144" t="str">
        <f>'Vật liệu'!B766</f>
        <v>V00750</v>
      </c>
      <c r="C1284" s="34">
        <v>280</v>
      </c>
      <c r="D1284" s="144" t="str">
        <f>" - " &amp; 'Vật liệu'!D766</f>
        <v xml:space="preserve"> - Vật liệu khác</v>
      </c>
      <c r="E1284" s="168" t="str">
        <f>'Vật liệu'!E766</f>
        <v>%</v>
      </c>
      <c r="F1284" s="60"/>
      <c r="G1284" s="60">
        <v>10</v>
      </c>
      <c r="H1284" s="60"/>
      <c r="I1284" s="60"/>
      <c r="J1284" s="60"/>
      <c r="K1284" s="60"/>
      <c r="L1284" s="60"/>
    </row>
    <row r="1285" spans="1:12" x14ac:dyDescent="0.25">
      <c r="A1285" s="56"/>
      <c r="B1285" s="23"/>
      <c r="C1285" s="88"/>
      <c r="D1285" s="23" t="s">
        <v>202</v>
      </c>
      <c r="E1285" s="56"/>
      <c r="F1285" s="118"/>
      <c r="G1285" s="118"/>
      <c r="H1285" s="118"/>
      <c r="I1285" s="118"/>
      <c r="J1285" s="118"/>
      <c r="K1285" s="118"/>
      <c r="L1285" s="118"/>
    </row>
    <row r="1286" spans="1:12" x14ac:dyDescent="0.25">
      <c r="A1286" s="168"/>
      <c r="B1286" s="144" t="str">
        <f>'Nhân công'!B185</f>
        <v>N0020</v>
      </c>
      <c r="C1286" s="34">
        <v>555</v>
      </c>
      <c r="D1286" s="144" t="s">
        <v>625</v>
      </c>
      <c r="E1286" s="168" t="str">
        <f>'Nhân công'!G185</f>
        <v>công</v>
      </c>
      <c r="F1286" s="60"/>
      <c r="G1286" s="60"/>
      <c r="H1286" s="60">
        <v>0.85</v>
      </c>
      <c r="I1286" s="60"/>
      <c r="J1286" s="60"/>
      <c r="K1286" s="60">
        <f>ROUND(F1279*H1286,4)</f>
        <v>51.85</v>
      </c>
      <c r="L1286" s="60"/>
    </row>
    <row r="1287" spans="1:12" x14ac:dyDescent="0.25">
      <c r="A1287" s="65">
        <f>'Công trình'!A170</f>
        <v>134</v>
      </c>
      <c r="B1287" s="14" t="str">
        <f>'Công trình'!B170</f>
        <v>035.41</v>
      </c>
      <c r="C1287" s="94"/>
      <c r="D1287" s="14" t="str">
        <f>'Công trình'!C170</f>
        <v>Thả rọ thép đá hộc, loai rọ 2x1x0.5 trên cạn</v>
      </c>
      <c r="E1287" s="46" t="str">
        <f>'Công trình'!D170</f>
        <v>rọ</v>
      </c>
      <c r="F1287" s="106">
        <f>'Công trình'!K170</f>
        <v>24</v>
      </c>
      <c r="G1287" s="126"/>
      <c r="H1287" s="126"/>
      <c r="I1287" s="126"/>
      <c r="J1287" s="126"/>
      <c r="K1287" s="126"/>
      <c r="L1287" s="126"/>
    </row>
    <row r="1288" spans="1:12" x14ac:dyDescent="0.25">
      <c r="A1288" s="56"/>
      <c r="B1288" s="23"/>
      <c r="C1288" s="88"/>
      <c r="D1288" s="23" t="s">
        <v>479</v>
      </c>
      <c r="E1288" s="56"/>
      <c r="F1288" s="118"/>
      <c r="G1288" s="118"/>
      <c r="H1288" s="118"/>
      <c r="I1288" s="118"/>
      <c r="J1288" s="118"/>
      <c r="K1288" s="118"/>
      <c r="L1288" s="118"/>
    </row>
    <row r="1289" spans="1:12" x14ac:dyDescent="0.25">
      <c r="A1289" s="168"/>
      <c r="B1289" s="144" t="str">
        <f>'Vật liệu'!B182</f>
        <v>V35307</v>
      </c>
      <c r="C1289" s="34">
        <v>470</v>
      </c>
      <c r="D1289" s="144" t="str">
        <f>" - " &amp; 'Vật liệu'!D182</f>
        <v xml:space="preserve"> - Đá hộc 30x30</v>
      </c>
      <c r="E1289" s="168" t="str">
        <f>'Vật liệu'!E182</f>
        <v>m3</v>
      </c>
      <c r="F1289" s="60"/>
      <c r="G1289" s="60">
        <v>1.1000000000000001</v>
      </c>
      <c r="H1289" s="60"/>
      <c r="I1289" s="60"/>
      <c r="J1289" s="60">
        <f>ROUND(F1287*G1289,4)</f>
        <v>26.4</v>
      </c>
      <c r="K1289" s="60"/>
      <c r="L1289" s="60"/>
    </row>
    <row r="1290" spans="1:12" ht="30" x14ac:dyDescent="0.25">
      <c r="A1290" s="168"/>
      <c r="B1290" s="144" t="str">
        <f>'Vật liệu'!B262</f>
        <v>V37377</v>
      </c>
      <c r="C1290" s="34">
        <v>471</v>
      </c>
      <c r="D1290" s="144" t="str">
        <f>" - " &amp; 'Vật liệu'!D262</f>
        <v xml:space="preserve"> - Dây thép bọc PVC dây đan 2,7x3,7mm, dây viền 3,4x4,4mm</v>
      </c>
      <c r="E1290" s="168" t="str">
        <f>'Vật liệu'!E262</f>
        <v>m2</v>
      </c>
      <c r="F1290" s="60"/>
      <c r="G1290" s="60">
        <v>7</v>
      </c>
      <c r="H1290" s="60"/>
      <c r="I1290" s="60"/>
      <c r="J1290" s="60">
        <f>ROUND(F1287*G1290,4)</f>
        <v>168</v>
      </c>
      <c r="K1290" s="60"/>
      <c r="L1290" s="60"/>
    </row>
    <row r="1291" spans="1:12" x14ac:dyDescent="0.25">
      <c r="A1291" s="56"/>
      <c r="B1291" s="23"/>
      <c r="C1291" s="88"/>
      <c r="D1291" s="23" t="s">
        <v>202</v>
      </c>
      <c r="E1291" s="56"/>
      <c r="F1291" s="118"/>
      <c r="G1291" s="118"/>
      <c r="H1291" s="118"/>
      <c r="I1291" s="118"/>
      <c r="J1291" s="118"/>
      <c r="K1291" s="118"/>
      <c r="L1291" s="118"/>
    </row>
    <row r="1292" spans="1:12" x14ac:dyDescent="0.25">
      <c r="A1292" s="168"/>
      <c r="B1292" s="144" t="str">
        <f>'Nhân công'!B45</f>
        <v>N0009</v>
      </c>
      <c r="C1292" s="34">
        <v>546</v>
      </c>
      <c r="D1292" s="144" t="s">
        <v>1052</v>
      </c>
      <c r="E1292" s="168" t="str">
        <f>'Nhân công'!G45</f>
        <v>công</v>
      </c>
      <c r="F1292" s="60"/>
      <c r="G1292" s="60"/>
      <c r="H1292" s="60">
        <v>1.6185</v>
      </c>
      <c r="I1292" s="60"/>
      <c r="J1292" s="60"/>
      <c r="K1292" s="60">
        <f>ROUND(F1287*H1292,4)</f>
        <v>38.844000000000001</v>
      </c>
      <c r="L1292" s="60"/>
    </row>
    <row r="1293" spans="1:12" x14ac:dyDescent="0.25">
      <c r="A1293" s="65">
        <f>'Công trình'!A171</f>
        <v>135</v>
      </c>
      <c r="B1293" s="14" t="str">
        <f>'Công trình'!B171</f>
        <v>AB.13112</v>
      </c>
      <c r="C1293" s="94"/>
      <c r="D1293" s="14" t="str">
        <f>'Công trình'!C171</f>
        <v>Đắp đất nền móng công trình, độ chặt K=0,90</v>
      </c>
      <c r="E1293" s="46" t="str">
        <f>'Công trình'!D171</f>
        <v>m3</v>
      </c>
      <c r="F1293" s="106">
        <f>'Công trình'!K171</f>
        <v>8.16</v>
      </c>
      <c r="G1293" s="126"/>
      <c r="H1293" s="126"/>
      <c r="I1293" s="126"/>
      <c r="J1293" s="126"/>
      <c r="K1293" s="126"/>
      <c r="L1293" s="126"/>
    </row>
    <row r="1294" spans="1:12" x14ac:dyDescent="0.25">
      <c r="A1294" s="56"/>
      <c r="B1294" s="23"/>
      <c r="C1294" s="88"/>
      <c r="D1294" s="23" t="s">
        <v>202</v>
      </c>
      <c r="E1294" s="56"/>
      <c r="F1294" s="118"/>
      <c r="G1294" s="118"/>
      <c r="H1294" s="118"/>
      <c r="I1294" s="118"/>
      <c r="J1294" s="118"/>
      <c r="K1294" s="118"/>
      <c r="L1294" s="118"/>
    </row>
    <row r="1295" spans="1:12" x14ac:dyDescent="0.25">
      <c r="A1295" s="168"/>
      <c r="B1295" s="144" t="str">
        <f>'Nhân công'!B6</f>
        <v>N0006</v>
      </c>
      <c r="C1295" s="34">
        <v>545</v>
      </c>
      <c r="D1295" s="144" t="s">
        <v>256</v>
      </c>
      <c r="E1295" s="168" t="str">
        <f>'Nhân công'!G6</f>
        <v>công</v>
      </c>
      <c r="F1295" s="60"/>
      <c r="G1295" s="60"/>
      <c r="H1295" s="60">
        <v>0.67</v>
      </c>
      <c r="I1295" s="60"/>
      <c r="J1295" s="60"/>
      <c r="K1295" s="60">
        <f>ROUND(F1293*H1295,4)</f>
        <v>5.4672000000000001</v>
      </c>
      <c r="L1295" s="60"/>
    </row>
    <row r="1296" spans="1:12" ht="28.5" x14ac:dyDescent="0.25">
      <c r="A1296" s="65">
        <f>'Công trình'!A174</f>
        <v>136</v>
      </c>
      <c r="B1296" s="14" t="str">
        <f>'Công trình'!B174</f>
        <v>AF.14115</v>
      </c>
      <c r="C1296" s="94"/>
      <c r="D1296" s="14" t="str">
        <f>'Công trình'!C174</f>
        <v>Bê tông móng, mố trụ cầu trên cạn đá 1x2, vữa BT mác 300</v>
      </c>
      <c r="E1296" s="46" t="str">
        <f>'Công trình'!D174</f>
        <v>m3</v>
      </c>
      <c r="F1296" s="106">
        <f>'Công trình'!K174</f>
        <v>98.47</v>
      </c>
      <c r="G1296" s="126"/>
      <c r="H1296" s="126"/>
      <c r="I1296" s="126"/>
      <c r="J1296" s="126"/>
      <c r="K1296" s="126"/>
      <c r="L1296" s="126"/>
    </row>
    <row r="1297" spans="1:12" x14ac:dyDescent="0.25">
      <c r="A1297" s="56"/>
      <c r="B1297" s="23"/>
      <c r="C1297" s="88"/>
      <c r="D1297" s="23" t="s">
        <v>479</v>
      </c>
      <c r="E1297" s="56"/>
      <c r="F1297" s="118"/>
      <c r="G1297" s="118"/>
      <c r="H1297" s="118"/>
      <c r="I1297" s="118"/>
      <c r="J1297" s="118"/>
      <c r="K1297" s="118"/>
      <c r="L1297" s="118"/>
    </row>
    <row r="1298" spans="1:12" x14ac:dyDescent="0.25">
      <c r="A1298" s="168"/>
      <c r="B1298" s="144" t="str">
        <f>'Vật liệu'!B721</f>
        <v>V00761</v>
      </c>
      <c r="C1298" s="34">
        <v>397</v>
      </c>
      <c r="D1298" s="144" t="str">
        <f>" - " &amp; 'Vật liệu'!D721</f>
        <v xml:space="preserve"> - Xi măng PC40</v>
      </c>
      <c r="E1298" s="168" t="str">
        <f>'Vật liệu'!E721</f>
        <v>kg</v>
      </c>
      <c r="F1298" s="60"/>
      <c r="G1298" s="60">
        <v>383.35</v>
      </c>
      <c r="H1298" s="60"/>
      <c r="I1298" s="60"/>
      <c r="J1298" s="60">
        <f>ROUND(F1296*G1298,4)</f>
        <v>37748.474499999997</v>
      </c>
      <c r="K1298" s="60"/>
      <c r="L1298" s="60"/>
    </row>
    <row r="1299" spans="1:12" x14ac:dyDescent="0.25">
      <c r="A1299" s="168"/>
      <c r="B1299" s="144" t="str">
        <f>'Vật liệu'!B54</f>
        <v>V00112</v>
      </c>
      <c r="C1299" s="34">
        <v>125</v>
      </c>
      <c r="D1299" s="144" t="str">
        <f>" - " &amp; 'Vật liệu'!D54</f>
        <v xml:space="preserve"> - Cát vàng</v>
      </c>
      <c r="E1299" s="168" t="str">
        <f>'Vật liệu'!E54</f>
        <v>m3</v>
      </c>
      <c r="F1299" s="60"/>
      <c r="G1299" s="60">
        <v>0.46839999999999998</v>
      </c>
      <c r="H1299" s="60"/>
      <c r="I1299" s="60"/>
      <c r="J1299" s="60">
        <f>ROUND(F1296*G1299,4)</f>
        <v>46.1233</v>
      </c>
      <c r="K1299" s="60"/>
      <c r="L1299" s="60"/>
    </row>
    <row r="1300" spans="1:12" x14ac:dyDescent="0.25">
      <c r="A1300" s="168"/>
      <c r="B1300" s="144" t="str">
        <f>'Vật liệu'!B142</f>
        <v>V05207</v>
      </c>
      <c r="C1300" s="34">
        <v>416</v>
      </c>
      <c r="D1300" s="144" t="str">
        <f>" - " &amp; 'Vật liệu'!D142</f>
        <v xml:space="preserve"> - Đá 1x2</v>
      </c>
      <c r="E1300" s="168" t="str">
        <f>'Vật liệu'!E142</f>
        <v>m3</v>
      </c>
      <c r="F1300" s="60"/>
      <c r="G1300" s="60">
        <v>0.89380000000000004</v>
      </c>
      <c r="H1300" s="60"/>
      <c r="I1300" s="60"/>
      <c r="J1300" s="60">
        <f>ROUND(F1296*G1300,4)</f>
        <v>88.012500000000003</v>
      </c>
      <c r="K1300" s="60"/>
      <c r="L1300" s="60"/>
    </row>
    <row r="1301" spans="1:12" x14ac:dyDescent="0.25">
      <c r="A1301" s="168"/>
      <c r="B1301" s="144" t="str">
        <f>'Vật liệu'!B353</f>
        <v>V00494</v>
      </c>
      <c r="C1301" s="34">
        <v>148</v>
      </c>
      <c r="D1301" s="144" t="str">
        <f>" - " &amp; 'Vật liệu'!D353</f>
        <v xml:space="preserve"> - Nước</v>
      </c>
      <c r="E1301" s="168" t="str">
        <f>'Vật liệu'!E353</f>
        <v>lít</v>
      </c>
      <c r="F1301" s="60"/>
      <c r="G1301" s="60">
        <v>189.625</v>
      </c>
      <c r="H1301" s="60"/>
      <c r="I1301" s="60"/>
      <c r="J1301" s="60">
        <f>ROUND(F1296*G1301,4)</f>
        <v>18672.373800000001</v>
      </c>
      <c r="K1301" s="60"/>
      <c r="L1301" s="60"/>
    </row>
    <row r="1302" spans="1:12" x14ac:dyDescent="0.25">
      <c r="A1302" s="168"/>
      <c r="B1302" s="144" t="str">
        <f>'Vật liệu'!B766</f>
        <v>V00750</v>
      </c>
      <c r="C1302" s="34">
        <v>281</v>
      </c>
      <c r="D1302" s="144" t="str">
        <f>" - " &amp; 'Vật liệu'!D766</f>
        <v xml:space="preserve"> - Vật liệu khác</v>
      </c>
      <c r="E1302" s="168" t="str">
        <f>'Vật liệu'!E766</f>
        <v>%</v>
      </c>
      <c r="F1302" s="60"/>
      <c r="G1302" s="60">
        <v>2</v>
      </c>
      <c r="H1302" s="60"/>
      <c r="I1302" s="60"/>
      <c r="J1302" s="60"/>
      <c r="K1302" s="60"/>
      <c r="L1302" s="60"/>
    </row>
    <row r="1303" spans="1:12" x14ac:dyDescent="0.25">
      <c r="A1303" s="56"/>
      <c r="B1303" s="23"/>
      <c r="C1303" s="88"/>
      <c r="D1303" s="23" t="s">
        <v>202</v>
      </c>
      <c r="E1303" s="56"/>
      <c r="F1303" s="118"/>
      <c r="G1303" s="118"/>
      <c r="H1303" s="118"/>
      <c r="I1303" s="118"/>
      <c r="J1303" s="118"/>
      <c r="K1303" s="118"/>
      <c r="L1303" s="118"/>
    </row>
    <row r="1304" spans="1:12" x14ac:dyDescent="0.25">
      <c r="A1304" s="168"/>
      <c r="B1304" s="144" t="str">
        <f>'Nhân công'!B130</f>
        <v>N0011</v>
      </c>
      <c r="C1304" s="34">
        <v>550</v>
      </c>
      <c r="D1304" s="144" t="s">
        <v>671</v>
      </c>
      <c r="E1304" s="168" t="str">
        <f>'Nhân công'!G130</f>
        <v>công</v>
      </c>
      <c r="F1304" s="60"/>
      <c r="G1304" s="60"/>
      <c r="H1304" s="60">
        <v>2.91</v>
      </c>
      <c r="I1304" s="60"/>
      <c r="J1304" s="60"/>
      <c r="K1304" s="60">
        <f>ROUND(F1296*H1304,4)</f>
        <v>286.54770000000002</v>
      </c>
      <c r="L1304" s="60"/>
    </row>
    <row r="1305" spans="1:12" x14ac:dyDescent="0.25">
      <c r="A1305" s="56"/>
      <c r="B1305" s="23"/>
      <c r="C1305" s="88"/>
      <c r="D1305" s="23" t="s">
        <v>378</v>
      </c>
      <c r="E1305" s="56"/>
      <c r="F1305" s="118"/>
      <c r="G1305" s="118"/>
      <c r="H1305" s="118"/>
      <c r="I1305" s="118"/>
      <c r="J1305" s="118"/>
      <c r="K1305" s="118"/>
      <c r="L1305" s="118"/>
    </row>
    <row r="1306" spans="1:12" x14ac:dyDescent="0.25">
      <c r="A1306" s="168"/>
      <c r="B1306" s="144" t="str">
        <f>'Máy thi công'!B113</f>
        <v>M9465</v>
      </c>
      <c r="C1306" s="34">
        <v>725</v>
      </c>
      <c r="D1306" s="144" t="str">
        <f>" - " &amp; 'Máy thi công'!D113</f>
        <v xml:space="preserve"> - Cần trục bánh hơi - sức nâng: 16 t</v>
      </c>
      <c r="E1306" s="168" t="str">
        <f>'Máy thi công'!E113</f>
        <v>ca</v>
      </c>
      <c r="F1306" s="60"/>
      <c r="G1306" s="60"/>
      <c r="H1306" s="60"/>
      <c r="I1306" s="60">
        <v>4.4999999999999998E-2</v>
      </c>
      <c r="J1306" s="60"/>
      <c r="K1306" s="60"/>
      <c r="L1306" s="60">
        <f>ROUND(F1296*I1306,4)</f>
        <v>4.4311999999999996</v>
      </c>
    </row>
    <row r="1307" spans="1:12" x14ac:dyDescent="0.25">
      <c r="A1307" s="168"/>
      <c r="B1307" s="144" t="str">
        <f>'Máy thi công'!B306</f>
        <v>M9555</v>
      </c>
      <c r="C1307" s="34">
        <v>744</v>
      </c>
      <c r="D1307" s="144" t="str">
        <f>" - " &amp; 'Máy thi công'!D306</f>
        <v xml:space="preserve"> - Máy trộn bê tông - dung tích: 250 lít</v>
      </c>
      <c r="E1307" s="168" t="str">
        <f>'Máy thi công'!E306</f>
        <v>ca</v>
      </c>
      <c r="F1307" s="60"/>
      <c r="G1307" s="60"/>
      <c r="H1307" s="60"/>
      <c r="I1307" s="60">
        <v>9.5000000000000001E-2</v>
      </c>
      <c r="J1307" s="60"/>
      <c r="K1307" s="60"/>
      <c r="L1307" s="60">
        <f>ROUND(F1296*I1307,4)</f>
        <v>9.3546999999999993</v>
      </c>
    </row>
    <row r="1308" spans="1:12" x14ac:dyDescent="0.25">
      <c r="A1308" s="168"/>
      <c r="B1308" s="144" t="str">
        <f>'Máy thi công'!B232</f>
        <v>M9571</v>
      </c>
      <c r="C1308" s="34">
        <v>750</v>
      </c>
      <c r="D1308" s="144" t="str">
        <f>" - " &amp; 'Máy thi công'!D232</f>
        <v xml:space="preserve"> - Máy đầm bê tông, dầm dùi - công suất: 1,5 kW</v>
      </c>
      <c r="E1308" s="168" t="str">
        <f>'Máy thi công'!E232</f>
        <v>ca</v>
      </c>
      <c r="F1308" s="60"/>
      <c r="G1308" s="60"/>
      <c r="H1308" s="60"/>
      <c r="I1308" s="60">
        <v>8.8999999999999996E-2</v>
      </c>
      <c r="J1308" s="60"/>
      <c r="K1308" s="60"/>
      <c r="L1308" s="60">
        <f>ROUND(F1296*I1308,4)</f>
        <v>8.7637999999999998</v>
      </c>
    </row>
    <row r="1309" spans="1:12" x14ac:dyDescent="0.25">
      <c r="A1309" s="168"/>
      <c r="B1309" s="144" t="str">
        <f>'Máy thi công'!B398</f>
        <v>M0111</v>
      </c>
      <c r="C1309" s="34">
        <v>621</v>
      </c>
      <c r="D1309" s="144" t="str">
        <f>" - " &amp; 'Máy thi công'!D398</f>
        <v xml:space="preserve"> - Máy khác</v>
      </c>
      <c r="E1309" s="168" t="str">
        <f>'Máy thi công'!E398</f>
        <v>%</v>
      </c>
      <c r="F1309" s="60"/>
      <c r="G1309" s="60"/>
      <c r="H1309" s="60"/>
      <c r="I1309" s="60">
        <v>2</v>
      </c>
      <c r="J1309" s="60"/>
      <c r="K1309" s="60"/>
      <c r="L1309" s="60"/>
    </row>
    <row r="1310" spans="1:12" x14ac:dyDescent="0.25">
      <c r="A1310" s="65">
        <f>'Công trình'!A175</f>
        <v>137</v>
      </c>
      <c r="B1310" s="14" t="str">
        <f>'Công trình'!B175</f>
        <v>AF.11225</v>
      </c>
      <c r="C1310" s="94"/>
      <c r="D1310" s="14" t="str">
        <f>'Công trình'!C175</f>
        <v>Bê tông bản dẫn đá 1x2, vữa BT mác 300</v>
      </c>
      <c r="E1310" s="46" t="str">
        <f>'Công trình'!D175</f>
        <v>m3</v>
      </c>
      <c r="F1310" s="106">
        <f>'Công trình'!K175</f>
        <v>18</v>
      </c>
      <c r="G1310" s="126"/>
      <c r="H1310" s="126"/>
      <c r="I1310" s="126"/>
      <c r="J1310" s="126"/>
      <c r="K1310" s="126"/>
      <c r="L1310" s="126"/>
    </row>
    <row r="1311" spans="1:12" x14ac:dyDescent="0.25">
      <c r="A1311" s="56"/>
      <c r="B1311" s="23"/>
      <c r="C1311" s="88"/>
      <c r="D1311" s="23" t="s">
        <v>479</v>
      </c>
      <c r="E1311" s="56"/>
      <c r="F1311" s="118"/>
      <c r="G1311" s="118"/>
      <c r="H1311" s="118"/>
      <c r="I1311" s="118"/>
      <c r="J1311" s="118"/>
      <c r="K1311" s="118"/>
      <c r="L1311" s="118"/>
    </row>
    <row r="1312" spans="1:12" x14ac:dyDescent="0.25">
      <c r="A1312" s="168"/>
      <c r="B1312" s="144" t="str">
        <f>'Vật liệu'!B275</f>
        <v>V00784</v>
      </c>
      <c r="C1312" s="34">
        <v>403</v>
      </c>
      <c r="D1312" s="144" t="str">
        <f>" - " &amp; 'Vật liệu'!D275</f>
        <v xml:space="preserve"> - Đinh đỉa</v>
      </c>
      <c r="E1312" s="168" t="str">
        <f>'Vật liệu'!E275</f>
        <v>cái</v>
      </c>
      <c r="F1312" s="60"/>
      <c r="G1312" s="60">
        <v>0.60299999999999998</v>
      </c>
      <c r="H1312" s="60"/>
      <c r="I1312" s="60"/>
      <c r="J1312" s="60">
        <f>ROUND(F1310*G1312,4)</f>
        <v>10.853999999999999</v>
      </c>
      <c r="K1312" s="60"/>
      <c r="L1312" s="60"/>
    </row>
    <row r="1313" spans="1:12" x14ac:dyDescent="0.25">
      <c r="A1313" s="168"/>
      <c r="B1313" s="144" t="str">
        <f>'Vật liệu'!B268</f>
        <v>V00772</v>
      </c>
      <c r="C1313" s="34">
        <v>401</v>
      </c>
      <c r="D1313" s="144" t="str">
        <f>" - " &amp; 'Vật liệu'!D268</f>
        <v xml:space="preserve"> - Đinh</v>
      </c>
      <c r="E1313" s="168" t="str">
        <f>'Vật liệu'!E268</f>
        <v>kg</v>
      </c>
      <c r="F1313" s="60"/>
      <c r="G1313" s="60">
        <v>0.122</v>
      </c>
      <c r="H1313" s="60"/>
      <c r="I1313" s="60"/>
      <c r="J1313" s="60">
        <f>ROUND(F1310*G1313,4)</f>
        <v>2.1960000000000002</v>
      </c>
      <c r="K1313" s="60"/>
      <c r="L1313" s="60"/>
    </row>
    <row r="1314" spans="1:12" x14ac:dyDescent="0.25">
      <c r="A1314" s="168"/>
      <c r="B1314" s="144" t="str">
        <f>'Vật liệu'!B721</f>
        <v>V00761</v>
      </c>
      <c r="C1314" s="34">
        <v>397</v>
      </c>
      <c r="D1314" s="144" t="str">
        <f>" - " &amp; 'Vật liệu'!D721</f>
        <v xml:space="preserve"> - Xi măng PC40</v>
      </c>
      <c r="E1314" s="168" t="str">
        <f>'Vật liệu'!E721</f>
        <v>kg</v>
      </c>
      <c r="F1314" s="60"/>
      <c r="G1314" s="60">
        <v>383.35</v>
      </c>
      <c r="H1314" s="60"/>
      <c r="I1314" s="60"/>
      <c r="J1314" s="60">
        <f>ROUND(F1310*G1314,4)</f>
        <v>6900.3</v>
      </c>
      <c r="K1314" s="60"/>
      <c r="L1314" s="60"/>
    </row>
    <row r="1315" spans="1:12" x14ac:dyDescent="0.25">
      <c r="A1315" s="168"/>
      <c r="B1315" s="144" t="str">
        <f>'Vật liệu'!B54</f>
        <v>V00112</v>
      </c>
      <c r="C1315" s="34">
        <v>125</v>
      </c>
      <c r="D1315" s="144" t="str">
        <f>" - " &amp; 'Vật liệu'!D54</f>
        <v xml:space="preserve"> - Cát vàng</v>
      </c>
      <c r="E1315" s="168" t="str">
        <f>'Vật liệu'!E54</f>
        <v>m3</v>
      </c>
      <c r="F1315" s="60"/>
      <c r="G1315" s="60">
        <v>0.46839999999999998</v>
      </c>
      <c r="H1315" s="60"/>
      <c r="I1315" s="60"/>
      <c r="J1315" s="60">
        <f>ROUND(F1310*G1315,4)</f>
        <v>8.4312000000000005</v>
      </c>
      <c r="K1315" s="60"/>
      <c r="L1315" s="60"/>
    </row>
    <row r="1316" spans="1:12" x14ac:dyDescent="0.25">
      <c r="A1316" s="168"/>
      <c r="B1316" s="144" t="str">
        <f>'Vật liệu'!B142</f>
        <v>V05207</v>
      </c>
      <c r="C1316" s="34">
        <v>416</v>
      </c>
      <c r="D1316" s="144" t="str">
        <f>" - " &amp; 'Vật liệu'!D142</f>
        <v xml:space="preserve"> - Đá 1x2</v>
      </c>
      <c r="E1316" s="168" t="str">
        <f>'Vật liệu'!E142</f>
        <v>m3</v>
      </c>
      <c r="F1316" s="60"/>
      <c r="G1316" s="60">
        <v>0.89380000000000004</v>
      </c>
      <c r="H1316" s="60"/>
      <c r="I1316" s="60"/>
      <c r="J1316" s="60">
        <f>ROUND(F1310*G1316,4)</f>
        <v>16.0884</v>
      </c>
      <c r="K1316" s="60"/>
      <c r="L1316" s="60"/>
    </row>
    <row r="1317" spans="1:12" x14ac:dyDescent="0.25">
      <c r="A1317" s="168"/>
      <c r="B1317" s="144" t="str">
        <f>'Vật liệu'!B353</f>
        <v>V00494</v>
      </c>
      <c r="C1317" s="34">
        <v>148</v>
      </c>
      <c r="D1317" s="144" t="str">
        <f>" - " &amp; 'Vật liệu'!D353</f>
        <v xml:space="preserve"> - Nước</v>
      </c>
      <c r="E1317" s="168" t="str">
        <f>'Vật liệu'!E353</f>
        <v>lít</v>
      </c>
      <c r="F1317" s="60"/>
      <c r="G1317" s="60">
        <v>189.625</v>
      </c>
      <c r="H1317" s="60"/>
      <c r="I1317" s="60"/>
      <c r="J1317" s="60">
        <f>ROUND(F1310*G1317,4)</f>
        <v>3413.25</v>
      </c>
      <c r="K1317" s="60"/>
      <c r="L1317" s="60"/>
    </row>
    <row r="1318" spans="1:12" x14ac:dyDescent="0.25">
      <c r="A1318" s="168"/>
      <c r="B1318" s="144" t="str">
        <f>'Vật liệu'!B314</f>
        <v>V00404</v>
      </c>
      <c r="C1318" s="34">
        <v>144</v>
      </c>
      <c r="D1318" s="144" t="str">
        <f>" - " &amp; 'Vật liệu'!D314</f>
        <v xml:space="preserve"> - Gỗ ván cầu công tác</v>
      </c>
      <c r="E1318" s="168" t="str">
        <f>'Vật liệu'!E314</f>
        <v>m3</v>
      </c>
      <c r="F1318" s="60"/>
      <c r="G1318" s="60">
        <v>1.4999999999999999E-2</v>
      </c>
      <c r="H1318" s="60"/>
      <c r="I1318" s="60"/>
      <c r="J1318" s="60">
        <f>ROUND(F1310*G1318,4)</f>
        <v>0.27</v>
      </c>
      <c r="K1318" s="60"/>
      <c r="L1318" s="60"/>
    </row>
    <row r="1319" spans="1:12" x14ac:dyDescent="0.25">
      <c r="A1319" s="168"/>
      <c r="B1319" s="144" t="str">
        <f>'Vật liệu'!B766</f>
        <v>V00750</v>
      </c>
      <c r="C1319" s="34">
        <v>377</v>
      </c>
      <c r="D1319" s="144" t="str">
        <f>" - " &amp; 'Vật liệu'!D766</f>
        <v xml:space="preserve"> - Vật liệu khác</v>
      </c>
      <c r="E1319" s="168" t="str">
        <f>'Vật liệu'!E766</f>
        <v>%</v>
      </c>
      <c r="F1319" s="60"/>
      <c r="G1319" s="60">
        <v>1</v>
      </c>
      <c r="H1319" s="60"/>
      <c r="I1319" s="60"/>
      <c r="J1319" s="60"/>
      <c r="K1319" s="60"/>
      <c r="L1319" s="60"/>
    </row>
    <row r="1320" spans="1:12" x14ac:dyDescent="0.25">
      <c r="A1320" s="56"/>
      <c r="B1320" s="23"/>
      <c r="C1320" s="88"/>
      <c r="D1320" s="23" t="s">
        <v>202</v>
      </c>
      <c r="E1320" s="56"/>
      <c r="F1320" s="118"/>
      <c r="G1320" s="118"/>
      <c r="H1320" s="118"/>
      <c r="I1320" s="118"/>
      <c r="J1320" s="118"/>
      <c r="K1320" s="118"/>
      <c r="L1320" s="118"/>
    </row>
    <row r="1321" spans="1:12" x14ac:dyDescent="0.25">
      <c r="A1321" s="168"/>
      <c r="B1321" s="144" t="str">
        <f>'Nhân công'!B6</f>
        <v>N0006</v>
      </c>
      <c r="C1321" s="34">
        <v>545</v>
      </c>
      <c r="D1321" s="144" t="s">
        <v>256</v>
      </c>
      <c r="E1321" s="168" t="str">
        <f>'Nhân công'!G6</f>
        <v>công</v>
      </c>
      <c r="F1321" s="60"/>
      <c r="G1321" s="60"/>
      <c r="H1321" s="60">
        <v>1.97</v>
      </c>
      <c r="I1321" s="60"/>
      <c r="J1321" s="60"/>
      <c r="K1321" s="60">
        <f>ROUND(F1310*H1321,4)</f>
        <v>35.46</v>
      </c>
      <c r="L1321" s="60"/>
    </row>
    <row r="1322" spans="1:12" x14ac:dyDescent="0.25">
      <c r="A1322" s="56"/>
      <c r="B1322" s="23"/>
      <c r="C1322" s="88"/>
      <c r="D1322" s="23" t="s">
        <v>378</v>
      </c>
      <c r="E1322" s="56"/>
      <c r="F1322" s="118"/>
      <c r="G1322" s="118"/>
      <c r="H1322" s="118"/>
      <c r="I1322" s="118"/>
      <c r="J1322" s="118"/>
      <c r="K1322" s="118"/>
      <c r="L1322" s="118"/>
    </row>
    <row r="1323" spans="1:12" x14ac:dyDescent="0.25">
      <c r="A1323" s="168"/>
      <c r="B1323" s="144" t="str">
        <f>'Máy thi công'!B232</f>
        <v>M9571</v>
      </c>
      <c r="C1323" s="34">
        <v>750</v>
      </c>
      <c r="D1323" s="144" t="str">
        <f>" - " &amp; 'Máy thi công'!D232</f>
        <v xml:space="preserve"> - Máy đầm bê tông, dầm dùi - công suất: 1,5 kW</v>
      </c>
      <c r="E1323" s="168" t="str">
        <f>'Máy thi công'!E232</f>
        <v>ca</v>
      </c>
      <c r="F1323" s="60"/>
      <c r="G1323" s="60"/>
      <c r="H1323" s="60"/>
      <c r="I1323" s="60">
        <v>8.8999999999999996E-2</v>
      </c>
      <c r="J1323" s="60"/>
      <c r="K1323" s="60"/>
      <c r="L1323" s="60">
        <f>ROUND(F1310*I1323,4)</f>
        <v>1.6020000000000001</v>
      </c>
    </row>
    <row r="1324" spans="1:12" x14ac:dyDescent="0.25">
      <c r="A1324" s="168"/>
      <c r="B1324" s="144" t="str">
        <f>'Máy thi công'!B306</f>
        <v>M9555</v>
      </c>
      <c r="C1324" s="34">
        <v>744</v>
      </c>
      <c r="D1324" s="144" t="str">
        <f>" - " &amp; 'Máy thi công'!D306</f>
        <v xml:space="preserve"> - Máy trộn bê tông - dung tích: 250 lít</v>
      </c>
      <c r="E1324" s="168" t="str">
        <f>'Máy thi công'!E306</f>
        <v>ca</v>
      </c>
      <c r="F1324" s="60"/>
      <c r="G1324" s="60"/>
      <c r="H1324" s="60"/>
      <c r="I1324" s="60">
        <v>9.5000000000000001E-2</v>
      </c>
      <c r="J1324" s="60"/>
      <c r="K1324" s="60"/>
      <c r="L1324" s="60">
        <f>ROUND(F1310*I1324,4)</f>
        <v>1.71</v>
      </c>
    </row>
    <row r="1325" spans="1:12" x14ac:dyDescent="0.25">
      <c r="A1325" s="65">
        <f>'Công trình'!A176</f>
        <v>138</v>
      </c>
      <c r="B1325" s="14" t="str">
        <f>'Công trình'!B176</f>
        <v>AK.41125</v>
      </c>
      <c r="C1325" s="94"/>
      <c r="D1325" s="14" t="str">
        <f>'Công trình'!C176</f>
        <v>Vữa xi măng M100 độ dốc 10%</v>
      </c>
      <c r="E1325" s="46" t="str">
        <f>'Công trình'!D176</f>
        <v>m2</v>
      </c>
      <c r="F1325" s="106">
        <f>'Công trình'!K176</f>
        <v>4.7039999999999997</v>
      </c>
      <c r="G1325" s="126"/>
      <c r="H1325" s="126"/>
      <c r="I1325" s="126"/>
      <c r="J1325" s="126"/>
      <c r="K1325" s="126"/>
      <c r="L1325" s="126"/>
    </row>
    <row r="1326" spans="1:12" x14ac:dyDescent="0.25">
      <c r="A1326" s="56"/>
      <c r="B1326" s="23"/>
      <c r="C1326" s="88"/>
      <c r="D1326" s="23" t="s">
        <v>479</v>
      </c>
      <c r="E1326" s="56"/>
      <c r="F1326" s="118"/>
      <c r="G1326" s="118"/>
      <c r="H1326" s="118"/>
      <c r="I1326" s="118"/>
      <c r="J1326" s="118"/>
      <c r="K1326" s="118"/>
      <c r="L1326" s="118"/>
    </row>
    <row r="1327" spans="1:12" x14ac:dyDescent="0.25">
      <c r="A1327" s="168"/>
      <c r="B1327" s="144" t="str">
        <f>'Vật liệu'!B721</f>
        <v>V00761</v>
      </c>
      <c r="C1327" s="34">
        <v>397</v>
      </c>
      <c r="D1327" s="144" t="str">
        <f>" - " &amp; 'Vật liệu'!D721</f>
        <v xml:space="preserve"> - Xi măng PC40</v>
      </c>
      <c r="E1327" s="168" t="str">
        <f>'Vật liệu'!E721</f>
        <v>kg</v>
      </c>
      <c r="F1327" s="60"/>
      <c r="G1327" s="60">
        <v>10.3957</v>
      </c>
      <c r="H1327" s="60"/>
      <c r="I1327" s="60"/>
      <c r="J1327" s="60">
        <f>ROUND(F1325*G1327,4)</f>
        <v>48.901400000000002</v>
      </c>
      <c r="K1327" s="60"/>
      <c r="L1327" s="60"/>
    </row>
    <row r="1328" spans="1:12" x14ac:dyDescent="0.25">
      <c r="A1328" s="168"/>
      <c r="B1328" s="144" t="str">
        <f>'Vật liệu'!B54</f>
        <v>V00112</v>
      </c>
      <c r="C1328" s="34">
        <v>125</v>
      </c>
      <c r="D1328" s="144" t="str">
        <f>" - " &amp; 'Vật liệu'!D54</f>
        <v xml:space="preserve"> - Cát vàng</v>
      </c>
      <c r="E1328" s="168" t="str">
        <f>'Vật liệu'!E54</f>
        <v>m3</v>
      </c>
      <c r="F1328" s="60"/>
      <c r="G1328" s="60">
        <v>3.8899999999999997E-2</v>
      </c>
      <c r="H1328" s="60"/>
      <c r="I1328" s="60"/>
      <c r="J1328" s="60">
        <f>ROUND(F1325*G1328,4)</f>
        <v>0.183</v>
      </c>
      <c r="K1328" s="60"/>
      <c r="L1328" s="60"/>
    </row>
    <row r="1329" spans="1:12" x14ac:dyDescent="0.25">
      <c r="A1329" s="168"/>
      <c r="B1329" s="144" t="str">
        <f>'Vật liệu'!B353</f>
        <v>V00494</v>
      </c>
      <c r="C1329" s="34">
        <v>148</v>
      </c>
      <c r="D1329" s="144" t="str">
        <f>" - " &amp; 'Vật liệu'!D353</f>
        <v xml:space="preserve"> - Nước</v>
      </c>
      <c r="E1329" s="168" t="str">
        <f>'Vật liệu'!E353</f>
        <v>lít</v>
      </c>
      <c r="F1329" s="60"/>
      <c r="G1329" s="60">
        <v>9.1</v>
      </c>
      <c r="H1329" s="60"/>
      <c r="I1329" s="60"/>
      <c r="J1329" s="60">
        <f>ROUND(F1325*G1329,4)</f>
        <v>42.806399999999996</v>
      </c>
      <c r="K1329" s="60"/>
      <c r="L1329" s="60"/>
    </row>
    <row r="1330" spans="1:12" x14ac:dyDescent="0.25">
      <c r="A1330" s="56"/>
      <c r="B1330" s="23"/>
      <c r="C1330" s="88"/>
      <c r="D1330" s="23" t="s">
        <v>202</v>
      </c>
      <c r="E1330" s="56"/>
      <c r="F1330" s="118"/>
      <c r="G1330" s="118"/>
      <c r="H1330" s="118"/>
      <c r="I1330" s="118"/>
      <c r="J1330" s="118"/>
      <c r="K1330" s="118"/>
      <c r="L1330" s="118"/>
    </row>
    <row r="1331" spans="1:12" x14ac:dyDescent="0.25">
      <c r="A1331" s="168"/>
      <c r="B1331" s="144" t="str">
        <f>'Nhân công'!B130</f>
        <v>N0011</v>
      </c>
      <c r="C1331" s="34">
        <v>550</v>
      </c>
      <c r="D1331" s="144" t="s">
        <v>671</v>
      </c>
      <c r="E1331" s="168" t="str">
        <f>'Nhân công'!G130</f>
        <v>công</v>
      </c>
      <c r="F1331" s="60"/>
      <c r="G1331" s="60"/>
      <c r="H1331" s="60">
        <v>0.106</v>
      </c>
      <c r="I1331" s="60"/>
      <c r="J1331" s="60"/>
      <c r="K1331" s="60">
        <f>ROUND(F1325*H1331,4)</f>
        <v>0.49859999999999999</v>
      </c>
      <c r="L1331" s="60"/>
    </row>
    <row r="1332" spans="1:12" x14ac:dyDescent="0.25">
      <c r="A1332" s="56"/>
      <c r="B1332" s="23"/>
      <c r="C1332" s="88"/>
      <c r="D1332" s="23" t="s">
        <v>378</v>
      </c>
      <c r="E1332" s="56"/>
      <c r="F1332" s="118"/>
      <c r="G1332" s="118"/>
      <c r="H1332" s="118"/>
      <c r="I1332" s="118"/>
      <c r="J1332" s="118"/>
      <c r="K1332" s="118"/>
      <c r="L1332" s="118"/>
    </row>
    <row r="1333" spans="1:12" x14ac:dyDescent="0.25">
      <c r="A1333" s="168"/>
      <c r="B1333" s="144" t="str">
        <f>'Máy thi công'!B341</f>
        <v>M9558</v>
      </c>
      <c r="C1333" s="34">
        <v>745</v>
      </c>
      <c r="D1333" s="144" t="str">
        <f>" - " &amp; 'Máy thi công'!D341</f>
        <v xml:space="preserve"> - Máy trộn vữa - dung tích: 80 lít</v>
      </c>
      <c r="E1333" s="168" t="str">
        <f>'Máy thi công'!E341</f>
        <v>ca</v>
      </c>
      <c r="F1333" s="60"/>
      <c r="G1333" s="60"/>
      <c r="H1333" s="60"/>
      <c r="I1333" s="60">
        <v>4.0000000000000001E-3</v>
      </c>
      <c r="J1333" s="60"/>
      <c r="K1333" s="60"/>
      <c r="L1333" s="60">
        <f>ROUND(F1325*I1333,4)</f>
        <v>1.8800000000000001E-2</v>
      </c>
    </row>
    <row r="1334" spans="1:12" ht="28.5" x14ac:dyDescent="0.25">
      <c r="A1334" s="65">
        <f>'Công trình'!A177</f>
        <v>139</v>
      </c>
      <c r="B1334" s="14" t="str">
        <f>'Công trình'!B177</f>
        <v>AF.11121</v>
      </c>
      <c r="C1334" s="94"/>
      <c r="D1334" s="14" t="str">
        <f>'Công trình'!C177</f>
        <v>Bê tông lót móng rộng &gt;250cm đá 4x6, vữa BT mác 100</v>
      </c>
      <c r="E1334" s="46" t="str">
        <f>'Công trình'!D177</f>
        <v>m3</v>
      </c>
      <c r="F1334" s="106">
        <f>'Công trình'!K177</f>
        <v>8.27</v>
      </c>
      <c r="G1334" s="126"/>
      <c r="H1334" s="126"/>
      <c r="I1334" s="126"/>
      <c r="J1334" s="126"/>
      <c r="K1334" s="126"/>
      <c r="L1334" s="126"/>
    </row>
    <row r="1335" spans="1:12" x14ac:dyDescent="0.25">
      <c r="A1335" s="56"/>
      <c r="B1335" s="23"/>
      <c r="C1335" s="88"/>
      <c r="D1335" s="23" t="s">
        <v>479</v>
      </c>
      <c r="E1335" s="56"/>
      <c r="F1335" s="118"/>
      <c r="G1335" s="118"/>
      <c r="H1335" s="118"/>
      <c r="I1335" s="118"/>
      <c r="J1335" s="118"/>
      <c r="K1335" s="118"/>
      <c r="L1335" s="118"/>
    </row>
    <row r="1336" spans="1:12" x14ac:dyDescent="0.25">
      <c r="A1336" s="168"/>
      <c r="B1336" s="144" t="str">
        <f>'Vật liệu'!B716</f>
        <v>V00759</v>
      </c>
      <c r="C1336" s="34">
        <v>396</v>
      </c>
      <c r="D1336" s="144" t="str">
        <f>" - " &amp; 'Vật liệu'!D716</f>
        <v xml:space="preserve"> - Xi măng PC30</v>
      </c>
      <c r="E1336" s="168" t="str">
        <f>'Vật liệu'!E716</f>
        <v>kg</v>
      </c>
      <c r="F1336" s="60"/>
      <c r="G1336" s="60">
        <v>200.85</v>
      </c>
      <c r="H1336" s="60"/>
      <c r="I1336" s="60"/>
      <c r="J1336" s="60">
        <f>ROUND(F1334*G1336,4)</f>
        <v>1661.0295000000001</v>
      </c>
      <c r="K1336" s="60"/>
      <c r="L1336" s="60"/>
    </row>
    <row r="1337" spans="1:12" x14ac:dyDescent="0.25">
      <c r="A1337" s="168"/>
      <c r="B1337" s="144" t="str">
        <f>'Vật liệu'!B54</f>
        <v>V00112</v>
      </c>
      <c r="C1337" s="34">
        <v>125</v>
      </c>
      <c r="D1337" s="144" t="str">
        <f>" - " &amp; 'Vật liệu'!D54</f>
        <v xml:space="preserve"> - Cát vàng</v>
      </c>
      <c r="E1337" s="168" t="str">
        <f>'Vật liệu'!E54</f>
        <v>m3</v>
      </c>
      <c r="F1337" s="60"/>
      <c r="G1337" s="60">
        <v>0.53149999999999997</v>
      </c>
      <c r="H1337" s="60"/>
      <c r="I1337" s="60"/>
      <c r="J1337" s="60">
        <f>ROUND(F1334*G1337,4)</f>
        <v>4.3955000000000002</v>
      </c>
      <c r="K1337" s="60"/>
      <c r="L1337" s="60"/>
    </row>
    <row r="1338" spans="1:12" x14ac:dyDescent="0.25">
      <c r="A1338" s="168"/>
      <c r="B1338" s="144" t="str">
        <f>'Vật liệu'!B172</f>
        <v>V05209</v>
      </c>
      <c r="C1338" s="34">
        <v>419</v>
      </c>
      <c r="D1338" s="144" t="str">
        <f>" - " &amp; 'Vật liệu'!D172</f>
        <v xml:space="preserve"> - Đá 4x6</v>
      </c>
      <c r="E1338" s="168" t="str">
        <f>'Vật liệu'!E172</f>
        <v>m3</v>
      </c>
      <c r="F1338" s="60"/>
      <c r="G1338" s="60">
        <v>0.93630000000000002</v>
      </c>
      <c r="H1338" s="60"/>
      <c r="I1338" s="60"/>
      <c r="J1338" s="60">
        <f>ROUND(F1334*G1338,4)</f>
        <v>7.7431999999999999</v>
      </c>
      <c r="K1338" s="60"/>
      <c r="L1338" s="60"/>
    </row>
    <row r="1339" spans="1:12" x14ac:dyDescent="0.25">
      <c r="A1339" s="168"/>
      <c r="B1339" s="144" t="str">
        <f>'Vật liệu'!B353</f>
        <v>V00494</v>
      </c>
      <c r="C1339" s="34">
        <v>148</v>
      </c>
      <c r="D1339" s="144" t="str">
        <f>" - " &amp; 'Vật liệu'!D353</f>
        <v xml:space="preserve"> - Nước</v>
      </c>
      <c r="E1339" s="168" t="str">
        <f>'Vật liệu'!E353</f>
        <v>lít</v>
      </c>
      <c r="F1339" s="60"/>
      <c r="G1339" s="60">
        <v>169.95</v>
      </c>
      <c r="H1339" s="60"/>
      <c r="I1339" s="60"/>
      <c r="J1339" s="60">
        <f>ROUND(F1334*G1339,4)</f>
        <v>1405.4865</v>
      </c>
      <c r="K1339" s="60"/>
      <c r="L1339" s="60"/>
    </row>
    <row r="1340" spans="1:12" x14ac:dyDescent="0.25">
      <c r="A1340" s="56"/>
      <c r="B1340" s="23"/>
      <c r="C1340" s="88"/>
      <c r="D1340" s="23" t="s">
        <v>202</v>
      </c>
      <c r="E1340" s="56"/>
      <c r="F1340" s="118"/>
      <c r="G1340" s="118"/>
      <c r="H1340" s="118"/>
      <c r="I1340" s="118"/>
      <c r="J1340" s="118"/>
      <c r="K1340" s="118"/>
      <c r="L1340" s="118"/>
    </row>
    <row r="1341" spans="1:12" x14ac:dyDescent="0.25">
      <c r="A1341" s="168"/>
      <c r="B1341" s="144" t="str">
        <f>'Nhân công'!B6</f>
        <v>N0006</v>
      </c>
      <c r="C1341" s="34">
        <v>545</v>
      </c>
      <c r="D1341" s="144" t="s">
        <v>256</v>
      </c>
      <c r="E1341" s="168" t="str">
        <f>'Nhân công'!G6</f>
        <v>công</v>
      </c>
      <c r="F1341" s="60"/>
      <c r="G1341" s="60"/>
      <c r="H1341" s="60">
        <v>1.18</v>
      </c>
      <c r="I1341" s="60"/>
      <c r="J1341" s="60"/>
      <c r="K1341" s="60">
        <f>ROUND(F1334*H1341,4)</f>
        <v>9.7585999999999995</v>
      </c>
      <c r="L1341" s="60"/>
    </row>
    <row r="1342" spans="1:12" x14ac:dyDescent="0.25">
      <c r="A1342" s="56"/>
      <c r="B1342" s="23"/>
      <c r="C1342" s="88"/>
      <c r="D1342" s="23" t="s">
        <v>378</v>
      </c>
      <c r="E1342" s="56"/>
      <c r="F1342" s="118"/>
      <c r="G1342" s="118"/>
      <c r="H1342" s="118"/>
      <c r="I1342" s="118"/>
      <c r="J1342" s="118"/>
      <c r="K1342" s="118"/>
      <c r="L1342" s="118"/>
    </row>
    <row r="1343" spans="1:12" x14ac:dyDescent="0.25">
      <c r="A1343" s="168"/>
      <c r="B1343" s="144" t="str">
        <f>'Máy thi công'!B226</f>
        <v>M112.1101</v>
      </c>
      <c r="C1343" s="34">
        <v>699</v>
      </c>
      <c r="D1343" s="144" t="str">
        <f>" - " &amp; 'Máy thi công'!D226</f>
        <v xml:space="preserve"> - Máy đầm bê tông, đầm bàn - công suất: 1,0 kW</v>
      </c>
      <c r="E1343" s="168" t="str">
        <f>'Máy thi công'!E226</f>
        <v>ca</v>
      </c>
      <c r="F1343" s="60"/>
      <c r="G1343" s="60"/>
      <c r="H1343" s="60"/>
      <c r="I1343" s="60">
        <v>8.8999999999999996E-2</v>
      </c>
      <c r="J1343" s="60"/>
      <c r="K1343" s="60"/>
      <c r="L1343" s="60">
        <f>ROUND(F1334*I1343,4)</f>
        <v>0.73599999999999999</v>
      </c>
    </row>
    <row r="1344" spans="1:12" x14ac:dyDescent="0.25">
      <c r="A1344" s="168"/>
      <c r="B1344" s="144" t="str">
        <f>'Máy thi công'!B306</f>
        <v>M9555</v>
      </c>
      <c r="C1344" s="34">
        <v>744</v>
      </c>
      <c r="D1344" s="144" t="str">
        <f>" - " &amp; 'Máy thi công'!D306</f>
        <v xml:space="preserve"> - Máy trộn bê tông - dung tích: 250 lít</v>
      </c>
      <c r="E1344" s="168" t="str">
        <f>'Máy thi công'!E306</f>
        <v>ca</v>
      </c>
      <c r="F1344" s="60"/>
      <c r="G1344" s="60"/>
      <c r="H1344" s="60"/>
      <c r="I1344" s="60">
        <v>9.5000000000000001E-2</v>
      </c>
      <c r="J1344" s="60"/>
      <c r="K1344" s="60"/>
      <c r="L1344" s="60">
        <f>ROUND(F1334*I1344,4)</f>
        <v>0.78569999999999995</v>
      </c>
    </row>
    <row r="1345" spans="1:12" x14ac:dyDescent="0.25">
      <c r="A1345" s="65">
        <f>'Công trình'!A178</f>
        <v>140</v>
      </c>
      <c r="B1345" s="14" t="str">
        <f>'Công trình'!B178</f>
        <v>AL.25112</v>
      </c>
      <c r="C1345" s="94"/>
      <c r="D1345" s="14" t="str">
        <f>'Công trình'!C178</f>
        <v>Gối cao su (56x20.3x5)cm</v>
      </c>
      <c r="E1345" s="46" t="str">
        <f>'Công trình'!D178</f>
        <v>cái</v>
      </c>
      <c r="F1345" s="106">
        <f>'Công trình'!K178</f>
        <v>12</v>
      </c>
      <c r="G1345" s="126"/>
      <c r="H1345" s="126"/>
      <c r="I1345" s="126"/>
      <c r="J1345" s="126"/>
      <c r="K1345" s="126"/>
      <c r="L1345" s="126"/>
    </row>
    <row r="1346" spans="1:12" x14ac:dyDescent="0.25">
      <c r="A1346" s="56"/>
      <c r="B1346" s="23"/>
      <c r="C1346" s="88"/>
      <c r="D1346" s="23" t="s">
        <v>479</v>
      </c>
      <c r="E1346" s="56"/>
      <c r="F1346" s="118"/>
      <c r="G1346" s="118"/>
      <c r="H1346" s="118"/>
      <c r="I1346" s="118"/>
      <c r="J1346" s="118"/>
      <c r="K1346" s="118"/>
      <c r="L1346" s="118"/>
    </row>
    <row r="1347" spans="1:12" x14ac:dyDescent="0.25">
      <c r="A1347" s="168"/>
      <c r="B1347" s="144" t="str">
        <f>'Vật liệu'!B320</f>
        <v>V00384</v>
      </c>
      <c r="C1347" s="34">
        <v>139</v>
      </c>
      <c r="D1347" s="144" t="str">
        <f>" - " &amp; 'Vật liệu'!D320</f>
        <v xml:space="preserve"> - Gối cầu cao su</v>
      </c>
      <c r="E1347" s="168" t="str">
        <f>'Vật liệu'!E320</f>
        <v>bộ</v>
      </c>
      <c r="F1347" s="60"/>
      <c r="G1347" s="60">
        <v>1</v>
      </c>
      <c r="H1347" s="60"/>
      <c r="I1347" s="60"/>
      <c r="J1347" s="60">
        <f>ROUND(F1345*G1347,4)</f>
        <v>12</v>
      </c>
      <c r="K1347" s="60"/>
      <c r="L1347" s="60"/>
    </row>
    <row r="1348" spans="1:12" x14ac:dyDescent="0.25">
      <c r="A1348" s="168"/>
      <c r="B1348" s="144" t="str">
        <f>'Vật liệu'!B766</f>
        <v>V00750</v>
      </c>
      <c r="C1348" s="34">
        <v>366</v>
      </c>
      <c r="D1348" s="144" t="str">
        <f>" - " &amp; 'Vật liệu'!D766</f>
        <v xml:space="preserve"> - Vật liệu khác</v>
      </c>
      <c r="E1348" s="168" t="str">
        <f>'Vật liệu'!E766</f>
        <v>%</v>
      </c>
      <c r="F1348" s="60"/>
      <c r="G1348" s="60">
        <v>1</v>
      </c>
      <c r="H1348" s="60"/>
      <c r="I1348" s="60"/>
      <c r="J1348" s="60"/>
      <c r="K1348" s="60"/>
      <c r="L1348" s="60"/>
    </row>
    <row r="1349" spans="1:12" x14ac:dyDescent="0.25">
      <c r="A1349" s="56"/>
      <c r="B1349" s="23"/>
      <c r="C1349" s="88"/>
      <c r="D1349" s="23" t="s">
        <v>202</v>
      </c>
      <c r="E1349" s="56"/>
      <c r="F1349" s="118"/>
      <c r="G1349" s="118"/>
      <c r="H1349" s="118"/>
      <c r="I1349" s="118"/>
      <c r="J1349" s="118"/>
      <c r="K1349" s="118"/>
      <c r="L1349" s="118"/>
    </row>
    <row r="1350" spans="1:12" x14ac:dyDescent="0.25">
      <c r="A1350" s="168"/>
      <c r="B1350" s="144" t="str">
        <f>'Nhân công'!B185</f>
        <v>N0020</v>
      </c>
      <c r="C1350" s="34">
        <v>555</v>
      </c>
      <c r="D1350" s="144" t="s">
        <v>625</v>
      </c>
      <c r="E1350" s="168" t="str">
        <f>'Nhân công'!G185</f>
        <v>công</v>
      </c>
      <c r="F1350" s="60"/>
      <c r="G1350" s="60"/>
      <c r="H1350" s="60">
        <v>3.5</v>
      </c>
      <c r="I1350" s="60"/>
      <c r="J1350" s="60"/>
      <c r="K1350" s="60">
        <f>ROUND(F1345*H1350,4)</f>
        <v>42</v>
      </c>
      <c r="L1350" s="60"/>
    </row>
    <row r="1351" spans="1:12" ht="28.5" x14ac:dyDescent="0.25">
      <c r="A1351" s="65">
        <f>'Công trình'!A179</f>
        <v>141</v>
      </c>
      <c r="B1351" s="14" t="str">
        <f>'Công trình'!B179</f>
        <v>AF.87211</v>
      </c>
      <c r="C1351" s="94"/>
      <c r="D1351" s="14" t="str">
        <f>'Công trình'!C179</f>
        <v>Sản xuất, lắp dựng, tháo dỡ ván khuôn mố, trụ cầu trên cạn</v>
      </c>
      <c r="E1351" s="46" t="str">
        <f>'Công trình'!D179</f>
        <v>100m2</v>
      </c>
      <c r="F1351" s="106">
        <f>'Công trình'!K179</f>
        <v>1.5395000000000001</v>
      </c>
      <c r="G1351" s="126"/>
      <c r="H1351" s="126"/>
      <c r="I1351" s="126"/>
      <c r="J1351" s="126"/>
      <c r="K1351" s="126"/>
      <c r="L1351" s="126"/>
    </row>
    <row r="1352" spans="1:12" x14ac:dyDescent="0.25">
      <c r="A1352" s="56"/>
      <c r="B1352" s="23"/>
      <c r="C1352" s="88"/>
      <c r="D1352" s="23" t="s">
        <v>479</v>
      </c>
      <c r="E1352" s="56"/>
      <c r="F1352" s="118"/>
      <c r="G1352" s="118"/>
      <c r="H1352" s="118"/>
      <c r="I1352" s="118"/>
      <c r="J1352" s="118"/>
      <c r="K1352" s="118"/>
      <c r="L1352" s="118"/>
    </row>
    <row r="1353" spans="1:12" x14ac:dyDescent="0.25">
      <c r="A1353" s="168"/>
      <c r="B1353" s="144" t="str">
        <f>'Vật liệu'!B401</f>
        <v>V00770</v>
      </c>
      <c r="C1353" s="34">
        <v>400</v>
      </c>
      <c r="D1353" s="144" t="str">
        <f>" - " &amp; 'Vật liệu'!D401</f>
        <v xml:space="preserve"> - Ô xy</v>
      </c>
      <c r="E1353" s="168" t="str">
        <f>'Vật liệu'!E401</f>
        <v>Chai</v>
      </c>
      <c r="F1353" s="60"/>
      <c r="G1353" s="60">
        <v>1.8</v>
      </c>
      <c r="H1353" s="60"/>
      <c r="I1353" s="60"/>
      <c r="J1353" s="60">
        <f>ROUND(F1351*G1353,4)</f>
        <v>2.7711000000000001</v>
      </c>
      <c r="K1353" s="60"/>
      <c r="L1353" s="60"/>
    </row>
    <row r="1354" spans="1:12" x14ac:dyDescent="0.25">
      <c r="A1354" s="168"/>
      <c r="B1354" s="144" t="str">
        <f>'Vật liệu'!B289</f>
        <v>V00255</v>
      </c>
      <c r="C1354" s="34">
        <v>136</v>
      </c>
      <c r="D1354" s="144" t="str">
        <f>" - " &amp; 'Vật liệu'!D289</f>
        <v xml:space="preserve"> - Gas</v>
      </c>
      <c r="E1354" s="168" t="str">
        <f>'Vật liệu'!E289</f>
        <v>kg</v>
      </c>
      <c r="F1354" s="60"/>
      <c r="G1354" s="60">
        <v>3.6</v>
      </c>
      <c r="H1354" s="60"/>
      <c r="I1354" s="60"/>
      <c r="J1354" s="60">
        <f>ROUND(F1351*G1354,4)</f>
        <v>5.5422000000000002</v>
      </c>
      <c r="K1354" s="60"/>
      <c r="L1354" s="60"/>
    </row>
    <row r="1355" spans="1:12" x14ac:dyDescent="0.25">
      <c r="A1355" s="168"/>
      <c r="B1355" s="144" t="str">
        <f>'Vật liệu'!B606</f>
        <v>V00671</v>
      </c>
      <c r="C1355" s="34">
        <v>166</v>
      </c>
      <c r="D1355" s="144" t="str">
        <f>" - " &amp; 'Vật liệu'!D606</f>
        <v xml:space="preserve"> - Thép tấm</v>
      </c>
      <c r="E1355" s="168" t="str">
        <f>'Vật liệu'!E606</f>
        <v>kg</v>
      </c>
      <c r="F1355" s="60"/>
      <c r="G1355" s="60">
        <v>56</v>
      </c>
      <c r="H1355" s="60"/>
      <c r="I1355" s="60"/>
      <c r="J1355" s="60">
        <f>ROUND(F1351*G1355,4)</f>
        <v>86.212000000000003</v>
      </c>
      <c r="K1355" s="60"/>
      <c r="L1355" s="60"/>
    </row>
    <row r="1356" spans="1:12" x14ac:dyDescent="0.25">
      <c r="A1356" s="168"/>
      <c r="B1356" s="144" t="str">
        <f>'Vật liệu'!B556</f>
        <v>V00641</v>
      </c>
      <c r="C1356" s="34">
        <v>160</v>
      </c>
      <c r="D1356" s="144" t="str">
        <f>" - " &amp; 'Vật liệu'!D556</f>
        <v xml:space="preserve"> - Thép hình</v>
      </c>
      <c r="E1356" s="168" t="str">
        <f>'Vật liệu'!E556</f>
        <v>kg</v>
      </c>
      <c r="F1356" s="60"/>
      <c r="G1356" s="60">
        <v>15.6</v>
      </c>
      <c r="H1356" s="60"/>
      <c r="I1356" s="60"/>
      <c r="J1356" s="60">
        <f>ROUND(F1351*G1356,4)</f>
        <v>24.016200000000001</v>
      </c>
      <c r="K1356" s="60"/>
      <c r="L1356" s="60"/>
    </row>
    <row r="1357" spans="1:12" x14ac:dyDescent="0.25">
      <c r="A1357" s="168"/>
      <c r="B1357" s="144" t="str">
        <f>'Vật liệu'!B450</f>
        <v>V00515</v>
      </c>
      <c r="C1357" s="34">
        <v>154</v>
      </c>
      <c r="D1357" s="144" t="str">
        <f>" - " &amp; 'Vật liệu'!D450</f>
        <v xml:space="preserve"> - Que hàn</v>
      </c>
      <c r="E1357" s="168" t="str">
        <f>'Vật liệu'!E450</f>
        <v>kg</v>
      </c>
      <c r="F1357" s="60"/>
      <c r="G1357" s="60">
        <v>12.5</v>
      </c>
      <c r="H1357" s="60"/>
      <c r="I1357" s="60"/>
      <c r="J1357" s="60">
        <f>ROUND(F1351*G1357,4)</f>
        <v>19.2438</v>
      </c>
      <c r="K1357" s="60"/>
      <c r="L1357" s="60"/>
    </row>
    <row r="1358" spans="1:12" x14ac:dyDescent="0.25">
      <c r="A1358" s="168"/>
      <c r="B1358" s="144" t="str">
        <f>'Vật liệu'!B766</f>
        <v>V00750</v>
      </c>
      <c r="C1358" s="34">
        <v>367</v>
      </c>
      <c r="D1358" s="144" t="str">
        <f>" - " &amp; 'Vật liệu'!D766</f>
        <v xml:space="preserve"> - Vật liệu khác</v>
      </c>
      <c r="E1358" s="168" t="str">
        <f>'Vật liệu'!E766</f>
        <v>%</v>
      </c>
      <c r="F1358" s="60"/>
      <c r="G1358" s="60">
        <v>3</v>
      </c>
      <c r="H1358" s="60"/>
      <c r="I1358" s="60"/>
      <c r="J1358" s="60"/>
      <c r="K1358" s="60"/>
      <c r="L1358" s="60"/>
    </row>
    <row r="1359" spans="1:12" x14ac:dyDescent="0.25">
      <c r="A1359" s="56"/>
      <c r="B1359" s="23"/>
      <c r="C1359" s="88"/>
      <c r="D1359" s="23" t="s">
        <v>202</v>
      </c>
      <c r="E1359" s="56"/>
      <c r="F1359" s="118"/>
      <c r="G1359" s="118"/>
      <c r="H1359" s="118"/>
      <c r="I1359" s="118"/>
      <c r="J1359" s="118"/>
      <c r="K1359" s="118"/>
      <c r="L1359" s="118"/>
    </row>
    <row r="1360" spans="1:12" x14ac:dyDescent="0.25">
      <c r="A1360" s="168"/>
      <c r="B1360" s="144" t="str">
        <f>'Nhân công'!B130</f>
        <v>N0011</v>
      </c>
      <c r="C1360" s="34">
        <v>550</v>
      </c>
      <c r="D1360" s="144" t="s">
        <v>671</v>
      </c>
      <c r="E1360" s="168" t="str">
        <f>'Nhân công'!G130</f>
        <v>công</v>
      </c>
      <c r="F1360" s="60"/>
      <c r="G1360" s="60"/>
      <c r="H1360" s="60">
        <v>33.5</v>
      </c>
      <c r="I1360" s="60"/>
      <c r="J1360" s="60"/>
      <c r="K1360" s="60">
        <f>ROUND(F1351*H1360,4)</f>
        <v>51.573300000000003</v>
      </c>
      <c r="L1360" s="60"/>
    </row>
    <row r="1361" spans="1:12" x14ac:dyDescent="0.25">
      <c r="A1361" s="56"/>
      <c r="B1361" s="23"/>
      <c r="C1361" s="88"/>
      <c r="D1361" s="23" t="s">
        <v>378</v>
      </c>
      <c r="E1361" s="56"/>
      <c r="F1361" s="118"/>
      <c r="G1361" s="118"/>
      <c r="H1361" s="118"/>
      <c r="I1361" s="118"/>
      <c r="J1361" s="118"/>
      <c r="K1361" s="118"/>
      <c r="L1361" s="118"/>
    </row>
    <row r="1362" spans="1:12" x14ac:dyDescent="0.25">
      <c r="A1362" s="168"/>
      <c r="B1362" s="144" t="str">
        <f>'Máy thi công'!B120</f>
        <v>M9468</v>
      </c>
      <c r="C1362" s="34">
        <v>728</v>
      </c>
      <c r="D1362" s="144" t="str">
        <f>" - " &amp; 'Máy thi công'!D120</f>
        <v xml:space="preserve"> - Cần trục bánh xích - sức nâng: 16 t</v>
      </c>
      <c r="E1362" s="168" t="str">
        <f>'Máy thi công'!E120</f>
        <v>ca</v>
      </c>
      <c r="F1362" s="60"/>
      <c r="G1362" s="60"/>
      <c r="H1362" s="60"/>
      <c r="I1362" s="60">
        <v>0.8</v>
      </c>
      <c r="J1362" s="60"/>
      <c r="K1362" s="60"/>
      <c r="L1362" s="60">
        <f>ROUND(F1351*I1362,4)</f>
        <v>1.2316</v>
      </c>
    </row>
    <row r="1363" spans="1:12" x14ac:dyDescent="0.25">
      <c r="A1363" s="168"/>
      <c r="B1363" s="144" t="str">
        <f>'Máy thi công'!B6</f>
        <v>M9438</v>
      </c>
      <c r="C1363" s="34">
        <v>714</v>
      </c>
      <c r="D1363" s="144" t="str">
        <f>" - " &amp; 'Máy thi công'!D6</f>
        <v xml:space="preserve"> - Biến thế hàn xoay chiều - công suất: 23 kW</v>
      </c>
      <c r="E1363" s="168" t="str">
        <f>'Máy thi công'!E6</f>
        <v>ca</v>
      </c>
      <c r="F1363" s="60"/>
      <c r="G1363" s="60"/>
      <c r="H1363" s="60"/>
      <c r="I1363" s="60">
        <v>4.5</v>
      </c>
      <c r="J1363" s="60"/>
      <c r="K1363" s="60"/>
      <c r="L1363" s="60">
        <f>ROUND(F1351*I1363,4)</f>
        <v>6.9278000000000004</v>
      </c>
    </row>
    <row r="1364" spans="1:12" x14ac:dyDescent="0.25">
      <c r="A1364" s="168"/>
      <c r="B1364" s="144" t="str">
        <f>'Máy thi công'!B177</f>
        <v>M112.2001</v>
      </c>
      <c r="C1364" s="34">
        <v>703</v>
      </c>
      <c r="D1364" s="144" t="str">
        <f>" - " &amp; 'Máy thi công'!D177</f>
        <v xml:space="preserve"> - Máy cắt sắt cầm tay - công suất: 1,7 kW</v>
      </c>
      <c r="E1364" s="168" t="str">
        <f>'Máy thi công'!E177</f>
        <v>ca</v>
      </c>
      <c r="F1364" s="60"/>
      <c r="G1364" s="60"/>
      <c r="H1364" s="60"/>
      <c r="I1364" s="60">
        <v>2.5</v>
      </c>
      <c r="J1364" s="60"/>
      <c r="K1364" s="60"/>
      <c r="L1364" s="60">
        <f>ROUND(F1351*I1364,4)</f>
        <v>3.8488000000000002</v>
      </c>
    </row>
    <row r="1365" spans="1:12" x14ac:dyDescent="0.25">
      <c r="A1365" s="168"/>
      <c r="B1365" s="144" t="str">
        <f>'Máy thi công'!B398</f>
        <v>M0111</v>
      </c>
      <c r="C1365" s="34">
        <v>671</v>
      </c>
      <c r="D1365" s="144" t="str">
        <f>" - " &amp; 'Máy thi công'!D398</f>
        <v xml:space="preserve"> - Máy khác</v>
      </c>
      <c r="E1365" s="168" t="str">
        <f>'Máy thi công'!E398</f>
        <v>%</v>
      </c>
      <c r="F1365" s="60"/>
      <c r="G1365" s="60"/>
      <c r="H1365" s="60"/>
      <c r="I1365" s="60">
        <v>1.5</v>
      </c>
      <c r="J1365" s="60"/>
      <c r="K1365" s="60"/>
      <c r="L1365" s="60"/>
    </row>
    <row r="1366" spans="1:12" ht="42.75" x14ac:dyDescent="0.25">
      <c r="A1366" s="65">
        <f>'Công trình'!A180</f>
        <v>142</v>
      </c>
      <c r="B1366" s="14" t="str">
        <f>'Công trình'!B180</f>
        <v>AF.82511</v>
      </c>
      <c r="C1366" s="94"/>
      <c r="D1366" s="14" t="str">
        <f>'Công trình'!C180</f>
        <v>Sản xuất, lắp dựng, tháo dỡ ván khuôn cho bê tông đổ tại chổ, ván khuôn thép, ván khuôn bản dẫn</v>
      </c>
      <c r="E1366" s="46" t="str">
        <f>'Công trình'!D180</f>
        <v>100m2</v>
      </c>
      <c r="F1366" s="106">
        <f>'Công trình'!K180</f>
        <v>0.188</v>
      </c>
      <c r="G1366" s="126"/>
      <c r="H1366" s="126"/>
      <c r="I1366" s="126"/>
      <c r="J1366" s="126"/>
      <c r="K1366" s="126"/>
      <c r="L1366" s="126"/>
    </row>
    <row r="1367" spans="1:12" x14ac:dyDescent="0.25">
      <c r="A1367" s="56"/>
      <c r="B1367" s="23"/>
      <c r="C1367" s="88"/>
      <c r="D1367" s="23" t="s">
        <v>479</v>
      </c>
      <c r="E1367" s="56"/>
      <c r="F1367" s="118"/>
      <c r="G1367" s="118"/>
      <c r="H1367" s="118"/>
      <c r="I1367" s="118"/>
      <c r="J1367" s="118"/>
      <c r="K1367" s="118"/>
      <c r="L1367" s="118"/>
    </row>
    <row r="1368" spans="1:12" x14ac:dyDescent="0.25">
      <c r="A1368" s="168"/>
      <c r="B1368" s="144" t="str">
        <f>'Vật liệu'!B556</f>
        <v>V00641</v>
      </c>
      <c r="C1368" s="34">
        <v>160</v>
      </c>
      <c r="D1368" s="144" t="str">
        <f>" - " &amp; 'Vật liệu'!D556</f>
        <v xml:space="preserve"> - Thép hình</v>
      </c>
      <c r="E1368" s="168" t="str">
        <f>'Vật liệu'!E556</f>
        <v>kg</v>
      </c>
      <c r="F1368" s="60"/>
      <c r="G1368" s="60">
        <v>32.020000000000003</v>
      </c>
      <c r="H1368" s="60"/>
      <c r="I1368" s="60"/>
      <c r="J1368" s="60">
        <f>ROUND(F1366*G1368,4)</f>
        <v>6.0198</v>
      </c>
      <c r="K1368" s="60"/>
      <c r="L1368" s="60"/>
    </row>
    <row r="1369" spans="1:12" x14ac:dyDescent="0.25">
      <c r="A1369" s="168"/>
      <c r="B1369" s="144" t="str">
        <f>'Vật liệu'!B606</f>
        <v>V00671</v>
      </c>
      <c r="C1369" s="34">
        <v>166</v>
      </c>
      <c r="D1369" s="144" t="str">
        <f>" - " &amp; 'Vật liệu'!D606</f>
        <v xml:space="preserve"> - Thép tấm</v>
      </c>
      <c r="E1369" s="168" t="str">
        <f>'Vật liệu'!E606</f>
        <v>kg</v>
      </c>
      <c r="F1369" s="60"/>
      <c r="G1369" s="60">
        <v>51.81</v>
      </c>
      <c r="H1369" s="60"/>
      <c r="I1369" s="60"/>
      <c r="J1369" s="60">
        <f>ROUND(F1366*G1369,4)</f>
        <v>9.7402999999999995</v>
      </c>
      <c r="K1369" s="60"/>
      <c r="L1369" s="60"/>
    </row>
    <row r="1370" spans="1:12" x14ac:dyDescent="0.25">
      <c r="A1370" s="168"/>
      <c r="B1370" s="144" t="str">
        <f>'Vật liệu'!B766</f>
        <v>V00750</v>
      </c>
      <c r="C1370" s="34">
        <v>378</v>
      </c>
      <c r="D1370" s="144" t="str">
        <f>" - " &amp; 'Vật liệu'!D766</f>
        <v xml:space="preserve"> - Vật liệu khác</v>
      </c>
      <c r="E1370" s="168" t="str">
        <f>'Vật liệu'!E766</f>
        <v>%</v>
      </c>
      <c r="F1370" s="60"/>
      <c r="G1370" s="60">
        <v>10</v>
      </c>
      <c r="H1370" s="60"/>
      <c r="I1370" s="60"/>
      <c r="J1370" s="60"/>
      <c r="K1370" s="60"/>
      <c r="L1370" s="60"/>
    </row>
    <row r="1371" spans="1:12" x14ac:dyDescent="0.25">
      <c r="A1371" s="56"/>
      <c r="B1371" s="23"/>
      <c r="C1371" s="88"/>
      <c r="D1371" s="23" t="s">
        <v>202</v>
      </c>
      <c r="E1371" s="56"/>
      <c r="F1371" s="118"/>
      <c r="G1371" s="118"/>
      <c r="H1371" s="118"/>
      <c r="I1371" s="118"/>
      <c r="J1371" s="118"/>
      <c r="K1371" s="118"/>
      <c r="L1371" s="118"/>
    </row>
    <row r="1372" spans="1:12" x14ac:dyDescent="0.25">
      <c r="A1372" s="168"/>
      <c r="B1372" s="144" t="str">
        <f>'Nhân công'!B130</f>
        <v>N0011</v>
      </c>
      <c r="C1372" s="34">
        <v>550</v>
      </c>
      <c r="D1372" s="144" t="s">
        <v>671</v>
      </c>
      <c r="E1372" s="168" t="str">
        <f>'Nhân công'!G130</f>
        <v>công</v>
      </c>
      <c r="F1372" s="60"/>
      <c r="G1372" s="60"/>
      <c r="H1372" s="60">
        <v>12.25</v>
      </c>
      <c r="I1372" s="60"/>
      <c r="J1372" s="60"/>
      <c r="K1372" s="60">
        <f>ROUND(F1366*H1372,4)</f>
        <v>2.3029999999999999</v>
      </c>
      <c r="L1372" s="60"/>
    </row>
    <row r="1373" spans="1:12" ht="28.5" x14ac:dyDescent="0.25">
      <c r="A1373" s="65">
        <f>'Công trình'!A181</f>
        <v>143</v>
      </c>
      <c r="B1373" s="14" t="str">
        <f>'Công trình'!B181</f>
        <v>AF.65120</v>
      </c>
      <c r="C1373" s="94"/>
      <c r="D1373" s="14" t="str">
        <f>'Công trình'!C181</f>
        <v>Sản xuất, lắp dựng cốt thép móng, mố, trụ, mũ mố, mũ trụ cầu trên cạn đường kính &lt;=18mm</v>
      </c>
      <c r="E1373" s="46" t="str">
        <f>'Công trình'!D181</f>
        <v>tấn</v>
      </c>
      <c r="F1373" s="106">
        <f>'Công trình'!K181</f>
        <v>4.2809999999999997</v>
      </c>
      <c r="G1373" s="126"/>
      <c r="H1373" s="126"/>
      <c r="I1373" s="126"/>
      <c r="J1373" s="126"/>
      <c r="K1373" s="126"/>
      <c r="L1373" s="126"/>
    </row>
    <row r="1374" spans="1:12" x14ac:dyDescent="0.25">
      <c r="A1374" s="56"/>
      <c r="B1374" s="23"/>
      <c r="C1374" s="88"/>
      <c r="D1374" s="23" t="s">
        <v>479</v>
      </c>
      <c r="E1374" s="56"/>
      <c r="F1374" s="118"/>
      <c r="G1374" s="118"/>
      <c r="H1374" s="118"/>
      <c r="I1374" s="118"/>
      <c r="J1374" s="118"/>
      <c r="K1374" s="118"/>
      <c r="L1374" s="118"/>
    </row>
    <row r="1375" spans="1:12" x14ac:dyDescent="0.25">
      <c r="A1375" s="168"/>
      <c r="B1375" s="144" t="str">
        <f>'Vật liệu'!B450</f>
        <v>V00515</v>
      </c>
      <c r="C1375" s="34">
        <v>154</v>
      </c>
      <c r="D1375" s="144" t="str">
        <f>" - " &amp; 'Vật liệu'!D450</f>
        <v xml:space="preserve"> - Que hàn</v>
      </c>
      <c r="E1375" s="168" t="str">
        <f>'Vật liệu'!E450</f>
        <v>kg</v>
      </c>
      <c r="F1375" s="60"/>
      <c r="G1375" s="60">
        <v>6.5</v>
      </c>
      <c r="H1375" s="60"/>
      <c r="I1375" s="60"/>
      <c r="J1375" s="60">
        <f>ROUND(F1373*G1375,4)</f>
        <v>27.826499999999999</v>
      </c>
      <c r="K1375" s="60"/>
      <c r="L1375" s="60"/>
    </row>
    <row r="1376" spans="1:12" x14ac:dyDescent="0.25">
      <c r="A1376" s="168"/>
      <c r="B1376" s="144" t="str">
        <f>'Vật liệu'!B221</f>
        <v>V00226</v>
      </c>
      <c r="C1376" s="34">
        <v>135</v>
      </c>
      <c r="D1376" s="144" t="str">
        <f>" - " &amp; 'Vật liệu'!D221</f>
        <v xml:space="preserve"> - Dây thép</v>
      </c>
      <c r="E1376" s="168" t="str">
        <f>'Vật liệu'!E221</f>
        <v>kg</v>
      </c>
      <c r="F1376" s="60"/>
      <c r="G1376" s="60">
        <v>14.28</v>
      </c>
      <c r="H1376" s="60"/>
      <c r="I1376" s="60"/>
      <c r="J1376" s="60">
        <f>ROUND(F1373*G1376,4)</f>
        <v>61.1327</v>
      </c>
      <c r="K1376" s="60"/>
      <c r="L1376" s="60"/>
    </row>
    <row r="1377" spans="1:12" x14ac:dyDescent="0.25">
      <c r="A1377" s="168"/>
      <c r="B1377" s="144" t="str">
        <f>'Vật liệu'!B665</f>
        <v>V48495</v>
      </c>
      <c r="C1377" s="34">
        <v>485</v>
      </c>
      <c r="D1377" s="144" t="str">
        <f>" - " &amp; 'Vật liệu'!D665</f>
        <v xml:space="preserve"> - Thép tròn đường kính &lt;=18mm</v>
      </c>
      <c r="E1377" s="168" t="str">
        <f>'Vật liệu'!E665</f>
        <v>kg</v>
      </c>
      <c r="F1377" s="60"/>
      <c r="G1377" s="60">
        <v>1020</v>
      </c>
      <c r="H1377" s="60"/>
      <c r="I1377" s="60"/>
      <c r="J1377" s="60">
        <f>ROUND(F1373*G1377,4)</f>
        <v>4366.62</v>
      </c>
      <c r="K1377" s="60"/>
      <c r="L1377" s="60"/>
    </row>
    <row r="1378" spans="1:12" x14ac:dyDescent="0.25">
      <c r="A1378" s="56"/>
      <c r="B1378" s="23"/>
      <c r="C1378" s="88"/>
      <c r="D1378" s="23" t="s">
        <v>202</v>
      </c>
      <c r="E1378" s="56"/>
      <c r="F1378" s="118"/>
      <c r="G1378" s="118"/>
      <c r="H1378" s="118"/>
      <c r="I1378" s="118"/>
      <c r="J1378" s="118"/>
      <c r="K1378" s="118"/>
      <c r="L1378" s="118"/>
    </row>
    <row r="1379" spans="1:12" x14ac:dyDescent="0.25">
      <c r="A1379" s="168"/>
      <c r="B1379" s="144" t="str">
        <f>'Nhân công'!B130</f>
        <v>N0011</v>
      </c>
      <c r="C1379" s="34">
        <v>550</v>
      </c>
      <c r="D1379" s="144" t="s">
        <v>671</v>
      </c>
      <c r="E1379" s="168" t="str">
        <f>'Nhân công'!G130</f>
        <v>công</v>
      </c>
      <c r="F1379" s="60"/>
      <c r="G1379" s="60"/>
      <c r="H1379" s="60">
        <v>11.72</v>
      </c>
      <c r="I1379" s="60"/>
      <c r="J1379" s="60"/>
      <c r="K1379" s="60">
        <f>ROUND(F1373*H1379,4)</f>
        <v>50.173299999999998</v>
      </c>
      <c r="L1379" s="60"/>
    </row>
    <row r="1380" spans="1:12" x14ac:dyDescent="0.25">
      <c r="A1380" s="56"/>
      <c r="B1380" s="23"/>
      <c r="C1380" s="88"/>
      <c r="D1380" s="23" t="s">
        <v>378</v>
      </c>
      <c r="E1380" s="56"/>
      <c r="F1380" s="118"/>
      <c r="G1380" s="118"/>
      <c r="H1380" s="118"/>
      <c r="I1380" s="118"/>
      <c r="J1380" s="118"/>
      <c r="K1380" s="118"/>
      <c r="L1380" s="118"/>
    </row>
    <row r="1381" spans="1:12" x14ac:dyDescent="0.25">
      <c r="A1381" s="168"/>
      <c r="B1381" s="144" t="str">
        <f>'Máy thi công'!B120</f>
        <v>M9468</v>
      </c>
      <c r="C1381" s="34">
        <v>728</v>
      </c>
      <c r="D1381" s="144" t="str">
        <f>" - " &amp; 'Máy thi công'!D120</f>
        <v xml:space="preserve"> - Cần trục bánh xích - sức nâng: 16 t</v>
      </c>
      <c r="E1381" s="168" t="str">
        <f>'Máy thi công'!E120</f>
        <v>ca</v>
      </c>
      <c r="F1381" s="60"/>
      <c r="G1381" s="60"/>
      <c r="H1381" s="60"/>
      <c r="I1381" s="60">
        <v>0.09</v>
      </c>
      <c r="J1381" s="60"/>
      <c r="K1381" s="60"/>
      <c r="L1381" s="60">
        <f>ROUND(F1373*I1381,4)</f>
        <v>0.38529999999999998</v>
      </c>
    </row>
    <row r="1382" spans="1:12" x14ac:dyDescent="0.25">
      <c r="A1382" s="168"/>
      <c r="B1382" s="144" t="str">
        <f>'Máy thi công'!B184</f>
        <v>M9521</v>
      </c>
      <c r="C1382" s="34">
        <v>737</v>
      </c>
      <c r="D1382" s="144" t="str">
        <f>" - " &amp; 'Máy thi công'!D184</f>
        <v xml:space="preserve"> - Máy cắt uốn cốt thép - công suất: 5 kW</v>
      </c>
      <c r="E1382" s="168" t="str">
        <f>'Máy thi công'!E184</f>
        <v>ca</v>
      </c>
      <c r="F1382" s="60"/>
      <c r="G1382" s="60"/>
      <c r="H1382" s="60"/>
      <c r="I1382" s="60">
        <v>0.32</v>
      </c>
      <c r="J1382" s="60"/>
      <c r="K1382" s="60"/>
      <c r="L1382" s="60">
        <f>ROUND(F1373*I1382,4)</f>
        <v>1.3698999999999999</v>
      </c>
    </row>
    <row r="1383" spans="1:12" x14ac:dyDescent="0.25">
      <c r="A1383" s="168"/>
      <c r="B1383" s="144" t="str">
        <f>'Máy thi công'!B6</f>
        <v>M9438</v>
      </c>
      <c r="C1383" s="34">
        <v>714</v>
      </c>
      <c r="D1383" s="144" t="str">
        <f>" - " &amp; 'Máy thi công'!D6</f>
        <v xml:space="preserve"> - Biến thế hàn xoay chiều - công suất: 23 kW</v>
      </c>
      <c r="E1383" s="168" t="str">
        <f>'Máy thi công'!E6</f>
        <v>ca</v>
      </c>
      <c r="F1383" s="60"/>
      <c r="G1383" s="60"/>
      <c r="H1383" s="60"/>
      <c r="I1383" s="60">
        <v>1.6</v>
      </c>
      <c r="J1383" s="60"/>
      <c r="K1383" s="60"/>
      <c r="L1383" s="60">
        <f>ROUND(F1373*I1383,4)</f>
        <v>6.8495999999999997</v>
      </c>
    </row>
    <row r="1384" spans="1:12" ht="28.5" x14ac:dyDescent="0.25">
      <c r="A1384" s="65">
        <f>'Công trình'!A182</f>
        <v>144</v>
      </c>
      <c r="B1384" s="14" t="str">
        <f>'Công trình'!B182</f>
        <v>AF.65130</v>
      </c>
      <c r="C1384" s="94"/>
      <c r="D1384" s="14" t="str">
        <f>'Công trình'!C182</f>
        <v>Sản xuất, lắp dựng cốt thép móng, mố, trụ, mũ mố, mũ trụ cầu trên cạn đường kính &gt;18mm</v>
      </c>
      <c r="E1384" s="46" t="str">
        <f>'Công trình'!D182</f>
        <v>tấn</v>
      </c>
      <c r="F1384" s="106">
        <f>'Công trình'!K182</f>
        <v>4.7454999999999998</v>
      </c>
      <c r="G1384" s="126"/>
      <c r="H1384" s="126"/>
      <c r="I1384" s="126"/>
      <c r="J1384" s="126"/>
      <c r="K1384" s="126"/>
      <c r="L1384" s="126"/>
    </row>
    <row r="1385" spans="1:12" x14ac:dyDescent="0.25">
      <c r="A1385" s="56"/>
      <c r="B1385" s="23"/>
      <c r="C1385" s="88"/>
      <c r="D1385" s="23" t="s">
        <v>479</v>
      </c>
      <c r="E1385" s="56"/>
      <c r="F1385" s="118"/>
      <c r="G1385" s="118"/>
      <c r="H1385" s="118"/>
      <c r="I1385" s="118"/>
      <c r="J1385" s="118"/>
      <c r="K1385" s="118"/>
      <c r="L1385" s="118"/>
    </row>
    <row r="1386" spans="1:12" x14ac:dyDescent="0.25">
      <c r="A1386" s="168"/>
      <c r="B1386" s="144" t="str">
        <f>'Vật liệu'!B450</f>
        <v>V00515</v>
      </c>
      <c r="C1386" s="34">
        <v>154</v>
      </c>
      <c r="D1386" s="144" t="str">
        <f>" - " &amp; 'Vật liệu'!D450</f>
        <v xml:space="preserve"> - Que hàn</v>
      </c>
      <c r="E1386" s="168" t="str">
        <f>'Vật liệu'!E450</f>
        <v>kg</v>
      </c>
      <c r="F1386" s="60"/>
      <c r="G1386" s="60">
        <v>6.93</v>
      </c>
      <c r="H1386" s="60"/>
      <c r="I1386" s="60"/>
      <c r="J1386" s="60">
        <f>ROUND(F1384*G1386,4)</f>
        <v>32.886299999999999</v>
      </c>
      <c r="K1386" s="60"/>
      <c r="L1386" s="60"/>
    </row>
    <row r="1387" spans="1:12" x14ac:dyDescent="0.25">
      <c r="A1387" s="168"/>
      <c r="B1387" s="144" t="str">
        <f>'Vật liệu'!B221</f>
        <v>V00226</v>
      </c>
      <c r="C1387" s="34">
        <v>135</v>
      </c>
      <c r="D1387" s="144" t="str">
        <f>" - " &amp; 'Vật liệu'!D221</f>
        <v xml:space="preserve"> - Dây thép</v>
      </c>
      <c r="E1387" s="168" t="str">
        <f>'Vật liệu'!E221</f>
        <v>kg</v>
      </c>
      <c r="F1387" s="60"/>
      <c r="G1387" s="60">
        <v>14.28</v>
      </c>
      <c r="H1387" s="60"/>
      <c r="I1387" s="60"/>
      <c r="J1387" s="60">
        <f>ROUND(F1384*G1387,4)</f>
        <v>67.765699999999995</v>
      </c>
      <c r="K1387" s="60"/>
      <c r="L1387" s="60"/>
    </row>
    <row r="1388" spans="1:12" x14ac:dyDescent="0.25">
      <c r="A1388" s="168"/>
      <c r="B1388" s="144" t="str">
        <f>'Vật liệu'!B689</f>
        <v>V48498</v>
      </c>
      <c r="C1388" s="34">
        <v>488</v>
      </c>
      <c r="D1388" s="144" t="str">
        <f>" - " &amp; 'Vật liệu'!D689</f>
        <v xml:space="preserve"> - Thép tròn đường kính &gt;18mm</v>
      </c>
      <c r="E1388" s="168" t="str">
        <f>'Vật liệu'!E689</f>
        <v>kg</v>
      </c>
      <c r="F1388" s="60"/>
      <c r="G1388" s="60">
        <v>1020</v>
      </c>
      <c r="H1388" s="60"/>
      <c r="I1388" s="60"/>
      <c r="J1388" s="60">
        <f>ROUND(F1384*G1388,4)</f>
        <v>4840.41</v>
      </c>
      <c r="K1388" s="60"/>
      <c r="L1388" s="60"/>
    </row>
    <row r="1389" spans="1:12" x14ac:dyDescent="0.25">
      <c r="A1389" s="56"/>
      <c r="B1389" s="23"/>
      <c r="C1389" s="88"/>
      <c r="D1389" s="23" t="s">
        <v>202</v>
      </c>
      <c r="E1389" s="56"/>
      <c r="F1389" s="118"/>
      <c r="G1389" s="118"/>
      <c r="H1389" s="118"/>
      <c r="I1389" s="118"/>
      <c r="J1389" s="118"/>
      <c r="K1389" s="118"/>
      <c r="L1389" s="118"/>
    </row>
    <row r="1390" spans="1:12" x14ac:dyDescent="0.25">
      <c r="A1390" s="168"/>
      <c r="B1390" s="144" t="str">
        <f>'Nhân công'!B130</f>
        <v>N0011</v>
      </c>
      <c r="C1390" s="34">
        <v>550</v>
      </c>
      <c r="D1390" s="144" t="s">
        <v>671</v>
      </c>
      <c r="E1390" s="168" t="str">
        <f>'Nhân công'!G130</f>
        <v>công</v>
      </c>
      <c r="F1390" s="60"/>
      <c r="G1390" s="60"/>
      <c r="H1390" s="60">
        <v>9.75</v>
      </c>
      <c r="I1390" s="60"/>
      <c r="J1390" s="60"/>
      <c r="K1390" s="60">
        <f>ROUND(F1384*H1390,4)</f>
        <v>46.268599999999999</v>
      </c>
      <c r="L1390" s="60"/>
    </row>
    <row r="1391" spans="1:12" x14ac:dyDescent="0.25">
      <c r="A1391" s="56"/>
      <c r="B1391" s="23"/>
      <c r="C1391" s="88"/>
      <c r="D1391" s="23" t="s">
        <v>378</v>
      </c>
      <c r="E1391" s="56"/>
      <c r="F1391" s="118"/>
      <c r="G1391" s="118"/>
      <c r="H1391" s="118"/>
      <c r="I1391" s="118"/>
      <c r="J1391" s="118"/>
      <c r="K1391" s="118"/>
      <c r="L1391" s="118"/>
    </row>
    <row r="1392" spans="1:12" x14ac:dyDescent="0.25">
      <c r="A1392" s="168"/>
      <c r="B1392" s="144" t="str">
        <f>'Máy thi công'!B120</f>
        <v>M9468</v>
      </c>
      <c r="C1392" s="34">
        <v>728</v>
      </c>
      <c r="D1392" s="144" t="str">
        <f>" - " &amp; 'Máy thi công'!D120</f>
        <v xml:space="preserve"> - Cần trục bánh xích - sức nâng: 16 t</v>
      </c>
      <c r="E1392" s="168" t="str">
        <f>'Máy thi công'!E120</f>
        <v>ca</v>
      </c>
      <c r="F1392" s="60"/>
      <c r="G1392" s="60"/>
      <c r="H1392" s="60"/>
      <c r="I1392" s="60">
        <v>0.08</v>
      </c>
      <c r="J1392" s="60"/>
      <c r="K1392" s="60"/>
      <c r="L1392" s="60">
        <f>ROUND(F1384*I1392,4)</f>
        <v>0.37959999999999999</v>
      </c>
    </row>
    <row r="1393" spans="1:12" x14ac:dyDescent="0.25">
      <c r="A1393" s="168"/>
      <c r="B1393" s="144" t="str">
        <f>'Máy thi công'!B184</f>
        <v>M9521</v>
      </c>
      <c r="C1393" s="34">
        <v>737</v>
      </c>
      <c r="D1393" s="144" t="str">
        <f>" - " &amp; 'Máy thi công'!D184</f>
        <v xml:space="preserve"> - Máy cắt uốn cốt thép - công suất: 5 kW</v>
      </c>
      <c r="E1393" s="168" t="str">
        <f>'Máy thi công'!E184</f>
        <v>ca</v>
      </c>
      <c r="F1393" s="60"/>
      <c r="G1393" s="60"/>
      <c r="H1393" s="60"/>
      <c r="I1393" s="60">
        <v>0.16</v>
      </c>
      <c r="J1393" s="60"/>
      <c r="K1393" s="60"/>
      <c r="L1393" s="60">
        <f>ROUND(F1384*I1393,4)</f>
        <v>0.75929999999999997</v>
      </c>
    </row>
    <row r="1394" spans="1:12" x14ac:dyDescent="0.25">
      <c r="A1394" s="168"/>
      <c r="B1394" s="144" t="str">
        <f>'Máy thi công'!B6</f>
        <v>M9438</v>
      </c>
      <c r="C1394" s="34">
        <v>714</v>
      </c>
      <c r="D1394" s="144" t="str">
        <f>" - " &amp; 'Máy thi công'!D6</f>
        <v xml:space="preserve"> - Biến thế hàn xoay chiều - công suất: 23 kW</v>
      </c>
      <c r="E1394" s="168" t="str">
        <f>'Máy thi công'!E6</f>
        <v>ca</v>
      </c>
      <c r="F1394" s="60"/>
      <c r="G1394" s="60"/>
      <c r="H1394" s="60"/>
      <c r="I1394" s="60">
        <v>1.73</v>
      </c>
      <c r="J1394" s="60"/>
      <c r="K1394" s="60"/>
      <c r="L1394" s="60">
        <f>ROUND(F1384*I1394,4)</f>
        <v>8.2096999999999998</v>
      </c>
    </row>
    <row r="1395" spans="1:12" ht="28.5" x14ac:dyDescent="0.25">
      <c r="A1395" s="65">
        <f>'Công trình'!A183</f>
        <v>145</v>
      </c>
      <c r="B1395" s="14" t="str">
        <f>'Công trình'!B183</f>
        <v>AF.61110</v>
      </c>
      <c r="C1395" s="94"/>
      <c r="D1395" s="14" t="str">
        <f>'Công trình'!C183</f>
        <v>Sản xuất, lắp dựng cốt thép bản dẫn đường kính &lt;=10mm</v>
      </c>
      <c r="E1395" s="46" t="str">
        <f>'Công trình'!D183</f>
        <v>tấn</v>
      </c>
      <c r="F1395" s="106">
        <f>'Công trình'!K183</f>
        <v>1.3299999999999999E-2</v>
      </c>
      <c r="G1395" s="126"/>
      <c r="H1395" s="126"/>
      <c r="I1395" s="126"/>
      <c r="J1395" s="126"/>
      <c r="K1395" s="126"/>
      <c r="L1395" s="126"/>
    </row>
    <row r="1396" spans="1:12" x14ac:dyDescent="0.25">
      <c r="A1396" s="56"/>
      <c r="B1396" s="23"/>
      <c r="C1396" s="88"/>
      <c r="D1396" s="23" t="s">
        <v>479</v>
      </c>
      <c r="E1396" s="56"/>
      <c r="F1396" s="118"/>
      <c r="G1396" s="118"/>
      <c r="H1396" s="118"/>
      <c r="I1396" s="118"/>
      <c r="J1396" s="118"/>
      <c r="K1396" s="118"/>
      <c r="L1396" s="118"/>
    </row>
    <row r="1397" spans="1:12" x14ac:dyDescent="0.25">
      <c r="A1397" s="168"/>
      <c r="B1397" s="144" t="str">
        <f>'Vật liệu'!B221</f>
        <v>V00226</v>
      </c>
      <c r="C1397" s="34">
        <v>135</v>
      </c>
      <c r="D1397" s="144" t="str">
        <f>" - " &amp; 'Vật liệu'!D221</f>
        <v xml:space="preserve"> - Dây thép</v>
      </c>
      <c r="E1397" s="168" t="str">
        <f>'Vật liệu'!E221</f>
        <v>kg</v>
      </c>
      <c r="F1397" s="60"/>
      <c r="G1397" s="60">
        <v>21.42</v>
      </c>
      <c r="H1397" s="60"/>
      <c r="I1397" s="60"/>
      <c r="J1397" s="60">
        <f>ROUND(F1395*G1397,4)</f>
        <v>0.28489999999999999</v>
      </c>
      <c r="K1397" s="60"/>
      <c r="L1397" s="60"/>
    </row>
    <row r="1398" spans="1:12" x14ac:dyDescent="0.25">
      <c r="A1398" s="168"/>
      <c r="B1398" s="144" t="str">
        <f>'Vật liệu'!B650</f>
        <v>V48494</v>
      </c>
      <c r="C1398" s="34">
        <v>484</v>
      </c>
      <c r="D1398" s="144" t="str">
        <f>" - " &amp; 'Vật liệu'!D650</f>
        <v xml:space="preserve"> - Thép tròn đường kính &lt;=10 mm</v>
      </c>
      <c r="E1398" s="168" t="str">
        <f>'Vật liệu'!E650</f>
        <v>kg</v>
      </c>
      <c r="F1398" s="60"/>
      <c r="G1398" s="60">
        <v>1005</v>
      </c>
      <c r="H1398" s="60"/>
      <c r="I1398" s="60"/>
      <c r="J1398" s="60">
        <f>ROUND(F1395*G1398,4)</f>
        <v>13.3665</v>
      </c>
      <c r="K1398" s="60"/>
      <c r="L1398" s="60"/>
    </row>
    <row r="1399" spans="1:12" x14ac:dyDescent="0.25">
      <c r="A1399" s="56"/>
      <c r="B1399" s="23"/>
      <c r="C1399" s="88"/>
      <c r="D1399" s="23" t="s">
        <v>202</v>
      </c>
      <c r="E1399" s="56"/>
      <c r="F1399" s="118"/>
      <c r="G1399" s="118"/>
      <c r="H1399" s="118"/>
      <c r="I1399" s="118"/>
      <c r="J1399" s="118"/>
      <c r="K1399" s="118"/>
      <c r="L1399" s="118"/>
    </row>
    <row r="1400" spans="1:12" x14ac:dyDescent="0.25">
      <c r="A1400" s="168"/>
      <c r="B1400" s="144" t="str">
        <f>'Nhân công'!B45</f>
        <v>N0009</v>
      </c>
      <c r="C1400" s="34">
        <v>546</v>
      </c>
      <c r="D1400" s="144" t="s">
        <v>1052</v>
      </c>
      <c r="E1400" s="168" t="str">
        <f>'Nhân công'!G45</f>
        <v>công</v>
      </c>
      <c r="F1400" s="60"/>
      <c r="G1400" s="60"/>
      <c r="H1400" s="60">
        <v>11.32</v>
      </c>
      <c r="I1400" s="60"/>
      <c r="J1400" s="60"/>
      <c r="K1400" s="60">
        <f>ROUND(F1395*H1400,4)</f>
        <v>0.15060000000000001</v>
      </c>
      <c r="L1400" s="60"/>
    </row>
    <row r="1401" spans="1:12" x14ac:dyDescent="0.25">
      <c r="A1401" s="56"/>
      <c r="B1401" s="23"/>
      <c r="C1401" s="88"/>
      <c r="D1401" s="23" t="s">
        <v>378</v>
      </c>
      <c r="E1401" s="56"/>
      <c r="F1401" s="118"/>
      <c r="G1401" s="118"/>
      <c r="H1401" s="118"/>
      <c r="I1401" s="118"/>
      <c r="J1401" s="118"/>
      <c r="K1401" s="118"/>
      <c r="L1401" s="118"/>
    </row>
    <row r="1402" spans="1:12" x14ac:dyDescent="0.25">
      <c r="A1402" s="168"/>
      <c r="B1402" s="144" t="str">
        <f>'Máy thi công'!B184</f>
        <v>M9521</v>
      </c>
      <c r="C1402" s="34">
        <v>737</v>
      </c>
      <c r="D1402" s="144" t="str">
        <f>" - " &amp; 'Máy thi công'!D184</f>
        <v xml:space="preserve"> - Máy cắt uốn cốt thép - công suất: 5 kW</v>
      </c>
      <c r="E1402" s="168" t="str">
        <f>'Máy thi công'!E184</f>
        <v>ca</v>
      </c>
      <c r="F1402" s="60"/>
      <c r="G1402" s="60"/>
      <c r="H1402" s="60"/>
      <c r="I1402" s="60">
        <v>0.4</v>
      </c>
      <c r="J1402" s="60"/>
      <c r="K1402" s="60"/>
      <c r="L1402" s="60">
        <f>ROUND(F1395*I1402,4)</f>
        <v>5.3E-3</v>
      </c>
    </row>
    <row r="1403" spans="1:12" ht="28.5" x14ac:dyDescent="0.25">
      <c r="A1403" s="65">
        <f>'Công trình'!A184</f>
        <v>146</v>
      </c>
      <c r="B1403" s="14" t="str">
        <f>'Công trình'!B184</f>
        <v>AF.61120</v>
      </c>
      <c r="C1403" s="94"/>
      <c r="D1403" s="14" t="str">
        <f>'Công trình'!C184</f>
        <v>Sản xuất, lắp dựng cốt thép bản dẫn đường kính &lt;=18mm</v>
      </c>
      <c r="E1403" s="46" t="str">
        <f>'Công trình'!D184</f>
        <v>tấn</v>
      </c>
      <c r="F1403" s="106">
        <f>'Công trình'!K184</f>
        <v>0.99470000000000003</v>
      </c>
      <c r="G1403" s="126"/>
      <c r="H1403" s="126"/>
      <c r="I1403" s="126"/>
      <c r="J1403" s="126"/>
      <c r="K1403" s="126"/>
      <c r="L1403" s="126"/>
    </row>
    <row r="1404" spans="1:12" x14ac:dyDescent="0.25">
      <c r="A1404" s="56"/>
      <c r="B1404" s="23"/>
      <c r="C1404" s="88"/>
      <c r="D1404" s="23" t="s">
        <v>479</v>
      </c>
      <c r="E1404" s="56"/>
      <c r="F1404" s="118"/>
      <c r="G1404" s="118"/>
      <c r="H1404" s="118"/>
      <c r="I1404" s="118"/>
      <c r="J1404" s="118"/>
      <c r="K1404" s="118"/>
      <c r="L1404" s="118"/>
    </row>
    <row r="1405" spans="1:12" x14ac:dyDescent="0.25">
      <c r="A1405" s="168"/>
      <c r="B1405" s="144" t="str">
        <f>'Vật liệu'!B450</f>
        <v>V00515</v>
      </c>
      <c r="C1405" s="34">
        <v>154</v>
      </c>
      <c r="D1405" s="144" t="str">
        <f>" - " &amp; 'Vật liệu'!D450</f>
        <v xml:space="preserve"> - Que hàn</v>
      </c>
      <c r="E1405" s="168" t="str">
        <f>'Vật liệu'!E450</f>
        <v>kg</v>
      </c>
      <c r="F1405" s="60"/>
      <c r="G1405" s="60">
        <v>4.6399999999999997</v>
      </c>
      <c r="H1405" s="60"/>
      <c r="I1405" s="60"/>
      <c r="J1405" s="60">
        <f>ROUND(F1403*G1405,4)</f>
        <v>4.6154000000000002</v>
      </c>
      <c r="K1405" s="60"/>
      <c r="L1405" s="60"/>
    </row>
    <row r="1406" spans="1:12" x14ac:dyDescent="0.25">
      <c r="A1406" s="168"/>
      <c r="B1406" s="144" t="str">
        <f>'Vật liệu'!B221</f>
        <v>V00226</v>
      </c>
      <c r="C1406" s="34">
        <v>135</v>
      </c>
      <c r="D1406" s="144" t="str">
        <f>" - " &amp; 'Vật liệu'!D221</f>
        <v xml:space="preserve"> - Dây thép</v>
      </c>
      <c r="E1406" s="168" t="str">
        <f>'Vật liệu'!E221</f>
        <v>kg</v>
      </c>
      <c r="F1406" s="60"/>
      <c r="G1406" s="60">
        <v>14.28</v>
      </c>
      <c r="H1406" s="60"/>
      <c r="I1406" s="60"/>
      <c r="J1406" s="60">
        <f>ROUND(F1403*G1406,4)</f>
        <v>14.2043</v>
      </c>
      <c r="K1406" s="60"/>
      <c r="L1406" s="60"/>
    </row>
    <row r="1407" spans="1:12" x14ac:dyDescent="0.25">
      <c r="A1407" s="168"/>
      <c r="B1407" s="144" t="str">
        <f>'Vật liệu'!B665</f>
        <v>V48495</v>
      </c>
      <c r="C1407" s="34">
        <v>485</v>
      </c>
      <c r="D1407" s="144" t="str">
        <f>" - " &amp; 'Vật liệu'!D665</f>
        <v xml:space="preserve"> - Thép tròn đường kính &lt;=18mm</v>
      </c>
      <c r="E1407" s="168" t="str">
        <f>'Vật liệu'!E665</f>
        <v>kg</v>
      </c>
      <c r="F1407" s="60"/>
      <c r="G1407" s="60">
        <v>1020</v>
      </c>
      <c r="H1407" s="60"/>
      <c r="I1407" s="60"/>
      <c r="J1407" s="60">
        <f>ROUND(F1403*G1407,4)</f>
        <v>1014.5940000000001</v>
      </c>
      <c r="K1407" s="60"/>
      <c r="L1407" s="60"/>
    </row>
    <row r="1408" spans="1:12" x14ac:dyDescent="0.25">
      <c r="A1408" s="56"/>
      <c r="B1408" s="23"/>
      <c r="C1408" s="88"/>
      <c r="D1408" s="23" t="s">
        <v>202</v>
      </c>
      <c r="E1408" s="56"/>
      <c r="F1408" s="118"/>
      <c r="G1408" s="118"/>
      <c r="H1408" s="118"/>
      <c r="I1408" s="118"/>
      <c r="J1408" s="118"/>
      <c r="K1408" s="118"/>
      <c r="L1408" s="118"/>
    </row>
    <row r="1409" spans="1:12" x14ac:dyDescent="0.25">
      <c r="A1409" s="168"/>
      <c r="B1409" s="144" t="str">
        <f>'Nhân công'!B45</f>
        <v>N0009</v>
      </c>
      <c r="C1409" s="34">
        <v>546</v>
      </c>
      <c r="D1409" s="144" t="s">
        <v>1052</v>
      </c>
      <c r="E1409" s="168" t="str">
        <f>'Nhân công'!G45</f>
        <v>công</v>
      </c>
      <c r="F1409" s="60"/>
      <c r="G1409" s="60"/>
      <c r="H1409" s="60">
        <v>8.34</v>
      </c>
      <c r="I1409" s="60"/>
      <c r="J1409" s="60"/>
      <c r="K1409" s="60">
        <f>ROUND(F1403*H1409,4)</f>
        <v>8.2957999999999998</v>
      </c>
      <c r="L1409" s="60"/>
    </row>
    <row r="1410" spans="1:12" x14ac:dyDescent="0.25">
      <c r="A1410" s="56"/>
      <c r="B1410" s="23"/>
      <c r="C1410" s="88"/>
      <c r="D1410" s="23" t="s">
        <v>378</v>
      </c>
      <c r="E1410" s="56"/>
      <c r="F1410" s="118"/>
      <c r="G1410" s="118"/>
      <c r="H1410" s="118"/>
      <c r="I1410" s="118"/>
      <c r="J1410" s="118"/>
      <c r="K1410" s="118"/>
      <c r="L1410" s="118"/>
    </row>
    <row r="1411" spans="1:12" x14ac:dyDescent="0.25">
      <c r="A1411" s="168"/>
      <c r="B1411" s="144" t="str">
        <f>'Máy thi công'!B184</f>
        <v>M9521</v>
      </c>
      <c r="C1411" s="34">
        <v>737</v>
      </c>
      <c r="D1411" s="144" t="str">
        <f>" - " &amp; 'Máy thi công'!D184</f>
        <v xml:space="preserve"> - Máy cắt uốn cốt thép - công suất: 5 kW</v>
      </c>
      <c r="E1411" s="168" t="str">
        <f>'Máy thi công'!E184</f>
        <v>ca</v>
      </c>
      <c r="F1411" s="60"/>
      <c r="G1411" s="60"/>
      <c r="H1411" s="60"/>
      <c r="I1411" s="60">
        <v>0.32</v>
      </c>
      <c r="J1411" s="60"/>
      <c r="K1411" s="60"/>
      <c r="L1411" s="60">
        <f>ROUND(F1403*I1411,4)</f>
        <v>0.31830000000000003</v>
      </c>
    </row>
    <row r="1412" spans="1:12" x14ac:dyDescent="0.25">
      <c r="A1412" s="168"/>
      <c r="B1412" s="144" t="str">
        <f>'Máy thi công'!B6</f>
        <v>M9438</v>
      </c>
      <c r="C1412" s="34">
        <v>714</v>
      </c>
      <c r="D1412" s="144" t="str">
        <f>" - " &amp; 'Máy thi công'!D6</f>
        <v xml:space="preserve"> - Biến thế hàn xoay chiều - công suất: 23 kW</v>
      </c>
      <c r="E1412" s="168" t="str">
        <f>'Máy thi công'!E6</f>
        <v>ca</v>
      </c>
      <c r="F1412" s="60"/>
      <c r="G1412" s="60"/>
      <c r="H1412" s="60"/>
      <c r="I1412" s="60">
        <v>1.1200000000000001</v>
      </c>
      <c r="J1412" s="60"/>
      <c r="K1412" s="60"/>
      <c r="L1412" s="60">
        <f>ROUND(F1403*I1412,4)</f>
        <v>1.1141000000000001</v>
      </c>
    </row>
    <row r="1413" spans="1:12" ht="28.5" x14ac:dyDescent="0.25">
      <c r="A1413" s="65">
        <f>'Công trình'!A186</f>
        <v>147</v>
      </c>
      <c r="B1413" s="14" t="str">
        <f>'Công trình'!B186</f>
        <v>AF.14115</v>
      </c>
      <c r="C1413" s="94"/>
      <c r="D1413" s="14" t="str">
        <f>'Công trình'!C186</f>
        <v>Bê tông móng, mố trụ cầu trên cạn đá 1x2, vữa BT mác 300</v>
      </c>
      <c r="E1413" s="46" t="str">
        <f>'Công trình'!D186</f>
        <v>m3</v>
      </c>
      <c r="F1413" s="106">
        <f>'Công trình'!K186</f>
        <v>3.52</v>
      </c>
      <c r="G1413" s="126"/>
      <c r="H1413" s="126"/>
      <c r="I1413" s="126"/>
      <c r="J1413" s="126"/>
      <c r="K1413" s="126"/>
      <c r="L1413" s="126"/>
    </row>
    <row r="1414" spans="1:12" x14ac:dyDescent="0.25">
      <c r="A1414" s="56"/>
      <c r="B1414" s="23"/>
      <c r="C1414" s="88"/>
      <c r="D1414" s="23" t="s">
        <v>479</v>
      </c>
      <c r="E1414" s="56"/>
      <c r="F1414" s="118"/>
      <c r="G1414" s="118"/>
      <c r="H1414" s="118"/>
      <c r="I1414" s="118"/>
      <c r="J1414" s="118"/>
      <c r="K1414" s="118"/>
      <c r="L1414" s="118"/>
    </row>
    <row r="1415" spans="1:12" x14ac:dyDescent="0.25">
      <c r="A1415" s="168"/>
      <c r="B1415" s="144" t="str">
        <f>'Vật liệu'!B721</f>
        <v>V00761</v>
      </c>
      <c r="C1415" s="34">
        <v>397</v>
      </c>
      <c r="D1415" s="144" t="str">
        <f>" - " &amp; 'Vật liệu'!D721</f>
        <v xml:space="preserve"> - Xi măng PC40</v>
      </c>
      <c r="E1415" s="168" t="str">
        <f>'Vật liệu'!E721</f>
        <v>kg</v>
      </c>
      <c r="F1415" s="60"/>
      <c r="G1415" s="60">
        <v>383.35</v>
      </c>
      <c r="H1415" s="60"/>
      <c r="I1415" s="60"/>
      <c r="J1415" s="60">
        <f>ROUND(F1413*G1415,4)</f>
        <v>1349.3920000000001</v>
      </c>
      <c r="K1415" s="60"/>
      <c r="L1415" s="60"/>
    </row>
    <row r="1416" spans="1:12" x14ac:dyDescent="0.25">
      <c r="A1416" s="168"/>
      <c r="B1416" s="144" t="str">
        <f>'Vật liệu'!B54</f>
        <v>V00112</v>
      </c>
      <c r="C1416" s="34">
        <v>125</v>
      </c>
      <c r="D1416" s="144" t="str">
        <f>" - " &amp; 'Vật liệu'!D54</f>
        <v xml:space="preserve"> - Cát vàng</v>
      </c>
      <c r="E1416" s="168" t="str">
        <f>'Vật liệu'!E54</f>
        <v>m3</v>
      </c>
      <c r="F1416" s="60"/>
      <c r="G1416" s="60">
        <v>0.46839999999999998</v>
      </c>
      <c r="H1416" s="60"/>
      <c r="I1416" s="60"/>
      <c r="J1416" s="60">
        <f>ROUND(F1413*G1416,4)</f>
        <v>1.6488</v>
      </c>
      <c r="K1416" s="60"/>
      <c r="L1416" s="60"/>
    </row>
    <row r="1417" spans="1:12" x14ac:dyDescent="0.25">
      <c r="A1417" s="168"/>
      <c r="B1417" s="144" t="str">
        <f>'Vật liệu'!B142</f>
        <v>V05207</v>
      </c>
      <c r="C1417" s="34">
        <v>416</v>
      </c>
      <c r="D1417" s="144" t="str">
        <f>" - " &amp; 'Vật liệu'!D142</f>
        <v xml:space="preserve"> - Đá 1x2</v>
      </c>
      <c r="E1417" s="168" t="str">
        <f>'Vật liệu'!E142</f>
        <v>m3</v>
      </c>
      <c r="F1417" s="60"/>
      <c r="G1417" s="60">
        <v>0.89380000000000004</v>
      </c>
      <c r="H1417" s="60"/>
      <c r="I1417" s="60"/>
      <c r="J1417" s="60">
        <f>ROUND(F1413*G1417,4)</f>
        <v>3.1461999999999999</v>
      </c>
      <c r="K1417" s="60"/>
      <c r="L1417" s="60"/>
    </row>
    <row r="1418" spans="1:12" x14ac:dyDescent="0.25">
      <c r="A1418" s="168"/>
      <c r="B1418" s="144" t="str">
        <f>'Vật liệu'!B353</f>
        <v>V00494</v>
      </c>
      <c r="C1418" s="34">
        <v>148</v>
      </c>
      <c r="D1418" s="144" t="str">
        <f>" - " &amp; 'Vật liệu'!D353</f>
        <v xml:space="preserve"> - Nước</v>
      </c>
      <c r="E1418" s="168" t="str">
        <f>'Vật liệu'!E353</f>
        <v>lít</v>
      </c>
      <c r="F1418" s="60"/>
      <c r="G1418" s="60">
        <v>189.625</v>
      </c>
      <c r="H1418" s="60"/>
      <c r="I1418" s="60"/>
      <c r="J1418" s="60">
        <f>ROUND(F1413*G1418,4)</f>
        <v>667.48</v>
      </c>
      <c r="K1418" s="60"/>
      <c r="L1418" s="60"/>
    </row>
    <row r="1419" spans="1:12" x14ac:dyDescent="0.25">
      <c r="A1419" s="168"/>
      <c r="B1419" s="144" t="str">
        <f>'Vật liệu'!B766</f>
        <v>V00750</v>
      </c>
      <c r="C1419" s="34">
        <v>285</v>
      </c>
      <c r="D1419" s="144" t="str">
        <f>" - " &amp; 'Vật liệu'!D766</f>
        <v xml:space="preserve"> - Vật liệu khác</v>
      </c>
      <c r="E1419" s="168" t="str">
        <f>'Vật liệu'!E766</f>
        <v>%</v>
      </c>
      <c r="F1419" s="60"/>
      <c r="G1419" s="60">
        <v>2</v>
      </c>
      <c r="H1419" s="60"/>
      <c r="I1419" s="60"/>
      <c r="J1419" s="60"/>
      <c r="K1419" s="60"/>
      <c r="L1419" s="60"/>
    </row>
    <row r="1420" spans="1:12" x14ac:dyDescent="0.25">
      <c r="A1420" s="56"/>
      <c r="B1420" s="23"/>
      <c r="C1420" s="88"/>
      <c r="D1420" s="23" t="s">
        <v>202</v>
      </c>
      <c r="E1420" s="56"/>
      <c r="F1420" s="118"/>
      <c r="G1420" s="118"/>
      <c r="H1420" s="118"/>
      <c r="I1420" s="118"/>
      <c r="J1420" s="118"/>
      <c r="K1420" s="118"/>
      <c r="L1420" s="118"/>
    </row>
    <row r="1421" spans="1:12" x14ac:dyDescent="0.25">
      <c r="A1421" s="168"/>
      <c r="B1421" s="144" t="str">
        <f>'Nhân công'!B130</f>
        <v>N0011</v>
      </c>
      <c r="C1421" s="34">
        <v>550</v>
      </c>
      <c r="D1421" s="144" t="s">
        <v>671</v>
      </c>
      <c r="E1421" s="168" t="str">
        <f>'Nhân công'!G130</f>
        <v>công</v>
      </c>
      <c r="F1421" s="60"/>
      <c r="G1421" s="60"/>
      <c r="H1421" s="60">
        <v>2.91</v>
      </c>
      <c r="I1421" s="60"/>
      <c r="J1421" s="60"/>
      <c r="K1421" s="60">
        <f>ROUND(F1413*H1421,4)</f>
        <v>10.2432</v>
      </c>
      <c r="L1421" s="60"/>
    </row>
    <row r="1422" spans="1:12" x14ac:dyDescent="0.25">
      <c r="A1422" s="56"/>
      <c r="B1422" s="23"/>
      <c r="C1422" s="88"/>
      <c r="D1422" s="23" t="s">
        <v>378</v>
      </c>
      <c r="E1422" s="56"/>
      <c r="F1422" s="118"/>
      <c r="G1422" s="118"/>
      <c r="H1422" s="118"/>
      <c r="I1422" s="118"/>
      <c r="J1422" s="118"/>
      <c r="K1422" s="118"/>
      <c r="L1422" s="118"/>
    </row>
    <row r="1423" spans="1:12" x14ac:dyDescent="0.25">
      <c r="A1423" s="168"/>
      <c r="B1423" s="144" t="str">
        <f>'Máy thi công'!B113</f>
        <v>M9465</v>
      </c>
      <c r="C1423" s="34">
        <v>725</v>
      </c>
      <c r="D1423" s="144" t="str">
        <f>" - " &amp; 'Máy thi công'!D113</f>
        <v xml:space="preserve"> - Cần trục bánh hơi - sức nâng: 16 t</v>
      </c>
      <c r="E1423" s="168" t="str">
        <f>'Máy thi công'!E113</f>
        <v>ca</v>
      </c>
      <c r="F1423" s="60"/>
      <c r="G1423" s="60"/>
      <c r="H1423" s="60"/>
      <c r="I1423" s="60">
        <v>4.4999999999999998E-2</v>
      </c>
      <c r="J1423" s="60"/>
      <c r="K1423" s="60"/>
      <c r="L1423" s="60">
        <f>ROUND(F1413*I1423,4)</f>
        <v>0.15840000000000001</v>
      </c>
    </row>
    <row r="1424" spans="1:12" x14ac:dyDescent="0.25">
      <c r="A1424" s="168"/>
      <c r="B1424" s="144" t="str">
        <f>'Máy thi công'!B306</f>
        <v>M9555</v>
      </c>
      <c r="C1424" s="34">
        <v>744</v>
      </c>
      <c r="D1424" s="144" t="str">
        <f>" - " &amp; 'Máy thi công'!D306</f>
        <v xml:space="preserve"> - Máy trộn bê tông - dung tích: 250 lít</v>
      </c>
      <c r="E1424" s="168" t="str">
        <f>'Máy thi công'!E306</f>
        <v>ca</v>
      </c>
      <c r="F1424" s="60"/>
      <c r="G1424" s="60"/>
      <c r="H1424" s="60"/>
      <c r="I1424" s="60">
        <v>9.5000000000000001E-2</v>
      </c>
      <c r="J1424" s="60"/>
      <c r="K1424" s="60"/>
      <c r="L1424" s="60">
        <f>ROUND(F1413*I1424,4)</f>
        <v>0.33439999999999998</v>
      </c>
    </row>
    <row r="1425" spans="1:12" x14ac:dyDescent="0.25">
      <c r="A1425" s="168"/>
      <c r="B1425" s="144" t="str">
        <f>'Máy thi công'!B232</f>
        <v>M9571</v>
      </c>
      <c r="C1425" s="34">
        <v>750</v>
      </c>
      <c r="D1425" s="144" t="str">
        <f>" - " &amp; 'Máy thi công'!D232</f>
        <v xml:space="preserve"> - Máy đầm bê tông, dầm dùi - công suất: 1,5 kW</v>
      </c>
      <c r="E1425" s="168" t="str">
        <f>'Máy thi công'!E232</f>
        <v>ca</v>
      </c>
      <c r="F1425" s="60"/>
      <c r="G1425" s="60"/>
      <c r="H1425" s="60"/>
      <c r="I1425" s="60">
        <v>8.8999999999999996E-2</v>
      </c>
      <c r="J1425" s="60"/>
      <c r="K1425" s="60"/>
      <c r="L1425" s="60">
        <f>ROUND(F1413*I1425,4)</f>
        <v>0.31330000000000002</v>
      </c>
    </row>
    <row r="1426" spans="1:12" x14ac:dyDescent="0.25">
      <c r="A1426" s="168"/>
      <c r="B1426" s="144" t="str">
        <f>'Máy thi công'!B398</f>
        <v>M0111</v>
      </c>
      <c r="C1426" s="34">
        <v>624</v>
      </c>
      <c r="D1426" s="144" t="str">
        <f>" - " &amp; 'Máy thi công'!D398</f>
        <v xml:space="preserve"> - Máy khác</v>
      </c>
      <c r="E1426" s="168" t="str">
        <f>'Máy thi công'!E398</f>
        <v>%</v>
      </c>
      <c r="F1426" s="60"/>
      <c r="G1426" s="60"/>
      <c r="H1426" s="60"/>
      <c r="I1426" s="60">
        <v>2</v>
      </c>
      <c r="J1426" s="60"/>
      <c r="K1426" s="60"/>
      <c r="L1426" s="60"/>
    </row>
    <row r="1427" spans="1:12" x14ac:dyDescent="0.25">
      <c r="A1427" s="65">
        <f>'Công trình'!A187</f>
        <v>148</v>
      </c>
      <c r="B1427" s="14" t="str">
        <f>'Công trình'!B187</f>
        <v>AK.41125</v>
      </c>
      <c r="C1427" s="94"/>
      <c r="D1427" s="14" t="str">
        <f>'Công trình'!C187</f>
        <v>Vữa xi măng dày 3cm, vữa XM mác 100</v>
      </c>
      <c r="E1427" s="46" t="str">
        <f>'Công trình'!D187</f>
        <v>m2</v>
      </c>
      <c r="F1427" s="106">
        <f>'Công trình'!K187</f>
        <v>0.96</v>
      </c>
      <c r="G1427" s="126"/>
      <c r="H1427" s="126"/>
      <c r="I1427" s="126"/>
      <c r="J1427" s="126"/>
      <c r="K1427" s="126"/>
      <c r="L1427" s="126"/>
    </row>
    <row r="1428" spans="1:12" x14ac:dyDescent="0.25">
      <c r="A1428" s="56"/>
      <c r="B1428" s="23"/>
      <c r="C1428" s="88"/>
      <c r="D1428" s="23" t="s">
        <v>479</v>
      </c>
      <c r="E1428" s="56"/>
      <c r="F1428" s="118"/>
      <c r="G1428" s="118"/>
      <c r="H1428" s="118"/>
      <c r="I1428" s="118"/>
      <c r="J1428" s="118"/>
      <c r="K1428" s="118"/>
      <c r="L1428" s="118"/>
    </row>
    <row r="1429" spans="1:12" x14ac:dyDescent="0.25">
      <c r="A1429" s="168"/>
      <c r="B1429" s="144" t="str">
        <f>'Vật liệu'!B721</f>
        <v>V00761</v>
      </c>
      <c r="C1429" s="34">
        <v>397</v>
      </c>
      <c r="D1429" s="144" t="str">
        <f>" - " &amp; 'Vật liệu'!D721</f>
        <v xml:space="preserve"> - Xi măng PC40</v>
      </c>
      <c r="E1429" s="168" t="str">
        <f>'Vật liệu'!E721</f>
        <v>kg</v>
      </c>
      <c r="F1429" s="60"/>
      <c r="G1429" s="60">
        <v>10.3957</v>
      </c>
      <c r="H1429" s="60"/>
      <c r="I1429" s="60"/>
      <c r="J1429" s="60">
        <f>ROUND(F1427*G1429,4)</f>
        <v>9.9799000000000007</v>
      </c>
      <c r="K1429" s="60"/>
      <c r="L1429" s="60"/>
    </row>
    <row r="1430" spans="1:12" x14ac:dyDescent="0.25">
      <c r="A1430" s="168"/>
      <c r="B1430" s="144" t="str">
        <f>'Vật liệu'!B54</f>
        <v>V00112</v>
      </c>
      <c r="C1430" s="34">
        <v>125</v>
      </c>
      <c r="D1430" s="144" t="str">
        <f>" - " &amp; 'Vật liệu'!D54</f>
        <v xml:space="preserve"> - Cát vàng</v>
      </c>
      <c r="E1430" s="168" t="str">
        <f>'Vật liệu'!E54</f>
        <v>m3</v>
      </c>
      <c r="F1430" s="60"/>
      <c r="G1430" s="60">
        <v>3.8899999999999997E-2</v>
      </c>
      <c r="H1430" s="60"/>
      <c r="I1430" s="60"/>
      <c r="J1430" s="60">
        <f>ROUND(F1427*G1430,4)</f>
        <v>3.73E-2</v>
      </c>
      <c r="K1430" s="60"/>
      <c r="L1430" s="60"/>
    </row>
    <row r="1431" spans="1:12" x14ac:dyDescent="0.25">
      <c r="A1431" s="168"/>
      <c r="B1431" s="144" t="str">
        <f>'Vật liệu'!B353</f>
        <v>V00494</v>
      </c>
      <c r="C1431" s="34">
        <v>148</v>
      </c>
      <c r="D1431" s="144" t="str">
        <f>" - " &amp; 'Vật liệu'!D353</f>
        <v xml:space="preserve"> - Nước</v>
      </c>
      <c r="E1431" s="168" t="str">
        <f>'Vật liệu'!E353</f>
        <v>lít</v>
      </c>
      <c r="F1431" s="60"/>
      <c r="G1431" s="60">
        <v>9.1</v>
      </c>
      <c r="H1431" s="60"/>
      <c r="I1431" s="60"/>
      <c r="J1431" s="60">
        <f>ROUND(F1427*G1431,4)</f>
        <v>8.7360000000000007</v>
      </c>
      <c r="K1431" s="60"/>
      <c r="L1431" s="60"/>
    </row>
    <row r="1432" spans="1:12" x14ac:dyDescent="0.25">
      <c r="A1432" s="56"/>
      <c r="B1432" s="23"/>
      <c r="C1432" s="88"/>
      <c r="D1432" s="23" t="s">
        <v>202</v>
      </c>
      <c r="E1432" s="56"/>
      <c r="F1432" s="118"/>
      <c r="G1432" s="118"/>
      <c r="H1432" s="118"/>
      <c r="I1432" s="118"/>
      <c r="J1432" s="118"/>
      <c r="K1432" s="118"/>
      <c r="L1432" s="118"/>
    </row>
    <row r="1433" spans="1:12" x14ac:dyDescent="0.25">
      <c r="A1433" s="168"/>
      <c r="B1433" s="144" t="str">
        <f>'Nhân công'!B130</f>
        <v>N0011</v>
      </c>
      <c r="C1433" s="34">
        <v>550</v>
      </c>
      <c r="D1433" s="144" t="s">
        <v>671</v>
      </c>
      <c r="E1433" s="168" t="str">
        <f>'Nhân công'!G130</f>
        <v>công</v>
      </c>
      <c r="F1433" s="60"/>
      <c r="G1433" s="60"/>
      <c r="H1433" s="60">
        <v>0.106</v>
      </c>
      <c r="I1433" s="60"/>
      <c r="J1433" s="60"/>
      <c r="K1433" s="60">
        <f>ROUND(F1427*H1433,4)</f>
        <v>0.1018</v>
      </c>
      <c r="L1433" s="60"/>
    </row>
    <row r="1434" spans="1:12" x14ac:dyDescent="0.25">
      <c r="A1434" s="56"/>
      <c r="B1434" s="23"/>
      <c r="C1434" s="88"/>
      <c r="D1434" s="23" t="s">
        <v>378</v>
      </c>
      <c r="E1434" s="56"/>
      <c r="F1434" s="118"/>
      <c r="G1434" s="118"/>
      <c r="H1434" s="118"/>
      <c r="I1434" s="118"/>
      <c r="J1434" s="118"/>
      <c r="K1434" s="118"/>
      <c r="L1434" s="118"/>
    </row>
    <row r="1435" spans="1:12" x14ac:dyDescent="0.25">
      <c r="A1435" s="168"/>
      <c r="B1435" s="144" t="str">
        <f>'Máy thi công'!B341</f>
        <v>M9558</v>
      </c>
      <c r="C1435" s="34">
        <v>745</v>
      </c>
      <c r="D1435" s="144" t="str">
        <f>" - " &amp; 'Máy thi công'!D341</f>
        <v xml:space="preserve"> - Máy trộn vữa - dung tích: 80 lít</v>
      </c>
      <c r="E1435" s="168" t="str">
        <f>'Máy thi công'!E341</f>
        <v>ca</v>
      </c>
      <c r="F1435" s="60"/>
      <c r="G1435" s="60"/>
      <c r="H1435" s="60"/>
      <c r="I1435" s="60">
        <v>4.0000000000000001E-3</v>
      </c>
      <c r="J1435" s="60"/>
      <c r="K1435" s="60"/>
      <c r="L1435" s="60">
        <f>ROUND(F1427*I1435,4)</f>
        <v>3.8E-3</v>
      </c>
    </row>
    <row r="1436" spans="1:12" x14ac:dyDescent="0.25">
      <c r="A1436" s="65">
        <f>'Công trình'!A188</f>
        <v>149</v>
      </c>
      <c r="B1436" s="14" t="str">
        <f>'Công trình'!B188</f>
        <v>AL.25112</v>
      </c>
      <c r="C1436" s="94"/>
      <c r="D1436" s="14" t="str">
        <f>'Công trình'!C188</f>
        <v>Gối cao su (56x20.3x5)cm</v>
      </c>
      <c r="E1436" s="46" t="str">
        <f>'Công trình'!D188</f>
        <v>cái</v>
      </c>
      <c r="F1436" s="106">
        <f>'Công trình'!K188</f>
        <v>24</v>
      </c>
      <c r="G1436" s="126"/>
      <c r="H1436" s="126"/>
      <c r="I1436" s="126"/>
      <c r="J1436" s="126"/>
      <c r="K1436" s="126"/>
      <c r="L1436" s="126"/>
    </row>
    <row r="1437" spans="1:12" x14ac:dyDescent="0.25">
      <c r="A1437" s="56"/>
      <c r="B1437" s="23"/>
      <c r="C1437" s="88"/>
      <c r="D1437" s="23" t="s">
        <v>479</v>
      </c>
      <c r="E1437" s="56"/>
      <c r="F1437" s="118"/>
      <c r="G1437" s="118"/>
      <c r="H1437" s="118"/>
      <c r="I1437" s="118"/>
      <c r="J1437" s="118"/>
      <c r="K1437" s="118"/>
      <c r="L1437" s="118"/>
    </row>
    <row r="1438" spans="1:12" x14ac:dyDescent="0.25">
      <c r="A1438" s="168"/>
      <c r="B1438" s="144" t="str">
        <f>'Vật liệu'!B320</f>
        <v>V00384</v>
      </c>
      <c r="C1438" s="34">
        <v>139</v>
      </c>
      <c r="D1438" s="144" t="str">
        <f>" - " &amp; 'Vật liệu'!D320</f>
        <v xml:space="preserve"> - Gối cầu cao su</v>
      </c>
      <c r="E1438" s="168" t="str">
        <f>'Vật liệu'!E320</f>
        <v>bộ</v>
      </c>
      <c r="F1438" s="60"/>
      <c r="G1438" s="60">
        <v>1</v>
      </c>
      <c r="H1438" s="60"/>
      <c r="I1438" s="60"/>
      <c r="J1438" s="60">
        <f>ROUND(F1436*G1438,4)</f>
        <v>24</v>
      </c>
      <c r="K1438" s="60"/>
      <c r="L1438" s="60"/>
    </row>
    <row r="1439" spans="1:12" x14ac:dyDescent="0.25">
      <c r="A1439" s="168"/>
      <c r="B1439" s="144" t="str">
        <f>'Vật liệu'!B766</f>
        <v>V00750</v>
      </c>
      <c r="C1439" s="34">
        <v>368</v>
      </c>
      <c r="D1439" s="144" t="str">
        <f>" - " &amp; 'Vật liệu'!D766</f>
        <v xml:space="preserve"> - Vật liệu khác</v>
      </c>
      <c r="E1439" s="168" t="str">
        <f>'Vật liệu'!E766</f>
        <v>%</v>
      </c>
      <c r="F1439" s="60"/>
      <c r="G1439" s="60">
        <v>1</v>
      </c>
      <c r="H1439" s="60"/>
      <c r="I1439" s="60"/>
      <c r="J1439" s="60"/>
      <c r="K1439" s="60"/>
      <c r="L1439" s="60"/>
    </row>
    <row r="1440" spans="1:12" x14ac:dyDescent="0.25">
      <c r="A1440" s="56"/>
      <c r="B1440" s="23"/>
      <c r="C1440" s="88"/>
      <c r="D1440" s="23" t="s">
        <v>202</v>
      </c>
      <c r="E1440" s="56"/>
      <c r="F1440" s="118"/>
      <c r="G1440" s="118"/>
      <c r="H1440" s="118"/>
      <c r="I1440" s="118"/>
      <c r="J1440" s="118"/>
      <c r="K1440" s="118"/>
      <c r="L1440" s="118"/>
    </row>
    <row r="1441" spans="1:12" x14ac:dyDescent="0.25">
      <c r="A1441" s="168"/>
      <c r="B1441" s="144" t="str">
        <f>'Nhân công'!B185</f>
        <v>N0020</v>
      </c>
      <c r="C1441" s="34">
        <v>555</v>
      </c>
      <c r="D1441" s="144" t="s">
        <v>625</v>
      </c>
      <c r="E1441" s="168" t="str">
        <f>'Nhân công'!G185</f>
        <v>công</v>
      </c>
      <c r="F1441" s="60"/>
      <c r="G1441" s="60"/>
      <c r="H1441" s="60">
        <v>3.5</v>
      </c>
      <c r="I1441" s="60"/>
      <c r="J1441" s="60"/>
      <c r="K1441" s="60">
        <f>ROUND(F1436*H1441,4)</f>
        <v>84</v>
      </c>
      <c r="L1441" s="60"/>
    </row>
    <row r="1442" spans="1:12" ht="28.5" x14ac:dyDescent="0.25">
      <c r="A1442" s="65">
        <f>'Công trình'!A189</f>
        <v>150</v>
      </c>
      <c r="B1442" s="14" t="str">
        <f>'Công trình'!B189</f>
        <v>AF.87211</v>
      </c>
      <c r="C1442" s="94"/>
      <c r="D1442" s="14" t="str">
        <f>'Công trình'!C189</f>
        <v>Sản xuất, lắp dựng, tháo dỡ ván khuôn mố, trụ cầu trên cạn</v>
      </c>
      <c r="E1442" s="46" t="str">
        <f>'Công trình'!D189</f>
        <v>100m2</v>
      </c>
      <c r="F1442" s="106">
        <f>'Công trình'!K189</f>
        <v>0.44109999999999999</v>
      </c>
      <c r="G1442" s="126"/>
      <c r="H1442" s="126"/>
      <c r="I1442" s="126"/>
      <c r="J1442" s="126"/>
      <c r="K1442" s="126"/>
      <c r="L1442" s="126"/>
    </row>
    <row r="1443" spans="1:12" x14ac:dyDescent="0.25">
      <c r="A1443" s="56"/>
      <c r="B1443" s="23"/>
      <c r="C1443" s="88"/>
      <c r="D1443" s="23" t="s">
        <v>479</v>
      </c>
      <c r="E1443" s="56"/>
      <c r="F1443" s="118"/>
      <c r="G1443" s="118"/>
      <c r="H1443" s="118"/>
      <c r="I1443" s="118"/>
      <c r="J1443" s="118"/>
      <c r="K1443" s="118"/>
      <c r="L1443" s="118"/>
    </row>
    <row r="1444" spans="1:12" x14ac:dyDescent="0.25">
      <c r="A1444" s="168"/>
      <c r="B1444" s="144" t="str">
        <f>'Vật liệu'!B401</f>
        <v>V00770</v>
      </c>
      <c r="C1444" s="34">
        <v>400</v>
      </c>
      <c r="D1444" s="144" t="str">
        <f>" - " &amp; 'Vật liệu'!D401</f>
        <v xml:space="preserve"> - Ô xy</v>
      </c>
      <c r="E1444" s="168" t="str">
        <f>'Vật liệu'!E401</f>
        <v>Chai</v>
      </c>
      <c r="F1444" s="60"/>
      <c r="G1444" s="60">
        <v>1.8</v>
      </c>
      <c r="H1444" s="60"/>
      <c r="I1444" s="60"/>
      <c r="J1444" s="60">
        <f>ROUND(F1442*G1444,4)</f>
        <v>0.79400000000000004</v>
      </c>
      <c r="K1444" s="60"/>
      <c r="L1444" s="60"/>
    </row>
    <row r="1445" spans="1:12" x14ac:dyDescent="0.25">
      <c r="A1445" s="168"/>
      <c r="B1445" s="144" t="str">
        <f>'Vật liệu'!B289</f>
        <v>V00255</v>
      </c>
      <c r="C1445" s="34">
        <v>136</v>
      </c>
      <c r="D1445" s="144" t="str">
        <f>" - " &amp; 'Vật liệu'!D289</f>
        <v xml:space="preserve"> - Gas</v>
      </c>
      <c r="E1445" s="168" t="str">
        <f>'Vật liệu'!E289</f>
        <v>kg</v>
      </c>
      <c r="F1445" s="60"/>
      <c r="G1445" s="60">
        <v>3.6</v>
      </c>
      <c r="H1445" s="60"/>
      <c r="I1445" s="60"/>
      <c r="J1445" s="60">
        <f>ROUND(F1442*G1445,4)</f>
        <v>1.5880000000000001</v>
      </c>
      <c r="K1445" s="60"/>
      <c r="L1445" s="60"/>
    </row>
    <row r="1446" spans="1:12" x14ac:dyDescent="0.25">
      <c r="A1446" s="168"/>
      <c r="B1446" s="144" t="str">
        <f>'Vật liệu'!B606</f>
        <v>V00671</v>
      </c>
      <c r="C1446" s="34">
        <v>166</v>
      </c>
      <c r="D1446" s="144" t="str">
        <f>" - " &amp; 'Vật liệu'!D606</f>
        <v xml:space="preserve"> - Thép tấm</v>
      </c>
      <c r="E1446" s="168" t="str">
        <f>'Vật liệu'!E606</f>
        <v>kg</v>
      </c>
      <c r="F1446" s="60"/>
      <c r="G1446" s="60">
        <v>56</v>
      </c>
      <c r="H1446" s="60"/>
      <c r="I1446" s="60"/>
      <c r="J1446" s="60">
        <f>ROUND(F1442*G1446,4)</f>
        <v>24.701599999999999</v>
      </c>
      <c r="K1446" s="60"/>
      <c r="L1446" s="60"/>
    </row>
    <row r="1447" spans="1:12" x14ac:dyDescent="0.25">
      <c r="A1447" s="168"/>
      <c r="B1447" s="144" t="str">
        <f>'Vật liệu'!B556</f>
        <v>V00641</v>
      </c>
      <c r="C1447" s="34">
        <v>160</v>
      </c>
      <c r="D1447" s="144" t="str">
        <f>" - " &amp; 'Vật liệu'!D556</f>
        <v xml:space="preserve"> - Thép hình</v>
      </c>
      <c r="E1447" s="168" t="str">
        <f>'Vật liệu'!E556</f>
        <v>kg</v>
      </c>
      <c r="F1447" s="60"/>
      <c r="G1447" s="60">
        <v>15.6</v>
      </c>
      <c r="H1447" s="60"/>
      <c r="I1447" s="60"/>
      <c r="J1447" s="60">
        <f>ROUND(F1442*G1447,4)</f>
        <v>6.8811999999999998</v>
      </c>
      <c r="K1447" s="60"/>
      <c r="L1447" s="60"/>
    </row>
    <row r="1448" spans="1:12" x14ac:dyDescent="0.25">
      <c r="A1448" s="168"/>
      <c r="B1448" s="144" t="str">
        <f>'Vật liệu'!B450</f>
        <v>V00515</v>
      </c>
      <c r="C1448" s="34">
        <v>154</v>
      </c>
      <c r="D1448" s="144" t="str">
        <f>" - " &amp; 'Vật liệu'!D450</f>
        <v xml:space="preserve"> - Que hàn</v>
      </c>
      <c r="E1448" s="168" t="str">
        <f>'Vật liệu'!E450</f>
        <v>kg</v>
      </c>
      <c r="F1448" s="60"/>
      <c r="G1448" s="60">
        <v>12.5</v>
      </c>
      <c r="H1448" s="60"/>
      <c r="I1448" s="60"/>
      <c r="J1448" s="60">
        <f>ROUND(F1442*G1448,4)</f>
        <v>5.5137999999999998</v>
      </c>
      <c r="K1448" s="60"/>
      <c r="L1448" s="60"/>
    </row>
    <row r="1449" spans="1:12" x14ac:dyDescent="0.25">
      <c r="A1449" s="168"/>
      <c r="B1449" s="144" t="str">
        <f>'Vật liệu'!B766</f>
        <v>V00750</v>
      </c>
      <c r="C1449" s="34">
        <v>369</v>
      </c>
      <c r="D1449" s="144" t="str">
        <f>" - " &amp; 'Vật liệu'!D766</f>
        <v xml:space="preserve"> - Vật liệu khác</v>
      </c>
      <c r="E1449" s="168" t="str">
        <f>'Vật liệu'!E766</f>
        <v>%</v>
      </c>
      <c r="F1449" s="60"/>
      <c r="G1449" s="60">
        <v>3</v>
      </c>
      <c r="H1449" s="60"/>
      <c r="I1449" s="60"/>
      <c r="J1449" s="60"/>
      <c r="K1449" s="60"/>
      <c r="L1449" s="60"/>
    </row>
    <row r="1450" spans="1:12" x14ac:dyDescent="0.25">
      <c r="A1450" s="56"/>
      <c r="B1450" s="23"/>
      <c r="C1450" s="88"/>
      <c r="D1450" s="23" t="s">
        <v>202</v>
      </c>
      <c r="E1450" s="56"/>
      <c r="F1450" s="118"/>
      <c r="G1450" s="118"/>
      <c r="H1450" s="118"/>
      <c r="I1450" s="118"/>
      <c r="J1450" s="118"/>
      <c r="K1450" s="118"/>
      <c r="L1450" s="118"/>
    </row>
    <row r="1451" spans="1:12" x14ac:dyDescent="0.25">
      <c r="A1451" s="168"/>
      <c r="B1451" s="144" t="str">
        <f>'Nhân công'!B130</f>
        <v>N0011</v>
      </c>
      <c r="C1451" s="34">
        <v>550</v>
      </c>
      <c r="D1451" s="144" t="s">
        <v>671</v>
      </c>
      <c r="E1451" s="168" t="str">
        <f>'Nhân công'!G130</f>
        <v>công</v>
      </c>
      <c r="F1451" s="60"/>
      <c r="G1451" s="60"/>
      <c r="H1451" s="60">
        <v>33.5</v>
      </c>
      <c r="I1451" s="60"/>
      <c r="J1451" s="60"/>
      <c r="K1451" s="60">
        <f>ROUND(F1442*H1451,4)</f>
        <v>14.776899999999999</v>
      </c>
      <c r="L1451" s="60"/>
    </row>
    <row r="1452" spans="1:12" x14ac:dyDescent="0.25">
      <c r="A1452" s="56"/>
      <c r="B1452" s="23"/>
      <c r="C1452" s="88"/>
      <c r="D1452" s="23" t="s">
        <v>378</v>
      </c>
      <c r="E1452" s="56"/>
      <c r="F1452" s="118"/>
      <c r="G1452" s="118"/>
      <c r="H1452" s="118"/>
      <c r="I1452" s="118"/>
      <c r="J1452" s="118"/>
      <c r="K1452" s="118"/>
      <c r="L1452" s="118"/>
    </row>
    <row r="1453" spans="1:12" x14ac:dyDescent="0.25">
      <c r="A1453" s="168"/>
      <c r="B1453" s="144" t="str">
        <f>'Máy thi công'!B120</f>
        <v>M9468</v>
      </c>
      <c r="C1453" s="34">
        <v>728</v>
      </c>
      <c r="D1453" s="144" t="str">
        <f>" - " &amp; 'Máy thi công'!D120</f>
        <v xml:space="preserve"> - Cần trục bánh xích - sức nâng: 16 t</v>
      </c>
      <c r="E1453" s="168" t="str">
        <f>'Máy thi công'!E120</f>
        <v>ca</v>
      </c>
      <c r="F1453" s="60"/>
      <c r="G1453" s="60"/>
      <c r="H1453" s="60"/>
      <c r="I1453" s="60">
        <v>0.8</v>
      </c>
      <c r="J1453" s="60"/>
      <c r="K1453" s="60"/>
      <c r="L1453" s="60">
        <f>ROUND(F1442*I1453,4)</f>
        <v>0.35289999999999999</v>
      </c>
    </row>
    <row r="1454" spans="1:12" x14ac:dyDescent="0.25">
      <c r="A1454" s="168"/>
      <c r="B1454" s="144" t="str">
        <f>'Máy thi công'!B6</f>
        <v>M9438</v>
      </c>
      <c r="C1454" s="34">
        <v>714</v>
      </c>
      <c r="D1454" s="144" t="str">
        <f>" - " &amp; 'Máy thi công'!D6</f>
        <v xml:space="preserve"> - Biến thế hàn xoay chiều - công suất: 23 kW</v>
      </c>
      <c r="E1454" s="168" t="str">
        <f>'Máy thi công'!E6</f>
        <v>ca</v>
      </c>
      <c r="F1454" s="60"/>
      <c r="G1454" s="60"/>
      <c r="H1454" s="60"/>
      <c r="I1454" s="60">
        <v>4.5</v>
      </c>
      <c r="J1454" s="60"/>
      <c r="K1454" s="60"/>
      <c r="L1454" s="60">
        <f>ROUND(F1442*I1454,4)</f>
        <v>1.9850000000000001</v>
      </c>
    </row>
    <row r="1455" spans="1:12" x14ac:dyDescent="0.25">
      <c r="A1455" s="168"/>
      <c r="B1455" s="144" t="str">
        <f>'Máy thi công'!B177</f>
        <v>M112.2001</v>
      </c>
      <c r="C1455" s="34">
        <v>703</v>
      </c>
      <c r="D1455" s="144" t="str">
        <f>" - " &amp; 'Máy thi công'!D177</f>
        <v xml:space="preserve"> - Máy cắt sắt cầm tay - công suất: 1,7 kW</v>
      </c>
      <c r="E1455" s="168" t="str">
        <f>'Máy thi công'!E177</f>
        <v>ca</v>
      </c>
      <c r="F1455" s="60"/>
      <c r="G1455" s="60"/>
      <c r="H1455" s="60"/>
      <c r="I1455" s="60">
        <v>2.5</v>
      </c>
      <c r="J1455" s="60"/>
      <c r="K1455" s="60"/>
      <c r="L1455" s="60">
        <f>ROUND(F1442*I1455,4)</f>
        <v>1.1028</v>
      </c>
    </row>
    <row r="1456" spans="1:12" x14ac:dyDescent="0.25">
      <c r="A1456" s="168"/>
      <c r="B1456" s="144" t="str">
        <f>'Máy thi công'!B398</f>
        <v>M0111</v>
      </c>
      <c r="C1456" s="34">
        <v>672</v>
      </c>
      <c r="D1456" s="144" t="str">
        <f>" - " &amp; 'Máy thi công'!D398</f>
        <v xml:space="preserve"> - Máy khác</v>
      </c>
      <c r="E1456" s="168" t="str">
        <f>'Máy thi công'!E398</f>
        <v>%</v>
      </c>
      <c r="F1456" s="60"/>
      <c r="G1456" s="60"/>
      <c r="H1456" s="60"/>
      <c r="I1456" s="60">
        <v>1.5</v>
      </c>
      <c r="J1456" s="60"/>
      <c r="K1456" s="60"/>
      <c r="L1456" s="60"/>
    </row>
    <row r="1457" spans="1:12" ht="28.5" x14ac:dyDescent="0.25">
      <c r="A1457" s="65">
        <f>'Công trình'!A190</f>
        <v>151</v>
      </c>
      <c r="B1457" s="14" t="str">
        <f>'Công trình'!B190</f>
        <v>AF.65120</v>
      </c>
      <c r="C1457" s="94"/>
      <c r="D1457" s="14" t="str">
        <f>'Công trình'!C190</f>
        <v>Sản xuất, lắp dựng cốt thép móng, mố, trụ, mũ mố, mũ trụ cầu trên cạn đường kính &lt;=18mm</v>
      </c>
      <c r="E1457" s="46" t="str">
        <f>'Công trình'!D190</f>
        <v>tấn</v>
      </c>
      <c r="F1457" s="106">
        <f>'Công trình'!K190</f>
        <v>0.49480000000000002</v>
      </c>
      <c r="G1457" s="126"/>
      <c r="H1457" s="126"/>
      <c r="I1457" s="126"/>
      <c r="J1457" s="126"/>
      <c r="K1457" s="126"/>
      <c r="L1457" s="126"/>
    </row>
    <row r="1458" spans="1:12" x14ac:dyDescent="0.25">
      <c r="A1458" s="56"/>
      <c r="B1458" s="23"/>
      <c r="C1458" s="88"/>
      <c r="D1458" s="23" t="s">
        <v>479</v>
      </c>
      <c r="E1458" s="56"/>
      <c r="F1458" s="118"/>
      <c r="G1458" s="118"/>
      <c r="H1458" s="118"/>
      <c r="I1458" s="118"/>
      <c r="J1458" s="118"/>
      <c r="K1458" s="118"/>
      <c r="L1458" s="118"/>
    </row>
    <row r="1459" spans="1:12" x14ac:dyDescent="0.25">
      <c r="A1459" s="168"/>
      <c r="B1459" s="144" t="str">
        <f>'Vật liệu'!B450</f>
        <v>V00515</v>
      </c>
      <c r="C1459" s="34">
        <v>154</v>
      </c>
      <c r="D1459" s="144" t="str">
        <f>" - " &amp; 'Vật liệu'!D450</f>
        <v xml:space="preserve"> - Que hàn</v>
      </c>
      <c r="E1459" s="168" t="str">
        <f>'Vật liệu'!E450</f>
        <v>kg</v>
      </c>
      <c r="F1459" s="60"/>
      <c r="G1459" s="60">
        <v>6.5</v>
      </c>
      <c r="H1459" s="60"/>
      <c r="I1459" s="60"/>
      <c r="J1459" s="60">
        <f>ROUND(F1457*G1459,4)</f>
        <v>3.2162000000000002</v>
      </c>
      <c r="K1459" s="60"/>
      <c r="L1459" s="60"/>
    </row>
    <row r="1460" spans="1:12" x14ac:dyDescent="0.25">
      <c r="A1460" s="168"/>
      <c r="B1460" s="144" t="str">
        <f>'Vật liệu'!B221</f>
        <v>V00226</v>
      </c>
      <c r="C1460" s="34">
        <v>135</v>
      </c>
      <c r="D1460" s="144" t="str">
        <f>" - " &amp; 'Vật liệu'!D221</f>
        <v xml:space="preserve"> - Dây thép</v>
      </c>
      <c r="E1460" s="168" t="str">
        <f>'Vật liệu'!E221</f>
        <v>kg</v>
      </c>
      <c r="F1460" s="60"/>
      <c r="G1460" s="60">
        <v>14.28</v>
      </c>
      <c r="H1460" s="60"/>
      <c r="I1460" s="60"/>
      <c r="J1460" s="60">
        <f>ROUND(F1457*G1460,4)</f>
        <v>7.0656999999999996</v>
      </c>
      <c r="K1460" s="60"/>
      <c r="L1460" s="60"/>
    </row>
    <row r="1461" spans="1:12" x14ac:dyDescent="0.25">
      <c r="A1461" s="168"/>
      <c r="B1461" s="144" t="str">
        <f>'Vật liệu'!B665</f>
        <v>V48495</v>
      </c>
      <c r="C1461" s="34">
        <v>485</v>
      </c>
      <c r="D1461" s="144" t="str">
        <f>" - " &amp; 'Vật liệu'!D665</f>
        <v xml:space="preserve"> - Thép tròn đường kính &lt;=18mm</v>
      </c>
      <c r="E1461" s="168" t="str">
        <f>'Vật liệu'!E665</f>
        <v>kg</v>
      </c>
      <c r="F1461" s="60"/>
      <c r="G1461" s="60">
        <v>1020</v>
      </c>
      <c r="H1461" s="60"/>
      <c r="I1461" s="60"/>
      <c r="J1461" s="60">
        <f>ROUND(F1457*G1461,4)</f>
        <v>504.69600000000003</v>
      </c>
      <c r="K1461" s="60"/>
      <c r="L1461" s="60"/>
    </row>
    <row r="1462" spans="1:12" x14ac:dyDescent="0.25">
      <c r="A1462" s="56"/>
      <c r="B1462" s="23"/>
      <c r="C1462" s="88"/>
      <c r="D1462" s="23" t="s">
        <v>202</v>
      </c>
      <c r="E1462" s="56"/>
      <c r="F1462" s="118"/>
      <c r="G1462" s="118"/>
      <c r="H1462" s="118"/>
      <c r="I1462" s="118"/>
      <c r="J1462" s="118"/>
      <c r="K1462" s="118"/>
      <c r="L1462" s="118"/>
    </row>
    <row r="1463" spans="1:12" x14ac:dyDescent="0.25">
      <c r="A1463" s="168"/>
      <c r="B1463" s="144" t="str">
        <f>'Nhân công'!B130</f>
        <v>N0011</v>
      </c>
      <c r="C1463" s="34">
        <v>550</v>
      </c>
      <c r="D1463" s="144" t="s">
        <v>671</v>
      </c>
      <c r="E1463" s="168" t="str">
        <f>'Nhân công'!G130</f>
        <v>công</v>
      </c>
      <c r="F1463" s="60"/>
      <c r="G1463" s="60"/>
      <c r="H1463" s="60">
        <v>11.72</v>
      </c>
      <c r="I1463" s="60"/>
      <c r="J1463" s="60"/>
      <c r="K1463" s="60">
        <f>ROUND(F1457*H1463,4)</f>
        <v>5.7991000000000001</v>
      </c>
      <c r="L1463" s="60"/>
    </row>
    <row r="1464" spans="1:12" x14ac:dyDescent="0.25">
      <c r="A1464" s="56"/>
      <c r="B1464" s="23"/>
      <c r="C1464" s="88"/>
      <c r="D1464" s="23" t="s">
        <v>378</v>
      </c>
      <c r="E1464" s="56"/>
      <c r="F1464" s="118"/>
      <c r="G1464" s="118"/>
      <c r="H1464" s="118"/>
      <c r="I1464" s="118"/>
      <c r="J1464" s="118"/>
      <c r="K1464" s="118"/>
      <c r="L1464" s="118"/>
    </row>
    <row r="1465" spans="1:12" x14ac:dyDescent="0.25">
      <c r="A1465" s="168"/>
      <c r="B1465" s="144" t="str">
        <f>'Máy thi công'!B120</f>
        <v>M9468</v>
      </c>
      <c r="C1465" s="34">
        <v>728</v>
      </c>
      <c r="D1465" s="144" t="str">
        <f>" - " &amp; 'Máy thi công'!D120</f>
        <v xml:space="preserve"> - Cần trục bánh xích - sức nâng: 16 t</v>
      </c>
      <c r="E1465" s="168" t="str">
        <f>'Máy thi công'!E120</f>
        <v>ca</v>
      </c>
      <c r="F1465" s="60"/>
      <c r="G1465" s="60"/>
      <c r="H1465" s="60"/>
      <c r="I1465" s="60">
        <v>0.09</v>
      </c>
      <c r="J1465" s="60"/>
      <c r="K1465" s="60"/>
      <c r="L1465" s="60">
        <f>ROUND(F1457*I1465,4)</f>
        <v>4.4499999999999998E-2</v>
      </c>
    </row>
    <row r="1466" spans="1:12" x14ac:dyDescent="0.25">
      <c r="A1466" s="168"/>
      <c r="B1466" s="144" t="str">
        <f>'Máy thi công'!B184</f>
        <v>M9521</v>
      </c>
      <c r="C1466" s="34">
        <v>737</v>
      </c>
      <c r="D1466" s="144" t="str">
        <f>" - " &amp; 'Máy thi công'!D184</f>
        <v xml:space="preserve"> - Máy cắt uốn cốt thép - công suất: 5 kW</v>
      </c>
      <c r="E1466" s="168" t="str">
        <f>'Máy thi công'!E184</f>
        <v>ca</v>
      </c>
      <c r="F1466" s="60"/>
      <c r="G1466" s="60"/>
      <c r="H1466" s="60"/>
      <c r="I1466" s="60">
        <v>0.32</v>
      </c>
      <c r="J1466" s="60"/>
      <c r="K1466" s="60"/>
      <c r="L1466" s="60">
        <f>ROUND(F1457*I1466,4)</f>
        <v>0.1583</v>
      </c>
    </row>
    <row r="1467" spans="1:12" x14ac:dyDescent="0.25">
      <c r="A1467" s="168"/>
      <c r="B1467" s="144" t="str">
        <f>'Máy thi công'!B6</f>
        <v>M9438</v>
      </c>
      <c r="C1467" s="34">
        <v>714</v>
      </c>
      <c r="D1467" s="144" t="str">
        <f>" - " &amp; 'Máy thi công'!D6</f>
        <v xml:space="preserve"> - Biến thế hàn xoay chiều - công suất: 23 kW</v>
      </c>
      <c r="E1467" s="168" t="str">
        <f>'Máy thi công'!E6</f>
        <v>ca</v>
      </c>
      <c r="F1467" s="60"/>
      <c r="G1467" s="60"/>
      <c r="H1467" s="60"/>
      <c r="I1467" s="60">
        <v>1.6</v>
      </c>
      <c r="J1467" s="60"/>
      <c r="K1467" s="60"/>
      <c r="L1467" s="60">
        <f>ROUND(F1457*I1467,4)</f>
        <v>0.79169999999999996</v>
      </c>
    </row>
    <row r="1468" spans="1:12" ht="28.5" x14ac:dyDescent="0.25">
      <c r="A1468" s="65">
        <f>'Công trình'!A191</f>
        <v>152</v>
      </c>
      <c r="B1468" s="14" t="str">
        <f>'Công trình'!B191</f>
        <v>AF.65130</v>
      </c>
      <c r="C1468" s="94"/>
      <c r="D1468" s="14" t="str">
        <f>'Công trình'!C191</f>
        <v>Sản xuất, lắp dựng cốt thép móng, mố, trụ, mũ mố, mũ trụ cầu trên cạn đường kính &gt;18mm</v>
      </c>
      <c r="E1468" s="46" t="str">
        <f>'Công trình'!D191</f>
        <v>tấn</v>
      </c>
      <c r="F1468" s="106">
        <f>'Công trình'!K191</f>
        <v>1.891</v>
      </c>
      <c r="G1468" s="126"/>
      <c r="H1468" s="126"/>
      <c r="I1468" s="126"/>
      <c r="J1468" s="126"/>
      <c r="K1468" s="126"/>
      <c r="L1468" s="126"/>
    </row>
    <row r="1469" spans="1:12" x14ac:dyDescent="0.25">
      <c r="A1469" s="56"/>
      <c r="B1469" s="23"/>
      <c r="C1469" s="88"/>
      <c r="D1469" s="23" t="s">
        <v>479</v>
      </c>
      <c r="E1469" s="56"/>
      <c r="F1469" s="118"/>
      <c r="G1469" s="118"/>
      <c r="H1469" s="118"/>
      <c r="I1469" s="118"/>
      <c r="J1469" s="118"/>
      <c r="K1469" s="118"/>
      <c r="L1469" s="118"/>
    </row>
    <row r="1470" spans="1:12" x14ac:dyDescent="0.25">
      <c r="A1470" s="168"/>
      <c r="B1470" s="144" t="str">
        <f>'Vật liệu'!B450</f>
        <v>V00515</v>
      </c>
      <c r="C1470" s="34">
        <v>154</v>
      </c>
      <c r="D1470" s="144" t="str">
        <f>" - " &amp; 'Vật liệu'!D450</f>
        <v xml:space="preserve"> - Que hàn</v>
      </c>
      <c r="E1470" s="168" t="str">
        <f>'Vật liệu'!E450</f>
        <v>kg</v>
      </c>
      <c r="F1470" s="60"/>
      <c r="G1470" s="60">
        <v>6.93</v>
      </c>
      <c r="H1470" s="60"/>
      <c r="I1470" s="60"/>
      <c r="J1470" s="60">
        <f>ROUND(F1468*G1470,4)</f>
        <v>13.1046</v>
      </c>
      <c r="K1470" s="60"/>
      <c r="L1470" s="60"/>
    </row>
    <row r="1471" spans="1:12" x14ac:dyDescent="0.25">
      <c r="A1471" s="168"/>
      <c r="B1471" s="144" t="str">
        <f>'Vật liệu'!B221</f>
        <v>V00226</v>
      </c>
      <c r="C1471" s="34">
        <v>135</v>
      </c>
      <c r="D1471" s="144" t="str">
        <f>" - " &amp; 'Vật liệu'!D221</f>
        <v xml:space="preserve"> - Dây thép</v>
      </c>
      <c r="E1471" s="168" t="str">
        <f>'Vật liệu'!E221</f>
        <v>kg</v>
      </c>
      <c r="F1471" s="60"/>
      <c r="G1471" s="60">
        <v>14.28</v>
      </c>
      <c r="H1471" s="60"/>
      <c r="I1471" s="60"/>
      <c r="J1471" s="60">
        <f>ROUND(F1468*G1471,4)</f>
        <v>27.003499999999999</v>
      </c>
      <c r="K1471" s="60"/>
      <c r="L1471" s="60"/>
    </row>
    <row r="1472" spans="1:12" x14ac:dyDescent="0.25">
      <c r="A1472" s="168"/>
      <c r="B1472" s="144" t="str">
        <f>'Vật liệu'!B689</f>
        <v>V48498</v>
      </c>
      <c r="C1472" s="34">
        <v>488</v>
      </c>
      <c r="D1472" s="144" t="str">
        <f>" - " &amp; 'Vật liệu'!D689</f>
        <v xml:space="preserve"> - Thép tròn đường kính &gt;18mm</v>
      </c>
      <c r="E1472" s="168" t="str">
        <f>'Vật liệu'!E689</f>
        <v>kg</v>
      </c>
      <c r="F1472" s="60"/>
      <c r="G1472" s="60">
        <v>1020</v>
      </c>
      <c r="H1472" s="60"/>
      <c r="I1472" s="60"/>
      <c r="J1472" s="60">
        <f>ROUND(F1468*G1472,4)</f>
        <v>1928.82</v>
      </c>
      <c r="K1472" s="60"/>
      <c r="L1472" s="60"/>
    </row>
    <row r="1473" spans="1:12" x14ac:dyDescent="0.25">
      <c r="A1473" s="56"/>
      <c r="B1473" s="23"/>
      <c r="C1473" s="88"/>
      <c r="D1473" s="23" t="s">
        <v>202</v>
      </c>
      <c r="E1473" s="56"/>
      <c r="F1473" s="118"/>
      <c r="G1473" s="118"/>
      <c r="H1473" s="118"/>
      <c r="I1473" s="118"/>
      <c r="J1473" s="118"/>
      <c r="K1473" s="118"/>
      <c r="L1473" s="118"/>
    </row>
    <row r="1474" spans="1:12" x14ac:dyDescent="0.25">
      <c r="A1474" s="168"/>
      <c r="B1474" s="144" t="str">
        <f>'Nhân công'!B130</f>
        <v>N0011</v>
      </c>
      <c r="C1474" s="34">
        <v>550</v>
      </c>
      <c r="D1474" s="144" t="s">
        <v>671</v>
      </c>
      <c r="E1474" s="168" t="str">
        <f>'Nhân công'!G130</f>
        <v>công</v>
      </c>
      <c r="F1474" s="60"/>
      <c r="G1474" s="60"/>
      <c r="H1474" s="60">
        <v>9.75</v>
      </c>
      <c r="I1474" s="60"/>
      <c r="J1474" s="60"/>
      <c r="K1474" s="60">
        <f>ROUND(F1468*H1474,4)</f>
        <v>18.4373</v>
      </c>
      <c r="L1474" s="60"/>
    </row>
    <row r="1475" spans="1:12" x14ac:dyDescent="0.25">
      <c r="A1475" s="56"/>
      <c r="B1475" s="23"/>
      <c r="C1475" s="88"/>
      <c r="D1475" s="23" t="s">
        <v>378</v>
      </c>
      <c r="E1475" s="56"/>
      <c r="F1475" s="118"/>
      <c r="G1475" s="118"/>
      <c r="H1475" s="118"/>
      <c r="I1475" s="118"/>
      <c r="J1475" s="118"/>
      <c r="K1475" s="118"/>
      <c r="L1475" s="118"/>
    </row>
    <row r="1476" spans="1:12" x14ac:dyDescent="0.25">
      <c r="A1476" s="168"/>
      <c r="B1476" s="144" t="str">
        <f>'Máy thi công'!B120</f>
        <v>M9468</v>
      </c>
      <c r="C1476" s="34">
        <v>728</v>
      </c>
      <c r="D1476" s="144" t="str">
        <f>" - " &amp; 'Máy thi công'!D120</f>
        <v xml:space="preserve"> - Cần trục bánh xích - sức nâng: 16 t</v>
      </c>
      <c r="E1476" s="168" t="str">
        <f>'Máy thi công'!E120</f>
        <v>ca</v>
      </c>
      <c r="F1476" s="60"/>
      <c r="G1476" s="60"/>
      <c r="H1476" s="60"/>
      <c r="I1476" s="60">
        <v>0.08</v>
      </c>
      <c r="J1476" s="60"/>
      <c r="K1476" s="60"/>
      <c r="L1476" s="60">
        <f>ROUND(F1468*I1476,4)</f>
        <v>0.15129999999999999</v>
      </c>
    </row>
    <row r="1477" spans="1:12" x14ac:dyDescent="0.25">
      <c r="A1477" s="168"/>
      <c r="B1477" s="144" t="str">
        <f>'Máy thi công'!B184</f>
        <v>M9521</v>
      </c>
      <c r="C1477" s="34">
        <v>737</v>
      </c>
      <c r="D1477" s="144" t="str">
        <f>" - " &amp; 'Máy thi công'!D184</f>
        <v xml:space="preserve"> - Máy cắt uốn cốt thép - công suất: 5 kW</v>
      </c>
      <c r="E1477" s="168" t="str">
        <f>'Máy thi công'!E184</f>
        <v>ca</v>
      </c>
      <c r="F1477" s="60"/>
      <c r="G1477" s="60"/>
      <c r="H1477" s="60"/>
      <c r="I1477" s="60">
        <v>0.16</v>
      </c>
      <c r="J1477" s="60"/>
      <c r="K1477" s="60"/>
      <c r="L1477" s="60">
        <f>ROUND(F1468*I1477,4)</f>
        <v>0.30259999999999998</v>
      </c>
    </row>
    <row r="1478" spans="1:12" x14ac:dyDescent="0.25">
      <c r="A1478" s="168"/>
      <c r="B1478" s="144" t="str">
        <f>'Máy thi công'!B6</f>
        <v>M9438</v>
      </c>
      <c r="C1478" s="34">
        <v>714</v>
      </c>
      <c r="D1478" s="144" t="str">
        <f>" - " &amp; 'Máy thi công'!D6</f>
        <v xml:space="preserve"> - Biến thế hàn xoay chiều - công suất: 23 kW</v>
      </c>
      <c r="E1478" s="168" t="str">
        <f>'Máy thi công'!E6</f>
        <v>ca</v>
      </c>
      <c r="F1478" s="60"/>
      <c r="G1478" s="60"/>
      <c r="H1478" s="60"/>
      <c r="I1478" s="60">
        <v>1.73</v>
      </c>
      <c r="J1478" s="60"/>
      <c r="K1478" s="60"/>
      <c r="L1478" s="60">
        <f>ROUND(F1468*I1478,4)</f>
        <v>3.2713999999999999</v>
      </c>
    </row>
    <row r="1479" spans="1:12" ht="42.75" x14ac:dyDescent="0.25">
      <c r="A1479" s="65">
        <f>'Công trình'!A193</f>
        <v>153</v>
      </c>
      <c r="B1479" s="14" t="str">
        <f>'Công trình'!B193</f>
        <v>TT</v>
      </c>
      <c r="C1479" s="94"/>
      <c r="D1479" s="14" t="str">
        <f>'Công trình'!C193</f>
        <v xml:space="preserve">Lắp dựng dầm cầu I DƯL bản  (TT theo MHĐM ĐQ.30010 Quyết định số 2204/QĐ-BGTVT ngày 29/07/2013) </v>
      </c>
      <c r="E1479" s="46" t="str">
        <f>'Công trình'!D193</f>
        <v>1 dầm</v>
      </c>
      <c r="F1479" s="106">
        <f>'Công trình'!K193</f>
        <v>18</v>
      </c>
      <c r="G1479" s="126"/>
      <c r="H1479" s="126"/>
      <c r="I1479" s="126"/>
      <c r="J1479" s="126"/>
      <c r="K1479" s="126"/>
      <c r="L1479" s="126"/>
    </row>
    <row r="1480" spans="1:12" x14ac:dyDescent="0.25">
      <c r="A1480" s="56"/>
      <c r="B1480" s="23"/>
      <c r="C1480" s="88"/>
      <c r="D1480" s="23" t="s">
        <v>479</v>
      </c>
      <c r="E1480" s="56"/>
      <c r="F1480" s="118"/>
      <c r="G1480" s="118"/>
      <c r="H1480" s="118"/>
      <c r="I1480" s="118"/>
      <c r="J1480" s="118"/>
      <c r="K1480" s="118"/>
      <c r="L1480" s="118"/>
    </row>
    <row r="1481" spans="1:12" x14ac:dyDescent="0.25">
      <c r="A1481" s="168"/>
      <c r="B1481" s="144" t="str">
        <f>'Vật liệu'!B646</f>
        <v>V03168</v>
      </c>
      <c r="C1481" s="34">
        <v>413</v>
      </c>
      <c r="D1481" s="144" t="str">
        <f>" - " &amp; 'Vật liệu'!D646</f>
        <v xml:space="preserve"> - Thép tấm 20mm</v>
      </c>
      <c r="E1481" s="168" t="str">
        <f>'Vật liệu'!E646</f>
        <v>kg</v>
      </c>
      <c r="F1481" s="60"/>
      <c r="G1481" s="60">
        <v>26.85</v>
      </c>
      <c r="H1481" s="60"/>
      <c r="I1481" s="60"/>
      <c r="J1481" s="60">
        <f>ROUND(F1479*G1481,4)</f>
        <v>483.3</v>
      </c>
      <c r="K1481" s="60"/>
      <c r="L1481" s="60"/>
    </row>
    <row r="1482" spans="1:12" x14ac:dyDescent="0.25">
      <c r="A1482" s="168"/>
      <c r="B1482" s="144" t="str">
        <f>'Vật liệu'!B766</f>
        <v>V00750</v>
      </c>
      <c r="C1482" s="34">
        <v>372</v>
      </c>
      <c r="D1482" s="144" t="str">
        <f>" - " &amp; 'Vật liệu'!D766</f>
        <v xml:space="preserve"> - Vật liệu khác</v>
      </c>
      <c r="E1482" s="168" t="str">
        <f>'Vật liệu'!E766</f>
        <v>%</v>
      </c>
      <c r="F1482" s="60"/>
      <c r="G1482" s="60">
        <v>10</v>
      </c>
      <c r="H1482" s="60"/>
      <c r="I1482" s="60"/>
      <c r="J1482" s="60"/>
      <c r="K1482" s="60"/>
      <c r="L1482" s="60"/>
    </row>
    <row r="1483" spans="1:12" x14ac:dyDescent="0.25">
      <c r="A1483" s="56"/>
      <c r="B1483" s="23"/>
      <c r="C1483" s="88"/>
      <c r="D1483" s="23" t="s">
        <v>202</v>
      </c>
      <c r="E1483" s="56"/>
      <c r="F1483" s="118"/>
      <c r="G1483" s="118"/>
      <c r="H1483" s="118"/>
      <c r="I1483" s="118"/>
      <c r="J1483" s="118"/>
      <c r="K1483" s="118"/>
      <c r="L1483" s="118"/>
    </row>
    <row r="1484" spans="1:12" x14ac:dyDescent="0.25">
      <c r="A1484" s="168"/>
      <c r="B1484" s="144" t="str">
        <f>'Nhân công'!B221</f>
        <v>N0013</v>
      </c>
      <c r="C1484" s="34">
        <v>553</v>
      </c>
      <c r="D1484" s="144" t="s">
        <v>275</v>
      </c>
      <c r="E1484" s="168" t="str">
        <f>'Nhân công'!G221</f>
        <v>công</v>
      </c>
      <c r="F1484" s="60"/>
      <c r="G1484" s="60"/>
      <c r="H1484" s="60">
        <v>1.88</v>
      </c>
      <c r="I1484" s="60"/>
      <c r="J1484" s="60"/>
      <c r="K1484" s="60">
        <f>ROUND(F1479*H1484,4)</f>
        <v>33.840000000000003</v>
      </c>
      <c r="L1484" s="60"/>
    </row>
    <row r="1485" spans="1:12" x14ac:dyDescent="0.25">
      <c r="A1485" s="56"/>
      <c r="B1485" s="23"/>
      <c r="C1485" s="88"/>
      <c r="D1485" s="23" t="s">
        <v>378</v>
      </c>
      <c r="E1485" s="56"/>
      <c r="F1485" s="118"/>
      <c r="G1485" s="118"/>
      <c r="H1485" s="118"/>
      <c r="I1485" s="118"/>
      <c r="J1485" s="118"/>
      <c r="K1485" s="118"/>
      <c r="L1485" s="118"/>
    </row>
    <row r="1486" spans="1:12" x14ac:dyDescent="0.25">
      <c r="A1486" s="168"/>
      <c r="B1486" s="144" t="str">
        <f>'Máy thi công'!B146</f>
        <v>M9472</v>
      </c>
      <c r="C1486" s="34">
        <v>731</v>
      </c>
      <c r="D1486" s="144" t="str">
        <f>" - " &amp; 'Máy thi công'!D146</f>
        <v xml:space="preserve"> - Cần trục bánh xích - sức nâng: 80</v>
      </c>
      <c r="E1486" s="168" t="str">
        <f>'Máy thi công'!E146</f>
        <v>ca</v>
      </c>
      <c r="F1486" s="60"/>
      <c r="G1486" s="60"/>
      <c r="H1486" s="60"/>
      <c r="I1486" s="60">
        <v>0.25</v>
      </c>
      <c r="J1486" s="60"/>
      <c r="K1486" s="60"/>
      <c r="L1486" s="60">
        <f>ROUND(F1479*I1486,4)</f>
        <v>4.5</v>
      </c>
    </row>
    <row r="1487" spans="1:12" x14ac:dyDescent="0.25">
      <c r="A1487" s="168"/>
      <c r="B1487" s="144" t="str">
        <f>'Máy thi công'!B398</f>
        <v>M0111</v>
      </c>
      <c r="C1487" s="34">
        <v>676</v>
      </c>
      <c r="D1487" s="144" t="str">
        <f>" - " &amp; 'Máy thi công'!D398</f>
        <v xml:space="preserve"> - Máy khác</v>
      </c>
      <c r="E1487" s="168" t="str">
        <f>'Máy thi công'!E398</f>
        <v>%</v>
      </c>
      <c r="F1487" s="60"/>
      <c r="G1487" s="60"/>
      <c r="H1487" s="60"/>
      <c r="I1487" s="60">
        <v>5</v>
      </c>
      <c r="J1487" s="60"/>
      <c r="K1487" s="60"/>
      <c r="L1487" s="60"/>
    </row>
    <row r="1488" spans="1:12" x14ac:dyDescent="0.25">
      <c r="A1488" s="65">
        <f>'Công trình'!A194</f>
        <v>154</v>
      </c>
      <c r="B1488" s="14" t="str">
        <f>'Công trình'!B194</f>
        <v>TT</v>
      </c>
      <c r="C1488" s="94"/>
      <c r="D1488" s="14" t="str">
        <f>'Công trình'!C194</f>
        <v>Dầm I650 DƯL bản 18M</v>
      </c>
      <c r="E1488" s="46" t="str">
        <f>'Công trình'!D194</f>
        <v>1 dầm</v>
      </c>
      <c r="F1488" s="106">
        <f>'Công trình'!K194</f>
        <v>12</v>
      </c>
      <c r="G1488" s="126"/>
      <c r="H1488" s="126"/>
      <c r="I1488" s="126"/>
      <c r="J1488" s="126"/>
      <c r="K1488" s="126"/>
      <c r="L1488" s="126"/>
    </row>
    <row r="1489" spans="1:12" x14ac:dyDescent="0.25">
      <c r="A1489" s="56"/>
      <c r="B1489" s="23"/>
      <c r="C1489" s="88"/>
      <c r="D1489" s="23" t="s">
        <v>479</v>
      </c>
      <c r="E1489" s="56"/>
      <c r="F1489" s="118"/>
      <c r="G1489" s="118"/>
      <c r="H1489" s="118"/>
      <c r="I1489" s="118"/>
      <c r="J1489" s="118"/>
      <c r="K1489" s="118"/>
      <c r="L1489" s="118"/>
    </row>
    <row r="1490" spans="1:12" x14ac:dyDescent="0.25">
      <c r="A1490" s="168"/>
      <c r="B1490" s="144" t="str">
        <f>'Vật liệu'!B196</f>
        <v>I650</v>
      </c>
      <c r="C1490" s="34">
        <v>99</v>
      </c>
      <c r="D1490" s="144" t="str">
        <f>" - " &amp; 'Vật liệu'!D196</f>
        <v xml:space="preserve"> - Dầm I650 DƯL bản 18M</v>
      </c>
      <c r="E1490" s="168" t="str">
        <f>'Vật liệu'!E196</f>
        <v>1 dầm</v>
      </c>
      <c r="F1490" s="60"/>
      <c r="G1490" s="60">
        <v>1</v>
      </c>
      <c r="H1490" s="60"/>
      <c r="I1490" s="60"/>
      <c r="J1490" s="60">
        <f>ROUND(F1488*G1490,4)</f>
        <v>12</v>
      </c>
      <c r="K1490" s="60"/>
      <c r="L1490" s="60"/>
    </row>
    <row r="1491" spans="1:12" x14ac:dyDescent="0.25">
      <c r="A1491" s="65">
        <f>'Công trình'!A195</f>
        <v>155</v>
      </c>
      <c r="B1491" s="14" t="str">
        <f>'Công trình'!B195</f>
        <v>TT</v>
      </c>
      <c r="C1491" s="94"/>
      <c r="D1491" s="14" t="str">
        <f>'Công trình'!C195</f>
        <v>Dầm I400 DƯL bản 8,65M</v>
      </c>
      <c r="E1491" s="46" t="str">
        <f>'Công trình'!D195</f>
        <v>1 dầm</v>
      </c>
      <c r="F1491" s="106">
        <f>'Công trình'!K195</f>
        <v>6</v>
      </c>
      <c r="G1491" s="126"/>
      <c r="H1491" s="126"/>
      <c r="I1491" s="126"/>
      <c r="J1491" s="126"/>
      <c r="K1491" s="126"/>
      <c r="L1491" s="126"/>
    </row>
    <row r="1492" spans="1:12" x14ac:dyDescent="0.25">
      <c r="A1492" s="56"/>
      <c r="B1492" s="23"/>
      <c r="C1492" s="88"/>
      <c r="D1492" s="23" t="s">
        <v>479</v>
      </c>
      <c r="E1492" s="56"/>
      <c r="F1492" s="118"/>
      <c r="G1492" s="118"/>
      <c r="H1492" s="118"/>
      <c r="I1492" s="118"/>
      <c r="J1492" s="118"/>
      <c r="K1492" s="118"/>
      <c r="L1492" s="118"/>
    </row>
    <row r="1493" spans="1:12" x14ac:dyDescent="0.25">
      <c r="A1493" s="168"/>
      <c r="B1493" s="144" t="str">
        <f>'Vật liệu'!B194</f>
        <v>I400</v>
      </c>
      <c r="C1493" s="34">
        <v>98</v>
      </c>
      <c r="D1493" s="144" t="str">
        <f>" - " &amp; 'Vật liệu'!D194</f>
        <v xml:space="preserve"> - Dầm I400 DƯL bản 8,65M</v>
      </c>
      <c r="E1493" s="168" t="str">
        <f>'Vật liệu'!E194</f>
        <v>1 dầm</v>
      </c>
      <c r="F1493" s="60"/>
      <c r="G1493" s="60">
        <v>1</v>
      </c>
      <c r="H1493" s="60"/>
      <c r="I1493" s="60"/>
      <c r="J1493" s="60">
        <f>ROUND(F1491*G1493,4)</f>
        <v>6</v>
      </c>
      <c r="K1493" s="60"/>
      <c r="L1493" s="60"/>
    </row>
    <row r="1494" spans="1:12" x14ac:dyDescent="0.25">
      <c r="A1494" s="65">
        <f>'Công trình'!A196</f>
        <v>156</v>
      </c>
      <c r="B1494" s="14" t="str">
        <f>'Công trình'!B196</f>
        <v>AF.14315</v>
      </c>
      <c r="C1494" s="94"/>
      <c r="D1494" s="14" t="str">
        <f>'Công trình'!C196</f>
        <v>Bê tông mặt cầu đá 1x2, vữa BT mác 300</v>
      </c>
      <c r="E1494" s="46" t="str">
        <f>'Công trình'!D196</f>
        <v>m3</v>
      </c>
      <c r="F1494" s="106">
        <f>'Công trình'!K196</f>
        <v>56.26</v>
      </c>
      <c r="G1494" s="126"/>
      <c r="H1494" s="126"/>
      <c r="I1494" s="126"/>
      <c r="J1494" s="126"/>
      <c r="K1494" s="126"/>
      <c r="L1494" s="126"/>
    </row>
    <row r="1495" spans="1:12" x14ac:dyDescent="0.25">
      <c r="A1495" s="56"/>
      <c r="B1495" s="23"/>
      <c r="C1495" s="88"/>
      <c r="D1495" s="23" t="s">
        <v>479</v>
      </c>
      <c r="E1495" s="56"/>
      <c r="F1495" s="118"/>
      <c r="G1495" s="118"/>
      <c r="H1495" s="118"/>
      <c r="I1495" s="118"/>
      <c r="J1495" s="118"/>
      <c r="K1495" s="118"/>
      <c r="L1495" s="118"/>
    </row>
    <row r="1496" spans="1:12" x14ac:dyDescent="0.25">
      <c r="A1496" s="168"/>
      <c r="B1496" s="144" t="str">
        <f>'Vật liệu'!B716</f>
        <v>V00759</v>
      </c>
      <c r="C1496" s="34">
        <v>396</v>
      </c>
      <c r="D1496" s="144" t="str">
        <f>" - " &amp; 'Vật liệu'!D716</f>
        <v xml:space="preserve"> - Xi măng PC30</v>
      </c>
      <c r="E1496" s="168" t="str">
        <f>'Vật liệu'!E716</f>
        <v>kg</v>
      </c>
      <c r="F1496" s="60"/>
      <c r="G1496" s="60">
        <v>449.97500000000002</v>
      </c>
      <c r="H1496" s="60"/>
      <c r="I1496" s="60"/>
      <c r="J1496" s="60">
        <f>ROUND(F1494*G1496,4)</f>
        <v>25315.593499999999</v>
      </c>
      <c r="K1496" s="60"/>
      <c r="L1496" s="60"/>
    </row>
    <row r="1497" spans="1:12" x14ac:dyDescent="0.25">
      <c r="A1497" s="168"/>
      <c r="B1497" s="144" t="str">
        <f>'Vật liệu'!B54</f>
        <v>V00112</v>
      </c>
      <c r="C1497" s="34">
        <v>125</v>
      </c>
      <c r="D1497" s="144" t="str">
        <f>" - " &amp; 'Vật liệu'!D54</f>
        <v xml:space="preserve"> - Cát vàng</v>
      </c>
      <c r="E1497" s="168" t="str">
        <f>'Vật liệu'!E54</f>
        <v>m3</v>
      </c>
      <c r="F1497" s="60"/>
      <c r="G1497" s="60">
        <v>0.4551</v>
      </c>
      <c r="H1497" s="60"/>
      <c r="I1497" s="60"/>
      <c r="J1497" s="60">
        <f>ROUND(F1494*G1497,4)</f>
        <v>25.603899999999999</v>
      </c>
      <c r="K1497" s="60"/>
      <c r="L1497" s="60"/>
    </row>
    <row r="1498" spans="1:12" x14ac:dyDescent="0.25">
      <c r="A1498" s="168"/>
      <c r="B1498" s="144" t="str">
        <f>'Vật liệu'!B179</f>
        <v>V00811</v>
      </c>
      <c r="C1498" s="34">
        <v>404</v>
      </c>
      <c r="D1498" s="144" t="str">
        <f>" - " &amp; 'Vật liệu'!D179</f>
        <v xml:space="preserve"> - Đá dăm 1x2</v>
      </c>
      <c r="E1498" s="168" t="str">
        <f>'Vật liệu'!E179</f>
        <v>m3</v>
      </c>
      <c r="F1498" s="60"/>
      <c r="G1498" s="60">
        <v>0.88660000000000005</v>
      </c>
      <c r="H1498" s="60"/>
      <c r="I1498" s="60"/>
      <c r="J1498" s="60">
        <f>ROUND(F1494*G1498,4)</f>
        <v>49.880099999999999</v>
      </c>
      <c r="K1498" s="60"/>
      <c r="L1498" s="60"/>
    </row>
    <row r="1499" spans="1:12" x14ac:dyDescent="0.25">
      <c r="A1499" s="168"/>
      <c r="B1499" s="144" t="str">
        <f>'Vật liệu'!B353</f>
        <v>V00494</v>
      </c>
      <c r="C1499" s="34">
        <v>148</v>
      </c>
      <c r="D1499" s="144" t="str">
        <f>" - " &amp; 'Vật liệu'!D353</f>
        <v xml:space="preserve"> - Nước</v>
      </c>
      <c r="E1499" s="168" t="str">
        <f>'Vật liệu'!E353</f>
        <v>lít</v>
      </c>
      <c r="F1499" s="60"/>
      <c r="G1499" s="60">
        <v>178.35</v>
      </c>
      <c r="H1499" s="60"/>
      <c r="I1499" s="60"/>
      <c r="J1499" s="60">
        <f>ROUND(F1494*G1499,4)</f>
        <v>10033.971</v>
      </c>
      <c r="K1499" s="60"/>
      <c r="L1499" s="60"/>
    </row>
    <row r="1500" spans="1:12" x14ac:dyDescent="0.25">
      <c r="A1500" s="168"/>
      <c r="B1500" s="144" t="str">
        <f>'Vật liệu'!B444</f>
        <v>V00508</v>
      </c>
      <c r="C1500" s="34">
        <v>150</v>
      </c>
      <c r="D1500" s="144" t="str">
        <f>" - " &amp; 'Vật liệu'!D444</f>
        <v xml:space="preserve"> - Phụ gia dẻo hoá bê tông</v>
      </c>
      <c r="E1500" s="168" t="str">
        <f>'Vật liệu'!E444</f>
        <v>kg</v>
      </c>
      <c r="F1500" s="60"/>
      <c r="G1500" s="60">
        <v>22.498799999999999</v>
      </c>
      <c r="H1500" s="60"/>
      <c r="I1500" s="60"/>
      <c r="J1500" s="60">
        <f>ROUND(F1494*G1500,4)</f>
        <v>1265.7825</v>
      </c>
      <c r="K1500" s="60"/>
      <c r="L1500" s="60"/>
    </row>
    <row r="1501" spans="1:12" x14ac:dyDescent="0.25">
      <c r="A1501" s="168"/>
      <c r="B1501" s="144" t="str">
        <f>'Vật liệu'!B766</f>
        <v>V00750</v>
      </c>
      <c r="C1501" s="34">
        <v>287</v>
      </c>
      <c r="D1501" s="144" t="str">
        <f>" - " &amp; 'Vật liệu'!D766</f>
        <v xml:space="preserve"> - Vật liệu khác</v>
      </c>
      <c r="E1501" s="168" t="str">
        <f>'Vật liệu'!E766</f>
        <v>%</v>
      </c>
      <c r="F1501" s="60"/>
      <c r="G1501" s="60">
        <v>4</v>
      </c>
      <c r="H1501" s="60"/>
      <c r="I1501" s="60"/>
      <c r="J1501" s="60"/>
      <c r="K1501" s="60"/>
      <c r="L1501" s="60"/>
    </row>
    <row r="1502" spans="1:12" x14ac:dyDescent="0.25">
      <c r="A1502" s="56"/>
      <c r="B1502" s="23"/>
      <c r="C1502" s="88"/>
      <c r="D1502" s="23" t="s">
        <v>202</v>
      </c>
      <c r="E1502" s="56"/>
      <c r="F1502" s="118"/>
      <c r="G1502" s="118"/>
      <c r="H1502" s="118"/>
      <c r="I1502" s="118"/>
      <c r="J1502" s="118"/>
      <c r="K1502" s="118"/>
      <c r="L1502" s="118"/>
    </row>
    <row r="1503" spans="1:12" x14ac:dyDescent="0.25">
      <c r="A1503" s="168"/>
      <c r="B1503" s="144" t="str">
        <f>'Nhân công'!B45</f>
        <v>N0009</v>
      </c>
      <c r="C1503" s="34">
        <v>546</v>
      </c>
      <c r="D1503" s="144" t="s">
        <v>1052</v>
      </c>
      <c r="E1503" s="168" t="str">
        <f>'Nhân công'!G45</f>
        <v>công</v>
      </c>
      <c r="F1503" s="60"/>
      <c r="G1503" s="60"/>
      <c r="H1503" s="60">
        <v>2.8</v>
      </c>
      <c r="I1503" s="60"/>
      <c r="J1503" s="60"/>
      <c r="K1503" s="60">
        <f>ROUND(F1494*H1503,4)</f>
        <v>157.52799999999999</v>
      </c>
      <c r="L1503" s="60"/>
    </row>
    <row r="1504" spans="1:12" x14ac:dyDescent="0.25">
      <c r="A1504" s="56"/>
      <c r="B1504" s="23"/>
      <c r="C1504" s="88"/>
      <c r="D1504" s="23" t="s">
        <v>378</v>
      </c>
      <c r="E1504" s="56"/>
      <c r="F1504" s="118"/>
      <c r="G1504" s="118"/>
      <c r="H1504" s="118"/>
      <c r="I1504" s="118"/>
      <c r="J1504" s="118"/>
      <c r="K1504" s="118"/>
      <c r="L1504" s="118"/>
    </row>
    <row r="1505" spans="1:12" x14ac:dyDescent="0.25">
      <c r="A1505" s="168"/>
      <c r="B1505" s="144" t="str">
        <f>'Máy thi công'!B226</f>
        <v>M112.1101</v>
      </c>
      <c r="C1505" s="34">
        <v>699</v>
      </c>
      <c r="D1505" s="144" t="str">
        <f>" - " &amp; 'Máy thi công'!D226</f>
        <v xml:space="preserve"> - Máy đầm bê tông, đầm bàn - công suất: 1,0 kW</v>
      </c>
      <c r="E1505" s="168" t="str">
        <f>'Máy thi công'!E226</f>
        <v>ca</v>
      </c>
      <c r="F1505" s="60"/>
      <c r="G1505" s="60"/>
      <c r="H1505" s="60"/>
      <c r="I1505" s="60">
        <v>8.8999999999999996E-2</v>
      </c>
      <c r="J1505" s="60"/>
      <c r="K1505" s="60"/>
      <c r="L1505" s="60">
        <f>ROUND(F1494*I1505,4)</f>
        <v>5.0071000000000003</v>
      </c>
    </row>
    <row r="1506" spans="1:12" x14ac:dyDescent="0.25">
      <c r="A1506" s="168"/>
      <c r="B1506" s="144" t="str">
        <f>'Máy thi công'!B306</f>
        <v>M9555</v>
      </c>
      <c r="C1506" s="34">
        <v>744</v>
      </c>
      <c r="D1506" s="144" t="str">
        <f>" - " &amp; 'Máy thi công'!D306</f>
        <v xml:space="preserve"> - Máy trộn bê tông - dung tích: 250 lít</v>
      </c>
      <c r="E1506" s="168" t="str">
        <f>'Máy thi công'!E306</f>
        <v>ca</v>
      </c>
      <c r="F1506" s="60"/>
      <c r="G1506" s="60"/>
      <c r="H1506" s="60"/>
      <c r="I1506" s="60">
        <v>9.5000000000000001E-2</v>
      </c>
      <c r="J1506" s="60"/>
      <c r="K1506" s="60"/>
      <c r="L1506" s="60">
        <f>ROUND(F1494*I1506,4)</f>
        <v>5.3446999999999996</v>
      </c>
    </row>
    <row r="1507" spans="1:12" x14ac:dyDescent="0.25">
      <c r="A1507" s="168"/>
      <c r="B1507" s="144" t="str">
        <f>'Máy thi công'!B398</f>
        <v>M0111</v>
      </c>
      <c r="C1507" s="34">
        <v>626</v>
      </c>
      <c r="D1507" s="144" t="str">
        <f>" - " &amp; 'Máy thi công'!D398</f>
        <v xml:space="preserve"> - Máy khác</v>
      </c>
      <c r="E1507" s="168" t="str">
        <f>'Máy thi công'!E398</f>
        <v>%</v>
      </c>
      <c r="F1507" s="60"/>
      <c r="G1507" s="60"/>
      <c r="H1507" s="60"/>
      <c r="I1507" s="60">
        <v>5</v>
      </c>
      <c r="J1507" s="60"/>
      <c r="K1507" s="60"/>
      <c r="L1507" s="60"/>
    </row>
    <row r="1508" spans="1:12" x14ac:dyDescent="0.25">
      <c r="A1508" s="65">
        <f>'Công trình'!A197</f>
        <v>157</v>
      </c>
      <c r="B1508" s="14" t="str">
        <f>'Công trình'!B197</f>
        <v>AF.15225</v>
      </c>
      <c r="C1508" s="94"/>
      <c r="D1508" s="14" t="str">
        <f>'Công trình'!C197</f>
        <v>Bê tông dầm cầu đá 1x2, vữa BT mác 300</v>
      </c>
      <c r="E1508" s="46" t="str">
        <f>'Công trình'!D197</f>
        <v>m3</v>
      </c>
      <c r="F1508" s="106">
        <f>'Công trình'!K197</f>
        <v>3.07</v>
      </c>
      <c r="G1508" s="126"/>
      <c r="H1508" s="126"/>
      <c r="I1508" s="126"/>
      <c r="J1508" s="126"/>
      <c r="K1508" s="126"/>
      <c r="L1508" s="126"/>
    </row>
    <row r="1509" spans="1:12" x14ac:dyDescent="0.25">
      <c r="A1509" s="56"/>
      <c r="B1509" s="23"/>
      <c r="C1509" s="88"/>
      <c r="D1509" s="23" t="s">
        <v>479</v>
      </c>
      <c r="E1509" s="56"/>
      <c r="F1509" s="118"/>
      <c r="G1509" s="118"/>
      <c r="H1509" s="118"/>
      <c r="I1509" s="118"/>
      <c r="J1509" s="118"/>
      <c r="K1509" s="118"/>
      <c r="L1509" s="118"/>
    </row>
    <row r="1510" spans="1:12" x14ac:dyDescent="0.25">
      <c r="A1510" s="168"/>
      <c r="B1510" s="144" t="str">
        <f>'Vật liệu'!B721</f>
        <v>V00761</v>
      </c>
      <c r="C1510" s="34">
        <v>397</v>
      </c>
      <c r="D1510" s="144" t="str">
        <f>" - " &amp; 'Vật liệu'!D721</f>
        <v xml:space="preserve"> - Xi măng PC40</v>
      </c>
      <c r="E1510" s="168" t="str">
        <f>'Vật liệu'!E721</f>
        <v>kg</v>
      </c>
      <c r="F1510" s="60"/>
      <c r="G1510" s="60">
        <v>383.35</v>
      </c>
      <c r="H1510" s="60"/>
      <c r="I1510" s="60"/>
      <c r="J1510" s="60">
        <f>ROUND(F1508*G1510,4)</f>
        <v>1176.8844999999999</v>
      </c>
      <c r="K1510" s="60"/>
      <c r="L1510" s="60"/>
    </row>
    <row r="1511" spans="1:12" x14ac:dyDescent="0.25">
      <c r="A1511" s="168"/>
      <c r="B1511" s="144" t="str">
        <f>'Vật liệu'!B54</f>
        <v>V00112</v>
      </c>
      <c r="C1511" s="34">
        <v>125</v>
      </c>
      <c r="D1511" s="144" t="str">
        <f>" - " &amp; 'Vật liệu'!D54</f>
        <v xml:space="preserve"> - Cát vàng</v>
      </c>
      <c r="E1511" s="168" t="str">
        <f>'Vật liệu'!E54</f>
        <v>m3</v>
      </c>
      <c r="F1511" s="60"/>
      <c r="G1511" s="60">
        <v>0.46839999999999998</v>
      </c>
      <c r="H1511" s="60"/>
      <c r="I1511" s="60"/>
      <c r="J1511" s="60">
        <f>ROUND(F1508*G1511,4)</f>
        <v>1.4379999999999999</v>
      </c>
      <c r="K1511" s="60"/>
      <c r="L1511" s="60"/>
    </row>
    <row r="1512" spans="1:12" x14ac:dyDescent="0.25">
      <c r="A1512" s="168"/>
      <c r="B1512" s="144" t="str">
        <f>'Vật liệu'!B142</f>
        <v>V05207</v>
      </c>
      <c r="C1512" s="34">
        <v>416</v>
      </c>
      <c r="D1512" s="144" t="str">
        <f>" - " &amp; 'Vật liệu'!D142</f>
        <v xml:space="preserve"> - Đá 1x2</v>
      </c>
      <c r="E1512" s="168" t="str">
        <f>'Vật liệu'!E142</f>
        <v>m3</v>
      </c>
      <c r="F1512" s="60"/>
      <c r="G1512" s="60">
        <v>0.89380000000000004</v>
      </c>
      <c r="H1512" s="60"/>
      <c r="I1512" s="60"/>
      <c r="J1512" s="60">
        <f>ROUND(F1508*G1512,4)</f>
        <v>2.7440000000000002</v>
      </c>
      <c r="K1512" s="60"/>
      <c r="L1512" s="60"/>
    </row>
    <row r="1513" spans="1:12" x14ac:dyDescent="0.25">
      <c r="A1513" s="168"/>
      <c r="B1513" s="144" t="str">
        <f>'Vật liệu'!B353</f>
        <v>V00494</v>
      </c>
      <c r="C1513" s="34">
        <v>148</v>
      </c>
      <c r="D1513" s="144" t="str">
        <f>" - " &amp; 'Vật liệu'!D353</f>
        <v xml:space="preserve"> - Nước</v>
      </c>
      <c r="E1513" s="168" t="str">
        <f>'Vật liệu'!E353</f>
        <v>lít</v>
      </c>
      <c r="F1513" s="60"/>
      <c r="G1513" s="60">
        <v>189.625</v>
      </c>
      <c r="H1513" s="60"/>
      <c r="I1513" s="60"/>
      <c r="J1513" s="60">
        <f>ROUND(F1508*G1513,4)</f>
        <v>582.14880000000005</v>
      </c>
      <c r="K1513" s="60"/>
      <c r="L1513" s="60"/>
    </row>
    <row r="1514" spans="1:12" x14ac:dyDescent="0.25">
      <c r="A1514" s="168"/>
      <c r="B1514" s="144" t="str">
        <f>'Vật liệu'!B766</f>
        <v>V00750</v>
      </c>
      <c r="C1514" s="34">
        <v>288</v>
      </c>
      <c r="D1514" s="144" t="str">
        <f>" - " &amp; 'Vật liệu'!D766</f>
        <v xml:space="preserve"> - Vật liệu khác</v>
      </c>
      <c r="E1514" s="168" t="str">
        <f>'Vật liệu'!E766</f>
        <v>%</v>
      </c>
      <c r="F1514" s="60"/>
      <c r="G1514" s="60">
        <v>1</v>
      </c>
      <c r="H1514" s="60"/>
      <c r="I1514" s="60"/>
      <c r="J1514" s="60"/>
      <c r="K1514" s="60"/>
      <c r="L1514" s="60"/>
    </row>
    <row r="1515" spans="1:12" x14ac:dyDescent="0.25">
      <c r="A1515" s="56"/>
      <c r="B1515" s="23"/>
      <c r="C1515" s="88"/>
      <c r="D1515" s="23" t="s">
        <v>202</v>
      </c>
      <c r="E1515" s="56"/>
      <c r="F1515" s="118"/>
      <c r="G1515" s="118"/>
      <c r="H1515" s="118"/>
      <c r="I1515" s="118"/>
      <c r="J1515" s="118"/>
      <c r="K1515" s="118"/>
      <c r="L1515" s="118"/>
    </row>
    <row r="1516" spans="1:12" x14ac:dyDescent="0.25">
      <c r="A1516" s="168"/>
      <c r="B1516" s="144" t="str">
        <f>'Nhân công'!B130</f>
        <v>N0011</v>
      </c>
      <c r="C1516" s="34">
        <v>550</v>
      </c>
      <c r="D1516" s="144" t="s">
        <v>671</v>
      </c>
      <c r="E1516" s="168" t="str">
        <f>'Nhân công'!G130</f>
        <v>công</v>
      </c>
      <c r="F1516" s="60"/>
      <c r="G1516" s="60"/>
      <c r="H1516" s="60">
        <v>2.48</v>
      </c>
      <c r="I1516" s="60"/>
      <c r="J1516" s="60"/>
      <c r="K1516" s="60">
        <f>ROUND(F1508*H1516,4)</f>
        <v>7.6135999999999999</v>
      </c>
      <c r="L1516" s="60"/>
    </row>
    <row r="1517" spans="1:12" x14ac:dyDescent="0.25">
      <c r="A1517" s="56"/>
      <c r="B1517" s="23"/>
      <c r="C1517" s="88"/>
      <c r="D1517" s="23" t="s">
        <v>378</v>
      </c>
      <c r="E1517" s="56"/>
      <c r="F1517" s="118"/>
      <c r="G1517" s="118"/>
      <c r="H1517" s="118"/>
      <c r="I1517" s="118"/>
      <c r="J1517" s="118"/>
      <c r="K1517" s="118"/>
      <c r="L1517" s="118"/>
    </row>
    <row r="1518" spans="1:12" ht="30" x14ac:dyDescent="0.25">
      <c r="A1518" s="168"/>
      <c r="B1518" s="144" t="str">
        <f>'Máy thi công'!B391</f>
        <v>M9622</v>
      </c>
      <c r="C1518" s="34">
        <v>757</v>
      </c>
      <c r="D1518" s="144" t="str">
        <f>" - " &amp; 'Máy thi công'!D391</f>
        <v xml:space="preserve"> - Tầu kéo và phục vụ thi công thuỷ (làm neo, cấp dầu,...) - công suất: 150 cv</v>
      </c>
      <c r="E1518" s="168" t="str">
        <f>'Máy thi công'!E391</f>
        <v>ca</v>
      </c>
      <c r="F1518" s="60"/>
      <c r="G1518" s="60"/>
      <c r="H1518" s="60"/>
      <c r="I1518" s="60">
        <v>6.0000000000000001E-3</v>
      </c>
      <c r="J1518" s="60"/>
      <c r="K1518" s="60"/>
      <c r="L1518" s="60">
        <f>ROUND(F1508*I1518,4)</f>
        <v>1.84E-2</v>
      </c>
    </row>
    <row r="1519" spans="1:12" x14ac:dyDescent="0.25">
      <c r="A1519" s="168"/>
      <c r="B1519" s="144" t="str">
        <f>'Máy thi công'!B382</f>
        <v>M9595</v>
      </c>
      <c r="C1519" s="34">
        <v>754</v>
      </c>
      <c r="D1519" s="144" t="str">
        <f>" - " &amp; 'Máy thi công'!D382</f>
        <v xml:space="preserve"> - Sà lan - trọng tải: 200 t</v>
      </c>
      <c r="E1519" s="168" t="str">
        <f>'Máy thi công'!E382</f>
        <v>ca</v>
      </c>
      <c r="F1519" s="60"/>
      <c r="G1519" s="60"/>
      <c r="H1519" s="60"/>
      <c r="I1519" s="60">
        <v>0.21</v>
      </c>
      <c r="J1519" s="60"/>
      <c r="K1519" s="60"/>
      <c r="L1519" s="60">
        <f>ROUND(F1508*I1519,4)</f>
        <v>0.64470000000000005</v>
      </c>
    </row>
    <row r="1520" spans="1:12" x14ac:dyDescent="0.25">
      <c r="A1520" s="168"/>
      <c r="B1520" s="144" t="str">
        <f>'Máy thi công'!B306</f>
        <v>M9555</v>
      </c>
      <c r="C1520" s="34">
        <v>744</v>
      </c>
      <c r="D1520" s="144" t="str">
        <f>" - " &amp; 'Máy thi công'!D306</f>
        <v xml:space="preserve"> - Máy trộn bê tông - dung tích: 250 lít</v>
      </c>
      <c r="E1520" s="168" t="str">
        <f>'Máy thi công'!E306</f>
        <v>ca</v>
      </c>
      <c r="F1520" s="60"/>
      <c r="G1520" s="60"/>
      <c r="H1520" s="60"/>
      <c r="I1520" s="60">
        <v>9.5000000000000001E-2</v>
      </c>
      <c r="J1520" s="60"/>
      <c r="K1520" s="60"/>
      <c r="L1520" s="60">
        <f>ROUND(F1508*I1520,4)</f>
        <v>0.29170000000000001</v>
      </c>
    </row>
    <row r="1521" spans="1:12" x14ac:dyDescent="0.25">
      <c r="A1521" s="168"/>
      <c r="B1521" s="144" t="str">
        <f>'Máy thi công'!B232</f>
        <v>M9571</v>
      </c>
      <c r="C1521" s="34">
        <v>750</v>
      </c>
      <c r="D1521" s="144" t="str">
        <f>" - " &amp; 'Máy thi công'!D232</f>
        <v xml:space="preserve"> - Máy đầm bê tông, dầm dùi - công suất: 1,5 kW</v>
      </c>
      <c r="E1521" s="168" t="str">
        <f>'Máy thi công'!E232</f>
        <v>ca</v>
      </c>
      <c r="F1521" s="60"/>
      <c r="G1521" s="60"/>
      <c r="H1521" s="60"/>
      <c r="I1521" s="60">
        <v>0.2</v>
      </c>
      <c r="J1521" s="60"/>
      <c r="K1521" s="60"/>
      <c r="L1521" s="60">
        <f>ROUND(F1508*I1521,4)</f>
        <v>0.61399999999999999</v>
      </c>
    </row>
    <row r="1522" spans="1:12" x14ac:dyDescent="0.25">
      <c r="A1522" s="168"/>
      <c r="B1522" s="144" t="str">
        <f>'Máy thi công'!B398</f>
        <v>M0111</v>
      </c>
      <c r="C1522" s="34">
        <v>627</v>
      </c>
      <c r="D1522" s="144" t="str">
        <f>" - " &amp; 'Máy thi công'!D398</f>
        <v xml:space="preserve"> - Máy khác</v>
      </c>
      <c r="E1522" s="168" t="str">
        <f>'Máy thi công'!E398</f>
        <v>%</v>
      </c>
      <c r="F1522" s="60"/>
      <c r="G1522" s="60"/>
      <c r="H1522" s="60"/>
      <c r="I1522" s="60">
        <v>2</v>
      </c>
      <c r="J1522" s="60"/>
      <c r="K1522" s="60"/>
      <c r="L1522" s="60"/>
    </row>
    <row r="1523" spans="1:12" x14ac:dyDescent="0.25">
      <c r="A1523" s="65">
        <f>'Công trình'!A198</f>
        <v>158</v>
      </c>
      <c r="B1523" s="14" t="str">
        <f>'Công trình'!B198</f>
        <v>TT</v>
      </c>
      <c r="C1523" s="94"/>
      <c r="D1523" s="14" t="str">
        <f>'Công trình'!C198</f>
        <v>Vữa xi măng dày 7cm, vữa XM mác 400</v>
      </c>
      <c r="E1523" s="46" t="str">
        <f>'Công trình'!D198</f>
        <v>m2</v>
      </c>
      <c r="F1523" s="106">
        <f>'Công trình'!K198</f>
        <v>267.89999999999998</v>
      </c>
      <c r="G1523" s="126"/>
      <c r="H1523" s="126"/>
      <c r="I1523" s="126"/>
      <c r="J1523" s="126"/>
      <c r="K1523" s="126"/>
      <c r="L1523" s="126"/>
    </row>
    <row r="1524" spans="1:12" x14ac:dyDescent="0.25">
      <c r="A1524" s="56"/>
      <c r="B1524" s="23"/>
      <c r="C1524" s="88"/>
      <c r="D1524" s="23" t="s">
        <v>479</v>
      </c>
      <c r="E1524" s="56"/>
      <c r="F1524" s="118"/>
      <c r="G1524" s="118"/>
      <c r="H1524" s="118"/>
      <c r="I1524" s="118"/>
      <c r="J1524" s="118"/>
      <c r="K1524" s="118"/>
      <c r="L1524" s="118"/>
    </row>
    <row r="1525" spans="1:12" x14ac:dyDescent="0.25">
      <c r="A1525" s="168"/>
      <c r="B1525" s="144" t="str">
        <f>'Vật liệu'!B763</f>
        <v>V08770</v>
      </c>
      <c r="C1525" s="34">
        <v>442</v>
      </c>
      <c r="D1525" s="144" t="str">
        <f>" - " &amp; 'Vật liệu'!D763</f>
        <v xml:space="preserve"> - Xi măng PCB40</v>
      </c>
      <c r="E1525" s="168" t="str">
        <f>'Vật liệu'!E763</f>
        <v>kg</v>
      </c>
      <c r="F1525" s="60"/>
      <c r="G1525" s="60">
        <v>35.21</v>
      </c>
      <c r="H1525" s="60"/>
      <c r="I1525" s="60"/>
      <c r="J1525" s="60">
        <f>ROUND(F1523*G1525,4)</f>
        <v>9432.759</v>
      </c>
      <c r="K1525" s="60"/>
      <c r="L1525" s="60"/>
    </row>
    <row r="1526" spans="1:12" x14ac:dyDescent="0.25">
      <c r="A1526" s="168"/>
      <c r="B1526" s="144" t="str">
        <f>'Vật liệu'!B54</f>
        <v>V00112</v>
      </c>
      <c r="C1526" s="34">
        <v>125</v>
      </c>
      <c r="D1526" s="144" t="str">
        <f>" - " &amp; 'Vật liệu'!D54</f>
        <v xml:space="preserve"> - Cát vàng</v>
      </c>
      <c r="E1526" s="168" t="str">
        <f>'Vật liệu'!E54</f>
        <v>m3</v>
      </c>
      <c r="F1526" s="60"/>
      <c r="G1526" s="60">
        <v>7.7700000000000005E-2</v>
      </c>
      <c r="H1526" s="60"/>
      <c r="I1526" s="60"/>
      <c r="J1526" s="60">
        <f>ROUND(F1523*G1526,4)</f>
        <v>20.815799999999999</v>
      </c>
      <c r="K1526" s="60"/>
      <c r="L1526" s="60"/>
    </row>
    <row r="1527" spans="1:12" x14ac:dyDescent="0.25">
      <c r="A1527" s="168"/>
      <c r="B1527" s="144" t="str">
        <f>'Vật liệu'!B177</f>
        <v>V11034</v>
      </c>
      <c r="C1527" s="34">
        <v>446</v>
      </c>
      <c r="D1527" s="144" t="str">
        <f>" - " &amp; 'Vật liệu'!D177</f>
        <v xml:space="preserve"> - Đá dăm 0,5x1</v>
      </c>
      <c r="E1527" s="168" t="str">
        <f>'Vật liệu'!E177</f>
        <v>m3</v>
      </c>
      <c r="F1527" s="60"/>
      <c r="G1527" s="60">
        <v>0</v>
      </c>
      <c r="H1527" s="60"/>
      <c r="I1527" s="60"/>
      <c r="J1527" s="60">
        <f>ROUND(F1523*G1527,4)</f>
        <v>0</v>
      </c>
      <c r="K1527" s="60"/>
      <c r="L1527" s="60"/>
    </row>
    <row r="1528" spans="1:12" x14ac:dyDescent="0.25">
      <c r="A1528" s="168"/>
      <c r="B1528" s="144" t="str">
        <f>'Vật liệu'!B353</f>
        <v>V00494</v>
      </c>
      <c r="C1528" s="34">
        <v>148</v>
      </c>
      <c r="D1528" s="144" t="str">
        <f>" - " &amp; 'Vật liệu'!D353</f>
        <v xml:space="preserve"> - Nước</v>
      </c>
      <c r="E1528" s="168" t="str">
        <f>'Vật liệu'!E353</f>
        <v>lít</v>
      </c>
      <c r="F1528" s="60"/>
      <c r="G1528" s="60">
        <v>14.07</v>
      </c>
      <c r="H1528" s="60"/>
      <c r="I1528" s="60"/>
      <c r="J1528" s="60">
        <f>ROUND(F1523*G1528,4)</f>
        <v>3769.3530000000001</v>
      </c>
      <c r="K1528" s="60"/>
      <c r="L1528" s="60"/>
    </row>
    <row r="1529" spans="1:12" x14ac:dyDescent="0.25">
      <c r="A1529" s="168"/>
      <c r="B1529" s="144" t="str">
        <f>'Vật liệu'!B448</f>
        <v>V00511</v>
      </c>
      <c r="C1529" s="34">
        <v>152</v>
      </c>
      <c r="D1529" s="144" t="str">
        <f>" - " &amp; 'Vật liệu'!D448</f>
        <v xml:space="preserve"> - Phụ gia siêu dẻo bê tông PC40</v>
      </c>
      <c r="E1529" s="168" t="str">
        <f>'Vật liệu'!E448</f>
        <v>kg</v>
      </c>
      <c r="F1529" s="60"/>
      <c r="G1529" s="60">
        <v>3.5209999999999999</v>
      </c>
      <c r="H1529" s="60"/>
      <c r="I1529" s="60"/>
      <c r="J1529" s="60">
        <f>ROUND(F1523*G1529,4)</f>
        <v>943.27589999999998</v>
      </c>
      <c r="K1529" s="60"/>
      <c r="L1529" s="60"/>
    </row>
    <row r="1530" spans="1:12" x14ac:dyDescent="0.25">
      <c r="A1530" s="56"/>
      <c r="B1530" s="23"/>
      <c r="C1530" s="88"/>
      <c r="D1530" s="23" t="s">
        <v>202</v>
      </c>
      <c r="E1530" s="56"/>
      <c r="F1530" s="118"/>
      <c r="G1530" s="118"/>
      <c r="H1530" s="118"/>
      <c r="I1530" s="118"/>
      <c r="J1530" s="118"/>
      <c r="K1530" s="118"/>
      <c r="L1530" s="118"/>
    </row>
    <row r="1531" spans="1:12" x14ac:dyDescent="0.25">
      <c r="A1531" s="168"/>
      <c r="B1531" s="144" t="str">
        <f>'Nhân công'!B130</f>
        <v>N0011</v>
      </c>
      <c r="C1531" s="34">
        <v>550</v>
      </c>
      <c r="D1531" s="144" t="s">
        <v>671</v>
      </c>
      <c r="E1531" s="168" t="str">
        <f>'Nhân công'!G130</f>
        <v>công</v>
      </c>
      <c r="F1531" s="60"/>
      <c r="G1531" s="60"/>
      <c r="H1531" s="60">
        <v>0.247</v>
      </c>
      <c r="I1531" s="60"/>
      <c r="J1531" s="60"/>
      <c r="K1531" s="60">
        <f>ROUND(F1523*H1531,4)</f>
        <v>66.171300000000002</v>
      </c>
      <c r="L1531" s="60"/>
    </row>
    <row r="1532" spans="1:12" x14ac:dyDescent="0.25">
      <c r="A1532" s="56"/>
      <c r="B1532" s="23"/>
      <c r="C1532" s="88"/>
      <c r="D1532" s="23" t="s">
        <v>378</v>
      </c>
      <c r="E1532" s="56"/>
      <c r="F1532" s="118"/>
      <c r="G1532" s="118"/>
      <c r="H1532" s="118"/>
      <c r="I1532" s="118"/>
      <c r="J1532" s="118"/>
      <c r="K1532" s="118"/>
      <c r="L1532" s="118"/>
    </row>
    <row r="1533" spans="1:12" x14ac:dyDescent="0.25">
      <c r="A1533" s="168"/>
      <c r="B1533" s="144" t="str">
        <f>'Máy thi công'!B341</f>
        <v>M9558</v>
      </c>
      <c r="C1533" s="34">
        <v>745</v>
      </c>
      <c r="D1533" s="144" t="str">
        <f>" - " &amp; 'Máy thi công'!D341</f>
        <v xml:space="preserve"> - Máy trộn vữa - dung tích: 80 lít</v>
      </c>
      <c r="E1533" s="168" t="str">
        <f>'Máy thi công'!E341</f>
        <v>ca</v>
      </c>
      <c r="F1533" s="60"/>
      <c r="G1533" s="60"/>
      <c r="H1533" s="60"/>
      <c r="I1533" s="60">
        <v>8.9999999999999993E-3</v>
      </c>
      <c r="J1533" s="60"/>
      <c r="K1533" s="60"/>
      <c r="L1533" s="60">
        <f>ROUND(F1523*I1533,4)</f>
        <v>2.4110999999999998</v>
      </c>
    </row>
    <row r="1534" spans="1:12" x14ac:dyDescent="0.25">
      <c r="A1534" s="65">
        <f>'Công trình'!A199</f>
        <v>159</v>
      </c>
      <c r="B1534" s="14" t="str">
        <f>'Công trình'!B199</f>
        <v>TT</v>
      </c>
      <c r="C1534" s="94"/>
      <c r="D1534" s="14" t="str">
        <f>'Công trình'!C199</f>
        <v>Lớp phòng nước dày 4mm</v>
      </c>
      <c r="E1534" s="46" t="str">
        <f>'Công trình'!D199</f>
        <v>m2</v>
      </c>
      <c r="F1534" s="106">
        <f>'Công trình'!K199</f>
        <v>16.2</v>
      </c>
      <c r="G1534" s="126"/>
      <c r="H1534" s="126"/>
      <c r="I1534" s="126"/>
      <c r="J1534" s="126"/>
      <c r="K1534" s="126"/>
      <c r="L1534" s="126"/>
    </row>
    <row r="1535" spans="1:12" x14ac:dyDescent="0.25">
      <c r="A1535" s="56"/>
      <c r="B1535" s="23"/>
      <c r="C1535" s="88"/>
      <c r="D1535" s="23" t="s">
        <v>479</v>
      </c>
      <c r="E1535" s="56"/>
      <c r="F1535" s="118"/>
      <c r="G1535" s="118"/>
      <c r="H1535" s="118"/>
      <c r="I1535" s="118"/>
      <c r="J1535" s="118"/>
      <c r="K1535" s="118"/>
      <c r="L1535" s="118"/>
    </row>
    <row r="1536" spans="1:12" x14ac:dyDescent="0.25">
      <c r="A1536" s="168"/>
      <c r="B1536" s="144" t="str">
        <f>'Vật liệu'!B335</f>
        <v>pn</v>
      </c>
      <c r="C1536" s="34">
        <v>540</v>
      </c>
      <c r="D1536" s="144" t="str">
        <f>" - " &amp; 'Vật liệu'!D335</f>
        <v xml:space="preserve"> - Lớp phòng nước dày 4mm</v>
      </c>
      <c r="E1536" s="168" t="str">
        <f>'Vật liệu'!E335</f>
        <v>m2</v>
      </c>
      <c r="F1536" s="60"/>
      <c r="G1536" s="60">
        <v>1</v>
      </c>
      <c r="H1536" s="60"/>
      <c r="I1536" s="60"/>
      <c r="J1536" s="60">
        <f>ROUND(F1534*G1536,4)</f>
        <v>16.2</v>
      </c>
      <c r="K1536" s="60"/>
      <c r="L1536" s="60"/>
    </row>
    <row r="1537" spans="1:12" ht="28.5" x14ac:dyDescent="0.25">
      <c r="A1537" s="65">
        <f>'Công trình'!A200</f>
        <v>160</v>
      </c>
      <c r="B1537" s="14" t="str">
        <f>'Công trình'!B200</f>
        <v>AF.82111</v>
      </c>
      <c r="C1537" s="94"/>
      <c r="D1537" s="14" t="str">
        <f>'Công trình'!C200</f>
        <v>Sản xuất, lắp dựng tháo dỡ ván khuôn thép, cây chống gỗ dầm ngang, chiều cao &lt;=16m</v>
      </c>
      <c r="E1537" s="46" t="str">
        <f>'Công trình'!D200</f>
        <v>100m2</v>
      </c>
      <c r="F1537" s="106">
        <f>'Công trình'!K200</f>
        <v>0.38700000000000001</v>
      </c>
      <c r="G1537" s="126"/>
      <c r="H1537" s="126"/>
      <c r="I1537" s="126"/>
      <c r="J1537" s="126"/>
      <c r="K1537" s="126"/>
      <c r="L1537" s="126"/>
    </row>
    <row r="1538" spans="1:12" x14ac:dyDescent="0.25">
      <c r="A1538" s="56"/>
      <c r="B1538" s="23"/>
      <c r="C1538" s="88"/>
      <c r="D1538" s="23" t="s">
        <v>479</v>
      </c>
      <c r="E1538" s="56"/>
      <c r="F1538" s="118"/>
      <c r="G1538" s="118"/>
      <c r="H1538" s="118"/>
      <c r="I1538" s="118"/>
      <c r="J1538" s="118"/>
      <c r="K1538" s="118"/>
      <c r="L1538" s="118"/>
    </row>
    <row r="1539" spans="1:12" x14ac:dyDescent="0.25">
      <c r="A1539" s="168"/>
      <c r="B1539" s="144" t="str">
        <f>'Vật liệu'!B450</f>
        <v>V00515</v>
      </c>
      <c r="C1539" s="34">
        <v>154</v>
      </c>
      <c r="D1539" s="144" t="str">
        <f>" - " &amp; 'Vật liệu'!D450</f>
        <v xml:space="preserve"> - Que hàn</v>
      </c>
      <c r="E1539" s="168" t="str">
        <f>'Vật liệu'!E450</f>
        <v>kg</v>
      </c>
      <c r="F1539" s="60"/>
      <c r="G1539" s="60">
        <v>5.6</v>
      </c>
      <c r="H1539" s="60"/>
      <c r="I1539" s="60"/>
      <c r="J1539" s="60">
        <f>ROUND(F1537*G1539,4)</f>
        <v>2.1671999999999998</v>
      </c>
      <c r="K1539" s="60"/>
      <c r="L1539" s="60"/>
    </row>
    <row r="1540" spans="1:12" x14ac:dyDescent="0.25">
      <c r="A1540" s="168"/>
      <c r="B1540" s="144" t="str">
        <f>'Vật liệu'!B294</f>
        <v>V00390</v>
      </c>
      <c r="C1540" s="34">
        <v>140</v>
      </c>
      <c r="D1540" s="144" t="str">
        <f>" - " &amp; 'Vật liệu'!D294</f>
        <v xml:space="preserve"> - Gỗ chống</v>
      </c>
      <c r="E1540" s="168" t="str">
        <f>'Vật liệu'!E294</f>
        <v>m3</v>
      </c>
      <c r="F1540" s="60"/>
      <c r="G1540" s="60">
        <v>0.496</v>
      </c>
      <c r="H1540" s="60"/>
      <c r="I1540" s="60"/>
      <c r="J1540" s="60">
        <f>ROUND(F1537*G1540,4)</f>
        <v>0.192</v>
      </c>
      <c r="K1540" s="60"/>
      <c r="L1540" s="60"/>
    </row>
    <row r="1541" spans="1:12" x14ac:dyDescent="0.25">
      <c r="A1541" s="168"/>
      <c r="B1541" s="144" t="str">
        <f>'Vật liệu'!B606</f>
        <v>V00671</v>
      </c>
      <c r="C1541" s="34">
        <v>166</v>
      </c>
      <c r="D1541" s="144" t="str">
        <f>" - " &amp; 'Vật liệu'!D606</f>
        <v xml:space="preserve"> - Thép tấm</v>
      </c>
      <c r="E1541" s="168" t="str">
        <f>'Vật liệu'!E606</f>
        <v>kg</v>
      </c>
      <c r="F1541" s="60"/>
      <c r="G1541" s="60">
        <v>51.81</v>
      </c>
      <c r="H1541" s="60"/>
      <c r="I1541" s="60"/>
      <c r="J1541" s="60">
        <f>ROUND(F1537*G1541,4)</f>
        <v>20.0505</v>
      </c>
      <c r="K1541" s="60"/>
      <c r="L1541" s="60"/>
    </row>
    <row r="1542" spans="1:12" x14ac:dyDescent="0.25">
      <c r="A1542" s="168"/>
      <c r="B1542" s="144" t="str">
        <f>'Vật liệu'!B556</f>
        <v>V00641</v>
      </c>
      <c r="C1542" s="34">
        <v>160</v>
      </c>
      <c r="D1542" s="144" t="str">
        <f>" - " &amp; 'Vật liệu'!D556</f>
        <v xml:space="preserve"> - Thép hình</v>
      </c>
      <c r="E1542" s="168" t="str">
        <f>'Vật liệu'!E556</f>
        <v>kg</v>
      </c>
      <c r="F1542" s="60"/>
      <c r="G1542" s="60">
        <v>48.84</v>
      </c>
      <c r="H1542" s="60"/>
      <c r="I1542" s="60"/>
      <c r="J1542" s="60">
        <f>ROUND(F1537*G1542,4)</f>
        <v>18.9011</v>
      </c>
      <c r="K1542" s="60"/>
      <c r="L1542" s="60"/>
    </row>
    <row r="1543" spans="1:12" x14ac:dyDescent="0.25">
      <c r="A1543" s="168"/>
      <c r="B1543" s="144" t="str">
        <f>'Vật liệu'!B766</f>
        <v>V00750</v>
      </c>
      <c r="C1543" s="34">
        <v>289</v>
      </c>
      <c r="D1543" s="144" t="str">
        <f>" - " &amp; 'Vật liệu'!D766</f>
        <v xml:space="preserve"> - Vật liệu khác</v>
      </c>
      <c r="E1543" s="168" t="str">
        <f>'Vật liệu'!E766</f>
        <v>%</v>
      </c>
      <c r="F1543" s="60"/>
      <c r="G1543" s="60">
        <v>5</v>
      </c>
      <c r="H1543" s="60"/>
      <c r="I1543" s="60"/>
      <c r="J1543" s="60"/>
      <c r="K1543" s="60"/>
      <c r="L1543" s="60"/>
    </row>
    <row r="1544" spans="1:12" x14ac:dyDescent="0.25">
      <c r="A1544" s="56"/>
      <c r="B1544" s="23"/>
      <c r="C1544" s="88"/>
      <c r="D1544" s="23" t="s">
        <v>202</v>
      </c>
      <c r="E1544" s="56"/>
      <c r="F1544" s="118"/>
      <c r="G1544" s="118"/>
      <c r="H1544" s="118"/>
      <c r="I1544" s="118"/>
      <c r="J1544" s="118"/>
      <c r="K1544" s="118"/>
      <c r="L1544" s="118"/>
    </row>
    <row r="1545" spans="1:12" x14ac:dyDescent="0.25">
      <c r="A1545" s="168"/>
      <c r="B1545" s="144" t="str">
        <f>'Nhân công'!B130</f>
        <v>N0011</v>
      </c>
      <c r="C1545" s="34">
        <v>550</v>
      </c>
      <c r="D1545" s="144" t="s">
        <v>671</v>
      </c>
      <c r="E1545" s="168" t="str">
        <f>'Nhân công'!G130</f>
        <v>công</v>
      </c>
      <c r="F1545" s="60"/>
      <c r="G1545" s="60"/>
      <c r="H1545" s="60">
        <v>38.28</v>
      </c>
      <c r="I1545" s="60"/>
      <c r="J1545" s="60"/>
      <c r="K1545" s="60">
        <f>ROUND(F1537*H1545,4)</f>
        <v>14.814399999999999</v>
      </c>
      <c r="L1545" s="60"/>
    </row>
    <row r="1546" spans="1:12" x14ac:dyDescent="0.25">
      <c r="A1546" s="56"/>
      <c r="B1546" s="23"/>
      <c r="C1546" s="88"/>
      <c r="D1546" s="23" t="s">
        <v>378</v>
      </c>
      <c r="E1546" s="56"/>
      <c r="F1546" s="118"/>
      <c r="G1546" s="118"/>
      <c r="H1546" s="118"/>
      <c r="I1546" s="118"/>
      <c r="J1546" s="118"/>
      <c r="K1546" s="118"/>
      <c r="L1546" s="118"/>
    </row>
    <row r="1547" spans="1:12" x14ac:dyDescent="0.25">
      <c r="A1547" s="168"/>
      <c r="B1547" s="144" t="str">
        <f>'Máy thi công'!B358</f>
        <v>M9560</v>
      </c>
      <c r="C1547" s="34">
        <v>746</v>
      </c>
      <c r="D1547" s="144" t="str">
        <f>" - " &amp; 'Máy thi công'!D358</f>
        <v xml:space="preserve"> - Máy vận thăng - sức nâng: 0,8 t - H nâng 80 m</v>
      </c>
      <c r="E1547" s="168" t="str">
        <f>'Máy thi công'!E358</f>
        <v>ca</v>
      </c>
      <c r="F1547" s="60"/>
      <c r="G1547" s="60"/>
      <c r="H1547" s="60"/>
      <c r="I1547" s="60">
        <v>0</v>
      </c>
      <c r="J1547" s="60"/>
      <c r="K1547" s="60"/>
      <c r="L1547" s="60">
        <f>ROUND(F1537*I1547,4)</f>
        <v>0</v>
      </c>
    </row>
    <row r="1548" spans="1:12" x14ac:dyDescent="0.25">
      <c r="A1548" s="168"/>
      <c r="B1548" s="144" t="str">
        <f>'Máy thi công'!B6</f>
        <v>M9438</v>
      </c>
      <c r="C1548" s="34">
        <v>714</v>
      </c>
      <c r="D1548" s="144" t="str">
        <f>" - " &amp; 'Máy thi công'!D6</f>
        <v xml:space="preserve"> - Biến thế hàn xoay chiều - công suất: 23 kW</v>
      </c>
      <c r="E1548" s="168" t="str">
        <f>'Máy thi công'!E6</f>
        <v>ca</v>
      </c>
      <c r="F1548" s="60"/>
      <c r="G1548" s="60"/>
      <c r="H1548" s="60"/>
      <c r="I1548" s="60">
        <v>1.5</v>
      </c>
      <c r="J1548" s="60"/>
      <c r="K1548" s="60"/>
      <c r="L1548" s="60">
        <f>ROUND(F1537*I1548,4)</f>
        <v>0.58050000000000002</v>
      </c>
    </row>
    <row r="1549" spans="1:12" x14ac:dyDescent="0.25">
      <c r="A1549" s="168"/>
      <c r="B1549" s="144" t="str">
        <f>'Máy thi công'!B398</f>
        <v>M0111</v>
      </c>
      <c r="C1549" s="34">
        <v>628</v>
      </c>
      <c r="D1549" s="144" t="str">
        <f>" - " &amp; 'Máy thi công'!D398</f>
        <v xml:space="preserve"> - Máy khác</v>
      </c>
      <c r="E1549" s="168" t="str">
        <f>'Máy thi công'!E398</f>
        <v>%</v>
      </c>
      <c r="F1549" s="60"/>
      <c r="G1549" s="60"/>
      <c r="H1549" s="60"/>
      <c r="I1549" s="60">
        <v>2</v>
      </c>
      <c r="J1549" s="60"/>
      <c r="K1549" s="60"/>
      <c r="L1549" s="60"/>
    </row>
    <row r="1550" spans="1:12" ht="28.5" x14ac:dyDescent="0.25">
      <c r="A1550" s="65">
        <f>'Công trình'!A201</f>
        <v>161</v>
      </c>
      <c r="B1550" s="14" t="str">
        <f>'Công trình'!B201</f>
        <v>AF.82311</v>
      </c>
      <c r="C1550" s="94"/>
      <c r="D1550" s="14" t="str">
        <f>'Công trình'!C201</f>
        <v>Sản xuất, lắp dựng tháo dỡ ván khuôn thép, cây chống gỗ mặt cầu, chiều cao &lt;=16m</v>
      </c>
      <c r="E1550" s="46" t="str">
        <f>'Công trình'!D201</f>
        <v>100m2</v>
      </c>
      <c r="F1550" s="106">
        <f>'Công trình'!K201</f>
        <v>2.5272000000000001</v>
      </c>
      <c r="G1550" s="126"/>
      <c r="H1550" s="126"/>
      <c r="I1550" s="126"/>
      <c r="J1550" s="126"/>
      <c r="K1550" s="126"/>
      <c r="L1550" s="126"/>
    </row>
    <row r="1551" spans="1:12" x14ac:dyDescent="0.25">
      <c r="A1551" s="56"/>
      <c r="B1551" s="23"/>
      <c r="C1551" s="88"/>
      <c r="D1551" s="23" t="s">
        <v>479</v>
      </c>
      <c r="E1551" s="56"/>
      <c r="F1551" s="118"/>
      <c r="G1551" s="118"/>
      <c r="H1551" s="118"/>
      <c r="I1551" s="118"/>
      <c r="J1551" s="118"/>
      <c r="K1551" s="118"/>
      <c r="L1551" s="118"/>
    </row>
    <row r="1552" spans="1:12" x14ac:dyDescent="0.25">
      <c r="A1552" s="168"/>
      <c r="B1552" s="144" t="str">
        <f>'Vật liệu'!B450</f>
        <v>V00515</v>
      </c>
      <c r="C1552" s="34">
        <v>154</v>
      </c>
      <c r="D1552" s="144" t="str">
        <f>" - " &amp; 'Vật liệu'!D450</f>
        <v xml:space="preserve"> - Que hàn</v>
      </c>
      <c r="E1552" s="168" t="str">
        <f>'Vật liệu'!E450</f>
        <v>kg</v>
      </c>
      <c r="F1552" s="60"/>
      <c r="G1552" s="60">
        <v>5.5</v>
      </c>
      <c r="H1552" s="60"/>
      <c r="I1552" s="60"/>
      <c r="J1552" s="60">
        <f>ROUND(F1550*G1552,4)</f>
        <v>13.8996</v>
      </c>
      <c r="K1552" s="60"/>
      <c r="L1552" s="60"/>
    </row>
    <row r="1553" spans="1:12" x14ac:dyDescent="0.25">
      <c r="A1553" s="168"/>
      <c r="B1553" s="144" t="str">
        <f>'Vật liệu'!B294</f>
        <v>V00390</v>
      </c>
      <c r="C1553" s="34">
        <v>140</v>
      </c>
      <c r="D1553" s="144" t="str">
        <f>" - " &amp; 'Vật liệu'!D294</f>
        <v xml:space="preserve"> - Gỗ chống</v>
      </c>
      <c r="E1553" s="168" t="str">
        <f>'Vật liệu'!E294</f>
        <v>m3</v>
      </c>
      <c r="F1553" s="60"/>
      <c r="G1553" s="60">
        <v>0.66800000000000004</v>
      </c>
      <c r="H1553" s="60"/>
      <c r="I1553" s="60"/>
      <c r="J1553" s="60">
        <f>ROUND(F1550*G1553,4)</f>
        <v>1.6881999999999999</v>
      </c>
      <c r="K1553" s="60"/>
      <c r="L1553" s="60"/>
    </row>
    <row r="1554" spans="1:12" x14ac:dyDescent="0.25">
      <c r="A1554" s="168"/>
      <c r="B1554" s="144" t="str">
        <f>'Vật liệu'!B606</f>
        <v>V00671</v>
      </c>
      <c r="C1554" s="34">
        <v>166</v>
      </c>
      <c r="D1554" s="144" t="str">
        <f>" - " &amp; 'Vật liệu'!D606</f>
        <v xml:space="preserve"> - Thép tấm</v>
      </c>
      <c r="E1554" s="168" t="str">
        <f>'Vật liệu'!E606</f>
        <v>kg</v>
      </c>
      <c r="F1554" s="60"/>
      <c r="G1554" s="60">
        <v>51.81</v>
      </c>
      <c r="H1554" s="60"/>
      <c r="I1554" s="60"/>
      <c r="J1554" s="60">
        <f>ROUND(F1550*G1554,4)</f>
        <v>130.9342</v>
      </c>
      <c r="K1554" s="60"/>
      <c r="L1554" s="60"/>
    </row>
    <row r="1555" spans="1:12" x14ac:dyDescent="0.25">
      <c r="A1555" s="168"/>
      <c r="B1555" s="144" t="str">
        <f>'Vật liệu'!B556</f>
        <v>V00641</v>
      </c>
      <c r="C1555" s="34">
        <v>160</v>
      </c>
      <c r="D1555" s="144" t="str">
        <f>" - " &amp; 'Vật liệu'!D556</f>
        <v xml:space="preserve"> - Thép hình</v>
      </c>
      <c r="E1555" s="168" t="str">
        <f>'Vật liệu'!E556</f>
        <v>kg</v>
      </c>
      <c r="F1555" s="60"/>
      <c r="G1555" s="60">
        <v>40.700000000000003</v>
      </c>
      <c r="H1555" s="60"/>
      <c r="I1555" s="60"/>
      <c r="J1555" s="60">
        <f>ROUND(F1550*G1555,4)</f>
        <v>102.857</v>
      </c>
      <c r="K1555" s="60"/>
      <c r="L1555" s="60"/>
    </row>
    <row r="1556" spans="1:12" x14ac:dyDescent="0.25">
      <c r="A1556" s="168"/>
      <c r="B1556" s="144" t="str">
        <f>'Vật liệu'!B766</f>
        <v>V00750</v>
      </c>
      <c r="C1556" s="34">
        <v>374</v>
      </c>
      <c r="D1556" s="144" t="str">
        <f>" - " &amp; 'Vật liệu'!D766</f>
        <v xml:space="preserve"> - Vật liệu khác</v>
      </c>
      <c r="E1556" s="168" t="str">
        <f>'Vật liệu'!E766</f>
        <v>%</v>
      </c>
      <c r="F1556" s="60"/>
      <c r="G1556" s="60">
        <v>5</v>
      </c>
      <c r="H1556" s="60"/>
      <c r="I1556" s="60"/>
      <c r="J1556" s="60"/>
      <c r="K1556" s="60"/>
      <c r="L1556" s="60"/>
    </row>
    <row r="1557" spans="1:12" x14ac:dyDescent="0.25">
      <c r="A1557" s="56"/>
      <c r="B1557" s="23"/>
      <c r="C1557" s="88"/>
      <c r="D1557" s="23" t="s">
        <v>202</v>
      </c>
      <c r="E1557" s="56"/>
      <c r="F1557" s="118"/>
      <c r="G1557" s="118"/>
      <c r="H1557" s="118"/>
      <c r="I1557" s="118"/>
      <c r="J1557" s="118"/>
      <c r="K1557" s="118"/>
      <c r="L1557" s="118"/>
    </row>
    <row r="1558" spans="1:12" x14ac:dyDescent="0.25">
      <c r="A1558" s="168"/>
      <c r="B1558" s="144" t="str">
        <f>'Nhân công'!B130</f>
        <v>N0011</v>
      </c>
      <c r="C1558" s="34">
        <v>550</v>
      </c>
      <c r="D1558" s="144" t="s">
        <v>671</v>
      </c>
      <c r="E1558" s="168" t="str">
        <f>'Nhân công'!G130</f>
        <v>công</v>
      </c>
      <c r="F1558" s="60"/>
      <c r="G1558" s="60"/>
      <c r="H1558" s="60">
        <v>32.5</v>
      </c>
      <c r="I1558" s="60"/>
      <c r="J1558" s="60"/>
      <c r="K1558" s="60">
        <f>ROUND(F1550*H1558,4)</f>
        <v>82.134</v>
      </c>
      <c r="L1558" s="60"/>
    </row>
    <row r="1559" spans="1:12" x14ac:dyDescent="0.25">
      <c r="A1559" s="56"/>
      <c r="B1559" s="23"/>
      <c r="C1559" s="88"/>
      <c r="D1559" s="23" t="s">
        <v>378</v>
      </c>
      <c r="E1559" s="56"/>
      <c r="F1559" s="118"/>
      <c r="G1559" s="118"/>
      <c r="H1559" s="118"/>
      <c r="I1559" s="118"/>
      <c r="J1559" s="118"/>
      <c r="K1559" s="118"/>
      <c r="L1559" s="118"/>
    </row>
    <row r="1560" spans="1:12" x14ac:dyDescent="0.25">
      <c r="A1560" s="168"/>
      <c r="B1560" s="144" t="str">
        <f>'Máy thi công'!B358</f>
        <v>M9560</v>
      </c>
      <c r="C1560" s="34">
        <v>746</v>
      </c>
      <c r="D1560" s="144" t="str">
        <f>" - " &amp; 'Máy thi công'!D358</f>
        <v xml:space="preserve"> - Máy vận thăng - sức nâng: 0,8 t - H nâng 80 m</v>
      </c>
      <c r="E1560" s="168" t="str">
        <f>'Máy thi công'!E358</f>
        <v>ca</v>
      </c>
      <c r="F1560" s="60"/>
      <c r="G1560" s="60"/>
      <c r="H1560" s="60"/>
      <c r="I1560" s="60">
        <v>0</v>
      </c>
      <c r="J1560" s="60"/>
      <c r="K1560" s="60"/>
      <c r="L1560" s="60">
        <f>ROUND(F1550*I1560,4)</f>
        <v>0</v>
      </c>
    </row>
    <row r="1561" spans="1:12" x14ac:dyDescent="0.25">
      <c r="A1561" s="168"/>
      <c r="B1561" s="144" t="str">
        <f>'Máy thi công'!B6</f>
        <v>M9438</v>
      </c>
      <c r="C1561" s="34">
        <v>714</v>
      </c>
      <c r="D1561" s="144" t="str">
        <f>" - " &amp; 'Máy thi công'!D6</f>
        <v xml:space="preserve"> - Biến thế hàn xoay chiều - công suất: 23 kW</v>
      </c>
      <c r="E1561" s="168" t="str">
        <f>'Máy thi công'!E6</f>
        <v>ca</v>
      </c>
      <c r="F1561" s="60"/>
      <c r="G1561" s="60"/>
      <c r="H1561" s="60"/>
      <c r="I1561" s="60">
        <v>1.5</v>
      </c>
      <c r="J1561" s="60"/>
      <c r="K1561" s="60"/>
      <c r="L1561" s="60">
        <f>ROUND(F1550*I1561,4)</f>
        <v>3.7907999999999999</v>
      </c>
    </row>
    <row r="1562" spans="1:12" x14ac:dyDescent="0.25">
      <c r="A1562" s="168"/>
      <c r="B1562" s="144" t="str">
        <f>'Máy thi công'!B398</f>
        <v>M0111</v>
      </c>
      <c r="C1562" s="34">
        <v>678</v>
      </c>
      <c r="D1562" s="144" t="str">
        <f>" - " &amp; 'Máy thi công'!D398</f>
        <v xml:space="preserve"> - Máy khác</v>
      </c>
      <c r="E1562" s="168" t="str">
        <f>'Máy thi công'!E398</f>
        <v>%</v>
      </c>
      <c r="F1562" s="60"/>
      <c r="G1562" s="60"/>
      <c r="H1562" s="60"/>
      <c r="I1562" s="60">
        <v>2</v>
      </c>
      <c r="J1562" s="60"/>
      <c r="K1562" s="60"/>
      <c r="L1562" s="60"/>
    </row>
    <row r="1563" spans="1:12" ht="28.5" x14ac:dyDescent="0.25">
      <c r="A1563" s="65">
        <f>'Công trình'!A202</f>
        <v>162</v>
      </c>
      <c r="B1563" s="14" t="str">
        <f>'Công trình'!B202</f>
        <v>AF.61711</v>
      </c>
      <c r="C1563" s="94"/>
      <c r="D1563" s="14" t="str">
        <f>'Công trình'!C202</f>
        <v>Sản xuất, lắp dựng cốt thép mặt cầu đường kính &lt;=10mm, chiều cao &lt;=16m</v>
      </c>
      <c r="E1563" s="46" t="str">
        <f>'Công trình'!D202</f>
        <v>tấn</v>
      </c>
      <c r="F1563" s="106">
        <f>'Công trình'!K202</f>
        <v>8.5599999999999996E-2</v>
      </c>
      <c r="G1563" s="126"/>
      <c r="H1563" s="126"/>
      <c r="I1563" s="126"/>
      <c r="J1563" s="126"/>
      <c r="K1563" s="126"/>
      <c r="L1563" s="126"/>
    </row>
    <row r="1564" spans="1:12" x14ac:dyDescent="0.25">
      <c r="A1564" s="56"/>
      <c r="B1564" s="23"/>
      <c r="C1564" s="88"/>
      <c r="D1564" s="23" t="s">
        <v>479</v>
      </c>
      <c r="E1564" s="56"/>
      <c r="F1564" s="118"/>
      <c r="G1564" s="118"/>
      <c r="H1564" s="118"/>
      <c r="I1564" s="118"/>
      <c r="J1564" s="118"/>
      <c r="K1564" s="118"/>
      <c r="L1564" s="118"/>
    </row>
    <row r="1565" spans="1:12" x14ac:dyDescent="0.25">
      <c r="A1565" s="168"/>
      <c r="B1565" s="144" t="str">
        <f>'Vật liệu'!B221</f>
        <v>V00226</v>
      </c>
      <c r="C1565" s="34">
        <v>135</v>
      </c>
      <c r="D1565" s="144" t="str">
        <f>" - " &amp; 'Vật liệu'!D221</f>
        <v xml:space="preserve"> - Dây thép</v>
      </c>
      <c r="E1565" s="168" t="str">
        <f>'Vật liệu'!E221</f>
        <v>kg</v>
      </c>
      <c r="F1565" s="60"/>
      <c r="G1565" s="60">
        <v>21.42</v>
      </c>
      <c r="H1565" s="60"/>
      <c r="I1565" s="60"/>
      <c r="J1565" s="60">
        <f>ROUND(F1563*G1565,4)</f>
        <v>1.8335999999999999</v>
      </c>
      <c r="K1565" s="60"/>
      <c r="L1565" s="60"/>
    </row>
    <row r="1566" spans="1:12" x14ac:dyDescent="0.25">
      <c r="A1566" s="168"/>
      <c r="B1566" s="144" t="str">
        <f>'Vật liệu'!B650</f>
        <v>V48494</v>
      </c>
      <c r="C1566" s="34">
        <v>484</v>
      </c>
      <c r="D1566" s="144" t="str">
        <f>" - " &amp; 'Vật liệu'!D650</f>
        <v xml:space="preserve"> - Thép tròn đường kính &lt;=10 mm</v>
      </c>
      <c r="E1566" s="168" t="str">
        <f>'Vật liệu'!E650</f>
        <v>kg</v>
      </c>
      <c r="F1566" s="60"/>
      <c r="G1566" s="60">
        <v>1005</v>
      </c>
      <c r="H1566" s="60"/>
      <c r="I1566" s="60"/>
      <c r="J1566" s="60">
        <f>ROUND(F1563*G1566,4)</f>
        <v>86.028000000000006</v>
      </c>
      <c r="K1566" s="60"/>
      <c r="L1566" s="60"/>
    </row>
    <row r="1567" spans="1:12" x14ac:dyDescent="0.25">
      <c r="A1567" s="56"/>
      <c r="B1567" s="23"/>
      <c r="C1567" s="88"/>
      <c r="D1567" s="23" t="s">
        <v>202</v>
      </c>
      <c r="E1567" s="56"/>
      <c r="F1567" s="118"/>
      <c r="G1567" s="118"/>
      <c r="H1567" s="118"/>
      <c r="I1567" s="118"/>
      <c r="J1567" s="118"/>
      <c r="K1567" s="118"/>
      <c r="L1567" s="118"/>
    </row>
    <row r="1568" spans="1:12" x14ac:dyDescent="0.25">
      <c r="A1568" s="168"/>
      <c r="B1568" s="144" t="str">
        <f>'Nhân công'!B45</f>
        <v>N0009</v>
      </c>
      <c r="C1568" s="34">
        <v>546</v>
      </c>
      <c r="D1568" s="144" t="s">
        <v>1052</v>
      </c>
      <c r="E1568" s="168" t="str">
        <f>'Nhân công'!G45</f>
        <v>công</v>
      </c>
      <c r="F1568" s="60"/>
      <c r="G1568" s="60"/>
      <c r="H1568" s="60">
        <v>14.63</v>
      </c>
      <c r="I1568" s="60"/>
      <c r="J1568" s="60"/>
      <c r="K1568" s="60">
        <f>ROUND(F1563*H1568,4)</f>
        <v>1.2523</v>
      </c>
      <c r="L1568" s="60"/>
    </row>
    <row r="1569" spans="1:12" x14ac:dyDescent="0.25">
      <c r="A1569" s="56"/>
      <c r="B1569" s="23"/>
      <c r="C1569" s="88"/>
      <c r="D1569" s="23" t="s">
        <v>378</v>
      </c>
      <c r="E1569" s="56"/>
      <c r="F1569" s="118"/>
      <c r="G1569" s="118"/>
      <c r="H1569" s="118"/>
      <c r="I1569" s="118"/>
      <c r="J1569" s="118"/>
      <c r="K1569" s="118"/>
      <c r="L1569" s="118"/>
    </row>
    <row r="1570" spans="1:12" x14ac:dyDescent="0.25">
      <c r="A1570" s="168"/>
      <c r="B1570" s="144" t="str">
        <f>'Máy thi công'!B184</f>
        <v>M9521</v>
      </c>
      <c r="C1570" s="34">
        <v>737</v>
      </c>
      <c r="D1570" s="144" t="str">
        <f>" - " &amp; 'Máy thi công'!D184</f>
        <v xml:space="preserve"> - Máy cắt uốn cốt thép - công suất: 5 kW</v>
      </c>
      <c r="E1570" s="168" t="str">
        <f>'Máy thi công'!E184</f>
        <v>ca</v>
      </c>
      <c r="F1570" s="60"/>
      <c r="G1570" s="60"/>
      <c r="H1570" s="60"/>
      <c r="I1570" s="60">
        <v>0.4</v>
      </c>
      <c r="J1570" s="60"/>
      <c r="K1570" s="60"/>
      <c r="L1570" s="60">
        <f>ROUND(F1563*I1570,4)</f>
        <v>3.4200000000000001E-2</v>
      </c>
    </row>
    <row r="1571" spans="1:12" x14ac:dyDescent="0.25">
      <c r="A1571" s="168"/>
      <c r="B1571" s="144" t="str">
        <f>'Máy thi công'!B398</f>
        <v>M0111</v>
      </c>
      <c r="C1571" s="34">
        <v>629</v>
      </c>
      <c r="D1571" s="144" t="str">
        <f>" - " &amp; 'Máy thi công'!D398</f>
        <v xml:space="preserve"> - Máy khác</v>
      </c>
      <c r="E1571" s="168" t="str">
        <f>'Máy thi công'!E398</f>
        <v>%</v>
      </c>
      <c r="F1571" s="60"/>
      <c r="G1571" s="60"/>
      <c r="H1571" s="60"/>
      <c r="I1571" s="60">
        <v>2</v>
      </c>
      <c r="J1571" s="60"/>
      <c r="K1571" s="60"/>
      <c r="L1571" s="60"/>
    </row>
    <row r="1572" spans="1:12" ht="28.5" x14ac:dyDescent="0.25">
      <c r="A1572" s="65">
        <f>'Công trình'!A204</f>
        <v>163</v>
      </c>
      <c r="B1572" s="14" t="str">
        <f>'Công trình'!B204</f>
        <v>AF.61721</v>
      </c>
      <c r="C1572" s="94"/>
      <c r="D1572" s="14" t="str">
        <f>'Công trình'!C204</f>
        <v>Sản xuất, lắp dựng cốt thép mặt cầu đường kính &gt;10mm, chiều cao &lt;=16m</v>
      </c>
      <c r="E1572" s="46" t="str">
        <f>'Công trình'!D204</f>
        <v>tấn</v>
      </c>
      <c r="F1572" s="106">
        <f>'Công trình'!K204</f>
        <v>10.3314</v>
      </c>
      <c r="G1572" s="126"/>
      <c r="H1572" s="126"/>
      <c r="I1572" s="126"/>
      <c r="J1572" s="126"/>
      <c r="K1572" s="126"/>
      <c r="L1572" s="126"/>
    </row>
    <row r="1573" spans="1:12" x14ac:dyDescent="0.25">
      <c r="A1573" s="56"/>
      <c r="B1573" s="23"/>
      <c r="C1573" s="88"/>
      <c r="D1573" s="23" t="s">
        <v>479</v>
      </c>
      <c r="E1573" s="56"/>
      <c r="F1573" s="118"/>
      <c r="G1573" s="118"/>
      <c r="H1573" s="118"/>
      <c r="I1573" s="118"/>
      <c r="J1573" s="118"/>
      <c r="K1573" s="118"/>
      <c r="L1573" s="118"/>
    </row>
    <row r="1574" spans="1:12" x14ac:dyDescent="0.25">
      <c r="A1574" s="168"/>
      <c r="B1574" s="144" t="str">
        <f>'Vật liệu'!B450</f>
        <v>V00515</v>
      </c>
      <c r="C1574" s="34">
        <v>154</v>
      </c>
      <c r="D1574" s="144" t="str">
        <f>" - " &amp; 'Vật liệu'!D450</f>
        <v xml:space="preserve"> - Que hàn</v>
      </c>
      <c r="E1574" s="168" t="str">
        <f>'Vật liệu'!E450</f>
        <v>kg</v>
      </c>
      <c r="F1574" s="60"/>
      <c r="G1574" s="60">
        <v>4.617</v>
      </c>
      <c r="H1574" s="60"/>
      <c r="I1574" s="60"/>
      <c r="J1574" s="60">
        <f>ROUND(F1572*G1574,4)</f>
        <v>47.700099999999999</v>
      </c>
      <c r="K1574" s="60"/>
      <c r="L1574" s="60"/>
    </row>
    <row r="1575" spans="1:12" x14ac:dyDescent="0.25">
      <c r="A1575" s="168"/>
      <c r="B1575" s="144" t="str">
        <f>'Vật liệu'!B221</f>
        <v>V00226</v>
      </c>
      <c r="C1575" s="34">
        <v>135</v>
      </c>
      <c r="D1575" s="144" t="str">
        <f>" - " &amp; 'Vật liệu'!D221</f>
        <v xml:space="preserve"> - Dây thép</v>
      </c>
      <c r="E1575" s="168" t="str">
        <f>'Vật liệu'!E221</f>
        <v>kg</v>
      </c>
      <c r="F1575" s="60"/>
      <c r="G1575" s="60">
        <v>14.28</v>
      </c>
      <c r="H1575" s="60"/>
      <c r="I1575" s="60"/>
      <c r="J1575" s="60">
        <f>ROUND(F1572*G1575,4)</f>
        <v>147.5324</v>
      </c>
      <c r="K1575" s="60"/>
      <c r="L1575" s="60"/>
    </row>
    <row r="1576" spans="1:12" x14ac:dyDescent="0.25">
      <c r="A1576" s="168"/>
      <c r="B1576" s="144" t="str">
        <f>'Vật liệu'!B682</f>
        <v>V48496</v>
      </c>
      <c r="C1576" s="34">
        <v>486</v>
      </c>
      <c r="D1576" s="144" t="str">
        <f>" - " &amp; 'Vật liệu'!D682</f>
        <v xml:space="preserve"> - Thép tròn đường kính &gt; 10 mm</v>
      </c>
      <c r="E1576" s="168" t="str">
        <f>'Vật liệu'!E682</f>
        <v>kg</v>
      </c>
      <c r="F1576" s="60"/>
      <c r="G1576" s="60">
        <v>1020</v>
      </c>
      <c r="H1576" s="60"/>
      <c r="I1576" s="60"/>
      <c r="J1576" s="60">
        <f>ROUND(F1572*G1576,4)</f>
        <v>10538.028</v>
      </c>
      <c r="K1576" s="60"/>
      <c r="L1576" s="60"/>
    </row>
    <row r="1577" spans="1:12" x14ac:dyDescent="0.25">
      <c r="A1577" s="56"/>
      <c r="B1577" s="23"/>
      <c r="C1577" s="88"/>
      <c r="D1577" s="23" t="s">
        <v>202</v>
      </c>
      <c r="E1577" s="56"/>
      <c r="F1577" s="118"/>
      <c r="G1577" s="118"/>
      <c r="H1577" s="118"/>
      <c r="I1577" s="118"/>
      <c r="J1577" s="118"/>
      <c r="K1577" s="118"/>
      <c r="L1577" s="118"/>
    </row>
    <row r="1578" spans="1:12" x14ac:dyDescent="0.25">
      <c r="A1578" s="168"/>
      <c r="B1578" s="144" t="str">
        <f>'Nhân công'!B45</f>
        <v>N0009</v>
      </c>
      <c r="C1578" s="34">
        <v>546</v>
      </c>
      <c r="D1578" s="144" t="s">
        <v>1052</v>
      </c>
      <c r="E1578" s="168" t="str">
        <f>'Nhân công'!G45</f>
        <v>công</v>
      </c>
      <c r="F1578" s="60"/>
      <c r="G1578" s="60"/>
      <c r="H1578" s="60">
        <v>10.91</v>
      </c>
      <c r="I1578" s="60"/>
      <c r="J1578" s="60"/>
      <c r="K1578" s="60">
        <f>ROUND(F1572*H1578,4)</f>
        <v>112.71559999999999</v>
      </c>
      <c r="L1578" s="60"/>
    </row>
    <row r="1579" spans="1:12" x14ac:dyDescent="0.25">
      <c r="A1579" s="56"/>
      <c r="B1579" s="23"/>
      <c r="C1579" s="88"/>
      <c r="D1579" s="23" t="s">
        <v>378</v>
      </c>
      <c r="E1579" s="56"/>
      <c r="F1579" s="118"/>
      <c r="G1579" s="118"/>
      <c r="H1579" s="118"/>
      <c r="I1579" s="118"/>
      <c r="J1579" s="118"/>
      <c r="K1579" s="118"/>
      <c r="L1579" s="118"/>
    </row>
    <row r="1580" spans="1:12" x14ac:dyDescent="0.25">
      <c r="A1580" s="168"/>
      <c r="B1580" s="144" t="str">
        <f>'Máy thi công'!B358</f>
        <v>M9560</v>
      </c>
      <c r="C1580" s="34">
        <v>746</v>
      </c>
      <c r="D1580" s="144" t="str">
        <f>" - " &amp; 'Máy thi công'!D358</f>
        <v xml:space="preserve"> - Máy vận thăng - sức nâng: 0,8 t - H nâng 80 m</v>
      </c>
      <c r="E1580" s="168" t="str">
        <f>'Máy thi công'!E358</f>
        <v>ca</v>
      </c>
      <c r="F1580" s="60"/>
      <c r="G1580" s="60"/>
      <c r="H1580" s="60"/>
      <c r="I1580" s="60">
        <v>0</v>
      </c>
      <c r="J1580" s="60"/>
      <c r="K1580" s="60"/>
      <c r="L1580" s="60">
        <f>ROUND(F1572*I1580,4)</f>
        <v>0</v>
      </c>
    </row>
    <row r="1581" spans="1:12" x14ac:dyDescent="0.25">
      <c r="A1581" s="168"/>
      <c r="B1581" s="144" t="str">
        <f>'Máy thi công'!B6</f>
        <v>M9438</v>
      </c>
      <c r="C1581" s="34">
        <v>714</v>
      </c>
      <c r="D1581" s="144" t="str">
        <f>" - " &amp; 'Máy thi công'!D6</f>
        <v xml:space="preserve"> - Biến thế hàn xoay chiều - công suất: 23 kW</v>
      </c>
      <c r="E1581" s="168" t="str">
        <f>'Máy thi công'!E6</f>
        <v>ca</v>
      </c>
      <c r="F1581" s="60"/>
      <c r="G1581" s="60"/>
      <c r="H1581" s="60"/>
      <c r="I1581" s="60">
        <v>1.123</v>
      </c>
      <c r="J1581" s="60"/>
      <c r="K1581" s="60"/>
      <c r="L1581" s="60">
        <f>ROUND(F1572*I1581,4)</f>
        <v>11.6022</v>
      </c>
    </row>
    <row r="1582" spans="1:12" x14ac:dyDescent="0.25">
      <c r="A1582" s="168"/>
      <c r="B1582" s="144" t="str">
        <f>'Máy thi công'!B184</f>
        <v>M9521</v>
      </c>
      <c r="C1582" s="34">
        <v>737</v>
      </c>
      <c r="D1582" s="144" t="str">
        <f>" - " &amp; 'Máy thi công'!D184</f>
        <v xml:space="preserve"> - Máy cắt uốn cốt thép - công suất: 5 kW</v>
      </c>
      <c r="E1582" s="168" t="str">
        <f>'Máy thi công'!E184</f>
        <v>ca</v>
      </c>
      <c r="F1582" s="60"/>
      <c r="G1582" s="60"/>
      <c r="H1582" s="60"/>
      <c r="I1582" s="60">
        <v>0.32</v>
      </c>
      <c r="J1582" s="60"/>
      <c r="K1582" s="60"/>
      <c r="L1582" s="60">
        <f>ROUND(F1572*I1582,4)</f>
        <v>3.306</v>
      </c>
    </row>
    <row r="1583" spans="1:12" x14ac:dyDescent="0.25">
      <c r="A1583" s="168"/>
      <c r="B1583" s="144" t="str">
        <f>'Máy thi công'!B398</f>
        <v>M0111</v>
      </c>
      <c r="C1583" s="34">
        <v>630</v>
      </c>
      <c r="D1583" s="144" t="str">
        <f>" - " &amp; 'Máy thi công'!D398</f>
        <v xml:space="preserve"> - Máy khác</v>
      </c>
      <c r="E1583" s="168" t="str">
        <f>'Máy thi công'!E398</f>
        <v>%</v>
      </c>
      <c r="F1583" s="60"/>
      <c r="G1583" s="60"/>
      <c r="H1583" s="60"/>
      <c r="I1583" s="60">
        <v>2</v>
      </c>
      <c r="J1583" s="60"/>
      <c r="K1583" s="60"/>
      <c r="L1583" s="60"/>
    </row>
    <row r="1584" spans="1:12" ht="28.5" x14ac:dyDescent="0.25">
      <c r="A1584" s="65">
        <f>'Công trình'!A206</f>
        <v>164</v>
      </c>
      <c r="B1584" s="14" t="str">
        <f>'Công trình'!B206</f>
        <v>AF.65410</v>
      </c>
      <c r="C1584" s="94"/>
      <c r="D1584" s="14" t="str">
        <f>'Công trình'!C206</f>
        <v>Công tác sản xuất lắp dựng cốt thép bê tông tại chỗ, cốt thép dầm cầu trên cạn, D ≤10mm</v>
      </c>
      <c r="E1584" s="46" t="str">
        <f>'Công trình'!D206</f>
        <v>tấn</v>
      </c>
      <c r="F1584" s="106">
        <f>'Công trình'!K206</f>
        <v>0.27810000000000001</v>
      </c>
      <c r="G1584" s="126"/>
      <c r="H1584" s="126"/>
      <c r="I1584" s="126"/>
      <c r="J1584" s="126"/>
      <c r="K1584" s="126"/>
      <c r="L1584" s="126"/>
    </row>
    <row r="1585" spans="1:12" x14ac:dyDescent="0.25">
      <c r="A1585" s="56"/>
      <c r="B1585" s="23"/>
      <c r="C1585" s="88"/>
      <c r="D1585" s="23" t="s">
        <v>479</v>
      </c>
      <c r="E1585" s="56"/>
      <c r="F1585" s="118"/>
      <c r="G1585" s="118"/>
      <c r="H1585" s="118"/>
      <c r="I1585" s="118"/>
      <c r="J1585" s="118"/>
      <c r="K1585" s="118"/>
      <c r="L1585" s="118"/>
    </row>
    <row r="1586" spans="1:12" x14ac:dyDescent="0.25">
      <c r="A1586" s="168"/>
      <c r="B1586" s="144" t="str">
        <f>'Vật liệu'!B221</f>
        <v>V00226</v>
      </c>
      <c r="C1586" s="34">
        <v>135</v>
      </c>
      <c r="D1586" s="144" t="str">
        <f>" - " &amp; 'Vật liệu'!D221</f>
        <v xml:space="preserve"> - Dây thép</v>
      </c>
      <c r="E1586" s="168" t="str">
        <f>'Vật liệu'!E221</f>
        <v>kg</v>
      </c>
      <c r="F1586" s="60"/>
      <c r="G1586" s="60">
        <v>21.42</v>
      </c>
      <c r="H1586" s="60"/>
      <c r="I1586" s="60"/>
      <c r="J1586" s="60">
        <f>ROUND(F1584*G1586,4)</f>
        <v>5.9569000000000001</v>
      </c>
      <c r="K1586" s="60"/>
      <c r="L1586" s="60"/>
    </row>
    <row r="1587" spans="1:12" x14ac:dyDescent="0.25">
      <c r="A1587" s="168"/>
      <c r="B1587" s="144" t="str">
        <f>'Vật liệu'!B650</f>
        <v>V48494</v>
      </c>
      <c r="C1587" s="34">
        <v>484</v>
      </c>
      <c r="D1587" s="144" t="str">
        <f>" - " &amp; 'Vật liệu'!D650</f>
        <v xml:space="preserve"> - Thép tròn đường kính &lt;=10 mm</v>
      </c>
      <c r="E1587" s="168" t="str">
        <f>'Vật liệu'!E650</f>
        <v>kg</v>
      </c>
      <c r="F1587" s="60"/>
      <c r="G1587" s="60">
        <v>1005</v>
      </c>
      <c r="H1587" s="60"/>
      <c r="I1587" s="60"/>
      <c r="J1587" s="60">
        <f>ROUND(F1584*G1587,4)</f>
        <v>279.4905</v>
      </c>
      <c r="K1587" s="60"/>
      <c r="L1587" s="60"/>
    </row>
    <row r="1588" spans="1:12" x14ac:dyDescent="0.25">
      <c r="A1588" s="56"/>
      <c r="B1588" s="23"/>
      <c r="C1588" s="88"/>
      <c r="D1588" s="23" t="s">
        <v>202</v>
      </c>
      <c r="E1588" s="56"/>
      <c r="F1588" s="118"/>
      <c r="G1588" s="118"/>
      <c r="H1588" s="118"/>
      <c r="I1588" s="118"/>
      <c r="J1588" s="118"/>
      <c r="K1588" s="118"/>
      <c r="L1588" s="118"/>
    </row>
    <row r="1589" spans="1:12" x14ac:dyDescent="0.25">
      <c r="A1589" s="168"/>
      <c r="B1589" s="144" t="str">
        <f>'Nhân công'!B130</f>
        <v>N0011</v>
      </c>
      <c r="C1589" s="34">
        <v>550</v>
      </c>
      <c r="D1589" s="144" t="s">
        <v>671</v>
      </c>
      <c r="E1589" s="168" t="str">
        <f>'Nhân công'!G130</f>
        <v>công</v>
      </c>
      <c r="F1589" s="60"/>
      <c r="G1589" s="60"/>
      <c r="H1589" s="60">
        <v>20.149999999999999</v>
      </c>
      <c r="I1589" s="60"/>
      <c r="J1589" s="60"/>
      <c r="K1589" s="60">
        <f>ROUND(F1584*H1589,4)</f>
        <v>5.6036999999999999</v>
      </c>
      <c r="L1589" s="60"/>
    </row>
    <row r="1590" spans="1:12" x14ac:dyDescent="0.25">
      <c r="A1590" s="56"/>
      <c r="B1590" s="23"/>
      <c r="C1590" s="88"/>
      <c r="D1590" s="23" t="s">
        <v>378</v>
      </c>
      <c r="E1590" s="56"/>
      <c r="F1590" s="118"/>
      <c r="G1590" s="118"/>
      <c r="H1590" s="118"/>
      <c r="I1590" s="118"/>
      <c r="J1590" s="118"/>
      <c r="K1590" s="118"/>
      <c r="L1590" s="118"/>
    </row>
    <row r="1591" spans="1:12" x14ac:dyDescent="0.25">
      <c r="A1591" s="168"/>
      <c r="B1591" s="144" t="str">
        <f>'Máy thi công'!B154</f>
        <v>M9479</v>
      </c>
      <c r="C1591" s="34">
        <v>734</v>
      </c>
      <c r="D1591" s="144" t="str">
        <f>" - " &amp; 'Máy thi công'!D154</f>
        <v xml:space="preserve"> - Cần trục ô tô - sức nâng: 16 t</v>
      </c>
      <c r="E1591" s="168" t="str">
        <f>'Máy thi công'!E154</f>
        <v>ca</v>
      </c>
      <c r="F1591" s="60"/>
      <c r="G1591" s="60"/>
      <c r="H1591" s="60"/>
      <c r="I1591" s="60">
        <v>0.14399999999999999</v>
      </c>
      <c r="J1591" s="60"/>
      <c r="K1591" s="60"/>
      <c r="L1591" s="60">
        <f>ROUND(F1584*I1591,4)</f>
        <v>0.04</v>
      </c>
    </row>
    <row r="1592" spans="1:12" x14ac:dyDescent="0.25">
      <c r="A1592" s="168"/>
      <c r="B1592" s="144" t="str">
        <f>'Máy thi công'!B184</f>
        <v>M9521</v>
      </c>
      <c r="C1592" s="34">
        <v>737</v>
      </c>
      <c r="D1592" s="144" t="str">
        <f>" - " &amp; 'Máy thi công'!D184</f>
        <v xml:space="preserve"> - Máy cắt uốn cốt thép - công suất: 5 kW</v>
      </c>
      <c r="E1592" s="168" t="str">
        <f>'Máy thi công'!E184</f>
        <v>ca</v>
      </c>
      <c r="F1592" s="60"/>
      <c r="G1592" s="60"/>
      <c r="H1592" s="60"/>
      <c r="I1592" s="60">
        <v>0.4</v>
      </c>
      <c r="J1592" s="60"/>
      <c r="K1592" s="60"/>
      <c r="L1592" s="60">
        <f>ROUND(F1584*I1592,4)</f>
        <v>0.11119999999999999</v>
      </c>
    </row>
    <row r="1593" spans="1:12" ht="28.5" x14ac:dyDescent="0.25">
      <c r="A1593" s="65">
        <f>'Công trình'!A208</f>
        <v>165</v>
      </c>
      <c r="B1593" s="14" t="str">
        <f>'Công trình'!B208</f>
        <v>AF.65420</v>
      </c>
      <c r="C1593" s="94"/>
      <c r="D1593" s="14" t="str">
        <f>'Công trình'!C208</f>
        <v>Công tác sản xuất lắp dựng cốt thép bê tông tại chỗ, cốt thép dầm cầu trên cạn, D ≤18mm</v>
      </c>
      <c r="E1593" s="46" t="str">
        <f>'Công trình'!D208</f>
        <v>tấn</v>
      </c>
      <c r="F1593" s="106">
        <f>'Công trình'!K208</f>
        <v>0.122</v>
      </c>
      <c r="G1593" s="126"/>
      <c r="H1593" s="126"/>
      <c r="I1593" s="126"/>
      <c r="J1593" s="126"/>
      <c r="K1593" s="126"/>
      <c r="L1593" s="126"/>
    </row>
    <row r="1594" spans="1:12" x14ac:dyDescent="0.25">
      <c r="A1594" s="56"/>
      <c r="B1594" s="23"/>
      <c r="C1594" s="88"/>
      <c r="D1594" s="23" t="s">
        <v>479</v>
      </c>
      <c r="E1594" s="56"/>
      <c r="F1594" s="118"/>
      <c r="G1594" s="118"/>
      <c r="H1594" s="118"/>
      <c r="I1594" s="118"/>
      <c r="J1594" s="118"/>
      <c r="K1594" s="118"/>
      <c r="L1594" s="118"/>
    </row>
    <row r="1595" spans="1:12" x14ac:dyDescent="0.25">
      <c r="A1595" s="168"/>
      <c r="B1595" s="144" t="str">
        <f>'Vật liệu'!B450</f>
        <v>V00515</v>
      </c>
      <c r="C1595" s="34">
        <v>154</v>
      </c>
      <c r="D1595" s="144" t="str">
        <f>" - " &amp; 'Vật liệu'!D450</f>
        <v xml:space="preserve"> - Que hàn</v>
      </c>
      <c r="E1595" s="168" t="str">
        <f>'Vật liệu'!E450</f>
        <v>kg</v>
      </c>
      <c r="F1595" s="60"/>
      <c r="G1595" s="60">
        <v>6.5</v>
      </c>
      <c r="H1595" s="60"/>
      <c r="I1595" s="60"/>
      <c r="J1595" s="60">
        <f>ROUND(F1593*G1595,4)</f>
        <v>0.79300000000000004</v>
      </c>
      <c r="K1595" s="60"/>
      <c r="L1595" s="60"/>
    </row>
    <row r="1596" spans="1:12" x14ac:dyDescent="0.25">
      <c r="A1596" s="168"/>
      <c r="B1596" s="144" t="str">
        <f>'Vật liệu'!B221</f>
        <v>V00226</v>
      </c>
      <c r="C1596" s="34">
        <v>135</v>
      </c>
      <c r="D1596" s="144" t="str">
        <f>" - " &amp; 'Vật liệu'!D221</f>
        <v xml:space="preserve"> - Dây thép</v>
      </c>
      <c r="E1596" s="168" t="str">
        <f>'Vật liệu'!E221</f>
        <v>kg</v>
      </c>
      <c r="F1596" s="60"/>
      <c r="G1596" s="60">
        <v>14.28</v>
      </c>
      <c r="H1596" s="60"/>
      <c r="I1596" s="60"/>
      <c r="J1596" s="60">
        <f>ROUND(F1593*G1596,4)</f>
        <v>1.7422</v>
      </c>
      <c r="K1596" s="60"/>
      <c r="L1596" s="60"/>
    </row>
    <row r="1597" spans="1:12" x14ac:dyDescent="0.25">
      <c r="A1597" s="168"/>
      <c r="B1597" s="144" t="str">
        <f>'Vật liệu'!B665</f>
        <v>V48495</v>
      </c>
      <c r="C1597" s="34">
        <v>485</v>
      </c>
      <c r="D1597" s="144" t="str">
        <f>" - " &amp; 'Vật liệu'!D665</f>
        <v xml:space="preserve"> - Thép tròn đường kính &lt;=18mm</v>
      </c>
      <c r="E1597" s="168" t="str">
        <f>'Vật liệu'!E665</f>
        <v>kg</v>
      </c>
      <c r="F1597" s="60"/>
      <c r="G1597" s="60">
        <v>1020</v>
      </c>
      <c r="H1597" s="60"/>
      <c r="I1597" s="60"/>
      <c r="J1597" s="60">
        <f>ROUND(F1593*G1597,4)</f>
        <v>124.44</v>
      </c>
      <c r="K1597" s="60"/>
      <c r="L1597" s="60"/>
    </row>
    <row r="1598" spans="1:12" x14ac:dyDescent="0.25">
      <c r="A1598" s="56"/>
      <c r="B1598" s="23"/>
      <c r="C1598" s="88"/>
      <c r="D1598" s="23" t="s">
        <v>202</v>
      </c>
      <c r="E1598" s="56"/>
      <c r="F1598" s="118"/>
      <c r="G1598" s="118"/>
      <c r="H1598" s="118"/>
      <c r="I1598" s="118"/>
      <c r="J1598" s="118"/>
      <c r="K1598" s="118"/>
      <c r="L1598" s="118"/>
    </row>
    <row r="1599" spans="1:12" x14ac:dyDescent="0.25">
      <c r="A1599" s="168"/>
      <c r="B1599" s="144" t="str">
        <f>'Nhân công'!B130</f>
        <v>N0011</v>
      </c>
      <c r="C1599" s="34">
        <v>550</v>
      </c>
      <c r="D1599" s="144" t="s">
        <v>671</v>
      </c>
      <c r="E1599" s="168" t="str">
        <f>'Nhân công'!G130</f>
        <v>công</v>
      </c>
      <c r="F1599" s="60"/>
      <c r="G1599" s="60"/>
      <c r="H1599" s="60">
        <v>14.06</v>
      </c>
      <c r="I1599" s="60"/>
      <c r="J1599" s="60"/>
      <c r="K1599" s="60">
        <f>ROUND(F1593*H1599,4)</f>
        <v>1.7153</v>
      </c>
      <c r="L1599" s="60"/>
    </row>
    <row r="1600" spans="1:12" x14ac:dyDescent="0.25">
      <c r="A1600" s="56"/>
      <c r="B1600" s="23"/>
      <c r="C1600" s="88"/>
      <c r="D1600" s="23" t="s">
        <v>378</v>
      </c>
      <c r="E1600" s="56"/>
      <c r="F1600" s="118"/>
      <c r="G1600" s="118"/>
      <c r="H1600" s="118"/>
      <c r="I1600" s="118"/>
      <c r="J1600" s="118"/>
      <c r="K1600" s="118"/>
      <c r="L1600" s="118"/>
    </row>
    <row r="1601" spans="1:12" x14ac:dyDescent="0.25">
      <c r="A1601" s="168"/>
      <c r="B1601" s="144" t="str">
        <f>'Máy thi công'!B154</f>
        <v>M9479</v>
      </c>
      <c r="C1601" s="34">
        <v>734</v>
      </c>
      <c r="D1601" s="144" t="str">
        <f>" - " &amp; 'Máy thi công'!D154</f>
        <v xml:space="preserve"> - Cần trục ô tô - sức nâng: 16 t</v>
      </c>
      <c r="E1601" s="168" t="str">
        <f>'Máy thi công'!E154</f>
        <v>ca</v>
      </c>
      <c r="F1601" s="60"/>
      <c r="G1601" s="60"/>
      <c r="H1601" s="60"/>
      <c r="I1601" s="60">
        <v>0.108</v>
      </c>
      <c r="J1601" s="60"/>
      <c r="K1601" s="60"/>
      <c r="L1601" s="60">
        <f>ROUND(F1593*I1601,4)</f>
        <v>1.32E-2</v>
      </c>
    </row>
    <row r="1602" spans="1:12" x14ac:dyDescent="0.25">
      <c r="A1602" s="168"/>
      <c r="B1602" s="144" t="str">
        <f>'Máy thi công'!B184</f>
        <v>M9521</v>
      </c>
      <c r="C1602" s="34">
        <v>737</v>
      </c>
      <c r="D1602" s="144" t="str">
        <f>" - " &amp; 'Máy thi công'!D184</f>
        <v xml:space="preserve"> - Máy cắt uốn cốt thép - công suất: 5 kW</v>
      </c>
      <c r="E1602" s="168" t="str">
        <f>'Máy thi công'!E184</f>
        <v>ca</v>
      </c>
      <c r="F1602" s="60"/>
      <c r="G1602" s="60"/>
      <c r="H1602" s="60"/>
      <c r="I1602" s="60">
        <v>0.32</v>
      </c>
      <c r="J1602" s="60"/>
      <c r="K1602" s="60"/>
      <c r="L1602" s="60">
        <f>ROUND(F1593*I1602,4)</f>
        <v>3.9E-2</v>
      </c>
    </row>
    <row r="1603" spans="1:12" x14ac:dyDescent="0.25">
      <c r="A1603" s="168"/>
      <c r="B1603" s="144" t="str">
        <f>'Máy thi công'!B6</f>
        <v>M9438</v>
      </c>
      <c r="C1603" s="34">
        <v>714</v>
      </c>
      <c r="D1603" s="144" t="str">
        <f>" - " &amp; 'Máy thi công'!D6</f>
        <v xml:space="preserve"> - Biến thế hàn xoay chiều - công suất: 23 kW</v>
      </c>
      <c r="E1603" s="168" t="str">
        <f>'Máy thi công'!E6</f>
        <v>ca</v>
      </c>
      <c r="F1603" s="60"/>
      <c r="G1603" s="60"/>
      <c r="H1603" s="60"/>
      <c r="I1603" s="60">
        <v>1.6</v>
      </c>
      <c r="J1603" s="60"/>
      <c r="K1603" s="60"/>
      <c r="L1603" s="60">
        <f>ROUND(F1593*I1603,4)</f>
        <v>0.19520000000000001</v>
      </c>
    </row>
    <row r="1604" spans="1:12" ht="28.5" x14ac:dyDescent="0.25">
      <c r="A1604" s="65">
        <f>'Công trình'!A210</f>
        <v>166</v>
      </c>
      <c r="B1604" s="14" t="str">
        <f>'Công trình'!B210</f>
        <v>AF.65430</v>
      </c>
      <c r="C1604" s="94"/>
      <c r="D1604" s="14" t="str">
        <f>'Công trình'!C210</f>
        <v>Công tác sản xuất lắp dựng cốt thép bê tông tại chỗ, cốt thép dầm cầu trên cạn, D &gt;18mm</v>
      </c>
      <c r="E1604" s="46" t="str">
        <f>'Công trình'!D210</f>
        <v>tấn</v>
      </c>
      <c r="F1604" s="106">
        <f>'Công trình'!K210</f>
        <v>0.2127</v>
      </c>
      <c r="G1604" s="126"/>
      <c r="H1604" s="126"/>
      <c r="I1604" s="126"/>
      <c r="J1604" s="126"/>
      <c r="K1604" s="126"/>
      <c r="L1604" s="126"/>
    </row>
    <row r="1605" spans="1:12" x14ac:dyDescent="0.25">
      <c r="A1605" s="56"/>
      <c r="B1605" s="23"/>
      <c r="C1605" s="88"/>
      <c r="D1605" s="23" t="s">
        <v>479</v>
      </c>
      <c r="E1605" s="56"/>
      <c r="F1605" s="118"/>
      <c r="G1605" s="118"/>
      <c r="H1605" s="118"/>
      <c r="I1605" s="118"/>
      <c r="J1605" s="118"/>
      <c r="K1605" s="118"/>
      <c r="L1605" s="118"/>
    </row>
    <row r="1606" spans="1:12" x14ac:dyDescent="0.25">
      <c r="A1606" s="168"/>
      <c r="B1606" s="144" t="str">
        <f>'Vật liệu'!B450</f>
        <v>V00515</v>
      </c>
      <c r="C1606" s="34">
        <v>154</v>
      </c>
      <c r="D1606" s="144" t="str">
        <f>" - " &amp; 'Vật liệu'!D450</f>
        <v xml:space="preserve"> - Que hàn</v>
      </c>
      <c r="E1606" s="168" t="str">
        <f>'Vật liệu'!E450</f>
        <v>kg</v>
      </c>
      <c r="F1606" s="60"/>
      <c r="G1606" s="60">
        <v>6.93</v>
      </c>
      <c r="H1606" s="60"/>
      <c r="I1606" s="60"/>
      <c r="J1606" s="60">
        <f>ROUND(F1604*G1606,4)</f>
        <v>1.474</v>
      </c>
      <c r="K1606" s="60"/>
      <c r="L1606" s="60"/>
    </row>
    <row r="1607" spans="1:12" x14ac:dyDescent="0.25">
      <c r="A1607" s="168"/>
      <c r="B1607" s="144" t="str">
        <f>'Vật liệu'!B221</f>
        <v>V00226</v>
      </c>
      <c r="C1607" s="34">
        <v>135</v>
      </c>
      <c r="D1607" s="144" t="str">
        <f>" - " &amp; 'Vật liệu'!D221</f>
        <v xml:space="preserve"> - Dây thép</v>
      </c>
      <c r="E1607" s="168" t="str">
        <f>'Vật liệu'!E221</f>
        <v>kg</v>
      </c>
      <c r="F1607" s="60"/>
      <c r="G1607" s="60">
        <v>14.28</v>
      </c>
      <c r="H1607" s="60"/>
      <c r="I1607" s="60"/>
      <c r="J1607" s="60">
        <f>ROUND(F1604*G1607,4)</f>
        <v>3.0373999999999999</v>
      </c>
      <c r="K1607" s="60"/>
      <c r="L1607" s="60"/>
    </row>
    <row r="1608" spans="1:12" x14ac:dyDescent="0.25">
      <c r="A1608" s="168"/>
      <c r="B1608" s="144" t="str">
        <f>'Vật liệu'!B689</f>
        <v>V48498</v>
      </c>
      <c r="C1608" s="34">
        <v>488</v>
      </c>
      <c r="D1608" s="144" t="str">
        <f>" - " &amp; 'Vật liệu'!D689</f>
        <v xml:space="preserve"> - Thép tròn đường kính &gt;18mm</v>
      </c>
      <c r="E1608" s="168" t="str">
        <f>'Vật liệu'!E689</f>
        <v>kg</v>
      </c>
      <c r="F1608" s="60"/>
      <c r="G1608" s="60">
        <v>1020</v>
      </c>
      <c r="H1608" s="60"/>
      <c r="I1608" s="60"/>
      <c r="J1608" s="60">
        <f>ROUND(F1604*G1608,4)</f>
        <v>216.95400000000001</v>
      </c>
      <c r="K1608" s="60"/>
      <c r="L1608" s="60"/>
    </row>
    <row r="1609" spans="1:12" x14ac:dyDescent="0.25">
      <c r="A1609" s="56"/>
      <c r="B1609" s="23"/>
      <c r="C1609" s="88"/>
      <c r="D1609" s="23" t="s">
        <v>202</v>
      </c>
      <c r="E1609" s="56"/>
      <c r="F1609" s="118"/>
      <c r="G1609" s="118"/>
      <c r="H1609" s="118"/>
      <c r="I1609" s="118"/>
      <c r="J1609" s="118"/>
      <c r="K1609" s="118"/>
      <c r="L1609" s="118"/>
    </row>
    <row r="1610" spans="1:12" x14ac:dyDescent="0.25">
      <c r="A1610" s="168"/>
      <c r="B1610" s="144" t="str">
        <f>'Nhân công'!B130</f>
        <v>N0011</v>
      </c>
      <c r="C1610" s="34">
        <v>550</v>
      </c>
      <c r="D1610" s="144" t="s">
        <v>671</v>
      </c>
      <c r="E1610" s="168" t="str">
        <f>'Nhân công'!G130</f>
        <v>công</v>
      </c>
      <c r="F1610" s="60"/>
      <c r="G1610" s="60"/>
      <c r="H1610" s="60">
        <v>11.7</v>
      </c>
      <c r="I1610" s="60"/>
      <c r="J1610" s="60"/>
      <c r="K1610" s="60">
        <f>ROUND(F1604*H1610,4)</f>
        <v>2.4885999999999999</v>
      </c>
      <c r="L1610" s="60"/>
    </row>
    <row r="1611" spans="1:12" x14ac:dyDescent="0.25">
      <c r="A1611" s="56"/>
      <c r="B1611" s="23"/>
      <c r="C1611" s="88"/>
      <c r="D1611" s="23" t="s">
        <v>378</v>
      </c>
      <c r="E1611" s="56"/>
      <c r="F1611" s="118"/>
      <c r="G1611" s="118"/>
      <c r="H1611" s="118"/>
      <c r="I1611" s="118"/>
      <c r="J1611" s="118"/>
      <c r="K1611" s="118"/>
      <c r="L1611" s="118"/>
    </row>
    <row r="1612" spans="1:12" x14ac:dyDescent="0.25">
      <c r="A1612" s="168"/>
      <c r="B1612" s="144" t="str">
        <f>'Máy thi công'!B154</f>
        <v>M9479</v>
      </c>
      <c r="C1612" s="34">
        <v>734</v>
      </c>
      <c r="D1612" s="144" t="str">
        <f>" - " &amp; 'Máy thi công'!D154</f>
        <v xml:space="preserve"> - Cần trục ô tô - sức nâng: 16 t</v>
      </c>
      <c r="E1612" s="168" t="str">
        <f>'Máy thi công'!E154</f>
        <v>ca</v>
      </c>
      <c r="F1612" s="60"/>
      <c r="G1612" s="60"/>
      <c r="H1612" s="60"/>
      <c r="I1612" s="60">
        <v>9.6000000000000002E-2</v>
      </c>
      <c r="J1612" s="60"/>
      <c r="K1612" s="60"/>
      <c r="L1612" s="60">
        <f>ROUND(F1604*I1612,4)</f>
        <v>2.0400000000000001E-2</v>
      </c>
    </row>
    <row r="1613" spans="1:12" x14ac:dyDescent="0.25">
      <c r="A1613" s="168"/>
      <c r="B1613" s="144" t="str">
        <f>'Máy thi công'!B184</f>
        <v>M9521</v>
      </c>
      <c r="C1613" s="34">
        <v>737</v>
      </c>
      <c r="D1613" s="144" t="str">
        <f>" - " &amp; 'Máy thi công'!D184</f>
        <v xml:space="preserve"> - Máy cắt uốn cốt thép - công suất: 5 kW</v>
      </c>
      <c r="E1613" s="168" t="str">
        <f>'Máy thi công'!E184</f>
        <v>ca</v>
      </c>
      <c r="F1613" s="60"/>
      <c r="G1613" s="60"/>
      <c r="H1613" s="60"/>
      <c r="I1613" s="60">
        <v>0.16</v>
      </c>
      <c r="J1613" s="60"/>
      <c r="K1613" s="60"/>
      <c r="L1613" s="60">
        <f>ROUND(F1604*I1613,4)</f>
        <v>3.4000000000000002E-2</v>
      </c>
    </row>
    <row r="1614" spans="1:12" x14ac:dyDescent="0.25">
      <c r="A1614" s="168"/>
      <c r="B1614" s="144" t="str">
        <f>'Máy thi công'!B6</f>
        <v>M9438</v>
      </c>
      <c r="C1614" s="34">
        <v>714</v>
      </c>
      <c r="D1614" s="144" t="str">
        <f>" - " &amp; 'Máy thi công'!D6</f>
        <v xml:space="preserve"> - Biến thế hàn xoay chiều - công suất: 23 kW</v>
      </c>
      <c r="E1614" s="168" t="str">
        <f>'Máy thi công'!E6</f>
        <v>ca</v>
      </c>
      <c r="F1614" s="60"/>
      <c r="G1614" s="60"/>
      <c r="H1614" s="60"/>
      <c r="I1614" s="60">
        <v>1.73</v>
      </c>
      <c r="J1614" s="60"/>
      <c r="K1614" s="60"/>
      <c r="L1614" s="60">
        <f>ROUND(F1604*I1614,4)</f>
        <v>0.36799999999999999</v>
      </c>
    </row>
    <row r="1615" spans="1:12" x14ac:dyDescent="0.25">
      <c r="A1615" s="65">
        <f>'Công trình'!A213</f>
        <v>167</v>
      </c>
      <c r="B1615" s="14" t="str">
        <f>'Công trình'!B213</f>
        <v>AL.25121</v>
      </c>
      <c r="C1615" s="94"/>
      <c r="D1615" s="14" t="str">
        <f>'Công trình'!C213</f>
        <v>Lắp đặt khe co giãn dầm liên tục</v>
      </c>
      <c r="E1615" s="46" t="str">
        <f>'Công trình'!D213</f>
        <v>m</v>
      </c>
      <c r="F1615" s="106">
        <f>'Công trình'!K213</f>
        <v>12</v>
      </c>
      <c r="G1615" s="126"/>
      <c r="H1615" s="126"/>
      <c r="I1615" s="126"/>
      <c r="J1615" s="126"/>
      <c r="K1615" s="126"/>
      <c r="L1615" s="126"/>
    </row>
    <row r="1616" spans="1:12" x14ac:dyDescent="0.25">
      <c r="A1616" s="56"/>
      <c r="B1616" s="23"/>
      <c r="C1616" s="88"/>
      <c r="D1616" s="23" t="s">
        <v>479</v>
      </c>
      <c r="E1616" s="56"/>
      <c r="F1616" s="118"/>
      <c r="G1616" s="118"/>
      <c r="H1616" s="118"/>
      <c r="I1616" s="118"/>
      <c r="J1616" s="118"/>
      <c r="K1616" s="118"/>
      <c r="L1616" s="118"/>
    </row>
    <row r="1617" spans="1:12" x14ac:dyDescent="0.25">
      <c r="A1617" s="168"/>
      <c r="B1617" s="144" t="str">
        <f>'Vật liệu'!B333</f>
        <v>V08518</v>
      </c>
      <c r="C1617" s="34">
        <v>439</v>
      </c>
      <c r="D1617" s="144" t="str">
        <f>" - " &amp; 'Vật liệu'!D333</f>
        <v xml:space="preserve"> - Khe co giãn</v>
      </c>
      <c r="E1617" s="168" t="str">
        <f>'Vật liệu'!E333</f>
        <v>m</v>
      </c>
      <c r="F1617" s="60"/>
      <c r="G1617" s="60">
        <v>1.05</v>
      </c>
      <c r="H1617" s="60"/>
      <c r="I1617" s="60"/>
      <c r="J1617" s="60">
        <f>ROUND(F1615*G1617,4)</f>
        <v>12.6</v>
      </c>
      <c r="K1617" s="60"/>
      <c r="L1617" s="60"/>
    </row>
    <row r="1618" spans="1:12" x14ac:dyDescent="0.25">
      <c r="A1618" s="168"/>
      <c r="B1618" s="144" t="str">
        <f>'Vật liệu'!B766</f>
        <v>V00750</v>
      </c>
      <c r="C1618" s="34">
        <v>290</v>
      </c>
      <c r="D1618" s="144" t="str">
        <f>" - " &amp; 'Vật liệu'!D766</f>
        <v xml:space="preserve"> - Vật liệu khác</v>
      </c>
      <c r="E1618" s="168" t="str">
        <f>'Vật liệu'!E766</f>
        <v>%</v>
      </c>
      <c r="F1618" s="60"/>
      <c r="G1618" s="60">
        <v>1</v>
      </c>
      <c r="H1618" s="60"/>
      <c r="I1618" s="60"/>
      <c r="J1618" s="60"/>
      <c r="K1618" s="60"/>
      <c r="L1618" s="60"/>
    </row>
    <row r="1619" spans="1:12" x14ac:dyDescent="0.25">
      <c r="A1619" s="56"/>
      <c r="B1619" s="23"/>
      <c r="C1619" s="88"/>
      <c r="D1619" s="23" t="s">
        <v>202</v>
      </c>
      <c r="E1619" s="56"/>
      <c r="F1619" s="118"/>
      <c r="G1619" s="118"/>
      <c r="H1619" s="118"/>
      <c r="I1619" s="118"/>
      <c r="J1619" s="118"/>
      <c r="K1619" s="118"/>
      <c r="L1619" s="118"/>
    </row>
    <row r="1620" spans="1:12" x14ac:dyDescent="0.25">
      <c r="A1620" s="168"/>
      <c r="B1620" s="144" t="str">
        <f>'Nhân công'!B185</f>
        <v>N0020</v>
      </c>
      <c r="C1620" s="34">
        <v>555</v>
      </c>
      <c r="D1620" s="144" t="s">
        <v>625</v>
      </c>
      <c r="E1620" s="168" t="str">
        <f>'Nhân công'!G185</f>
        <v>công</v>
      </c>
      <c r="F1620" s="60"/>
      <c r="G1620" s="60"/>
      <c r="H1620" s="60">
        <v>1.2</v>
      </c>
      <c r="I1620" s="60"/>
      <c r="J1620" s="60"/>
      <c r="K1620" s="60">
        <f>ROUND(F1615*H1620,4)</f>
        <v>14.4</v>
      </c>
      <c r="L1620" s="60"/>
    </row>
    <row r="1621" spans="1:12" x14ac:dyDescent="0.25">
      <c r="A1621" s="65">
        <f>'Công trình'!A214</f>
        <v>168</v>
      </c>
      <c r="B1621" s="14" t="str">
        <f>'Công trình'!B214</f>
        <v>TT</v>
      </c>
      <c r="C1621" s="94"/>
      <c r="D1621" s="14" t="str">
        <f>'Công trình'!C214</f>
        <v>Bulông M16</v>
      </c>
      <c r="E1621" s="46" t="str">
        <f>'Công trình'!D214</f>
        <v>cái</v>
      </c>
      <c r="F1621" s="106">
        <f>'Công trình'!K214</f>
        <v>116</v>
      </c>
      <c r="G1621" s="126"/>
      <c r="H1621" s="126"/>
      <c r="I1621" s="126"/>
      <c r="J1621" s="126"/>
      <c r="K1621" s="126"/>
      <c r="L1621" s="126"/>
    </row>
    <row r="1622" spans="1:12" x14ac:dyDescent="0.25">
      <c r="A1622" s="56"/>
      <c r="B1622" s="23"/>
      <c r="C1622" s="88"/>
      <c r="D1622" s="23" t="s">
        <v>479</v>
      </c>
      <c r="E1622" s="56"/>
      <c r="F1622" s="118"/>
      <c r="G1622" s="118"/>
      <c r="H1622" s="118"/>
      <c r="I1622" s="118"/>
      <c r="J1622" s="118"/>
      <c r="K1622" s="118"/>
      <c r="L1622" s="118"/>
    </row>
    <row r="1623" spans="1:12" x14ac:dyDescent="0.25">
      <c r="A1623" s="168"/>
      <c r="B1623" s="144" t="str">
        <f>'Vật liệu'!B36</f>
        <v>V14859</v>
      </c>
      <c r="C1623" s="34">
        <v>462</v>
      </c>
      <c r="D1623" s="144" t="str">
        <f>" - " &amp; 'Vật liệu'!D36</f>
        <v xml:space="preserve"> - Bulông M16</v>
      </c>
      <c r="E1623" s="168" t="str">
        <f>'Vật liệu'!E36</f>
        <v>Bộ</v>
      </c>
      <c r="F1623" s="60"/>
      <c r="G1623" s="60">
        <v>1</v>
      </c>
      <c r="H1623" s="60"/>
      <c r="I1623" s="60"/>
      <c r="J1623" s="60">
        <f>ROUND(F1621*G1623,4)</f>
        <v>116</v>
      </c>
      <c r="K1623" s="60"/>
      <c r="L1623" s="60"/>
    </row>
    <row r="1624" spans="1:12" x14ac:dyDescent="0.25">
      <c r="A1624" s="65">
        <f>'Công trình'!A215</f>
        <v>169</v>
      </c>
      <c r="B1624" s="14" t="str">
        <f>'Công trình'!B215</f>
        <v>TT</v>
      </c>
      <c r="C1624" s="94"/>
      <c r="D1624" s="14" t="str">
        <f>'Công trình'!C215</f>
        <v>Keo Epoxy</v>
      </c>
      <c r="E1624" s="46" t="str">
        <f>'Công trình'!D215</f>
        <v>lít</v>
      </c>
      <c r="F1624" s="106">
        <f>'Công trình'!K215</f>
        <v>0.37</v>
      </c>
      <c r="G1624" s="126"/>
      <c r="H1624" s="126"/>
      <c r="I1624" s="126"/>
      <c r="J1624" s="126"/>
      <c r="K1624" s="126"/>
      <c r="L1624" s="126"/>
    </row>
    <row r="1625" spans="1:12" x14ac:dyDescent="0.25">
      <c r="A1625" s="56"/>
      <c r="B1625" s="23"/>
      <c r="C1625" s="88"/>
      <c r="D1625" s="23" t="s">
        <v>479</v>
      </c>
      <c r="E1625" s="56"/>
      <c r="F1625" s="118"/>
      <c r="G1625" s="118"/>
      <c r="H1625" s="118"/>
      <c r="I1625" s="118"/>
      <c r="J1625" s="118"/>
      <c r="K1625" s="118"/>
      <c r="L1625" s="118"/>
    </row>
    <row r="1626" spans="1:12" x14ac:dyDescent="0.25">
      <c r="A1626" s="168"/>
      <c r="B1626" s="144" t="str">
        <f>'Vật liệu'!B331</f>
        <v>epx</v>
      </c>
      <c r="C1626" s="34">
        <v>528</v>
      </c>
      <c r="D1626" s="144" t="str">
        <f>" - " &amp; 'Vật liệu'!D331</f>
        <v xml:space="preserve"> - Keo Epoxy</v>
      </c>
      <c r="E1626" s="168" t="str">
        <f>'Vật liệu'!E331</f>
        <v>lit</v>
      </c>
      <c r="F1626" s="60"/>
      <c r="G1626" s="60">
        <v>1</v>
      </c>
      <c r="H1626" s="60"/>
      <c r="I1626" s="60"/>
      <c r="J1626" s="60">
        <f>ROUND(F1624*G1626,4)</f>
        <v>0.37</v>
      </c>
      <c r="K1626" s="60"/>
      <c r="L1626" s="60"/>
    </row>
    <row r="1627" spans="1:12" x14ac:dyDescent="0.25">
      <c r="A1627" s="65">
        <f>'Công trình'!A216</f>
        <v>170</v>
      </c>
      <c r="B1627" s="14" t="str">
        <f>'Công trình'!B216</f>
        <v>TT</v>
      </c>
      <c r="C1627" s="94"/>
      <c r="D1627" s="14" t="str">
        <f>'Công trình'!C216</f>
        <v>Sika</v>
      </c>
      <c r="E1627" s="46" t="str">
        <f>'Công trình'!D216</f>
        <v>m²</v>
      </c>
      <c r="F1627" s="106">
        <f>'Công trình'!K216</f>
        <v>7.14</v>
      </c>
      <c r="G1627" s="126"/>
      <c r="H1627" s="126"/>
      <c r="I1627" s="126"/>
      <c r="J1627" s="126"/>
      <c r="K1627" s="126"/>
      <c r="L1627" s="126"/>
    </row>
    <row r="1628" spans="1:12" x14ac:dyDescent="0.25">
      <c r="A1628" s="56"/>
      <c r="B1628" s="23"/>
      <c r="C1628" s="88"/>
      <c r="D1628" s="23" t="s">
        <v>479</v>
      </c>
      <c r="E1628" s="56"/>
      <c r="F1628" s="118"/>
      <c r="G1628" s="118"/>
      <c r="H1628" s="118"/>
      <c r="I1628" s="118"/>
      <c r="J1628" s="118"/>
      <c r="K1628" s="118"/>
      <c r="L1628" s="118"/>
    </row>
    <row r="1629" spans="1:12" x14ac:dyDescent="0.25">
      <c r="A1629" s="168"/>
      <c r="B1629" s="144" t="str">
        <f>'Vật liệu'!B531</f>
        <v>sk</v>
      </c>
      <c r="C1629" s="34">
        <v>544</v>
      </c>
      <c r="D1629" s="144" t="str">
        <f>" - " &amp; 'Vật liệu'!D531</f>
        <v xml:space="preserve"> - Sika</v>
      </c>
      <c r="E1629" s="168" t="str">
        <f>'Vật liệu'!E531</f>
        <v>m2</v>
      </c>
      <c r="F1629" s="60"/>
      <c r="G1629" s="60">
        <v>1</v>
      </c>
      <c r="H1629" s="60"/>
      <c r="I1629" s="60"/>
      <c r="J1629" s="60">
        <f>ROUND(F1627*G1629,4)</f>
        <v>7.14</v>
      </c>
      <c r="K1629" s="60"/>
      <c r="L1629" s="60"/>
    </row>
    <row r="1630" spans="1:12" x14ac:dyDescent="0.25">
      <c r="A1630" s="65">
        <f>'Công trình'!A217</f>
        <v>171</v>
      </c>
      <c r="B1630" s="14" t="str">
        <f>'Công trình'!B217</f>
        <v>AF.11215</v>
      </c>
      <c r="C1630" s="94"/>
      <c r="D1630" s="14" t="str">
        <f>'Công trình'!C217</f>
        <v>BT M300 đổ sau có phụ gia</v>
      </c>
      <c r="E1630" s="46" t="str">
        <f>'Công trình'!D217</f>
        <v>m3</v>
      </c>
      <c r="F1630" s="106">
        <f>'Công trình'!K217</f>
        <v>1.1299999999999999</v>
      </c>
      <c r="G1630" s="126"/>
      <c r="H1630" s="126"/>
      <c r="I1630" s="126"/>
      <c r="J1630" s="126"/>
      <c r="K1630" s="126"/>
      <c r="L1630" s="126"/>
    </row>
    <row r="1631" spans="1:12" x14ac:dyDescent="0.25">
      <c r="A1631" s="56"/>
      <c r="B1631" s="23"/>
      <c r="C1631" s="88"/>
      <c r="D1631" s="23" t="s">
        <v>479</v>
      </c>
      <c r="E1631" s="56"/>
      <c r="F1631" s="118"/>
      <c r="G1631" s="118"/>
      <c r="H1631" s="118"/>
      <c r="I1631" s="118"/>
      <c r="J1631" s="118"/>
      <c r="K1631" s="118"/>
      <c r="L1631" s="118"/>
    </row>
    <row r="1632" spans="1:12" x14ac:dyDescent="0.25">
      <c r="A1632" s="168"/>
      <c r="B1632" s="144" t="str">
        <f>'Vật liệu'!B763</f>
        <v>V08770</v>
      </c>
      <c r="C1632" s="34">
        <v>442</v>
      </c>
      <c r="D1632" s="144" t="str">
        <f>" - " &amp; 'Vật liệu'!D763</f>
        <v xml:space="preserve"> - Xi măng PCB40</v>
      </c>
      <c r="E1632" s="168" t="str">
        <f>'Vật liệu'!E763</f>
        <v>kg</v>
      </c>
      <c r="F1632" s="60"/>
      <c r="G1632" s="60">
        <v>401.8</v>
      </c>
      <c r="H1632" s="60"/>
      <c r="I1632" s="60"/>
      <c r="J1632" s="60">
        <f>ROUND(F1630*G1632,4)</f>
        <v>454.03399999999999</v>
      </c>
      <c r="K1632" s="60"/>
      <c r="L1632" s="60"/>
    </row>
    <row r="1633" spans="1:12" x14ac:dyDescent="0.25">
      <c r="A1633" s="168"/>
      <c r="B1633" s="144" t="str">
        <f>'Vật liệu'!B54</f>
        <v>V00112</v>
      </c>
      <c r="C1633" s="34">
        <v>125</v>
      </c>
      <c r="D1633" s="144" t="str">
        <f>" - " &amp; 'Vật liệu'!D54</f>
        <v xml:space="preserve"> - Cát vàng</v>
      </c>
      <c r="E1633" s="168" t="str">
        <f>'Vật liệu'!E54</f>
        <v>m3</v>
      </c>
      <c r="F1633" s="60"/>
      <c r="G1633" s="60">
        <v>0.47970000000000002</v>
      </c>
      <c r="H1633" s="60"/>
      <c r="I1633" s="60"/>
      <c r="J1633" s="60">
        <f>ROUND(F1630*G1633,4)</f>
        <v>0.54210000000000003</v>
      </c>
      <c r="K1633" s="60"/>
      <c r="L1633" s="60"/>
    </row>
    <row r="1634" spans="1:12" x14ac:dyDescent="0.25">
      <c r="A1634" s="168"/>
      <c r="B1634" s="144" t="str">
        <f>'Vật liệu'!B179</f>
        <v>V00811</v>
      </c>
      <c r="C1634" s="34">
        <v>404</v>
      </c>
      <c r="D1634" s="144" t="str">
        <f>" - " &amp; 'Vật liệu'!D179</f>
        <v xml:space="preserve"> - Đá dăm 1x2</v>
      </c>
      <c r="E1634" s="168" t="str">
        <f>'Vật liệu'!E179</f>
        <v>m3</v>
      </c>
      <c r="F1634" s="60"/>
      <c r="G1634" s="60">
        <v>0.80459999999999998</v>
      </c>
      <c r="H1634" s="60"/>
      <c r="I1634" s="60"/>
      <c r="J1634" s="60">
        <f>ROUND(F1630*G1634,4)</f>
        <v>0.90920000000000001</v>
      </c>
      <c r="K1634" s="60"/>
      <c r="L1634" s="60"/>
    </row>
    <row r="1635" spans="1:12" x14ac:dyDescent="0.25">
      <c r="A1635" s="168"/>
      <c r="B1635" s="144" t="str">
        <f>'Vật liệu'!B353</f>
        <v>V00494</v>
      </c>
      <c r="C1635" s="34">
        <v>148</v>
      </c>
      <c r="D1635" s="144" t="str">
        <f>" - " &amp; 'Vật liệu'!D353</f>
        <v xml:space="preserve"> - Nước</v>
      </c>
      <c r="E1635" s="168" t="str">
        <f>'Vật liệu'!E353</f>
        <v>lít</v>
      </c>
      <c r="F1635" s="60"/>
      <c r="G1635" s="60">
        <v>199.875</v>
      </c>
      <c r="H1635" s="60"/>
      <c r="I1635" s="60"/>
      <c r="J1635" s="60">
        <f>ROUND(F1630*G1635,4)</f>
        <v>225.8588</v>
      </c>
      <c r="K1635" s="60"/>
      <c r="L1635" s="60"/>
    </row>
    <row r="1636" spans="1:12" x14ac:dyDescent="0.25">
      <c r="A1636" s="168"/>
      <c r="B1636" s="144" t="str">
        <f>'Vật liệu'!B446</f>
        <v>V00509</v>
      </c>
      <c r="C1636" s="34">
        <v>151</v>
      </c>
      <c r="D1636" s="144" t="str">
        <f>" - " &amp; 'Vật liệu'!D446</f>
        <v xml:space="preserve"> - Phụ gia dẻo hoá bê tông PC40</v>
      </c>
      <c r="E1636" s="168" t="str">
        <f>'Vật liệu'!E446</f>
        <v>kg</v>
      </c>
      <c r="F1636" s="60"/>
      <c r="G1636" s="60">
        <v>20.09</v>
      </c>
      <c r="H1636" s="60"/>
      <c r="I1636" s="60"/>
      <c r="J1636" s="60">
        <f>ROUND(F1630*G1636,4)</f>
        <v>22.701699999999999</v>
      </c>
      <c r="K1636" s="60"/>
      <c r="L1636" s="60"/>
    </row>
    <row r="1637" spans="1:12" x14ac:dyDescent="0.25">
      <c r="A1637" s="168"/>
      <c r="B1637" s="144" t="str">
        <f>'Vật liệu'!B766</f>
        <v>V00750</v>
      </c>
      <c r="C1637" s="34">
        <v>291</v>
      </c>
      <c r="D1637" s="144" t="str">
        <f>" - " &amp; 'Vật liệu'!D766</f>
        <v xml:space="preserve"> - Vật liệu khác</v>
      </c>
      <c r="E1637" s="168" t="str">
        <f>'Vật liệu'!E766</f>
        <v>%</v>
      </c>
      <c r="F1637" s="60"/>
      <c r="G1637" s="60">
        <v>1</v>
      </c>
      <c r="H1637" s="60"/>
      <c r="I1637" s="60"/>
      <c r="J1637" s="60"/>
      <c r="K1637" s="60"/>
      <c r="L1637" s="60"/>
    </row>
    <row r="1638" spans="1:12" x14ac:dyDescent="0.25">
      <c r="A1638" s="56"/>
      <c r="B1638" s="23"/>
      <c r="C1638" s="88"/>
      <c r="D1638" s="23" t="s">
        <v>202</v>
      </c>
      <c r="E1638" s="56"/>
      <c r="F1638" s="118"/>
      <c r="G1638" s="118"/>
      <c r="H1638" s="118"/>
      <c r="I1638" s="118"/>
      <c r="J1638" s="118"/>
      <c r="K1638" s="118"/>
      <c r="L1638" s="118"/>
    </row>
    <row r="1639" spans="1:12" x14ac:dyDescent="0.25">
      <c r="A1639" s="168"/>
      <c r="B1639" s="144" t="str">
        <f>'Nhân công'!B6</f>
        <v>N0006</v>
      </c>
      <c r="C1639" s="34">
        <v>545</v>
      </c>
      <c r="D1639" s="144" t="s">
        <v>256</v>
      </c>
      <c r="E1639" s="168" t="str">
        <f>'Nhân công'!G6</f>
        <v>công</v>
      </c>
      <c r="F1639" s="60"/>
      <c r="G1639" s="60"/>
      <c r="H1639" s="60">
        <v>1.64</v>
      </c>
      <c r="I1639" s="60"/>
      <c r="J1639" s="60"/>
      <c r="K1639" s="60">
        <f>ROUND(F1630*H1639,4)</f>
        <v>1.8532</v>
      </c>
      <c r="L1639" s="60"/>
    </row>
    <row r="1640" spans="1:12" x14ac:dyDescent="0.25">
      <c r="A1640" s="56"/>
      <c r="B1640" s="23"/>
      <c r="C1640" s="88"/>
      <c r="D1640" s="23" t="s">
        <v>378</v>
      </c>
      <c r="E1640" s="56"/>
      <c r="F1640" s="118"/>
      <c r="G1640" s="118"/>
      <c r="H1640" s="118"/>
      <c r="I1640" s="118"/>
      <c r="J1640" s="118"/>
      <c r="K1640" s="118"/>
      <c r="L1640" s="118"/>
    </row>
    <row r="1641" spans="1:12" x14ac:dyDescent="0.25">
      <c r="A1641" s="168"/>
      <c r="B1641" s="144" t="str">
        <f>'Máy thi công'!B232</f>
        <v>M9571</v>
      </c>
      <c r="C1641" s="34">
        <v>750</v>
      </c>
      <c r="D1641" s="144" t="str">
        <f>" - " &amp; 'Máy thi công'!D232</f>
        <v xml:space="preserve"> - Máy đầm bê tông, dầm dùi - công suất: 1,5 kW</v>
      </c>
      <c r="E1641" s="168" t="str">
        <f>'Máy thi công'!E232</f>
        <v>ca</v>
      </c>
      <c r="F1641" s="60"/>
      <c r="G1641" s="60"/>
      <c r="H1641" s="60"/>
      <c r="I1641" s="60">
        <v>8.8999999999999996E-2</v>
      </c>
      <c r="J1641" s="60"/>
      <c r="K1641" s="60"/>
      <c r="L1641" s="60">
        <f>ROUND(F1630*I1641,4)</f>
        <v>0.10059999999999999</v>
      </c>
    </row>
    <row r="1642" spans="1:12" x14ac:dyDescent="0.25">
      <c r="A1642" s="168"/>
      <c r="B1642" s="144" t="str">
        <f>'Máy thi công'!B306</f>
        <v>M9555</v>
      </c>
      <c r="C1642" s="34">
        <v>744</v>
      </c>
      <c r="D1642" s="144" t="str">
        <f>" - " &amp; 'Máy thi công'!D306</f>
        <v xml:space="preserve"> - Máy trộn bê tông - dung tích: 250 lít</v>
      </c>
      <c r="E1642" s="168" t="str">
        <f>'Máy thi công'!E306</f>
        <v>ca</v>
      </c>
      <c r="F1642" s="60"/>
      <c r="G1642" s="60"/>
      <c r="H1642" s="60"/>
      <c r="I1642" s="60">
        <v>9.5000000000000001E-2</v>
      </c>
      <c r="J1642" s="60"/>
      <c r="K1642" s="60"/>
      <c r="L1642" s="60">
        <f>ROUND(F1630*I1642,4)</f>
        <v>0.1074</v>
      </c>
    </row>
    <row r="1643" spans="1:12" ht="28.5" x14ac:dyDescent="0.25">
      <c r="A1643" s="65">
        <f>'Công trình'!A218</f>
        <v>172</v>
      </c>
      <c r="B1643" s="14" t="str">
        <f>'Công trình'!B218</f>
        <v>AF.61120</v>
      </c>
      <c r="C1643" s="94"/>
      <c r="D1643" s="14" t="str">
        <f>'Công trình'!C218</f>
        <v>Sản xuất, lắp dựng cốt thép móng đường kính &lt;=18mm</v>
      </c>
      <c r="E1643" s="46" t="str">
        <f>'Công trình'!D218</f>
        <v>tấn</v>
      </c>
      <c r="F1643" s="106">
        <f>'Công trình'!K218</f>
        <v>0.31090000000000001</v>
      </c>
      <c r="G1643" s="126"/>
      <c r="H1643" s="126"/>
      <c r="I1643" s="126"/>
      <c r="J1643" s="126"/>
      <c r="K1643" s="126"/>
      <c r="L1643" s="126"/>
    </row>
    <row r="1644" spans="1:12" x14ac:dyDescent="0.25">
      <c r="A1644" s="56"/>
      <c r="B1644" s="23"/>
      <c r="C1644" s="88"/>
      <c r="D1644" s="23" t="s">
        <v>479</v>
      </c>
      <c r="E1644" s="56"/>
      <c r="F1644" s="118"/>
      <c r="G1644" s="118"/>
      <c r="H1644" s="118"/>
      <c r="I1644" s="118"/>
      <c r="J1644" s="118"/>
      <c r="K1644" s="118"/>
      <c r="L1644" s="118"/>
    </row>
    <row r="1645" spans="1:12" x14ac:dyDescent="0.25">
      <c r="A1645" s="168"/>
      <c r="B1645" s="144" t="str">
        <f>'Vật liệu'!B450</f>
        <v>V00515</v>
      </c>
      <c r="C1645" s="34">
        <v>154</v>
      </c>
      <c r="D1645" s="144" t="str">
        <f>" - " &amp; 'Vật liệu'!D450</f>
        <v xml:space="preserve"> - Que hàn</v>
      </c>
      <c r="E1645" s="168" t="str">
        <f>'Vật liệu'!E450</f>
        <v>kg</v>
      </c>
      <c r="F1645" s="60"/>
      <c r="G1645" s="60">
        <v>4.6399999999999997</v>
      </c>
      <c r="H1645" s="60"/>
      <c r="I1645" s="60"/>
      <c r="J1645" s="60">
        <f>ROUND(F1643*G1645,4)</f>
        <v>1.4426000000000001</v>
      </c>
      <c r="K1645" s="60"/>
      <c r="L1645" s="60"/>
    </row>
    <row r="1646" spans="1:12" x14ac:dyDescent="0.25">
      <c r="A1646" s="168"/>
      <c r="B1646" s="144" t="str">
        <f>'Vật liệu'!B221</f>
        <v>V00226</v>
      </c>
      <c r="C1646" s="34">
        <v>135</v>
      </c>
      <c r="D1646" s="144" t="str">
        <f>" - " &amp; 'Vật liệu'!D221</f>
        <v xml:space="preserve"> - Dây thép</v>
      </c>
      <c r="E1646" s="168" t="str">
        <f>'Vật liệu'!E221</f>
        <v>kg</v>
      </c>
      <c r="F1646" s="60"/>
      <c r="G1646" s="60">
        <v>14.28</v>
      </c>
      <c r="H1646" s="60"/>
      <c r="I1646" s="60"/>
      <c r="J1646" s="60">
        <f>ROUND(F1643*G1646,4)</f>
        <v>4.4397000000000002</v>
      </c>
      <c r="K1646" s="60"/>
      <c r="L1646" s="60"/>
    </row>
    <row r="1647" spans="1:12" x14ac:dyDescent="0.25">
      <c r="A1647" s="168"/>
      <c r="B1647" s="144" t="str">
        <f>'Vật liệu'!B665</f>
        <v>V48495</v>
      </c>
      <c r="C1647" s="34">
        <v>485</v>
      </c>
      <c r="D1647" s="144" t="str">
        <f>" - " &amp; 'Vật liệu'!D665</f>
        <v xml:space="preserve"> - Thép tròn đường kính &lt;=18mm</v>
      </c>
      <c r="E1647" s="168" t="str">
        <f>'Vật liệu'!E665</f>
        <v>kg</v>
      </c>
      <c r="F1647" s="60"/>
      <c r="G1647" s="60">
        <v>1020</v>
      </c>
      <c r="H1647" s="60"/>
      <c r="I1647" s="60"/>
      <c r="J1647" s="60">
        <f>ROUND(F1643*G1647,4)</f>
        <v>317.11799999999999</v>
      </c>
      <c r="K1647" s="60"/>
      <c r="L1647" s="60"/>
    </row>
    <row r="1648" spans="1:12" x14ac:dyDescent="0.25">
      <c r="A1648" s="56"/>
      <c r="B1648" s="23"/>
      <c r="C1648" s="88"/>
      <c r="D1648" s="23" t="s">
        <v>202</v>
      </c>
      <c r="E1648" s="56"/>
      <c r="F1648" s="118"/>
      <c r="G1648" s="118"/>
      <c r="H1648" s="118"/>
      <c r="I1648" s="118"/>
      <c r="J1648" s="118"/>
      <c r="K1648" s="118"/>
      <c r="L1648" s="118"/>
    </row>
    <row r="1649" spans="1:12" x14ac:dyDescent="0.25">
      <c r="A1649" s="168"/>
      <c r="B1649" s="144" t="str">
        <f>'Nhân công'!B45</f>
        <v>N0009</v>
      </c>
      <c r="C1649" s="34">
        <v>546</v>
      </c>
      <c r="D1649" s="144" t="s">
        <v>1052</v>
      </c>
      <c r="E1649" s="168" t="str">
        <f>'Nhân công'!G45</f>
        <v>công</v>
      </c>
      <c r="F1649" s="60"/>
      <c r="G1649" s="60"/>
      <c r="H1649" s="60">
        <v>8.34</v>
      </c>
      <c r="I1649" s="60"/>
      <c r="J1649" s="60"/>
      <c r="K1649" s="60">
        <f>ROUND(F1643*H1649,4)</f>
        <v>2.5929000000000002</v>
      </c>
      <c r="L1649" s="60"/>
    </row>
    <row r="1650" spans="1:12" x14ac:dyDescent="0.25">
      <c r="A1650" s="56"/>
      <c r="B1650" s="23"/>
      <c r="C1650" s="88"/>
      <c r="D1650" s="23" t="s">
        <v>378</v>
      </c>
      <c r="E1650" s="56"/>
      <c r="F1650" s="118"/>
      <c r="G1650" s="118"/>
      <c r="H1650" s="118"/>
      <c r="I1650" s="118"/>
      <c r="J1650" s="118"/>
      <c r="K1650" s="118"/>
      <c r="L1650" s="118"/>
    </row>
    <row r="1651" spans="1:12" x14ac:dyDescent="0.25">
      <c r="A1651" s="168"/>
      <c r="B1651" s="144" t="str">
        <f>'Máy thi công'!B184</f>
        <v>M9521</v>
      </c>
      <c r="C1651" s="34">
        <v>737</v>
      </c>
      <c r="D1651" s="144" t="str">
        <f>" - " &amp; 'Máy thi công'!D184</f>
        <v xml:space="preserve"> - Máy cắt uốn cốt thép - công suất: 5 kW</v>
      </c>
      <c r="E1651" s="168" t="str">
        <f>'Máy thi công'!E184</f>
        <v>ca</v>
      </c>
      <c r="F1651" s="60"/>
      <c r="G1651" s="60"/>
      <c r="H1651" s="60"/>
      <c r="I1651" s="60">
        <v>0.32</v>
      </c>
      <c r="J1651" s="60"/>
      <c r="K1651" s="60"/>
      <c r="L1651" s="60">
        <f>ROUND(F1643*I1651,4)</f>
        <v>9.9500000000000005E-2</v>
      </c>
    </row>
    <row r="1652" spans="1:12" x14ac:dyDescent="0.25">
      <c r="A1652" s="168"/>
      <c r="B1652" s="144" t="str">
        <f>'Máy thi công'!B6</f>
        <v>M9438</v>
      </c>
      <c r="C1652" s="34">
        <v>714</v>
      </c>
      <c r="D1652" s="144" t="str">
        <f>" - " &amp; 'Máy thi công'!D6</f>
        <v xml:space="preserve"> - Biến thế hàn xoay chiều - công suất: 23 kW</v>
      </c>
      <c r="E1652" s="168" t="str">
        <f>'Máy thi công'!E6</f>
        <v>ca</v>
      </c>
      <c r="F1652" s="60"/>
      <c r="G1652" s="60"/>
      <c r="H1652" s="60"/>
      <c r="I1652" s="60">
        <v>1.1200000000000001</v>
      </c>
      <c r="J1652" s="60"/>
      <c r="K1652" s="60"/>
      <c r="L1652" s="60">
        <f>ROUND(F1643*I1652,4)</f>
        <v>0.34820000000000001</v>
      </c>
    </row>
    <row r="1653" spans="1:12" ht="28.5" x14ac:dyDescent="0.25">
      <c r="A1653" s="65">
        <f>'Công trình'!A220</f>
        <v>173</v>
      </c>
      <c r="B1653" s="14" t="str">
        <f>'Công trình'!B220</f>
        <v>AF.61110</v>
      </c>
      <c r="C1653" s="94"/>
      <c r="D1653" s="14" t="str">
        <f>'Công trình'!C220</f>
        <v>Sản xuất, lắp dựng cốt thép đường kính &lt;=10mm</v>
      </c>
      <c r="E1653" s="46" t="str">
        <f>'Công trình'!D220</f>
        <v>tấn</v>
      </c>
      <c r="F1653" s="106">
        <f>'Công trình'!K220</f>
        <v>1.4999999999999999E-2</v>
      </c>
      <c r="G1653" s="126"/>
      <c r="H1653" s="126"/>
      <c r="I1653" s="126"/>
      <c r="J1653" s="126"/>
      <c r="K1653" s="126"/>
      <c r="L1653" s="126"/>
    </row>
    <row r="1654" spans="1:12" x14ac:dyDescent="0.25">
      <c r="A1654" s="56"/>
      <c r="B1654" s="23"/>
      <c r="C1654" s="88"/>
      <c r="D1654" s="23" t="s">
        <v>479</v>
      </c>
      <c r="E1654" s="56"/>
      <c r="F1654" s="118"/>
      <c r="G1654" s="118"/>
      <c r="H1654" s="118"/>
      <c r="I1654" s="118"/>
      <c r="J1654" s="118"/>
      <c r="K1654" s="118"/>
      <c r="L1654" s="118"/>
    </row>
    <row r="1655" spans="1:12" x14ac:dyDescent="0.25">
      <c r="A1655" s="168"/>
      <c r="B1655" s="144" t="str">
        <f>'Vật liệu'!B221</f>
        <v>V00226</v>
      </c>
      <c r="C1655" s="34">
        <v>135</v>
      </c>
      <c r="D1655" s="144" t="str">
        <f>" - " &amp; 'Vật liệu'!D221</f>
        <v xml:space="preserve"> - Dây thép</v>
      </c>
      <c r="E1655" s="168" t="str">
        <f>'Vật liệu'!E221</f>
        <v>kg</v>
      </c>
      <c r="F1655" s="60"/>
      <c r="G1655" s="60">
        <v>21.42</v>
      </c>
      <c r="H1655" s="60"/>
      <c r="I1655" s="60"/>
      <c r="J1655" s="60">
        <f>ROUND(F1653*G1655,4)</f>
        <v>0.32129999999999997</v>
      </c>
      <c r="K1655" s="60"/>
      <c r="L1655" s="60"/>
    </row>
    <row r="1656" spans="1:12" x14ac:dyDescent="0.25">
      <c r="A1656" s="168"/>
      <c r="B1656" s="144" t="str">
        <f>'Vật liệu'!B650</f>
        <v>V48494</v>
      </c>
      <c r="C1656" s="34">
        <v>484</v>
      </c>
      <c r="D1656" s="144" t="str">
        <f>" - " &amp; 'Vật liệu'!D650</f>
        <v xml:space="preserve"> - Thép tròn đường kính &lt;=10 mm</v>
      </c>
      <c r="E1656" s="168" t="str">
        <f>'Vật liệu'!E650</f>
        <v>kg</v>
      </c>
      <c r="F1656" s="60"/>
      <c r="G1656" s="60">
        <v>1005</v>
      </c>
      <c r="H1656" s="60"/>
      <c r="I1656" s="60"/>
      <c r="J1656" s="60">
        <f>ROUND(F1653*G1656,4)</f>
        <v>15.074999999999999</v>
      </c>
      <c r="K1656" s="60"/>
      <c r="L1656" s="60"/>
    </row>
    <row r="1657" spans="1:12" x14ac:dyDescent="0.25">
      <c r="A1657" s="56"/>
      <c r="B1657" s="23"/>
      <c r="C1657" s="88"/>
      <c r="D1657" s="23" t="s">
        <v>202</v>
      </c>
      <c r="E1657" s="56"/>
      <c r="F1657" s="118"/>
      <c r="G1657" s="118"/>
      <c r="H1657" s="118"/>
      <c r="I1657" s="118"/>
      <c r="J1657" s="118"/>
      <c r="K1657" s="118"/>
      <c r="L1657" s="118"/>
    </row>
    <row r="1658" spans="1:12" x14ac:dyDescent="0.25">
      <c r="A1658" s="168"/>
      <c r="B1658" s="144" t="str">
        <f>'Nhân công'!B45</f>
        <v>N0009</v>
      </c>
      <c r="C1658" s="34">
        <v>546</v>
      </c>
      <c r="D1658" s="144" t="s">
        <v>1052</v>
      </c>
      <c r="E1658" s="168" t="str">
        <f>'Nhân công'!G45</f>
        <v>công</v>
      </c>
      <c r="F1658" s="60"/>
      <c r="G1658" s="60"/>
      <c r="H1658" s="60">
        <v>11.32</v>
      </c>
      <c r="I1658" s="60"/>
      <c r="J1658" s="60"/>
      <c r="K1658" s="60">
        <f>ROUND(F1653*H1658,4)</f>
        <v>0.16980000000000001</v>
      </c>
      <c r="L1658" s="60"/>
    </row>
    <row r="1659" spans="1:12" x14ac:dyDescent="0.25">
      <c r="A1659" s="56"/>
      <c r="B1659" s="23"/>
      <c r="C1659" s="88"/>
      <c r="D1659" s="23" t="s">
        <v>378</v>
      </c>
      <c r="E1659" s="56"/>
      <c r="F1659" s="118"/>
      <c r="G1659" s="118"/>
      <c r="H1659" s="118"/>
      <c r="I1659" s="118"/>
      <c r="J1659" s="118"/>
      <c r="K1659" s="118"/>
      <c r="L1659" s="118"/>
    </row>
    <row r="1660" spans="1:12" x14ac:dyDescent="0.25">
      <c r="A1660" s="168"/>
      <c r="B1660" s="144" t="str">
        <f>'Máy thi công'!B184</f>
        <v>M9521</v>
      </c>
      <c r="C1660" s="34">
        <v>737</v>
      </c>
      <c r="D1660" s="144" t="str">
        <f>" - " &amp; 'Máy thi công'!D184</f>
        <v xml:space="preserve"> - Máy cắt uốn cốt thép - công suất: 5 kW</v>
      </c>
      <c r="E1660" s="168" t="str">
        <f>'Máy thi công'!E184</f>
        <v>ca</v>
      </c>
      <c r="F1660" s="60"/>
      <c r="G1660" s="60"/>
      <c r="H1660" s="60"/>
      <c r="I1660" s="60">
        <v>0.4</v>
      </c>
      <c r="J1660" s="60"/>
      <c r="K1660" s="60"/>
      <c r="L1660" s="60">
        <f>ROUND(F1653*I1660,4)</f>
        <v>6.0000000000000001E-3</v>
      </c>
    </row>
    <row r="1661" spans="1:12" ht="28.5" x14ac:dyDescent="0.25">
      <c r="A1661" s="65">
        <f>'Công trình'!A221</f>
        <v>174</v>
      </c>
      <c r="B1661" s="14" t="str">
        <f>'Công trình'!B221</f>
        <v>AF.61120</v>
      </c>
      <c r="C1661" s="94"/>
      <c r="D1661" s="14" t="str">
        <f>'Công trình'!C221</f>
        <v>Sản xuất, lắp dựng cốt thép đường kính &lt;=18mm</v>
      </c>
      <c r="E1661" s="46" t="str">
        <f>'Công trình'!D221</f>
        <v>tấn</v>
      </c>
      <c r="F1661" s="106">
        <f>'Công trình'!K221</f>
        <v>1.7726</v>
      </c>
      <c r="G1661" s="126"/>
      <c r="H1661" s="126"/>
      <c r="I1661" s="126"/>
      <c r="J1661" s="126"/>
      <c r="K1661" s="126"/>
      <c r="L1661" s="126"/>
    </row>
    <row r="1662" spans="1:12" x14ac:dyDescent="0.25">
      <c r="A1662" s="56"/>
      <c r="B1662" s="23"/>
      <c r="C1662" s="88"/>
      <c r="D1662" s="23" t="s">
        <v>479</v>
      </c>
      <c r="E1662" s="56"/>
      <c r="F1662" s="118"/>
      <c r="G1662" s="118"/>
      <c r="H1662" s="118"/>
      <c r="I1662" s="118"/>
      <c r="J1662" s="118"/>
      <c r="K1662" s="118"/>
      <c r="L1662" s="118"/>
    </row>
    <row r="1663" spans="1:12" x14ac:dyDescent="0.25">
      <c r="A1663" s="168"/>
      <c r="B1663" s="144" t="str">
        <f>'Vật liệu'!B450</f>
        <v>V00515</v>
      </c>
      <c r="C1663" s="34">
        <v>154</v>
      </c>
      <c r="D1663" s="144" t="str">
        <f>" - " &amp; 'Vật liệu'!D450</f>
        <v xml:space="preserve"> - Que hàn</v>
      </c>
      <c r="E1663" s="168" t="str">
        <f>'Vật liệu'!E450</f>
        <v>kg</v>
      </c>
      <c r="F1663" s="60"/>
      <c r="G1663" s="60">
        <v>4.6399999999999997</v>
      </c>
      <c r="H1663" s="60"/>
      <c r="I1663" s="60"/>
      <c r="J1663" s="60">
        <f>ROUND(F1661*G1663,4)</f>
        <v>8.2248999999999999</v>
      </c>
      <c r="K1663" s="60"/>
      <c r="L1663" s="60"/>
    </row>
    <row r="1664" spans="1:12" x14ac:dyDescent="0.25">
      <c r="A1664" s="168"/>
      <c r="B1664" s="144" t="str">
        <f>'Vật liệu'!B221</f>
        <v>V00226</v>
      </c>
      <c r="C1664" s="34">
        <v>135</v>
      </c>
      <c r="D1664" s="144" t="str">
        <f>" - " &amp; 'Vật liệu'!D221</f>
        <v xml:space="preserve"> - Dây thép</v>
      </c>
      <c r="E1664" s="168" t="str">
        <f>'Vật liệu'!E221</f>
        <v>kg</v>
      </c>
      <c r="F1664" s="60"/>
      <c r="G1664" s="60">
        <v>14.28</v>
      </c>
      <c r="H1664" s="60"/>
      <c r="I1664" s="60"/>
      <c r="J1664" s="60">
        <f>ROUND(F1661*G1664,4)</f>
        <v>25.3127</v>
      </c>
      <c r="K1664" s="60"/>
      <c r="L1664" s="60"/>
    </row>
    <row r="1665" spans="1:12" x14ac:dyDescent="0.25">
      <c r="A1665" s="168"/>
      <c r="B1665" s="144" t="str">
        <f>'Vật liệu'!B665</f>
        <v>V48495</v>
      </c>
      <c r="C1665" s="34">
        <v>485</v>
      </c>
      <c r="D1665" s="144" t="str">
        <f>" - " &amp; 'Vật liệu'!D665</f>
        <v xml:space="preserve"> - Thép tròn đường kính &lt;=18mm</v>
      </c>
      <c r="E1665" s="168" t="str">
        <f>'Vật liệu'!E665</f>
        <v>kg</v>
      </c>
      <c r="F1665" s="60"/>
      <c r="G1665" s="60">
        <v>1020</v>
      </c>
      <c r="H1665" s="60"/>
      <c r="I1665" s="60"/>
      <c r="J1665" s="60">
        <f>ROUND(F1661*G1665,4)</f>
        <v>1808.0519999999999</v>
      </c>
      <c r="K1665" s="60"/>
      <c r="L1665" s="60"/>
    </row>
    <row r="1666" spans="1:12" x14ac:dyDescent="0.25">
      <c r="A1666" s="56"/>
      <c r="B1666" s="23"/>
      <c r="C1666" s="88"/>
      <c r="D1666" s="23" t="s">
        <v>202</v>
      </c>
      <c r="E1666" s="56"/>
      <c r="F1666" s="118"/>
      <c r="G1666" s="118"/>
      <c r="H1666" s="118"/>
      <c r="I1666" s="118"/>
      <c r="J1666" s="118"/>
      <c r="K1666" s="118"/>
      <c r="L1666" s="118"/>
    </row>
    <row r="1667" spans="1:12" x14ac:dyDescent="0.25">
      <c r="A1667" s="168"/>
      <c r="B1667" s="144" t="str">
        <f>'Nhân công'!B45</f>
        <v>N0009</v>
      </c>
      <c r="C1667" s="34">
        <v>546</v>
      </c>
      <c r="D1667" s="144" t="s">
        <v>1052</v>
      </c>
      <c r="E1667" s="168" t="str">
        <f>'Nhân công'!G45</f>
        <v>công</v>
      </c>
      <c r="F1667" s="60"/>
      <c r="G1667" s="60"/>
      <c r="H1667" s="60">
        <v>8.34</v>
      </c>
      <c r="I1667" s="60"/>
      <c r="J1667" s="60"/>
      <c r="K1667" s="60">
        <f>ROUND(F1661*H1667,4)</f>
        <v>14.7835</v>
      </c>
      <c r="L1667" s="60"/>
    </row>
    <row r="1668" spans="1:12" x14ac:dyDescent="0.25">
      <c r="A1668" s="56"/>
      <c r="B1668" s="23"/>
      <c r="C1668" s="88"/>
      <c r="D1668" s="23" t="s">
        <v>378</v>
      </c>
      <c r="E1668" s="56"/>
      <c r="F1668" s="118"/>
      <c r="G1668" s="118"/>
      <c r="H1668" s="118"/>
      <c r="I1668" s="118"/>
      <c r="J1668" s="118"/>
      <c r="K1668" s="118"/>
      <c r="L1668" s="118"/>
    </row>
    <row r="1669" spans="1:12" x14ac:dyDescent="0.25">
      <c r="A1669" s="168"/>
      <c r="B1669" s="144" t="str">
        <f>'Máy thi công'!B184</f>
        <v>M9521</v>
      </c>
      <c r="C1669" s="34">
        <v>737</v>
      </c>
      <c r="D1669" s="144" t="str">
        <f>" - " &amp; 'Máy thi công'!D184</f>
        <v xml:space="preserve"> - Máy cắt uốn cốt thép - công suất: 5 kW</v>
      </c>
      <c r="E1669" s="168" t="str">
        <f>'Máy thi công'!E184</f>
        <v>ca</v>
      </c>
      <c r="F1669" s="60"/>
      <c r="G1669" s="60"/>
      <c r="H1669" s="60"/>
      <c r="I1669" s="60">
        <v>0.32</v>
      </c>
      <c r="J1669" s="60"/>
      <c r="K1669" s="60"/>
      <c r="L1669" s="60">
        <f>ROUND(F1661*I1669,4)</f>
        <v>0.56720000000000004</v>
      </c>
    </row>
    <row r="1670" spans="1:12" x14ac:dyDescent="0.25">
      <c r="A1670" s="168"/>
      <c r="B1670" s="144" t="str">
        <f>'Máy thi công'!B6</f>
        <v>M9438</v>
      </c>
      <c r="C1670" s="34">
        <v>714</v>
      </c>
      <c r="D1670" s="144" t="str">
        <f>" - " &amp; 'Máy thi công'!D6</f>
        <v xml:space="preserve"> - Biến thế hàn xoay chiều - công suất: 23 kW</v>
      </c>
      <c r="E1670" s="168" t="str">
        <f>'Máy thi công'!E6</f>
        <v>ca</v>
      </c>
      <c r="F1670" s="60"/>
      <c r="G1670" s="60"/>
      <c r="H1670" s="60"/>
      <c r="I1670" s="60">
        <v>1.1200000000000001</v>
      </c>
      <c r="J1670" s="60"/>
      <c r="K1670" s="60"/>
      <c r="L1670" s="60">
        <f>ROUND(F1661*I1670,4)</f>
        <v>1.9853000000000001</v>
      </c>
    </row>
    <row r="1671" spans="1:12" x14ac:dyDescent="0.25">
      <c r="A1671" s="65">
        <f>'Công trình'!A222</f>
        <v>175</v>
      </c>
      <c r="B1671" s="14" t="str">
        <f>'Công trình'!B222</f>
        <v>AL.16210</v>
      </c>
      <c r="C1671" s="94"/>
      <c r="D1671" s="14" t="str">
        <f>'Công trình'!C222</f>
        <v>Giấy dầu</v>
      </c>
      <c r="E1671" s="46" t="str">
        <f>'Công trình'!D222</f>
        <v>100m2</v>
      </c>
      <c r="F1671" s="106">
        <f>'Công trình'!K222</f>
        <v>0.29120000000000001</v>
      </c>
      <c r="G1671" s="126"/>
      <c r="H1671" s="126"/>
      <c r="I1671" s="126"/>
      <c r="J1671" s="126"/>
      <c r="K1671" s="126"/>
      <c r="L1671" s="126"/>
    </row>
    <row r="1672" spans="1:12" x14ac:dyDescent="0.25">
      <c r="A1672" s="56"/>
      <c r="B1672" s="23"/>
      <c r="C1672" s="88"/>
      <c r="D1672" s="23" t="s">
        <v>479</v>
      </c>
      <c r="E1672" s="56"/>
      <c r="F1672" s="118"/>
      <c r="G1672" s="118"/>
      <c r="H1672" s="118"/>
      <c r="I1672" s="118"/>
      <c r="J1672" s="118"/>
      <c r="K1672" s="118"/>
      <c r="L1672" s="118"/>
    </row>
    <row r="1673" spans="1:12" x14ac:dyDescent="0.25">
      <c r="A1673" s="168"/>
      <c r="B1673" s="144" t="str">
        <f>'Vật liệu'!B292</f>
        <v>V00269</v>
      </c>
      <c r="C1673" s="34">
        <v>137</v>
      </c>
      <c r="D1673" s="144" t="str">
        <f>" - " &amp; 'Vật liệu'!D292</f>
        <v xml:space="preserve"> - Giấy dầu</v>
      </c>
      <c r="E1673" s="168" t="str">
        <f>'Vật liệu'!E292</f>
        <v>m2</v>
      </c>
      <c r="F1673" s="60"/>
      <c r="G1673" s="60">
        <v>112</v>
      </c>
      <c r="H1673" s="60"/>
      <c r="I1673" s="60"/>
      <c r="J1673" s="60">
        <f>ROUND(F1671*G1673,4)</f>
        <v>32.614400000000003</v>
      </c>
      <c r="K1673" s="60"/>
      <c r="L1673" s="60"/>
    </row>
    <row r="1674" spans="1:12" x14ac:dyDescent="0.25">
      <c r="A1674" s="168"/>
      <c r="B1674" s="144" t="str">
        <f>'Vật liệu'!B766</f>
        <v>V00750</v>
      </c>
      <c r="C1674" s="34">
        <v>292</v>
      </c>
      <c r="D1674" s="144" t="str">
        <f>" - " &amp; 'Vật liệu'!D766</f>
        <v xml:space="preserve"> - Vật liệu khác</v>
      </c>
      <c r="E1674" s="168" t="str">
        <f>'Vật liệu'!E766</f>
        <v>%</v>
      </c>
      <c r="F1674" s="60"/>
      <c r="G1674" s="60">
        <v>0.2</v>
      </c>
      <c r="H1674" s="60"/>
      <c r="I1674" s="60"/>
      <c r="J1674" s="60"/>
      <c r="K1674" s="60"/>
      <c r="L1674" s="60"/>
    </row>
    <row r="1675" spans="1:12" x14ac:dyDescent="0.25">
      <c r="A1675" s="56"/>
      <c r="B1675" s="23"/>
      <c r="C1675" s="88"/>
      <c r="D1675" s="23" t="s">
        <v>202</v>
      </c>
      <c r="E1675" s="56"/>
      <c r="F1675" s="118"/>
      <c r="G1675" s="118"/>
      <c r="H1675" s="118"/>
      <c r="I1675" s="118"/>
      <c r="J1675" s="118"/>
      <c r="K1675" s="118"/>
      <c r="L1675" s="118"/>
    </row>
    <row r="1676" spans="1:12" x14ac:dyDescent="0.25">
      <c r="A1676" s="168"/>
      <c r="B1676" s="144" t="str">
        <f>'Nhân công'!B103</f>
        <v>N0015</v>
      </c>
      <c r="C1676" s="34">
        <v>554</v>
      </c>
      <c r="D1676" s="144" t="s">
        <v>1014</v>
      </c>
      <c r="E1676" s="168" t="str">
        <f>'Nhân công'!G103</f>
        <v>công</v>
      </c>
      <c r="F1676" s="60"/>
      <c r="G1676" s="60"/>
      <c r="H1676" s="60">
        <v>1.18</v>
      </c>
      <c r="I1676" s="60"/>
      <c r="J1676" s="60"/>
      <c r="K1676" s="60">
        <f>ROUND(F1671*H1676,4)</f>
        <v>0.34360000000000002</v>
      </c>
      <c r="L1676" s="60"/>
    </row>
    <row r="1677" spans="1:12" x14ac:dyDescent="0.25">
      <c r="A1677" s="65">
        <f>'Công trình'!A223</f>
        <v>176</v>
      </c>
      <c r="B1677" s="14" t="str">
        <f>'Công trình'!B223</f>
        <v>TT</v>
      </c>
      <c r="C1677" s="94"/>
      <c r="D1677" s="14" t="str">
        <f>'Công trình'!C223</f>
        <v>Tôn (206x700x0.1)cm</v>
      </c>
      <c r="E1677" s="46" t="str">
        <f>'Công trình'!D223</f>
        <v>kg</v>
      </c>
      <c r="F1677" s="106">
        <f>'Công trình'!K223</f>
        <v>226.39</v>
      </c>
      <c r="G1677" s="126"/>
      <c r="H1677" s="126"/>
      <c r="I1677" s="126"/>
      <c r="J1677" s="126"/>
      <c r="K1677" s="126"/>
      <c r="L1677" s="126"/>
    </row>
    <row r="1678" spans="1:12" x14ac:dyDescent="0.25">
      <c r="A1678" s="56"/>
      <c r="B1678" s="23"/>
      <c r="C1678" s="88"/>
      <c r="D1678" s="23" t="s">
        <v>479</v>
      </c>
      <c r="E1678" s="56"/>
      <c r="F1678" s="118"/>
      <c r="G1678" s="118"/>
      <c r="H1678" s="118"/>
      <c r="I1678" s="118"/>
      <c r="J1678" s="118"/>
      <c r="K1678" s="118"/>
      <c r="L1678" s="118"/>
    </row>
    <row r="1679" spans="1:12" x14ac:dyDescent="0.25">
      <c r="A1679" s="168"/>
      <c r="B1679" s="144" t="str">
        <f>'Vật liệu'!B702</f>
        <v>V03174</v>
      </c>
      <c r="C1679" s="34">
        <v>414</v>
      </c>
      <c r="D1679" s="144" t="str">
        <f>" - " &amp; 'Vật liệu'!D702</f>
        <v xml:space="preserve"> - Tôn tráng kẽm</v>
      </c>
      <c r="E1679" s="168" t="str">
        <f>'Vật liệu'!E702</f>
        <v>kg</v>
      </c>
      <c r="F1679" s="60"/>
      <c r="G1679" s="60">
        <v>1.1000000000000001</v>
      </c>
      <c r="H1679" s="60"/>
      <c r="I1679" s="60"/>
      <c r="J1679" s="60">
        <f>ROUND(F1677*G1679,4)</f>
        <v>249.029</v>
      </c>
      <c r="K1679" s="60"/>
      <c r="L1679" s="60"/>
    </row>
    <row r="1680" spans="1:12" ht="28.5" x14ac:dyDescent="0.25">
      <c r="A1680" s="65">
        <f>'Công trình'!A225</f>
        <v>177</v>
      </c>
      <c r="B1680" s="14" t="str">
        <f>'Công trình'!B225</f>
        <v>AG.11125</v>
      </c>
      <c r="C1680" s="94"/>
      <c r="D1680" s="14" t="str">
        <f>'Công trình'!C225</f>
        <v>Sản xuất bê tông cọc cừ đúc sẵn đá 1x2, vữa BT mác 300</v>
      </c>
      <c r="E1680" s="46" t="str">
        <f>'Công trình'!D225</f>
        <v>m3</v>
      </c>
      <c r="F1680" s="106">
        <f>'Công trình'!K225</f>
        <v>77.180000000000007</v>
      </c>
      <c r="G1680" s="126"/>
      <c r="H1680" s="126"/>
      <c r="I1680" s="126"/>
      <c r="J1680" s="126"/>
      <c r="K1680" s="126"/>
      <c r="L1680" s="126"/>
    </row>
    <row r="1681" spans="1:12" x14ac:dyDescent="0.25">
      <c r="A1681" s="56"/>
      <c r="B1681" s="23"/>
      <c r="C1681" s="88"/>
      <c r="D1681" s="23" t="s">
        <v>479</v>
      </c>
      <c r="E1681" s="56"/>
      <c r="F1681" s="118"/>
      <c r="G1681" s="118"/>
      <c r="H1681" s="118"/>
      <c r="I1681" s="118"/>
      <c r="J1681" s="118"/>
      <c r="K1681" s="118"/>
      <c r="L1681" s="118"/>
    </row>
    <row r="1682" spans="1:12" x14ac:dyDescent="0.25">
      <c r="A1682" s="168"/>
      <c r="B1682" s="144" t="str">
        <f>'Vật liệu'!B721</f>
        <v>V00761</v>
      </c>
      <c r="C1682" s="34">
        <v>397</v>
      </c>
      <c r="D1682" s="144" t="str">
        <f>" - " &amp; 'Vật liệu'!D721</f>
        <v xml:space="preserve"> - Xi măng PC40</v>
      </c>
      <c r="E1682" s="168" t="str">
        <f>'Vật liệu'!E721</f>
        <v>kg</v>
      </c>
      <c r="F1682" s="60"/>
      <c r="G1682" s="60">
        <v>379.61</v>
      </c>
      <c r="H1682" s="60"/>
      <c r="I1682" s="60"/>
      <c r="J1682" s="60">
        <f>ROUND(F1680*G1682,4)</f>
        <v>29298.299800000001</v>
      </c>
      <c r="K1682" s="60"/>
      <c r="L1682" s="60"/>
    </row>
    <row r="1683" spans="1:12" x14ac:dyDescent="0.25">
      <c r="A1683" s="168"/>
      <c r="B1683" s="144" t="str">
        <f>'Vật liệu'!B54</f>
        <v>V00112</v>
      </c>
      <c r="C1683" s="34">
        <v>125</v>
      </c>
      <c r="D1683" s="144" t="str">
        <f>" - " &amp; 'Vật liệu'!D54</f>
        <v xml:space="preserve"> - Cát vàng</v>
      </c>
      <c r="E1683" s="168" t="str">
        <f>'Vật liệu'!E54</f>
        <v>m3</v>
      </c>
      <c r="F1683" s="60"/>
      <c r="G1683" s="60">
        <v>0.46389999999999998</v>
      </c>
      <c r="H1683" s="60"/>
      <c r="I1683" s="60"/>
      <c r="J1683" s="60">
        <f>ROUND(F1680*G1683,4)</f>
        <v>35.803800000000003</v>
      </c>
      <c r="K1683" s="60"/>
      <c r="L1683" s="60"/>
    </row>
    <row r="1684" spans="1:12" x14ac:dyDescent="0.25">
      <c r="A1684" s="168"/>
      <c r="B1684" s="144" t="str">
        <f>'Vật liệu'!B142</f>
        <v>V05207</v>
      </c>
      <c r="C1684" s="34">
        <v>416</v>
      </c>
      <c r="D1684" s="144" t="str">
        <f>" - " &amp; 'Vật liệu'!D142</f>
        <v xml:space="preserve"> - Đá 1x2</v>
      </c>
      <c r="E1684" s="168" t="str">
        <f>'Vật liệu'!E142</f>
        <v>m3</v>
      </c>
      <c r="F1684" s="60"/>
      <c r="G1684" s="60">
        <v>0.8851</v>
      </c>
      <c r="H1684" s="60"/>
      <c r="I1684" s="60"/>
      <c r="J1684" s="60">
        <f>ROUND(F1680*G1684,4)</f>
        <v>68.311999999999998</v>
      </c>
      <c r="K1684" s="60"/>
      <c r="L1684" s="60"/>
    </row>
    <row r="1685" spans="1:12" x14ac:dyDescent="0.25">
      <c r="A1685" s="168"/>
      <c r="B1685" s="144" t="str">
        <f>'Vật liệu'!B353</f>
        <v>V00494</v>
      </c>
      <c r="C1685" s="34">
        <v>148</v>
      </c>
      <c r="D1685" s="144" t="str">
        <f>" - " &amp; 'Vật liệu'!D353</f>
        <v xml:space="preserve"> - Nước</v>
      </c>
      <c r="E1685" s="168" t="str">
        <f>'Vật liệu'!E353</f>
        <v>lít</v>
      </c>
      <c r="F1685" s="60"/>
      <c r="G1685" s="60">
        <v>187.77500000000001</v>
      </c>
      <c r="H1685" s="60"/>
      <c r="I1685" s="60"/>
      <c r="J1685" s="60">
        <f>ROUND(F1680*G1685,4)</f>
        <v>14492.4745</v>
      </c>
      <c r="K1685" s="60"/>
      <c r="L1685" s="60"/>
    </row>
    <row r="1686" spans="1:12" x14ac:dyDescent="0.25">
      <c r="A1686" s="168"/>
      <c r="B1686" s="144" t="str">
        <f>'Vật liệu'!B766</f>
        <v>V00750</v>
      </c>
      <c r="C1686" s="34">
        <v>293</v>
      </c>
      <c r="D1686" s="144" t="str">
        <f>" - " &amp; 'Vật liệu'!D766</f>
        <v xml:space="preserve"> - Vật liệu khác</v>
      </c>
      <c r="E1686" s="168" t="str">
        <f>'Vật liệu'!E766</f>
        <v>%</v>
      </c>
      <c r="F1686" s="60"/>
      <c r="G1686" s="60">
        <v>0.5</v>
      </c>
      <c r="H1686" s="60"/>
      <c r="I1686" s="60"/>
      <c r="J1686" s="60"/>
      <c r="K1686" s="60"/>
      <c r="L1686" s="60"/>
    </row>
    <row r="1687" spans="1:12" x14ac:dyDescent="0.25">
      <c r="A1687" s="56"/>
      <c r="B1687" s="23"/>
      <c r="C1687" s="88"/>
      <c r="D1687" s="23" t="s">
        <v>202</v>
      </c>
      <c r="E1687" s="56"/>
      <c r="F1687" s="118"/>
      <c r="G1687" s="118"/>
      <c r="H1687" s="118"/>
      <c r="I1687" s="118"/>
      <c r="J1687" s="118"/>
      <c r="K1687" s="118"/>
      <c r="L1687" s="118"/>
    </row>
    <row r="1688" spans="1:12" x14ac:dyDescent="0.25">
      <c r="A1688" s="168"/>
      <c r="B1688" s="144" t="str">
        <f>'Nhân công'!B6</f>
        <v>N0006</v>
      </c>
      <c r="C1688" s="34">
        <v>545</v>
      </c>
      <c r="D1688" s="144" t="s">
        <v>256</v>
      </c>
      <c r="E1688" s="168" t="str">
        <f>'Nhân công'!G6</f>
        <v>công</v>
      </c>
      <c r="F1688" s="60"/>
      <c r="G1688" s="60"/>
      <c r="H1688" s="60">
        <v>3.75</v>
      </c>
      <c r="I1688" s="60"/>
      <c r="J1688" s="60"/>
      <c r="K1688" s="60">
        <f>ROUND(F1680*H1688,4)</f>
        <v>289.42500000000001</v>
      </c>
      <c r="L1688" s="60"/>
    </row>
    <row r="1689" spans="1:12" x14ac:dyDescent="0.25">
      <c r="A1689" s="56"/>
      <c r="B1689" s="23"/>
      <c r="C1689" s="88"/>
      <c r="D1689" s="23" t="s">
        <v>378</v>
      </c>
      <c r="E1689" s="56"/>
      <c r="F1689" s="118"/>
      <c r="G1689" s="118"/>
      <c r="H1689" s="118"/>
      <c r="I1689" s="118"/>
      <c r="J1689" s="118"/>
      <c r="K1689" s="118"/>
      <c r="L1689" s="118"/>
    </row>
    <row r="1690" spans="1:12" x14ac:dyDescent="0.25">
      <c r="A1690" s="168"/>
      <c r="B1690" s="144" t="str">
        <f>'Máy thi công'!B232</f>
        <v>M9571</v>
      </c>
      <c r="C1690" s="34">
        <v>750</v>
      </c>
      <c r="D1690" s="144" t="str">
        <f>" - " &amp; 'Máy thi công'!D232</f>
        <v xml:space="preserve"> - Máy đầm bê tông, dầm dùi - công suất: 1,5 kW</v>
      </c>
      <c r="E1690" s="168" t="str">
        <f>'Máy thi công'!E232</f>
        <v>ca</v>
      </c>
      <c r="F1690" s="60"/>
      <c r="G1690" s="60"/>
      <c r="H1690" s="60"/>
      <c r="I1690" s="60">
        <v>0.12</v>
      </c>
      <c r="J1690" s="60"/>
      <c r="K1690" s="60"/>
      <c r="L1690" s="60">
        <f>ROUND(F1680*I1690,4)</f>
        <v>9.2615999999999996</v>
      </c>
    </row>
    <row r="1691" spans="1:12" x14ac:dyDescent="0.25">
      <c r="A1691" s="168"/>
      <c r="B1691" s="144" t="str">
        <f>'Máy thi công'!B306</f>
        <v>M9555</v>
      </c>
      <c r="C1691" s="34">
        <v>744</v>
      </c>
      <c r="D1691" s="144" t="str">
        <f>" - " &amp; 'Máy thi công'!D306</f>
        <v xml:space="preserve"> - Máy trộn bê tông - dung tích: 250 lít</v>
      </c>
      <c r="E1691" s="168" t="str">
        <f>'Máy thi công'!E306</f>
        <v>ca</v>
      </c>
      <c r="F1691" s="60"/>
      <c r="G1691" s="60"/>
      <c r="H1691" s="60"/>
      <c r="I1691" s="60">
        <v>9.5000000000000001E-2</v>
      </c>
      <c r="J1691" s="60"/>
      <c r="K1691" s="60"/>
      <c r="L1691" s="60">
        <f>ROUND(F1680*I1691,4)</f>
        <v>7.3320999999999996</v>
      </c>
    </row>
    <row r="1692" spans="1:12" x14ac:dyDescent="0.25">
      <c r="A1692" s="168"/>
      <c r="B1692" s="144" t="str">
        <f>'Máy thi công'!B398</f>
        <v>M0111</v>
      </c>
      <c r="C1692" s="34">
        <v>631</v>
      </c>
      <c r="D1692" s="144" t="str">
        <f>" - " &amp; 'Máy thi công'!D398</f>
        <v xml:space="preserve"> - Máy khác</v>
      </c>
      <c r="E1692" s="168" t="str">
        <f>'Máy thi công'!E398</f>
        <v>%</v>
      </c>
      <c r="F1692" s="60"/>
      <c r="G1692" s="60"/>
      <c r="H1692" s="60"/>
      <c r="I1692" s="60">
        <v>10</v>
      </c>
      <c r="J1692" s="60"/>
      <c r="K1692" s="60"/>
      <c r="L1692" s="60"/>
    </row>
    <row r="1693" spans="1:12" ht="28.5" x14ac:dyDescent="0.25">
      <c r="A1693" s="65">
        <f>'Công trình'!A226</f>
        <v>178</v>
      </c>
      <c r="B1693" s="14" t="str">
        <f>'Công trình'!B226</f>
        <v>AG.13111</v>
      </c>
      <c r="C1693" s="94"/>
      <c r="D1693" s="14" t="str">
        <f>'Công trình'!C226</f>
        <v>Sản xuất, lắp dựng cốt thép BT đúc sẵn cọc, đường kính &lt;=10mm</v>
      </c>
      <c r="E1693" s="46" t="str">
        <f>'Công trình'!D226</f>
        <v>tấn</v>
      </c>
      <c r="F1693" s="106">
        <f>'Công trình'!K226</f>
        <v>2.4453</v>
      </c>
      <c r="G1693" s="126"/>
      <c r="H1693" s="126"/>
      <c r="I1693" s="126"/>
      <c r="J1693" s="126"/>
      <c r="K1693" s="126"/>
      <c r="L1693" s="126"/>
    </row>
    <row r="1694" spans="1:12" x14ac:dyDescent="0.25">
      <c r="A1694" s="56"/>
      <c r="B1694" s="23"/>
      <c r="C1694" s="88"/>
      <c r="D1694" s="23" t="s">
        <v>479</v>
      </c>
      <c r="E1694" s="56"/>
      <c r="F1694" s="118"/>
      <c r="G1694" s="118"/>
      <c r="H1694" s="118"/>
      <c r="I1694" s="118"/>
      <c r="J1694" s="118"/>
      <c r="K1694" s="118"/>
      <c r="L1694" s="118"/>
    </row>
    <row r="1695" spans="1:12" x14ac:dyDescent="0.25">
      <c r="A1695" s="168"/>
      <c r="B1695" s="144" t="str">
        <f>'Vật liệu'!B221</f>
        <v>V00226</v>
      </c>
      <c r="C1695" s="34">
        <v>135</v>
      </c>
      <c r="D1695" s="144" t="str">
        <f>" - " &amp; 'Vật liệu'!D221</f>
        <v xml:space="preserve"> - Dây thép</v>
      </c>
      <c r="E1695" s="168" t="str">
        <f>'Vật liệu'!E221</f>
        <v>kg</v>
      </c>
      <c r="F1695" s="60"/>
      <c r="G1695" s="60">
        <v>21.42</v>
      </c>
      <c r="H1695" s="60"/>
      <c r="I1695" s="60"/>
      <c r="J1695" s="60">
        <f>ROUND(F1693*G1695,4)</f>
        <v>52.378300000000003</v>
      </c>
      <c r="K1695" s="60"/>
      <c r="L1695" s="60"/>
    </row>
    <row r="1696" spans="1:12" x14ac:dyDescent="0.25">
      <c r="A1696" s="168"/>
      <c r="B1696" s="144" t="str">
        <f>'Vật liệu'!B650</f>
        <v>V48494</v>
      </c>
      <c r="C1696" s="34">
        <v>484</v>
      </c>
      <c r="D1696" s="144" t="str">
        <f>" - " &amp; 'Vật liệu'!D650</f>
        <v xml:space="preserve"> - Thép tròn đường kính &lt;=10 mm</v>
      </c>
      <c r="E1696" s="168" t="str">
        <f>'Vật liệu'!E650</f>
        <v>kg</v>
      </c>
      <c r="F1696" s="60"/>
      <c r="G1696" s="60">
        <v>1005</v>
      </c>
      <c r="H1696" s="60"/>
      <c r="I1696" s="60"/>
      <c r="J1696" s="60">
        <f>ROUND(F1693*G1696,4)</f>
        <v>2457.5264999999999</v>
      </c>
      <c r="K1696" s="60"/>
      <c r="L1696" s="60"/>
    </row>
    <row r="1697" spans="1:12" x14ac:dyDescent="0.25">
      <c r="A1697" s="56"/>
      <c r="B1697" s="23"/>
      <c r="C1697" s="88"/>
      <c r="D1697" s="23" t="s">
        <v>202</v>
      </c>
      <c r="E1697" s="56"/>
      <c r="F1697" s="118"/>
      <c r="G1697" s="118"/>
      <c r="H1697" s="118"/>
      <c r="I1697" s="118"/>
      <c r="J1697" s="118"/>
      <c r="K1697" s="118"/>
      <c r="L1697" s="118"/>
    </row>
    <row r="1698" spans="1:12" x14ac:dyDescent="0.25">
      <c r="A1698" s="168"/>
      <c r="B1698" s="144" t="str">
        <f>'Nhân công'!B45</f>
        <v>N0009</v>
      </c>
      <c r="C1698" s="34">
        <v>546</v>
      </c>
      <c r="D1698" s="144" t="s">
        <v>1052</v>
      </c>
      <c r="E1698" s="168" t="str">
        <f>'Nhân công'!G45</f>
        <v>công</v>
      </c>
      <c r="F1698" s="60"/>
      <c r="G1698" s="60"/>
      <c r="H1698" s="60">
        <v>14.25</v>
      </c>
      <c r="I1698" s="60"/>
      <c r="J1698" s="60"/>
      <c r="K1698" s="60">
        <f>ROUND(F1693*H1698,4)</f>
        <v>34.845500000000001</v>
      </c>
      <c r="L1698" s="60"/>
    </row>
    <row r="1699" spans="1:12" x14ac:dyDescent="0.25">
      <c r="A1699" s="56"/>
      <c r="B1699" s="23"/>
      <c r="C1699" s="88"/>
      <c r="D1699" s="23" t="s">
        <v>378</v>
      </c>
      <c r="E1699" s="56"/>
      <c r="F1699" s="118"/>
      <c r="G1699" s="118"/>
      <c r="H1699" s="118"/>
      <c r="I1699" s="118"/>
      <c r="J1699" s="118"/>
      <c r="K1699" s="118"/>
      <c r="L1699" s="118"/>
    </row>
    <row r="1700" spans="1:12" x14ac:dyDescent="0.25">
      <c r="A1700" s="168"/>
      <c r="B1700" s="144" t="str">
        <f>'Máy thi công'!B184</f>
        <v>M9521</v>
      </c>
      <c r="C1700" s="34">
        <v>737</v>
      </c>
      <c r="D1700" s="144" t="str">
        <f>" - " &amp; 'Máy thi công'!D184</f>
        <v xml:space="preserve"> - Máy cắt uốn cốt thép - công suất: 5 kW</v>
      </c>
      <c r="E1700" s="168" t="str">
        <f>'Máy thi công'!E184</f>
        <v>ca</v>
      </c>
      <c r="F1700" s="60"/>
      <c r="G1700" s="60"/>
      <c r="H1700" s="60"/>
      <c r="I1700" s="60">
        <v>0.4</v>
      </c>
      <c r="J1700" s="60"/>
      <c r="K1700" s="60"/>
      <c r="L1700" s="60">
        <f>ROUND(F1693*I1700,4)</f>
        <v>0.97809999999999997</v>
      </c>
    </row>
    <row r="1701" spans="1:12" ht="28.5" x14ac:dyDescent="0.25">
      <c r="A1701" s="65">
        <f>'Công trình'!A227</f>
        <v>179</v>
      </c>
      <c r="B1701" s="14" t="str">
        <f>'Công trình'!B227</f>
        <v>AG.13121</v>
      </c>
      <c r="C1701" s="94"/>
      <c r="D1701" s="14" t="str">
        <f>'Công trình'!C227</f>
        <v>Sản xuất, lắp dựng cốt thép BT đúc sẵn cọc, đường kính &lt;=18mm</v>
      </c>
      <c r="E1701" s="46" t="str">
        <f>'Công trình'!D227</f>
        <v>tấn</v>
      </c>
      <c r="F1701" s="106">
        <f>'Công trình'!K227</f>
        <v>0.42870000000000003</v>
      </c>
      <c r="G1701" s="126"/>
      <c r="H1701" s="126"/>
      <c r="I1701" s="126"/>
      <c r="J1701" s="126"/>
      <c r="K1701" s="126"/>
      <c r="L1701" s="126"/>
    </row>
    <row r="1702" spans="1:12" x14ac:dyDescent="0.25">
      <c r="A1702" s="56"/>
      <c r="B1702" s="23"/>
      <c r="C1702" s="88"/>
      <c r="D1702" s="23" t="s">
        <v>479</v>
      </c>
      <c r="E1702" s="56"/>
      <c r="F1702" s="118"/>
      <c r="G1702" s="118"/>
      <c r="H1702" s="118"/>
      <c r="I1702" s="118"/>
      <c r="J1702" s="118"/>
      <c r="K1702" s="118"/>
      <c r="L1702" s="118"/>
    </row>
    <row r="1703" spans="1:12" x14ac:dyDescent="0.25">
      <c r="A1703" s="168"/>
      <c r="B1703" s="144" t="str">
        <f>'Vật liệu'!B450</f>
        <v>V00515</v>
      </c>
      <c r="C1703" s="34">
        <v>154</v>
      </c>
      <c r="D1703" s="144" t="str">
        <f>" - " &amp; 'Vật liệu'!D450</f>
        <v xml:space="preserve"> - Que hàn</v>
      </c>
      <c r="E1703" s="168" t="str">
        <f>'Vật liệu'!E450</f>
        <v>kg</v>
      </c>
      <c r="F1703" s="60"/>
      <c r="G1703" s="60">
        <v>4.7</v>
      </c>
      <c r="H1703" s="60"/>
      <c r="I1703" s="60"/>
      <c r="J1703" s="60">
        <f>ROUND(F1701*G1703,4)</f>
        <v>2.0148999999999999</v>
      </c>
      <c r="K1703" s="60"/>
      <c r="L1703" s="60"/>
    </row>
    <row r="1704" spans="1:12" x14ac:dyDescent="0.25">
      <c r="A1704" s="168"/>
      <c r="B1704" s="144" t="str">
        <f>'Vật liệu'!B221</f>
        <v>V00226</v>
      </c>
      <c r="C1704" s="34">
        <v>135</v>
      </c>
      <c r="D1704" s="144" t="str">
        <f>" - " &amp; 'Vật liệu'!D221</f>
        <v xml:space="preserve"> - Dây thép</v>
      </c>
      <c r="E1704" s="168" t="str">
        <f>'Vật liệu'!E221</f>
        <v>kg</v>
      </c>
      <c r="F1704" s="60"/>
      <c r="G1704" s="60">
        <v>14.28</v>
      </c>
      <c r="H1704" s="60"/>
      <c r="I1704" s="60"/>
      <c r="J1704" s="60">
        <f>ROUND(F1701*G1704,4)</f>
        <v>6.1218000000000004</v>
      </c>
      <c r="K1704" s="60"/>
      <c r="L1704" s="60"/>
    </row>
    <row r="1705" spans="1:12" x14ac:dyDescent="0.25">
      <c r="A1705" s="168"/>
      <c r="B1705" s="144" t="str">
        <f>'Vật liệu'!B665</f>
        <v>V48495</v>
      </c>
      <c r="C1705" s="34">
        <v>485</v>
      </c>
      <c r="D1705" s="144" t="str">
        <f>" - " &amp; 'Vật liệu'!D665</f>
        <v xml:space="preserve"> - Thép tròn đường kính &lt;=18mm</v>
      </c>
      <c r="E1705" s="168" t="str">
        <f>'Vật liệu'!E665</f>
        <v>kg</v>
      </c>
      <c r="F1705" s="60"/>
      <c r="G1705" s="60">
        <v>1020</v>
      </c>
      <c r="H1705" s="60"/>
      <c r="I1705" s="60"/>
      <c r="J1705" s="60">
        <f>ROUND(F1701*G1705,4)</f>
        <v>437.274</v>
      </c>
      <c r="K1705" s="60"/>
      <c r="L1705" s="60"/>
    </row>
    <row r="1706" spans="1:12" x14ac:dyDescent="0.25">
      <c r="A1706" s="56"/>
      <c r="B1706" s="23"/>
      <c r="C1706" s="88"/>
      <c r="D1706" s="23" t="s">
        <v>202</v>
      </c>
      <c r="E1706" s="56"/>
      <c r="F1706" s="118"/>
      <c r="G1706" s="118"/>
      <c r="H1706" s="118"/>
      <c r="I1706" s="118"/>
      <c r="J1706" s="118"/>
      <c r="K1706" s="118"/>
      <c r="L1706" s="118"/>
    </row>
    <row r="1707" spans="1:12" x14ac:dyDescent="0.25">
      <c r="A1707" s="168"/>
      <c r="B1707" s="144" t="str">
        <f>'Nhân công'!B45</f>
        <v>N0009</v>
      </c>
      <c r="C1707" s="34">
        <v>546</v>
      </c>
      <c r="D1707" s="144" t="s">
        <v>1052</v>
      </c>
      <c r="E1707" s="168" t="str">
        <f>'Nhân công'!G45</f>
        <v>công</v>
      </c>
      <c r="F1707" s="60"/>
      <c r="G1707" s="60"/>
      <c r="H1707" s="60">
        <v>7.82</v>
      </c>
      <c r="I1707" s="60"/>
      <c r="J1707" s="60"/>
      <c r="K1707" s="60">
        <f>ROUND(F1701*H1707,4)</f>
        <v>3.3523999999999998</v>
      </c>
      <c r="L1707" s="60"/>
    </row>
    <row r="1708" spans="1:12" x14ac:dyDescent="0.25">
      <c r="A1708" s="56"/>
      <c r="B1708" s="23"/>
      <c r="C1708" s="88"/>
      <c r="D1708" s="23" t="s">
        <v>378</v>
      </c>
      <c r="E1708" s="56"/>
      <c r="F1708" s="118"/>
      <c r="G1708" s="118"/>
      <c r="H1708" s="118"/>
      <c r="I1708" s="118"/>
      <c r="J1708" s="118"/>
      <c r="K1708" s="118"/>
      <c r="L1708" s="118"/>
    </row>
    <row r="1709" spans="1:12" x14ac:dyDescent="0.25">
      <c r="A1709" s="168"/>
      <c r="B1709" s="144" t="str">
        <f>'Máy thi công'!B184</f>
        <v>M9521</v>
      </c>
      <c r="C1709" s="34">
        <v>737</v>
      </c>
      <c r="D1709" s="144" t="str">
        <f>" - " &amp; 'Máy thi công'!D184</f>
        <v xml:space="preserve"> - Máy cắt uốn cốt thép - công suất: 5 kW</v>
      </c>
      <c r="E1709" s="168" t="str">
        <f>'Máy thi công'!E184</f>
        <v>ca</v>
      </c>
      <c r="F1709" s="60"/>
      <c r="G1709" s="60"/>
      <c r="H1709" s="60"/>
      <c r="I1709" s="60">
        <v>0.32</v>
      </c>
      <c r="J1709" s="60"/>
      <c r="K1709" s="60"/>
      <c r="L1709" s="60">
        <f>ROUND(F1701*I1709,4)</f>
        <v>0.13719999999999999</v>
      </c>
    </row>
    <row r="1710" spans="1:12" x14ac:dyDescent="0.25">
      <c r="A1710" s="168"/>
      <c r="B1710" s="144" t="str">
        <f>'Máy thi công'!B6</f>
        <v>M9438</v>
      </c>
      <c r="C1710" s="34">
        <v>714</v>
      </c>
      <c r="D1710" s="144" t="str">
        <f>" - " &amp; 'Máy thi công'!D6</f>
        <v xml:space="preserve"> - Biến thế hàn xoay chiều - công suất: 23 kW</v>
      </c>
      <c r="E1710" s="168" t="str">
        <f>'Máy thi công'!E6</f>
        <v>ca</v>
      </c>
      <c r="F1710" s="60"/>
      <c r="G1710" s="60"/>
      <c r="H1710" s="60"/>
      <c r="I1710" s="60">
        <v>1.133</v>
      </c>
      <c r="J1710" s="60"/>
      <c r="K1710" s="60"/>
      <c r="L1710" s="60">
        <f>ROUND(F1701*I1710,4)</f>
        <v>0.48570000000000002</v>
      </c>
    </row>
    <row r="1711" spans="1:12" ht="28.5" x14ac:dyDescent="0.25">
      <c r="A1711" s="65">
        <f>'Công trình'!A228</f>
        <v>180</v>
      </c>
      <c r="B1711" s="14" t="str">
        <f>'Công trình'!B228</f>
        <v>AG.13131</v>
      </c>
      <c r="C1711" s="94"/>
      <c r="D1711" s="14" t="str">
        <f>'Công trình'!C228</f>
        <v>Sản xuất, lắp dựng cốt thép BT đúc sẵn cọc, đường kính &gt;18mm</v>
      </c>
      <c r="E1711" s="46" t="str">
        <f>'Công trình'!D228</f>
        <v>tấn</v>
      </c>
      <c r="F1711" s="106">
        <f>'Công trình'!K228</f>
        <v>13.3118</v>
      </c>
      <c r="G1711" s="126"/>
      <c r="H1711" s="126"/>
      <c r="I1711" s="126"/>
      <c r="J1711" s="126"/>
      <c r="K1711" s="126"/>
      <c r="L1711" s="126"/>
    </row>
    <row r="1712" spans="1:12" x14ac:dyDescent="0.25">
      <c r="A1712" s="56"/>
      <c r="B1712" s="23"/>
      <c r="C1712" s="88"/>
      <c r="D1712" s="23" t="s">
        <v>479</v>
      </c>
      <c r="E1712" s="56"/>
      <c r="F1712" s="118"/>
      <c r="G1712" s="118"/>
      <c r="H1712" s="118"/>
      <c r="I1712" s="118"/>
      <c r="J1712" s="118"/>
      <c r="K1712" s="118"/>
      <c r="L1712" s="118"/>
    </row>
    <row r="1713" spans="1:12" x14ac:dyDescent="0.25">
      <c r="A1713" s="168"/>
      <c r="B1713" s="144" t="str">
        <f>'Vật liệu'!B450</f>
        <v>V00515</v>
      </c>
      <c r="C1713" s="34">
        <v>154</v>
      </c>
      <c r="D1713" s="144" t="str">
        <f>" - " &amp; 'Vật liệu'!D450</f>
        <v xml:space="preserve"> - Que hàn</v>
      </c>
      <c r="E1713" s="168" t="str">
        <f>'Vật liệu'!E450</f>
        <v>kg</v>
      </c>
      <c r="F1713" s="60"/>
      <c r="G1713" s="60">
        <v>4.7</v>
      </c>
      <c r="H1713" s="60"/>
      <c r="I1713" s="60"/>
      <c r="J1713" s="60">
        <f>ROUND(F1711*G1713,4)</f>
        <v>62.5655</v>
      </c>
      <c r="K1713" s="60"/>
      <c r="L1713" s="60"/>
    </row>
    <row r="1714" spans="1:12" x14ac:dyDescent="0.25">
      <c r="A1714" s="168"/>
      <c r="B1714" s="144" t="str">
        <f>'Vật liệu'!B221</f>
        <v>V00226</v>
      </c>
      <c r="C1714" s="34">
        <v>135</v>
      </c>
      <c r="D1714" s="144" t="str">
        <f>" - " &amp; 'Vật liệu'!D221</f>
        <v xml:space="preserve"> - Dây thép</v>
      </c>
      <c r="E1714" s="168" t="str">
        <f>'Vật liệu'!E221</f>
        <v>kg</v>
      </c>
      <c r="F1714" s="60"/>
      <c r="G1714" s="60">
        <v>14.28</v>
      </c>
      <c r="H1714" s="60"/>
      <c r="I1714" s="60"/>
      <c r="J1714" s="60">
        <f>ROUND(F1711*G1714,4)</f>
        <v>190.0925</v>
      </c>
      <c r="K1714" s="60"/>
      <c r="L1714" s="60"/>
    </row>
    <row r="1715" spans="1:12" x14ac:dyDescent="0.25">
      <c r="A1715" s="168"/>
      <c r="B1715" s="144" t="str">
        <f>'Vật liệu'!B689</f>
        <v>V48498</v>
      </c>
      <c r="C1715" s="34">
        <v>488</v>
      </c>
      <c r="D1715" s="144" t="str">
        <f>" - " &amp; 'Vật liệu'!D689</f>
        <v xml:space="preserve"> - Thép tròn đường kính &gt;18mm</v>
      </c>
      <c r="E1715" s="168" t="str">
        <f>'Vật liệu'!E689</f>
        <v>kg</v>
      </c>
      <c r="F1715" s="60"/>
      <c r="G1715" s="60">
        <v>1020</v>
      </c>
      <c r="H1715" s="60"/>
      <c r="I1715" s="60"/>
      <c r="J1715" s="60">
        <f>ROUND(F1711*G1715,4)</f>
        <v>13578.036</v>
      </c>
      <c r="K1715" s="60"/>
      <c r="L1715" s="60"/>
    </row>
    <row r="1716" spans="1:12" x14ac:dyDescent="0.25">
      <c r="A1716" s="56"/>
      <c r="B1716" s="23"/>
      <c r="C1716" s="88"/>
      <c r="D1716" s="23" t="s">
        <v>202</v>
      </c>
      <c r="E1716" s="56"/>
      <c r="F1716" s="118"/>
      <c r="G1716" s="118"/>
      <c r="H1716" s="118"/>
      <c r="I1716" s="118"/>
      <c r="J1716" s="118"/>
      <c r="K1716" s="118"/>
      <c r="L1716" s="118"/>
    </row>
    <row r="1717" spans="1:12" x14ac:dyDescent="0.25">
      <c r="A1717" s="168"/>
      <c r="B1717" s="144" t="str">
        <f>'Nhân công'!B45</f>
        <v>N0009</v>
      </c>
      <c r="C1717" s="34">
        <v>546</v>
      </c>
      <c r="D1717" s="144" t="s">
        <v>1052</v>
      </c>
      <c r="E1717" s="168" t="str">
        <f>'Nhân công'!G45</f>
        <v>công</v>
      </c>
      <c r="F1717" s="60"/>
      <c r="G1717" s="60"/>
      <c r="H1717" s="60">
        <v>7.49</v>
      </c>
      <c r="I1717" s="60"/>
      <c r="J1717" s="60"/>
      <c r="K1717" s="60">
        <f>ROUND(F1711*H1717,4)</f>
        <v>99.705399999999997</v>
      </c>
      <c r="L1717" s="60"/>
    </row>
    <row r="1718" spans="1:12" x14ac:dyDescent="0.25">
      <c r="A1718" s="56"/>
      <c r="B1718" s="23"/>
      <c r="C1718" s="88"/>
      <c r="D1718" s="23" t="s">
        <v>378</v>
      </c>
      <c r="E1718" s="56"/>
      <c r="F1718" s="118"/>
      <c r="G1718" s="118"/>
      <c r="H1718" s="118"/>
      <c r="I1718" s="118"/>
      <c r="J1718" s="118"/>
      <c r="K1718" s="118"/>
      <c r="L1718" s="118"/>
    </row>
    <row r="1719" spans="1:12" x14ac:dyDescent="0.25">
      <c r="A1719" s="168"/>
      <c r="B1719" s="144" t="str">
        <f>'Máy thi công'!B184</f>
        <v>M9521</v>
      </c>
      <c r="C1719" s="34">
        <v>737</v>
      </c>
      <c r="D1719" s="144" t="str">
        <f>" - " &amp; 'Máy thi công'!D184</f>
        <v xml:space="preserve"> - Máy cắt uốn cốt thép - công suất: 5 kW</v>
      </c>
      <c r="E1719" s="168" t="str">
        <f>'Máy thi công'!E184</f>
        <v>ca</v>
      </c>
      <c r="F1719" s="60"/>
      <c r="G1719" s="60"/>
      <c r="H1719" s="60"/>
      <c r="I1719" s="60">
        <v>0.16</v>
      </c>
      <c r="J1719" s="60"/>
      <c r="K1719" s="60"/>
      <c r="L1719" s="60">
        <f>ROUND(F1711*I1719,4)</f>
        <v>2.1299000000000001</v>
      </c>
    </row>
    <row r="1720" spans="1:12" x14ac:dyDescent="0.25">
      <c r="A1720" s="168"/>
      <c r="B1720" s="144" t="str">
        <f>'Máy thi công'!B6</f>
        <v>M9438</v>
      </c>
      <c r="C1720" s="34">
        <v>714</v>
      </c>
      <c r="D1720" s="144" t="str">
        <f>" - " &amp; 'Máy thi công'!D6</f>
        <v xml:space="preserve"> - Biến thế hàn xoay chiều - công suất: 23 kW</v>
      </c>
      <c r="E1720" s="168" t="str">
        <f>'Máy thi công'!E6</f>
        <v>ca</v>
      </c>
      <c r="F1720" s="60"/>
      <c r="G1720" s="60"/>
      <c r="H1720" s="60"/>
      <c r="I1720" s="60">
        <v>1.093</v>
      </c>
      <c r="J1720" s="60"/>
      <c r="K1720" s="60"/>
      <c r="L1720" s="60">
        <f>ROUND(F1711*I1720,4)</f>
        <v>14.549799999999999</v>
      </c>
    </row>
    <row r="1721" spans="1:12" ht="28.5" x14ac:dyDescent="0.25">
      <c r="A1721" s="65">
        <f>'Công trình'!A229</f>
        <v>181</v>
      </c>
      <c r="B1721" s="14" t="str">
        <f>'Công trình'!B229</f>
        <v>AI.13111</v>
      </c>
      <c r="C1721" s="94"/>
      <c r="D1721" s="14" t="str">
        <f>'Công trình'!C229</f>
        <v>Sản xuất cấu kiện thép đặt sẵn trong bê tông, khối lượng &lt;=10kg/cấu kiện</v>
      </c>
      <c r="E1721" s="46" t="str">
        <f>'Công trình'!D229</f>
        <v>tấn</v>
      </c>
      <c r="F1721" s="106">
        <f>'Công trình'!K229</f>
        <v>0.99119999999999997</v>
      </c>
      <c r="G1721" s="126"/>
      <c r="H1721" s="126"/>
      <c r="I1721" s="126"/>
      <c r="J1721" s="126"/>
      <c r="K1721" s="126"/>
      <c r="L1721" s="126"/>
    </row>
    <row r="1722" spans="1:12" x14ac:dyDescent="0.25">
      <c r="A1722" s="56"/>
      <c r="B1722" s="23"/>
      <c r="C1722" s="88"/>
      <c r="D1722" s="23" t="s">
        <v>479</v>
      </c>
      <c r="E1722" s="56"/>
      <c r="F1722" s="118"/>
      <c r="G1722" s="118"/>
      <c r="H1722" s="118"/>
      <c r="I1722" s="118"/>
      <c r="J1722" s="118"/>
      <c r="K1722" s="118"/>
      <c r="L1722" s="118"/>
    </row>
    <row r="1723" spans="1:12" x14ac:dyDescent="0.25">
      <c r="A1723" s="168"/>
      <c r="B1723" s="144" t="str">
        <f>'Vật liệu'!B186</f>
        <v>V00824</v>
      </c>
      <c r="C1723" s="34">
        <v>407</v>
      </c>
      <c r="D1723" s="144" t="str">
        <f>" - " &amp; 'Vật liệu'!D186</f>
        <v xml:space="preserve"> - Đá mài</v>
      </c>
      <c r="E1723" s="168" t="str">
        <f>'Vật liệu'!E186</f>
        <v>viên</v>
      </c>
      <c r="F1723" s="60"/>
      <c r="G1723" s="60">
        <v>0.7</v>
      </c>
      <c r="H1723" s="60"/>
      <c r="I1723" s="60"/>
      <c r="J1723" s="60">
        <f>ROUND(F1721*G1723,4)</f>
        <v>0.69379999999999997</v>
      </c>
      <c r="K1723" s="60"/>
      <c r="L1723" s="60"/>
    </row>
    <row r="1724" spans="1:12" x14ac:dyDescent="0.25">
      <c r="A1724" s="168"/>
      <c r="B1724" s="144" t="str">
        <f>'Vật liệu'!B450</f>
        <v>V00515</v>
      </c>
      <c r="C1724" s="34">
        <v>154</v>
      </c>
      <c r="D1724" s="144" t="str">
        <f>" - " &amp; 'Vật liệu'!D450</f>
        <v xml:space="preserve"> - Que hàn</v>
      </c>
      <c r="E1724" s="168" t="str">
        <f>'Vật liệu'!E450</f>
        <v>kg</v>
      </c>
      <c r="F1724" s="60"/>
      <c r="G1724" s="60">
        <v>19.38</v>
      </c>
      <c r="H1724" s="60"/>
      <c r="I1724" s="60"/>
      <c r="J1724" s="60">
        <f>ROUND(F1721*G1724,4)</f>
        <v>19.209499999999998</v>
      </c>
      <c r="K1724" s="60"/>
      <c r="L1724" s="60"/>
    </row>
    <row r="1725" spans="1:12" x14ac:dyDescent="0.25">
      <c r="A1725" s="168"/>
      <c r="B1725" s="144" t="str">
        <f>'Vật liệu'!B200</f>
        <v>V00833</v>
      </c>
      <c r="C1725" s="34">
        <v>411</v>
      </c>
      <c r="D1725" s="144" t="str">
        <f>" - " &amp; 'Vật liệu'!D200</f>
        <v xml:space="preserve"> - Đất đèn</v>
      </c>
      <c r="E1725" s="168" t="str">
        <f>'Vật liệu'!E200</f>
        <v>kg</v>
      </c>
      <c r="F1725" s="60"/>
      <c r="G1725" s="60">
        <v>14.8</v>
      </c>
      <c r="H1725" s="60"/>
      <c r="I1725" s="60"/>
      <c r="J1725" s="60">
        <f>ROUND(F1721*G1725,4)</f>
        <v>14.6698</v>
      </c>
      <c r="K1725" s="60"/>
      <c r="L1725" s="60"/>
    </row>
    <row r="1726" spans="1:12" x14ac:dyDescent="0.25">
      <c r="A1726" s="168"/>
      <c r="B1726" s="144" t="str">
        <f>'Vật liệu'!B606</f>
        <v>V00671</v>
      </c>
      <c r="C1726" s="34">
        <v>166</v>
      </c>
      <c r="D1726" s="144" t="str">
        <f>" - " &amp; 'Vật liệu'!D606</f>
        <v xml:space="preserve"> - Thép tấm</v>
      </c>
      <c r="E1726" s="168" t="str">
        <f>'Vật liệu'!E606</f>
        <v>kg</v>
      </c>
      <c r="F1726" s="60"/>
      <c r="G1726" s="60">
        <v>825</v>
      </c>
      <c r="H1726" s="60"/>
      <c r="I1726" s="60"/>
      <c r="J1726" s="60">
        <f>ROUND(F1721*G1726,4)</f>
        <v>817.74</v>
      </c>
      <c r="K1726" s="60"/>
      <c r="L1726" s="60"/>
    </row>
    <row r="1727" spans="1:12" x14ac:dyDescent="0.25">
      <c r="A1727" s="168"/>
      <c r="B1727" s="144" t="str">
        <f>'Vật liệu'!B684</f>
        <v>V48497</v>
      </c>
      <c r="C1727" s="34">
        <v>487</v>
      </c>
      <c r="D1727" s="144" t="str">
        <f>" - " &amp; 'Vật liệu'!D684</f>
        <v xml:space="preserve"> - Thép tròn đường kính &gt;14</v>
      </c>
      <c r="E1727" s="168" t="str">
        <f>'Vật liệu'!E684</f>
        <v>kg</v>
      </c>
      <c r="F1727" s="60"/>
      <c r="G1727" s="60">
        <v>275.5</v>
      </c>
      <c r="H1727" s="60"/>
      <c r="I1727" s="60"/>
      <c r="J1727" s="60">
        <f>ROUND(F1721*G1727,4)</f>
        <v>273.07560000000001</v>
      </c>
      <c r="K1727" s="60"/>
      <c r="L1727" s="60"/>
    </row>
    <row r="1728" spans="1:12" x14ac:dyDescent="0.25">
      <c r="A1728" s="168"/>
      <c r="B1728" s="144" t="str">
        <f>'Vật liệu'!B401</f>
        <v>V00770</v>
      </c>
      <c r="C1728" s="34">
        <v>400</v>
      </c>
      <c r="D1728" s="144" t="str">
        <f>" - " &amp; 'Vật liệu'!D401</f>
        <v xml:space="preserve"> - Ô xy</v>
      </c>
      <c r="E1728" s="168" t="str">
        <f>'Vật liệu'!E401</f>
        <v>Chai</v>
      </c>
      <c r="F1728" s="60"/>
      <c r="G1728" s="60">
        <v>3.3</v>
      </c>
      <c r="H1728" s="60"/>
      <c r="I1728" s="60"/>
      <c r="J1728" s="60">
        <f>ROUND(F1721*G1728,4)</f>
        <v>3.2709999999999999</v>
      </c>
      <c r="K1728" s="60"/>
      <c r="L1728" s="60"/>
    </row>
    <row r="1729" spans="1:12" x14ac:dyDescent="0.25">
      <c r="A1729" s="168"/>
      <c r="B1729" s="144" t="str">
        <f>'Vật liệu'!B766</f>
        <v>V00750</v>
      </c>
      <c r="C1729" s="34">
        <v>294</v>
      </c>
      <c r="D1729" s="144" t="str">
        <f>" - " &amp; 'Vật liệu'!D766</f>
        <v xml:space="preserve"> - Vật liệu khác</v>
      </c>
      <c r="E1729" s="168" t="str">
        <f>'Vật liệu'!E766</f>
        <v>%</v>
      </c>
      <c r="F1729" s="60"/>
      <c r="G1729" s="60">
        <v>2.5</v>
      </c>
      <c r="H1729" s="60"/>
      <c r="I1729" s="60"/>
      <c r="J1729" s="60"/>
      <c r="K1729" s="60"/>
      <c r="L1729" s="60"/>
    </row>
    <row r="1730" spans="1:12" x14ac:dyDescent="0.25">
      <c r="A1730" s="56"/>
      <c r="B1730" s="23"/>
      <c r="C1730" s="88"/>
      <c r="D1730" s="23" t="s">
        <v>202</v>
      </c>
      <c r="E1730" s="56"/>
      <c r="F1730" s="118"/>
      <c r="G1730" s="118"/>
      <c r="H1730" s="118"/>
      <c r="I1730" s="118"/>
      <c r="J1730" s="118"/>
      <c r="K1730" s="118"/>
      <c r="L1730" s="118"/>
    </row>
    <row r="1731" spans="1:12" x14ac:dyDescent="0.25">
      <c r="A1731" s="168"/>
      <c r="B1731" s="144" t="str">
        <f>'Nhân công'!B221</f>
        <v>N0013</v>
      </c>
      <c r="C1731" s="34">
        <v>553</v>
      </c>
      <c r="D1731" s="144" t="s">
        <v>275</v>
      </c>
      <c r="E1731" s="168" t="str">
        <f>'Nhân công'!G221</f>
        <v>công</v>
      </c>
      <c r="F1731" s="60"/>
      <c r="G1731" s="60"/>
      <c r="H1731" s="60">
        <v>34.9</v>
      </c>
      <c r="I1731" s="60"/>
      <c r="J1731" s="60"/>
      <c r="K1731" s="60">
        <f>ROUND(F1721*H1731,4)</f>
        <v>34.5929</v>
      </c>
      <c r="L1731" s="60"/>
    </row>
    <row r="1732" spans="1:12" x14ac:dyDescent="0.25">
      <c r="A1732" s="56"/>
      <c r="B1732" s="23"/>
      <c r="C1732" s="88"/>
      <c r="D1732" s="23" t="s">
        <v>378</v>
      </c>
      <c r="E1732" s="56"/>
      <c r="F1732" s="118"/>
      <c r="G1732" s="118"/>
      <c r="H1732" s="118"/>
      <c r="I1732" s="118"/>
      <c r="J1732" s="118"/>
      <c r="K1732" s="118"/>
      <c r="L1732" s="118"/>
    </row>
    <row r="1733" spans="1:12" x14ac:dyDescent="0.25">
      <c r="A1733" s="168"/>
      <c r="B1733" s="144" t="str">
        <f>'Máy thi công'!B273</f>
        <v>M112.1501</v>
      </c>
      <c r="C1733" s="34">
        <v>701</v>
      </c>
      <c r="D1733" s="144" t="str">
        <f>" - " &amp; 'Máy thi công'!D273</f>
        <v xml:space="preserve"> - Máy khoan đứng - công suất: 2,5 kW</v>
      </c>
      <c r="E1733" s="168" t="str">
        <f>'Máy thi công'!E273</f>
        <v>ca</v>
      </c>
      <c r="F1733" s="60"/>
      <c r="G1733" s="60"/>
      <c r="H1733" s="60"/>
      <c r="I1733" s="60">
        <v>1.55</v>
      </c>
      <c r="J1733" s="60"/>
      <c r="K1733" s="60"/>
      <c r="L1733" s="60">
        <f>ROUND(F1721*I1733,4)</f>
        <v>1.5364</v>
      </c>
    </row>
    <row r="1734" spans="1:12" x14ac:dyDescent="0.25">
      <c r="A1734" s="168"/>
      <c r="B1734" s="144" t="str">
        <f>'Máy thi công'!B6</f>
        <v>M9438</v>
      </c>
      <c r="C1734" s="34">
        <v>714</v>
      </c>
      <c r="D1734" s="144" t="str">
        <f>" - " &amp; 'Máy thi công'!D6</f>
        <v xml:space="preserve"> - Biến thế hàn xoay chiều - công suất: 23 kW</v>
      </c>
      <c r="E1734" s="168" t="str">
        <f>'Máy thi công'!E6</f>
        <v>ca</v>
      </c>
      <c r="F1734" s="60"/>
      <c r="G1734" s="60"/>
      <c r="H1734" s="60"/>
      <c r="I1734" s="60">
        <v>3.23</v>
      </c>
      <c r="J1734" s="60"/>
      <c r="K1734" s="60"/>
      <c r="L1734" s="60">
        <f>ROUND(F1721*I1734,4)</f>
        <v>3.2016</v>
      </c>
    </row>
    <row r="1735" spans="1:12" x14ac:dyDescent="0.25">
      <c r="A1735" s="168"/>
      <c r="B1735" s="144" t="str">
        <f>'Máy thi công'!B285</f>
        <v>M112.3702</v>
      </c>
      <c r="C1735" s="34">
        <v>705</v>
      </c>
      <c r="D1735" s="144" t="str">
        <f>" - " &amp; 'Máy thi công'!D285</f>
        <v xml:space="preserve"> - Máy mài - công suất: 2,7 kW</v>
      </c>
      <c r="E1735" s="168" t="str">
        <f>'Máy thi công'!E285</f>
        <v>ca</v>
      </c>
      <c r="F1735" s="60"/>
      <c r="G1735" s="60"/>
      <c r="H1735" s="60"/>
      <c r="I1735" s="60">
        <v>1.55</v>
      </c>
      <c r="J1735" s="60"/>
      <c r="K1735" s="60"/>
      <c r="L1735" s="60">
        <f>ROUND(F1721*I1735,4)</f>
        <v>1.5364</v>
      </c>
    </row>
    <row r="1736" spans="1:12" x14ac:dyDescent="0.25">
      <c r="A1736" s="168"/>
      <c r="B1736" s="144" t="str">
        <f>'Máy thi công'!B398</f>
        <v>M0111</v>
      </c>
      <c r="C1736" s="34">
        <v>632</v>
      </c>
      <c r="D1736" s="144" t="str">
        <f>" - " &amp; 'Máy thi công'!D398</f>
        <v xml:space="preserve"> - Máy khác</v>
      </c>
      <c r="E1736" s="168" t="str">
        <f>'Máy thi công'!E398</f>
        <v>%</v>
      </c>
      <c r="F1736" s="60"/>
      <c r="G1736" s="60"/>
      <c r="H1736" s="60"/>
      <c r="I1736" s="60">
        <v>2</v>
      </c>
      <c r="J1736" s="60"/>
      <c r="K1736" s="60"/>
      <c r="L1736" s="60"/>
    </row>
    <row r="1737" spans="1:12" ht="28.5" x14ac:dyDescent="0.25">
      <c r="A1737" s="65">
        <f>'Công trình'!A230</f>
        <v>182</v>
      </c>
      <c r="B1737" s="14" t="str">
        <f>'Công trình'!B230</f>
        <v>AG.32321</v>
      </c>
      <c r="C1737" s="94"/>
      <c r="D1737" s="14" t="str">
        <f>'Công trình'!C230</f>
        <v>Sản xuất, lắp dựng, tháo dỡ ván khuôn thép bê tông đúc sẵn cọc, cột</v>
      </c>
      <c r="E1737" s="46" t="str">
        <f>'Công trình'!D230</f>
        <v>100m2</v>
      </c>
      <c r="F1737" s="106">
        <f>'Công trình'!K230</f>
        <v>4.4835000000000003</v>
      </c>
      <c r="G1737" s="126"/>
      <c r="H1737" s="126"/>
      <c r="I1737" s="126"/>
      <c r="J1737" s="126"/>
      <c r="K1737" s="126"/>
      <c r="L1737" s="126"/>
    </row>
    <row r="1738" spans="1:12" x14ac:dyDescent="0.25">
      <c r="A1738" s="56"/>
      <c r="B1738" s="23"/>
      <c r="C1738" s="88"/>
      <c r="D1738" s="23" t="s">
        <v>479</v>
      </c>
      <c r="E1738" s="56"/>
      <c r="F1738" s="118"/>
      <c r="G1738" s="118"/>
      <c r="H1738" s="118"/>
      <c r="I1738" s="118"/>
      <c r="J1738" s="118"/>
      <c r="K1738" s="118"/>
      <c r="L1738" s="118"/>
    </row>
    <row r="1739" spans="1:12" x14ac:dyDescent="0.25">
      <c r="A1739" s="168"/>
      <c r="B1739" s="144" t="str">
        <f>'Vật liệu'!B450</f>
        <v>V00515</v>
      </c>
      <c r="C1739" s="34">
        <v>154</v>
      </c>
      <c r="D1739" s="144" t="str">
        <f>" - " &amp; 'Vật liệu'!D450</f>
        <v xml:space="preserve"> - Que hàn</v>
      </c>
      <c r="E1739" s="168" t="str">
        <f>'Vật liệu'!E450</f>
        <v>kg</v>
      </c>
      <c r="F1739" s="60"/>
      <c r="G1739" s="60">
        <v>1.22</v>
      </c>
      <c r="H1739" s="60"/>
      <c r="I1739" s="60"/>
      <c r="J1739" s="60">
        <f>ROUND(F1737*G1739,4)</f>
        <v>5.4699</v>
      </c>
      <c r="K1739" s="60"/>
      <c r="L1739" s="60"/>
    </row>
    <row r="1740" spans="1:12" x14ac:dyDescent="0.25">
      <c r="A1740" s="168"/>
      <c r="B1740" s="144" t="str">
        <f>'Vật liệu'!B606</f>
        <v>V00671</v>
      </c>
      <c r="C1740" s="34">
        <v>166</v>
      </c>
      <c r="D1740" s="144" t="str">
        <f>" - " &amp; 'Vật liệu'!D606</f>
        <v xml:space="preserve"> - Thép tấm</v>
      </c>
      <c r="E1740" s="168" t="str">
        <f>'Vật liệu'!E606</f>
        <v>kg</v>
      </c>
      <c r="F1740" s="60"/>
      <c r="G1740" s="60">
        <v>34.54</v>
      </c>
      <c r="H1740" s="60"/>
      <c r="I1740" s="60"/>
      <c r="J1740" s="60">
        <f>ROUND(F1737*G1740,4)</f>
        <v>154.86009999999999</v>
      </c>
      <c r="K1740" s="60"/>
      <c r="L1740" s="60"/>
    </row>
    <row r="1741" spans="1:12" x14ac:dyDescent="0.25">
      <c r="A1741" s="168"/>
      <c r="B1741" s="144" t="str">
        <f>'Vật liệu'!B556</f>
        <v>V00641</v>
      </c>
      <c r="C1741" s="34">
        <v>160</v>
      </c>
      <c r="D1741" s="144" t="str">
        <f>" - " &amp; 'Vật liệu'!D556</f>
        <v xml:space="preserve"> - Thép hình</v>
      </c>
      <c r="E1741" s="168" t="str">
        <f>'Vật liệu'!E556</f>
        <v>kg</v>
      </c>
      <c r="F1741" s="60"/>
      <c r="G1741" s="60">
        <v>13.95</v>
      </c>
      <c r="H1741" s="60"/>
      <c r="I1741" s="60"/>
      <c r="J1741" s="60">
        <f>ROUND(F1737*G1741,4)</f>
        <v>62.544800000000002</v>
      </c>
      <c r="K1741" s="60"/>
      <c r="L1741" s="60"/>
    </row>
    <row r="1742" spans="1:12" x14ac:dyDescent="0.25">
      <c r="A1742" s="168"/>
      <c r="B1742" s="144" t="str">
        <f>'Vật liệu'!B766</f>
        <v>V00750</v>
      </c>
      <c r="C1742" s="34">
        <v>384</v>
      </c>
      <c r="D1742" s="144" t="str">
        <f>" - " &amp; 'Vật liệu'!D766</f>
        <v xml:space="preserve"> - Vật liệu khác</v>
      </c>
      <c r="E1742" s="168" t="str">
        <f>'Vật liệu'!E766</f>
        <v>%</v>
      </c>
      <c r="F1742" s="60"/>
      <c r="G1742" s="60">
        <v>5</v>
      </c>
      <c r="H1742" s="60"/>
      <c r="I1742" s="60"/>
      <c r="J1742" s="60"/>
      <c r="K1742" s="60"/>
      <c r="L1742" s="60"/>
    </row>
    <row r="1743" spans="1:12" x14ac:dyDescent="0.25">
      <c r="A1743" s="56"/>
      <c r="B1743" s="23"/>
      <c r="C1743" s="88"/>
      <c r="D1743" s="23" t="s">
        <v>202</v>
      </c>
      <c r="E1743" s="56"/>
      <c r="F1743" s="118"/>
      <c r="G1743" s="118"/>
      <c r="H1743" s="118"/>
      <c r="I1743" s="118"/>
      <c r="J1743" s="118"/>
      <c r="K1743" s="118"/>
      <c r="L1743" s="118"/>
    </row>
    <row r="1744" spans="1:12" x14ac:dyDescent="0.25">
      <c r="A1744" s="168"/>
      <c r="B1744" s="144" t="str">
        <f>'Nhân công'!B45</f>
        <v>N0009</v>
      </c>
      <c r="C1744" s="34">
        <v>546</v>
      </c>
      <c r="D1744" s="144" t="s">
        <v>1052</v>
      </c>
      <c r="E1744" s="168" t="str">
        <f>'Nhân công'!G45</f>
        <v>công</v>
      </c>
      <c r="F1744" s="60"/>
      <c r="G1744" s="60"/>
      <c r="H1744" s="60">
        <v>25.84</v>
      </c>
      <c r="I1744" s="60"/>
      <c r="J1744" s="60"/>
      <c r="K1744" s="60">
        <f>ROUND(F1737*H1744,4)</f>
        <v>115.8536</v>
      </c>
      <c r="L1744" s="60"/>
    </row>
    <row r="1745" spans="1:12" x14ac:dyDescent="0.25">
      <c r="A1745" s="56"/>
      <c r="B1745" s="23"/>
      <c r="C1745" s="88"/>
      <c r="D1745" s="23" t="s">
        <v>378</v>
      </c>
      <c r="E1745" s="56"/>
      <c r="F1745" s="118"/>
      <c r="G1745" s="118"/>
      <c r="H1745" s="118"/>
      <c r="I1745" s="118"/>
      <c r="J1745" s="118"/>
      <c r="K1745" s="118"/>
      <c r="L1745" s="118"/>
    </row>
    <row r="1746" spans="1:12" x14ac:dyDescent="0.25">
      <c r="A1746" s="168"/>
      <c r="B1746" s="144" t="str">
        <f>'Máy thi công'!B6</f>
        <v>M9438</v>
      </c>
      <c r="C1746" s="34">
        <v>714</v>
      </c>
      <c r="D1746" s="144" t="str">
        <f>" - " &amp; 'Máy thi công'!D6</f>
        <v xml:space="preserve"> - Biến thế hàn xoay chiều - công suất: 23 kW</v>
      </c>
      <c r="E1746" s="168" t="str">
        <f>'Máy thi công'!E6</f>
        <v>ca</v>
      </c>
      <c r="F1746" s="60"/>
      <c r="G1746" s="60"/>
      <c r="H1746" s="60"/>
      <c r="I1746" s="60">
        <v>0.44</v>
      </c>
      <c r="J1746" s="60"/>
      <c r="K1746" s="60"/>
      <c r="L1746" s="60">
        <f>ROUND(F1737*I1746,4)</f>
        <v>1.9726999999999999</v>
      </c>
    </row>
    <row r="1747" spans="1:12" x14ac:dyDescent="0.25">
      <c r="A1747" s="168"/>
      <c r="B1747" s="144" t="str">
        <f>'Máy thi công'!B398</f>
        <v>M0111</v>
      </c>
      <c r="C1747" s="34">
        <v>684</v>
      </c>
      <c r="D1747" s="144" t="str">
        <f>" - " &amp; 'Máy thi công'!D398</f>
        <v xml:space="preserve"> - Máy khác</v>
      </c>
      <c r="E1747" s="168" t="str">
        <f>'Máy thi công'!E398</f>
        <v>%</v>
      </c>
      <c r="F1747" s="60"/>
      <c r="G1747" s="60"/>
      <c r="H1747" s="60"/>
      <c r="I1747" s="60">
        <v>10</v>
      </c>
      <c r="J1747" s="60"/>
      <c r="K1747" s="60"/>
      <c r="L1747" s="60"/>
    </row>
    <row r="1748" spans="1:12" x14ac:dyDescent="0.25">
      <c r="A1748" s="65">
        <f>'Công trình'!A231</f>
        <v>183</v>
      </c>
      <c r="B1748" s="14" t="str">
        <f>'Công trình'!B231</f>
        <v>AI.52211</v>
      </c>
      <c r="C1748" s="94"/>
      <c r="D1748" s="14" t="str">
        <f>'Công trình'!C231</f>
        <v>Thép hình hộp nối cọc</v>
      </c>
      <c r="E1748" s="46" t="str">
        <f>'Công trình'!D231</f>
        <v>tấn</v>
      </c>
      <c r="F1748" s="106">
        <f>'Công trình'!K231</f>
        <v>2.4693000000000001</v>
      </c>
      <c r="G1748" s="126"/>
      <c r="H1748" s="126"/>
      <c r="I1748" s="126"/>
      <c r="J1748" s="126"/>
      <c r="K1748" s="126"/>
      <c r="L1748" s="126"/>
    </row>
    <row r="1749" spans="1:12" x14ac:dyDescent="0.25">
      <c r="A1749" s="56"/>
      <c r="B1749" s="23"/>
      <c r="C1749" s="88"/>
      <c r="D1749" s="23" t="s">
        <v>479</v>
      </c>
      <c r="E1749" s="56"/>
      <c r="F1749" s="118"/>
      <c r="G1749" s="118"/>
      <c r="H1749" s="118"/>
      <c r="I1749" s="118"/>
      <c r="J1749" s="118"/>
      <c r="K1749" s="118"/>
      <c r="L1749" s="118"/>
    </row>
    <row r="1750" spans="1:12" x14ac:dyDescent="0.25">
      <c r="A1750" s="168"/>
      <c r="B1750" s="144" t="str">
        <f>'Vật liệu'!B200</f>
        <v>V00833</v>
      </c>
      <c r="C1750" s="34">
        <v>411</v>
      </c>
      <c r="D1750" s="144" t="str">
        <f>" - " &amp; 'Vật liệu'!D200</f>
        <v xml:space="preserve"> - Đất đèn</v>
      </c>
      <c r="E1750" s="168" t="str">
        <f>'Vật liệu'!E200</f>
        <v>kg</v>
      </c>
      <c r="F1750" s="60"/>
      <c r="G1750" s="60">
        <v>9.6199999999999992</v>
      </c>
      <c r="H1750" s="60"/>
      <c r="I1750" s="60"/>
      <c r="J1750" s="60">
        <f>ROUND(F1748*G1750,4)</f>
        <v>23.7547</v>
      </c>
      <c r="K1750" s="60"/>
      <c r="L1750" s="60"/>
    </row>
    <row r="1751" spans="1:12" x14ac:dyDescent="0.25">
      <c r="A1751" s="168"/>
      <c r="B1751" s="144" t="str">
        <f>'Vật liệu'!B450</f>
        <v>V00515</v>
      </c>
      <c r="C1751" s="34">
        <v>154</v>
      </c>
      <c r="D1751" s="144" t="str">
        <f>" - " &amp; 'Vật liệu'!D450</f>
        <v xml:space="preserve"> - Que hàn</v>
      </c>
      <c r="E1751" s="168" t="str">
        <f>'Vật liệu'!E450</f>
        <v>kg</v>
      </c>
      <c r="F1751" s="60"/>
      <c r="G1751" s="60">
        <v>18.75</v>
      </c>
      <c r="H1751" s="60"/>
      <c r="I1751" s="60"/>
      <c r="J1751" s="60">
        <f>ROUND(F1748*G1751,4)</f>
        <v>46.299399999999999</v>
      </c>
      <c r="K1751" s="60"/>
      <c r="L1751" s="60"/>
    </row>
    <row r="1752" spans="1:12" x14ac:dyDescent="0.25">
      <c r="A1752" s="168"/>
      <c r="B1752" s="144" t="str">
        <f>'Vật liệu'!B401</f>
        <v>V00770</v>
      </c>
      <c r="C1752" s="34">
        <v>400</v>
      </c>
      <c r="D1752" s="144" t="str">
        <f>" - " &amp; 'Vật liệu'!D401</f>
        <v xml:space="preserve"> - Ô xy</v>
      </c>
      <c r="E1752" s="168" t="str">
        <f>'Vật liệu'!E401</f>
        <v>Chai</v>
      </c>
      <c r="F1752" s="60"/>
      <c r="G1752" s="60">
        <v>1.75</v>
      </c>
      <c r="H1752" s="60"/>
      <c r="I1752" s="60"/>
      <c r="J1752" s="60">
        <f>ROUND(F1748*G1752,4)</f>
        <v>4.3212999999999999</v>
      </c>
      <c r="K1752" s="60"/>
      <c r="L1752" s="60"/>
    </row>
    <row r="1753" spans="1:12" x14ac:dyDescent="0.25">
      <c r="A1753" s="168"/>
      <c r="B1753" s="144" t="str">
        <f>'Vật liệu'!B606</f>
        <v>V00671</v>
      </c>
      <c r="C1753" s="34">
        <v>166</v>
      </c>
      <c r="D1753" s="144" t="str">
        <f>" - " &amp; 'Vật liệu'!D606</f>
        <v xml:space="preserve"> - Thép tấm</v>
      </c>
      <c r="E1753" s="168" t="str">
        <f>'Vật liệu'!E606</f>
        <v>kg</v>
      </c>
      <c r="F1753" s="60"/>
      <c r="G1753" s="60">
        <v>250</v>
      </c>
      <c r="H1753" s="60"/>
      <c r="I1753" s="60"/>
      <c r="J1753" s="60">
        <f>ROUND(F1748*G1753,4)</f>
        <v>617.32500000000005</v>
      </c>
      <c r="K1753" s="60"/>
      <c r="L1753" s="60"/>
    </row>
    <row r="1754" spans="1:12" x14ac:dyDescent="0.25">
      <c r="A1754" s="168"/>
      <c r="B1754" s="144" t="str">
        <f>'Vật liệu'!B556</f>
        <v>V00641</v>
      </c>
      <c r="C1754" s="34">
        <v>160</v>
      </c>
      <c r="D1754" s="144" t="str">
        <f>" - " &amp; 'Vật liệu'!D556</f>
        <v xml:space="preserve"> - Thép hình</v>
      </c>
      <c r="E1754" s="168" t="str">
        <f>'Vật liệu'!E556</f>
        <v>kg</v>
      </c>
      <c r="F1754" s="60"/>
      <c r="G1754" s="60">
        <v>800</v>
      </c>
      <c r="H1754" s="60"/>
      <c r="I1754" s="60"/>
      <c r="J1754" s="60">
        <f>ROUND(F1748*G1754,4)</f>
        <v>1975.44</v>
      </c>
      <c r="K1754" s="60"/>
      <c r="L1754" s="60"/>
    </row>
    <row r="1755" spans="1:12" x14ac:dyDescent="0.25">
      <c r="A1755" s="168"/>
      <c r="B1755" s="144" t="str">
        <f>'Vật liệu'!B186</f>
        <v>V00824</v>
      </c>
      <c r="C1755" s="34">
        <v>407</v>
      </c>
      <c r="D1755" s="144" t="str">
        <f>" - " &amp; 'Vật liệu'!D186</f>
        <v xml:space="preserve"> - Đá mài</v>
      </c>
      <c r="E1755" s="168" t="str">
        <f>'Vật liệu'!E186</f>
        <v>viên</v>
      </c>
      <c r="F1755" s="60"/>
      <c r="G1755" s="60">
        <v>0.28000000000000003</v>
      </c>
      <c r="H1755" s="60"/>
      <c r="I1755" s="60"/>
      <c r="J1755" s="60">
        <f>ROUND(F1748*G1755,4)</f>
        <v>0.69140000000000001</v>
      </c>
      <c r="K1755" s="60"/>
      <c r="L1755" s="60"/>
    </row>
    <row r="1756" spans="1:12" x14ac:dyDescent="0.25">
      <c r="A1756" s="168"/>
      <c r="B1756" s="144" t="str">
        <f>'Vật liệu'!B766</f>
        <v>V00750</v>
      </c>
      <c r="C1756" s="34">
        <v>296</v>
      </c>
      <c r="D1756" s="144" t="str">
        <f>" - " &amp; 'Vật liệu'!D766</f>
        <v xml:space="preserve"> - Vật liệu khác</v>
      </c>
      <c r="E1756" s="168" t="str">
        <f>'Vật liệu'!E766</f>
        <v>%</v>
      </c>
      <c r="F1756" s="60"/>
      <c r="G1756" s="60">
        <v>2</v>
      </c>
      <c r="H1756" s="60"/>
      <c r="I1756" s="60"/>
      <c r="J1756" s="60"/>
      <c r="K1756" s="60"/>
      <c r="L1756" s="60"/>
    </row>
    <row r="1757" spans="1:12" x14ac:dyDescent="0.25">
      <c r="A1757" s="56"/>
      <c r="B1757" s="23"/>
      <c r="C1757" s="88"/>
      <c r="D1757" s="23" t="s">
        <v>202</v>
      </c>
      <c r="E1757" s="56"/>
      <c r="F1757" s="118"/>
      <c r="G1757" s="118"/>
      <c r="H1757" s="118"/>
      <c r="I1757" s="118"/>
      <c r="J1757" s="118"/>
      <c r="K1757" s="118"/>
      <c r="L1757" s="118"/>
    </row>
    <row r="1758" spans="1:12" x14ac:dyDescent="0.25">
      <c r="A1758" s="168"/>
      <c r="B1758" s="144" t="str">
        <f>'Nhân công'!B221</f>
        <v>N0013</v>
      </c>
      <c r="C1758" s="34">
        <v>553</v>
      </c>
      <c r="D1758" s="144" t="s">
        <v>275</v>
      </c>
      <c r="E1758" s="168" t="str">
        <f>'Nhân công'!G221</f>
        <v>công</v>
      </c>
      <c r="F1758" s="60"/>
      <c r="G1758" s="60"/>
      <c r="H1758" s="60">
        <v>26.15</v>
      </c>
      <c r="I1758" s="60"/>
      <c r="J1758" s="60"/>
      <c r="K1758" s="60">
        <f>ROUND(F1748*H1758,4)</f>
        <v>64.572199999999995</v>
      </c>
      <c r="L1758" s="60"/>
    </row>
    <row r="1759" spans="1:12" x14ac:dyDescent="0.25">
      <c r="A1759" s="56"/>
      <c r="B1759" s="23"/>
      <c r="C1759" s="88"/>
      <c r="D1759" s="23" t="s">
        <v>378</v>
      </c>
      <c r="E1759" s="56"/>
      <c r="F1759" s="118"/>
      <c r="G1759" s="118"/>
      <c r="H1759" s="118"/>
      <c r="I1759" s="118"/>
      <c r="J1759" s="118"/>
      <c r="K1759" s="118"/>
      <c r="L1759" s="118"/>
    </row>
    <row r="1760" spans="1:12" x14ac:dyDescent="0.25">
      <c r="A1760" s="168"/>
      <c r="B1760" s="144" t="str">
        <f>'Máy thi công'!B273</f>
        <v>M112.1501</v>
      </c>
      <c r="C1760" s="34">
        <v>701</v>
      </c>
      <c r="D1760" s="144" t="str">
        <f>" - " &amp; 'Máy thi công'!D273</f>
        <v xml:space="preserve"> - Máy khoan đứng - công suất: 2,5 kW</v>
      </c>
      <c r="E1760" s="168" t="str">
        <f>'Máy thi công'!E273</f>
        <v>ca</v>
      </c>
      <c r="F1760" s="60"/>
      <c r="G1760" s="60"/>
      <c r="H1760" s="60"/>
      <c r="I1760" s="60">
        <v>1.06</v>
      </c>
      <c r="J1760" s="60"/>
      <c r="K1760" s="60"/>
      <c r="L1760" s="60">
        <f>ROUND(F1748*I1760,4)</f>
        <v>2.6175000000000002</v>
      </c>
    </row>
    <row r="1761" spans="1:12" x14ac:dyDescent="0.25">
      <c r="A1761" s="168"/>
      <c r="B1761" s="144" t="str">
        <f>'Máy thi công'!B6</f>
        <v>M9438</v>
      </c>
      <c r="C1761" s="34">
        <v>714</v>
      </c>
      <c r="D1761" s="144" t="str">
        <f>" - " &amp; 'Máy thi công'!D6</f>
        <v xml:space="preserve"> - Biến thế hàn xoay chiều - công suất: 23 kW</v>
      </c>
      <c r="E1761" s="168" t="str">
        <f>'Máy thi công'!E6</f>
        <v>ca</v>
      </c>
      <c r="F1761" s="60"/>
      <c r="G1761" s="60"/>
      <c r="H1761" s="60"/>
      <c r="I1761" s="60">
        <v>4.16</v>
      </c>
      <c r="J1761" s="60"/>
      <c r="K1761" s="60"/>
      <c r="L1761" s="60">
        <f>ROUND(F1748*I1761,4)</f>
        <v>10.2723</v>
      </c>
    </row>
    <row r="1762" spans="1:12" x14ac:dyDescent="0.25">
      <c r="A1762" s="168"/>
      <c r="B1762" s="144" t="str">
        <f>'Máy thi công'!B285</f>
        <v>M112.3702</v>
      </c>
      <c r="C1762" s="34">
        <v>705</v>
      </c>
      <c r="D1762" s="144" t="str">
        <f>" - " &amp; 'Máy thi công'!D285</f>
        <v xml:space="preserve"> - Máy mài - công suất: 2,7 kW</v>
      </c>
      <c r="E1762" s="168" t="str">
        <f>'Máy thi công'!E285</f>
        <v>ca</v>
      </c>
      <c r="F1762" s="60"/>
      <c r="G1762" s="60"/>
      <c r="H1762" s="60"/>
      <c r="I1762" s="60">
        <v>1.06</v>
      </c>
      <c r="J1762" s="60"/>
      <c r="K1762" s="60"/>
      <c r="L1762" s="60">
        <f>ROUND(F1748*I1762,4)</f>
        <v>2.6175000000000002</v>
      </c>
    </row>
    <row r="1763" spans="1:12" x14ac:dyDescent="0.25">
      <c r="A1763" s="168"/>
      <c r="B1763" s="144" t="str">
        <f>'Máy thi công'!B398</f>
        <v>M0111</v>
      </c>
      <c r="C1763" s="34">
        <v>634</v>
      </c>
      <c r="D1763" s="144" t="str">
        <f>" - " &amp; 'Máy thi công'!D398</f>
        <v xml:space="preserve"> - Máy khác</v>
      </c>
      <c r="E1763" s="168" t="str">
        <f>'Máy thi công'!E398</f>
        <v>%</v>
      </c>
      <c r="F1763" s="60"/>
      <c r="G1763" s="60"/>
      <c r="H1763" s="60"/>
      <c r="I1763" s="60">
        <v>5</v>
      </c>
      <c r="J1763" s="60"/>
      <c r="K1763" s="60"/>
      <c r="L1763" s="60"/>
    </row>
    <row r="1764" spans="1:12" ht="28.5" x14ac:dyDescent="0.25">
      <c r="A1764" s="65">
        <f>'Công trình'!A232</f>
        <v>184</v>
      </c>
      <c r="B1764" s="14" t="str">
        <f>'Công trình'!B232</f>
        <v>AC.14114</v>
      </c>
      <c r="C1764" s="94"/>
      <c r="D1764" s="14" t="str">
        <f>'Công trình'!C232</f>
        <v>Đóng cọc BTCT 35x35 chiều dài &lt;=24m trên mặt đất, trọng lượng đầu búa 1,8T, đất cấp I</v>
      </c>
      <c r="E1764" s="46" t="str">
        <f>'Công trình'!D232</f>
        <v>100m</v>
      </c>
      <c r="F1764" s="106">
        <f>'Công trình'!K232</f>
        <v>2.1</v>
      </c>
      <c r="G1764" s="126"/>
      <c r="H1764" s="126"/>
      <c r="I1764" s="126"/>
      <c r="J1764" s="126"/>
      <c r="K1764" s="126"/>
      <c r="L1764" s="126"/>
    </row>
    <row r="1765" spans="1:12" x14ac:dyDescent="0.25">
      <c r="A1765" s="56"/>
      <c r="B1765" s="23"/>
      <c r="C1765" s="88"/>
      <c r="D1765" s="23" t="s">
        <v>479</v>
      </c>
      <c r="E1765" s="56"/>
      <c r="F1765" s="118"/>
      <c r="G1765" s="118"/>
      <c r="H1765" s="118"/>
      <c r="I1765" s="118"/>
      <c r="J1765" s="118"/>
      <c r="K1765" s="118"/>
      <c r="L1765" s="118"/>
    </row>
    <row r="1766" spans="1:12" x14ac:dyDescent="0.25">
      <c r="A1766" s="168"/>
      <c r="B1766" s="144" t="str">
        <f>'Vật liệu'!B111</f>
        <v>V12705</v>
      </c>
      <c r="C1766" s="34">
        <v>457</v>
      </c>
      <c r="D1766" s="144" t="str">
        <f>" - " &amp; 'Vật liệu'!D111</f>
        <v xml:space="preserve"> - Cọc bê tông 35cmx35cm</v>
      </c>
      <c r="E1766" s="168" t="str">
        <f>'Vật liệu'!E111</f>
        <v>m</v>
      </c>
      <c r="F1766" s="60"/>
      <c r="G1766" s="60">
        <v>0</v>
      </c>
      <c r="H1766" s="60"/>
      <c r="I1766" s="60"/>
      <c r="J1766" s="60">
        <f>ROUND(F1764*G1766,4)</f>
        <v>0</v>
      </c>
      <c r="K1766" s="60"/>
      <c r="L1766" s="60"/>
    </row>
    <row r="1767" spans="1:12" x14ac:dyDescent="0.25">
      <c r="A1767" s="168"/>
      <c r="B1767" s="144" t="str">
        <f>'Vật liệu'!B766</f>
        <v>V00750</v>
      </c>
      <c r="C1767" s="34">
        <v>299</v>
      </c>
      <c r="D1767" s="144" t="str">
        <f>" - " &amp; 'Vật liệu'!D766</f>
        <v xml:space="preserve"> - Vật liệu khác</v>
      </c>
      <c r="E1767" s="168" t="str">
        <f>'Vật liệu'!E766</f>
        <v>%</v>
      </c>
      <c r="F1767" s="60"/>
      <c r="G1767" s="60">
        <v>1.5</v>
      </c>
      <c r="H1767" s="60"/>
      <c r="I1767" s="60"/>
      <c r="J1767" s="60"/>
      <c r="K1767" s="60"/>
      <c r="L1767" s="60"/>
    </row>
    <row r="1768" spans="1:12" x14ac:dyDescent="0.25">
      <c r="A1768" s="56"/>
      <c r="B1768" s="23"/>
      <c r="C1768" s="88"/>
      <c r="D1768" s="23" t="s">
        <v>202</v>
      </c>
      <c r="E1768" s="56"/>
      <c r="F1768" s="118"/>
      <c r="G1768" s="118"/>
      <c r="H1768" s="118"/>
      <c r="I1768" s="118"/>
      <c r="J1768" s="118"/>
      <c r="K1768" s="118"/>
      <c r="L1768" s="118"/>
    </row>
    <row r="1769" spans="1:12" x14ac:dyDescent="0.25">
      <c r="A1769" s="168"/>
      <c r="B1769" s="144" t="str">
        <f>'Nhân công'!B103</f>
        <v>N0015</v>
      </c>
      <c r="C1769" s="34">
        <v>554</v>
      </c>
      <c r="D1769" s="144" t="s">
        <v>1014</v>
      </c>
      <c r="E1769" s="168" t="str">
        <f>'Nhân công'!G103</f>
        <v>công</v>
      </c>
      <c r="F1769" s="60"/>
      <c r="G1769" s="60"/>
      <c r="H1769" s="60">
        <v>6.88</v>
      </c>
      <c r="I1769" s="60"/>
      <c r="J1769" s="60"/>
      <c r="K1769" s="60">
        <f>ROUND(F1764*H1769,4)</f>
        <v>14.448</v>
      </c>
      <c r="L1769" s="60"/>
    </row>
    <row r="1770" spans="1:12" x14ac:dyDescent="0.25">
      <c r="A1770" s="56"/>
      <c r="B1770" s="23"/>
      <c r="C1770" s="88"/>
      <c r="D1770" s="23" t="s">
        <v>378</v>
      </c>
      <c r="E1770" s="56"/>
      <c r="F1770" s="118"/>
      <c r="G1770" s="118"/>
      <c r="H1770" s="118"/>
      <c r="I1770" s="118"/>
      <c r="J1770" s="118"/>
      <c r="K1770" s="118"/>
      <c r="L1770" s="118"/>
    </row>
    <row r="1771" spans="1:12" ht="30" x14ac:dyDescent="0.25">
      <c r="A1771" s="168"/>
      <c r="B1771" s="144" t="str">
        <f>'Máy thi công'!B94</f>
        <v>M9441</v>
      </c>
      <c r="C1771" s="34">
        <v>717</v>
      </c>
      <c r="D1771" s="144" t="str">
        <f>" - " &amp; 'Máy thi công'!D94</f>
        <v xml:space="preserve"> - Búa diezel chạy trên ray - trọng lượng đầu búa: 1,8 t</v>
      </c>
      <c r="E1771" s="168" t="str">
        <f>'Máy thi công'!E94</f>
        <v>ca</v>
      </c>
      <c r="F1771" s="60"/>
      <c r="G1771" s="60"/>
      <c r="H1771" s="60"/>
      <c r="I1771" s="60">
        <v>3.44</v>
      </c>
      <c r="J1771" s="60"/>
      <c r="K1771" s="60"/>
      <c r="L1771" s="60">
        <f>ROUND(F1764*I1771,4)</f>
        <v>7.2240000000000002</v>
      </c>
    </row>
    <row r="1772" spans="1:12" x14ac:dyDescent="0.25">
      <c r="A1772" s="168"/>
      <c r="B1772" s="144" t="str">
        <f>'Máy thi công'!B398</f>
        <v>M0111</v>
      </c>
      <c r="C1772" s="34">
        <v>637</v>
      </c>
      <c r="D1772" s="144" t="str">
        <f>" - " &amp; 'Máy thi công'!D398</f>
        <v xml:space="preserve"> - Máy khác</v>
      </c>
      <c r="E1772" s="168" t="str">
        <f>'Máy thi công'!E398</f>
        <v>%</v>
      </c>
      <c r="F1772" s="60"/>
      <c r="G1772" s="60"/>
      <c r="H1772" s="60"/>
      <c r="I1772" s="60">
        <v>6</v>
      </c>
      <c r="J1772" s="60"/>
      <c r="K1772" s="60"/>
      <c r="L1772" s="60"/>
    </row>
    <row r="1773" spans="1:12" ht="42.75" x14ac:dyDescent="0.25">
      <c r="A1773" s="65">
        <f>'Công trình'!A233</f>
        <v>185</v>
      </c>
      <c r="B1773" s="14" t="str">
        <f>'Công trình'!B233</f>
        <v>AC.14114</v>
      </c>
      <c r="C1773" s="94"/>
      <c r="D1773" s="14" t="str">
        <f>'Công trình'!C233</f>
        <v>Đóng cọc xiên BTCT 35x35 chiều dài &lt;=24m trên mặt đất, trọng lượng đầu búa 1,8T, đất cấp I (HS NC, MTC x 1,22)</v>
      </c>
      <c r="E1773" s="46" t="str">
        <f>'Công trình'!D233</f>
        <v>100m</v>
      </c>
      <c r="F1773" s="106">
        <f>'Công trình'!K233</f>
        <v>4.2</v>
      </c>
      <c r="G1773" s="126"/>
      <c r="H1773" s="126"/>
      <c r="I1773" s="126"/>
      <c r="J1773" s="126"/>
      <c r="K1773" s="126"/>
      <c r="L1773" s="126"/>
    </row>
    <row r="1774" spans="1:12" x14ac:dyDescent="0.25">
      <c r="A1774" s="56"/>
      <c r="B1774" s="23"/>
      <c r="C1774" s="88"/>
      <c r="D1774" s="23" t="s">
        <v>479</v>
      </c>
      <c r="E1774" s="56"/>
      <c r="F1774" s="118"/>
      <c r="G1774" s="118"/>
      <c r="H1774" s="118"/>
      <c r="I1774" s="118"/>
      <c r="J1774" s="118"/>
      <c r="K1774" s="118"/>
      <c r="L1774" s="118"/>
    </row>
    <row r="1775" spans="1:12" x14ac:dyDescent="0.25">
      <c r="A1775" s="168"/>
      <c r="B1775" s="144" t="str">
        <f>'Vật liệu'!B111</f>
        <v>V12705</v>
      </c>
      <c r="C1775" s="34">
        <v>457</v>
      </c>
      <c r="D1775" s="144" t="str">
        <f>" - " &amp; 'Vật liệu'!D111</f>
        <v xml:space="preserve"> - Cọc bê tông 35cmx35cm</v>
      </c>
      <c r="E1775" s="168" t="str">
        <f>'Vật liệu'!E111</f>
        <v>m</v>
      </c>
      <c r="F1775" s="60"/>
      <c r="G1775" s="60">
        <v>0</v>
      </c>
      <c r="H1775" s="60"/>
      <c r="I1775" s="60"/>
      <c r="J1775" s="60">
        <f>ROUND(F1773*G1775,4)</f>
        <v>0</v>
      </c>
      <c r="K1775" s="60"/>
      <c r="L1775" s="60"/>
    </row>
    <row r="1776" spans="1:12" x14ac:dyDescent="0.25">
      <c r="A1776" s="168"/>
      <c r="B1776" s="144" t="str">
        <f>'Vật liệu'!B766</f>
        <v>V00750</v>
      </c>
      <c r="C1776" s="34">
        <v>300</v>
      </c>
      <c r="D1776" s="144" t="str">
        <f>" - " &amp; 'Vật liệu'!D766</f>
        <v xml:space="preserve"> - Vật liệu khác</v>
      </c>
      <c r="E1776" s="168" t="str">
        <f>'Vật liệu'!E766</f>
        <v>%</v>
      </c>
      <c r="F1776" s="60"/>
      <c r="G1776" s="60">
        <v>1.5</v>
      </c>
      <c r="H1776" s="60"/>
      <c r="I1776" s="60"/>
      <c r="J1776" s="60"/>
      <c r="K1776" s="60"/>
      <c r="L1776" s="60"/>
    </row>
    <row r="1777" spans="1:12" x14ac:dyDescent="0.25">
      <c r="A1777" s="56"/>
      <c r="B1777" s="23"/>
      <c r="C1777" s="88"/>
      <c r="D1777" s="23" t="s">
        <v>202</v>
      </c>
      <c r="E1777" s="56"/>
      <c r="F1777" s="118"/>
      <c r="G1777" s="118"/>
      <c r="H1777" s="118"/>
      <c r="I1777" s="118"/>
      <c r="J1777" s="118"/>
      <c r="K1777" s="118"/>
      <c r="L1777" s="118"/>
    </row>
    <row r="1778" spans="1:12" x14ac:dyDescent="0.25">
      <c r="A1778" s="168"/>
      <c r="B1778" s="144" t="str">
        <f>'Nhân công'!B103</f>
        <v>N0015</v>
      </c>
      <c r="C1778" s="34">
        <v>554</v>
      </c>
      <c r="D1778" s="144" t="s">
        <v>1014</v>
      </c>
      <c r="E1778" s="168" t="str">
        <f>'Nhân công'!G103</f>
        <v>công</v>
      </c>
      <c r="F1778" s="60"/>
      <c r="G1778" s="60"/>
      <c r="H1778" s="60">
        <v>8.3935999999999993</v>
      </c>
      <c r="I1778" s="60"/>
      <c r="J1778" s="60"/>
      <c r="K1778" s="60">
        <f>ROUND(F1773*H1778,4)</f>
        <v>35.253100000000003</v>
      </c>
      <c r="L1778" s="60"/>
    </row>
    <row r="1779" spans="1:12" x14ac:dyDescent="0.25">
      <c r="A1779" s="56"/>
      <c r="B1779" s="23"/>
      <c r="C1779" s="88"/>
      <c r="D1779" s="23" t="s">
        <v>378</v>
      </c>
      <c r="E1779" s="56"/>
      <c r="F1779" s="118"/>
      <c r="G1779" s="118"/>
      <c r="H1779" s="118"/>
      <c r="I1779" s="118"/>
      <c r="J1779" s="118"/>
      <c r="K1779" s="118"/>
      <c r="L1779" s="118"/>
    </row>
    <row r="1780" spans="1:12" ht="30" x14ac:dyDescent="0.25">
      <c r="A1780" s="168"/>
      <c r="B1780" s="144" t="str">
        <f>'Máy thi công'!B94</f>
        <v>M9441</v>
      </c>
      <c r="C1780" s="34">
        <v>717</v>
      </c>
      <c r="D1780" s="144" t="str">
        <f>" - " &amp; 'Máy thi công'!D94</f>
        <v xml:space="preserve"> - Búa diezel chạy trên ray - trọng lượng đầu búa: 1,8 t</v>
      </c>
      <c r="E1780" s="168" t="str">
        <f>'Máy thi công'!E94</f>
        <v>ca</v>
      </c>
      <c r="F1780" s="60"/>
      <c r="G1780" s="60"/>
      <c r="H1780" s="60"/>
      <c r="I1780" s="60">
        <v>4.1967999999999996</v>
      </c>
      <c r="J1780" s="60"/>
      <c r="K1780" s="60"/>
      <c r="L1780" s="60">
        <f>ROUND(F1773*I1780,4)</f>
        <v>17.6266</v>
      </c>
    </row>
    <row r="1781" spans="1:12" x14ac:dyDescent="0.25">
      <c r="A1781" s="168"/>
      <c r="B1781" s="144" t="str">
        <f>'Máy thi công'!B398</f>
        <v>M0111</v>
      </c>
      <c r="C1781" s="34">
        <v>638</v>
      </c>
      <c r="D1781" s="144" t="str">
        <f>" - " &amp; 'Máy thi công'!D398</f>
        <v xml:space="preserve"> - Máy khác</v>
      </c>
      <c r="E1781" s="168" t="str">
        <f>'Máy thi công'!E398</f>
        <v>%</v>
      </c>
      <c r="F1781" s="60"/>
      <c r="G1781" s="60"/>
      <c r="H1781" s="60"/>
      <c r="I1781" s="60">
        <v>6</v>
      </c>
      <c r="J1781" s="60"/>
      <c r="K1781" s="60"/>
      <c r="L1781" s="60"/>
    </row>
    <row r="1782" spans="1:12" ht="28.5" x14ac:dyDescent="0.25">
      <c r="A1782" s="65">
        <f>'Công trình'!A234</f>
        <v>186</v>
      </c>
      <c r="B1782" s="14" t="str">
        <f>'Công trình'!B234</f>
        <v>AC.29341</v>
      </c>
      <c r="C1782" s="94"/>
      <c r="D1782" s="14" t="str">
        <f>'Công trình'!C234</f>
        <v>Nối cọc BTCT 35x35cm</v>
      </c>
      <c r="E1782" s="46" t="str">
        <f>'Công trình'!D234</f>
        <v>1mối nối</v>
      </c>
      <c r="F1782" s="106">
        <f>'Công trình'!K234</f>
        <v>30</v>
      </c>
      <c r="G1782" s="126"/>
      <c r="H1782" s="126"/>
      <c r="I1782" s="126"/>
      <c r="J1782" s="126"/>
      <c r="K1782" s="126"/>
      <c r="L1782" s="126"/>
    </row>
    <row r="1783" spans="1:12" x14ac:dyDescent="0.25">
      <c r="A1783" s="56"/>
      <c r="B1783" s="23"/>
      <c r="C1783" s="88"/>
      <c r="D1783" s="23" t="s">
        <v>479</v>
      </c>
      <c r="E1783" s="56"/>
      <c r="F1783" s="118"/>
      <c r="G1783" s="118"/>
      <c r="H1783" s="118"/>
      <c r="I1783" s="118"/>
      <c r="J1783" s="118"/>
      <c r="K1783" s="118"/>
      <c r="L1783" s="118"/>
    </row>
    <row r="1784" spans="1:12" x14ac:dyDescent="0.25">
      <c r="A1784" s="168"/>
      <c r="B1784" s="144" t="str">
        <f>'Vật liệu'!B450</f>
        <v>V00515</v>
      </c>
      <c r="C1784" s="34">
        <v>154</v>
      </c>
      <c r="D1784" s="144" t="str">
        <f>" - " &amp; 'Vật liệu'!D450</f>
        <v xml:space="preserve"> - Que hàn</v>
      </c>
      <c r="E1784" s="168" t="str">
        <f>'Vật liệu'!E450</f>
        <v>kg</v>
      </c>
      <c r="F1784" s="60"/>
      <c r="G1784" s="60">
        <v>4.21</v>
      </c>
      <c r="H1784" s="60"/>
      <c r="I1784" s="60"/>
      <c r="J1784" s="60">
        <f>ROUND(F1782*G1784,4)</f>
        <v>126.3</v>
      </c>
      <c r="K1784" s="60"/>
      <c r="L1784" s="60"/>
    </row>
    <row r="1785" spans="1:12" x14ac:dyDescent="0.25">
      <c r="A1785" s="168"/>
      <c r="B1785" s="144" t="str">
        <f>'Vật liệu'!B551</f>
        <v>V00638</v>
      </c>
      <c r="C1785" s="34">
        <v>158</v>
      </c>
      <c r="D1785" s="144" t="str">
        <f>" - " &amp; 'Vật liệu'!D551</f>
        <v xml:space="preserve"> - Thép góc 100x100mm</v>
      </c>
      <c r="E1785" s="168" t="str">
        <f>'Vật liệu'!E551</f>
        <v>kg</v>
      </c>
      <c r="F1785" s="60"/>
      <c r="G1785" s="60">
        <v>0</v>
      </c>
      <c r="H1785" s="60"/>
      <c r="I1785" s="60"/>
      <c r="J1785" s="60">
        <f>ROUND(F1782*G1785,4)</f>
        <v>0</v>
      </c>
      <c r="K1785" s="60"/>
      <c r="L1785" s="60"/>
    </row>
    <row r="1786" spans="1:12" x14ac:dyDescent="0.25">
      <c r="A1786" s="168"/>
      <c r="B1786" s="144" t="str">
        <f>'Vật liệu'!B766</f>
        <v>V00750</v>
      </c>
      <c r="C1786" s="34">
        <v>301</v>
      </c>
      <c r="D1786" s="144" t="str">
        <f>" - " &amp; 'Vật liệu'!D766</f>
        <v xml:space="preserve"> - Vật liệu khác</v>
      </c>
      <c r="E1786" s="168" t="str">
        <f>'Vật liệu'!E766</f>
        <v>%</v>
      </c>
      <c r="F1786" s="60"/>
      <c r="G1786" s="60">
        <v>3</v>
      </c>
      <c r="H1786" s="60"/>
      <c r="I1786" s="60"/>
      <c r="J1786" s="60"/>
      <c r="K1786" s="60"/>
      <c r="L1786" s="60"/>
    </row>
    <row r="1787" spans="1:12" x14ac:dyDescent="0.25">
      <c r="A1787" s="56"/>
      <c r="B1787" s="23"/>
      <c r="C1787" s="88"/>
      <c r="D1787" s="23" t="s">
        <v>202</v>
      </c>
      <c r="E1787" s="56"/>
      <c r="F1787" s="118"/>
      <c r="G1787" s="118"/>
      <c r="H1787" s="118"/>
      <c r="I1787" s="118"/>
      <c r="J1787" s="118"/>
      <c r="K1787" s="118"/>
      <c r="L1787" s="118"/>
    </row>
    <row r="1788" spans="1:12" x14ac:dyDescent="0.25">
      <c r="A1788" s="168"/>
      <c r="B1788" s="144" t="str">
        <f>'Nhân công'!B185</f>
        <v>N0020</v>
      </c>
      <c r="C1788" s="34">
        <v>555</v>
      </c>
      <c r="D1788" s="144" t="s">
        <v>625</v>
      </c>
      <c r="E1788" s="168" t="str">
        <f>'Nhân công'!G185</f>
        <v>công</v>
      </c>
      <c r="F1788" s="60"/>
      <c r="G1788" s="60"/>
      <c r="H1788" s="60">
        <v>0.81</v>
      </c>
      <c r="I1788" s="60"/>
      <c r="J1788" s="60"/>
      <c r="K1788" s="60">
        <f>ROUND(F1782*H1788,4)</f>
        <v>24.3</v>
      </c>
      <c r="L1788" s="60"/>
    </row>
    <row r="1789" spans="1:12" x14ac:dyDescent="0.25">
      <c r="A1789" s="56"/>
      <c r="B1789" s="23"/>
      <c r="C1789" s="88"/>
      <c r="D1789" s="23" t="s">
        <v>378</v>
      </c>
      <c r="E1789" s="56"/>
      <c r="F1789" s="118"/>
      <c r="G1789" s="118"/>
      <c r="H1789" s="118"/>
      <c r="I1789" s="118"/>
      <c r="J1789" s="118"/>
      <c r="K1789" s="118"/>
      <c r="L1789" s="118"/>
    </row>
    <row r="1790" spans="1:12" x14ac:dyDescent="0.25">
      <c r="A1790" s="168"/>
      <c r="B1790" s="144" t="str">
        <f>'Máy thi công'!B6</f>
        <v>M9438</v>
      </c>
      <c r="C1790" s="34">
        <v>714</v>
      </c>
      <c r="D1790" s="144" t="str">
        <f>" - " &amp; 'Máy thi công'!D6</f>
        <v xml:space="preserve"> - Biến thế hàn xoay chiều - công suất: 23 kW</v>
      </c>
      <c r="E1790" s="168" t="str">
        <f>'Máy thi công'!E6</f>
        <v>ca</v>
      </c>
      <c r="F1790" s="60"/>
      <c r="G1790" s="60"/>
      <c r="H1790" s="60"/>
      <c r="I1790" s="60">
        <v>0.18</v>
      </c>
      <c r="J1790" s="60"/>
      <c r="K1790" s="60"/>
      <c r="L1790" s="60">
        <f>ROUND(F1782*I1790,4)</f>
        <v>5.4</v>
      </c>
    </row>
    <row r="1791" spans="1:12" x14ac:dyDescent="0.25">
      <c r="A1791" s="168"/>
      <c r="B1791" s="144" t="str">
        <f>'Máy thi công'!B398</f>
        <v>M0111</v>
      </c>
      <c r="C1791" s="34">
        <v>639</v>
      </c>
      <c r="D1791" s="144" t="str">
        <f>" - " &amp; 'Máy thi công'!D398</f>
        <v xml:space="preserve"> - Máy khác</v>
      </c>
      <c r="E1791" s="168" t="str">
        <f>'Máy thi công'!E398</f>
        <v>%</v>
      </c>
      <c r="F1791" s="60"/>
      <c r="G1791" s="60"/>
      <c r="H1791" s="60"/>
      <c r="I1791" s="60">
        <v>3</v>
      </c>
      <c r="J1791" s="60"/>
      <c r="K1791" s="60"/>
      <c r="L1791" s="60"/>
    </row>
    <row r="1792" spans="1:12" x14ac:dyDescent="0.25">
      <c r="A1792" s="65">
        <f>'Công trình'!A235</f>
        <v>187</v>
      </c>
      <c r="B1792" s="14" t="str">
        <f>'Công trình'!B235</f>
        <v>AA.22310</v>
      </c>
      <c r="C1792" s="94"/>
      <c r="D1792" s="14" t="str">
        <f>'Công trình'!C235</f>
        <v>Đập đầu cọc trên cạn</v>
      </c>
      <c r="E1792" s="46" t="str">
        <f>'Công trình'!D235</f>
        <v>m3</v>
      </c>
      <c r="F1792" s="106">
        <f>'Công trình'!K235</f>
        <v>1.47</v>
      </c>
      <c r="G1792" s="126"/>
      <c r="H1792" s="126"/>
      <c r="I1792" s="126"/>
      <c r="J1792" s="126"/>
      <c r="K1792" s="126"/>
      <c r="L1792" s="126"/>
    </row>
    <row r="1793" spans="1:12" x14ac:dyDescent="0.25">
      <c r="A1793" s="56"/>
      <c r="B1793" s="23"/>
      <c r="C1793" s="88"/>
      <c r="D1793" s="23" t="s">
        <v>479</v>
      </c>
      <c r="E1793" s="56"/>
      <c r="F1793" s="118"/>
      <c r="G1793" s="118"/>
      <c r="H1793" s="118"/>
      <c r="I1793" s="118"/>
      <c r="J1793" s="118"/>
      <c r="K1793" s="118"/>
      <c r="L1793" s="118"/>
    </row>
    <row r="1794" spans="1:12" x14ac:dyDescent="0.25">
      <c r="A1794" s="168"/>
      <c r="B1794" s="144" t="str">
        <f>'Vật liệu'!B450</f>
        <v>V00515</v>
      </c>
      <c r="C1794" s="34">
        <v>154</v>
      </c>
      <c r="D1794" s="144" t="str">
        <f>" - " &amp; 'Vật liệu'!D450</f>
        <v xml:space="preserve"> - Que hàn</v>
      </c>
      <c r="E1794" s="168" t="str">
        <f>'Vật liệu'!E450</f>
        <v>kg</v>
      </c>
      <c r="F1794" s="60"/>
      <c r="G1794" s="60">
        <v>0</v>
      </c>
      <c r="H1794" s="60"/>
      <c r="I1794" s="60"/>
      <c r="J1794" s="60">
        <f>ROUND(F1792*G1794,4)</f>
        <v>0</v>
      </c>
      <c r="K1794" s="60"/>
      <c r="L1794" s="60"/>
    </row>
    <row r="1795" spans="1:12" x14ac:dyDescent="0.25">
      <c r="A1795" s="56"/>
      <c r="B1795" s="23"/>
      <c r="C1795" s="88"/>
      <c r="D1795" s="23" t="s">
        <v>202</v>
      </c>
      <c r="E1795" s="56"/>
      <c r="F1795" s="118"/>
      <c r="G1795" s="118"/>
      <c r="H1795" s="118"/>
      <c r="I1795" s="118"/>
      <c r="J1795" s="118"/>
      <c r="K1795" s="118"/>
      <c r="L1795" s="118"/>
    </row>
    <row r="1796" spans="1:12" x14ac:dyDescent="0.25">
      <c r="A1796" s="168"/>
      <c r="B1796" s="144" t="str">
        <f>'Nhân công'!B185</f>
        <v>N0020</v>
      </c>
      <c r="C1796" s="34">
        <v>555</v>
      </c>
      <c r="D1796" s="144" t="s">
        <v>625</v>
      </c>
      <c r="E1796" s="168" t="str">
        <f>'Nhân công'!G185</f>
        <v>công</v>
      </c>
      <c r="F1796" s="60"/>
      <c r="G1796" s="60"/>
      <c r="H1796" s="60">
        <v>0.72</v>
      </c>
      <c r="I1796" s="60"/>
      <c r="J1796" s="60"/>
      <c r="K1796" s="60">
        <f>ROUND(F1792*H1796,4)</f>
        <v>1.0584</v>
      </c>
      <c r="L1796" s="60"/>
    </row>
    <row r="1797" spans="1:12" x14ac:dyDescent="0.25">
      <c r="A1797" s="56"/>
      <c r="B1797" s="23"/>
      <c r="C1797" s="88"/>
      <c r="D1797" s="23" t="s">
        <v>378</v>
      </c>
      <c r="E1797" s="56"/>
      <c r="F1797" s="118"/>
      <c r="G1797" s="118"/>
      <c r="H1797" s="118"/>
      <c r="I1797" s="118"/>
      <c r="J1797" s="118"/>
      <c r="K1797" s="118"/>
      <c r="L1797" s="118"/>
    </row>
    <row r="1798" spans="1:12" x14ac:dyDescent="0.25">
      <c r="A1798" s="168"/>
      <c r="B1798" s="144" t="str">
        <f>'Máy thi công'!B6</f>
        <v>M9438</v>
      </c>
      <c r="C1798" s="34">
        <v>714</v>
      </c>
      <c r="D1798" s="144" t="str">
        <f>" - " &amp; 'Máy thi công'!D6</f>
        <v xml:space="preserve"> - Biến thế hàn xoay chiều - công suất: 23 kW</v>
      </c>
      <c r="E1798" s="168" t="str">
        <f>'Máy thi công'!E6</f>
        <v>ca</v>
      </c>
      <c r="F1798" s="60"/>
      <c r="G1798" s="60"/>
      <c r="H1798" s="60"/>
      <c r="I1798" s="60">
        <v>0.23</v>
      </c>
      <c r="J1798" s="60"/>
      <c r="K1798" s="60"/>
      <c r="L1798" s="60">
        <f>ROUND(F1792*I1798,4)</f>
        <v>0.33810000000000001</v>
      </c>
    </row>
    <row r="1799" spans="1:12" x14ac:dyDescent="0.25">
      <c r="A1799" s="168"/>
      <c r="B1799" s="144" t="str">
        <f>'Máy thi công'!B113</f>
        <v>M9465</v>
      </c>
      <c r="C1799" s="34">
        <v>725</v>
      </c>
      <c r="D1799" s="144" t="str">
        <f>" - " &amp; 'Máy thi công'!D113</f>
        <v xml:space="preserve"> - Cần trục bánh hơi - sức nâng: 16 t</v>
      </c>
      <c r="E1799" s="168" t="str">
        <f>'Máy thi công'!E113</f>
        <v>ca</v>
      </c>
      <c r="F1799" s="60"/>
      <c r="G1799" s="60"/>
      <c r="H1799" s="60"/>
      <c r="I1799" s="60">
        <v>0.111</v>
      </c>
      <c r="J1799" s="60"/>
      <c r="K1799" s="60"/>
      <c r="L1799" s="60">
        <f>ROUND(F1792*I1799,4)</f>
        <v>0.16320000000000001</v>
      </c>
    </row>
    <row r="1800" spans="1:12" ht="30" x14ac:dyDescent="0.25">
      <c r="A1800" s="168"/>
      <c r="B1800" s="144" t="str">
        <f>'Máy thi công'!B81</f>
        <v>M9439</v>
      </c>
      <c r="C1800" s="34">
        <v>715</v>
      </c>
      <c r="D1800" s="144" t="str">
        <f>" - " &amp; 'Máy thi công'!D81</f>
        <v xml:space="preserve"> - Búa căn khí nén (chưa tính khí nén) - tiêu hao khí nén: 1,5 m3/ph</v>
      </c>
      <c r="E1800" s="168" t="str">
        <f>'Máy thi công'!E81</f>
        <v>ca</v>
      </c>
      <c r="F1800" s="60"/>
      <c r="G1800" s="60"/>
      <c r="H1800" s="60"/>
      <c r="I1800" s="60">
        <v>0.35</v>
      </c>
      <c r="J1800" s="60"/>
      <c r="K1800" s="60"/>
      <c r="L1800" s="60">
        <f>ROUND(F1792*I1800,4)</f>
        <v>0.51449999999999996</v>
      </c>
    </row>
    <row r="1801" spans="1:12" x14ac:dyDescent="0.25">
      <c r="A1801" s="168"/>
      <c r="B1801" s="144" t="str">
        <f>'Máy thi công'!B297</f>
        <v>M9538</v>
      </c>
      <c r="C1801" s="34">
        <v>741</v>
      </c>
      <c r="D1801" s="144" t="str">
        <f>" - " &amp; 'Máy thi công'!D297</f>
        <v xml:space="preserve"> - Máy nén khí, động cơ diezel - năng suất: 360 m3/h</v>
      </c>
      <c r="E1801" s="168" t="str">
        <f>'Máy thi công'!E297</f>
        <v>ca</v>
      </c>
      <c r="F1801" s="60"/>
      <c r="G1801" s="60"/>
      <c r="H1801" s="60"/>
      <c r="I1801" s="60">
        <v>0.18</v>
      </c>
      <c r="J1801" s="60"/>
      <c r="K1801" s="60"/>
      <c r="L1801" s="60">
        <f>ROUND(F1792*I1801,4)</f>
        <v>0.2646</v>
      </c>
    </row>
    <row r="1802" spans="1:12" ht="28.5" x14ac:dyDescent="0.25">
      <c r="A1802" s="65">
        <f>'Công trình'!A236</f>
        <v>188</v>
      </c>
      <c r="B1802" s="14" t="str">
        <f>'Công trình'!B236</f>
        <v>AC.14114</v>
      </c>
      <c r="C1802" s="94"/>
      <c r="D1802" s="14" t="str">
        <f>'Công trình'!C236</f>
        <v>Đóng cọc âm chiều dài &lt;=24m trên mặt đất, trọng lượng đầu búa 1,8T, đất cấp I</v>
      </c>
      <c r="E1802" s="46" t="str">
        <f>'Công trình'!D236</f>
        <v>100m</v>
      </c>
      <c r="F1802" s="106">
        <f>'Công trình'!K236</f>
        <v>0.3</v>
      </c>
      <c r="G1802" s="126"/>
      <c r="H1802" s="126"/>
      <c r="I1802" s="126"/>
      <c r="J1802" s="126"/>
      <c r="K1802" s="126"/>
      <c r="L1802" s="126"/>
    </row>
    <row r="1803" spans="1:12" x14ac:dyDescent="0.25">
      <c r="A1803" s="56"/>
      <c r="B1803" s="23"/>
      <c r="C1803" s="88"/>
      <c r="D1803" s="23" t="s">
        <v>479</v>
      </c>
      <c r="E1803" s="56"/>
      <c r="F1803" s="118"/>
      <c r="G1803" s="118"/>
      <c r="H1803" s="118"/>
      <c r="I1803" s="118"/>
      <c r="J1803" s="118"/>
      <c r="K1803" s="118"/>
      <c r="L1803" s="118"/>
    </row>
    <row r="1804" spans="1:12" x14ac:dyDescent="0.25">
      <c r="A1804" s="168"/>
      <c r="B1804" s="144" t="str">
        <f>'Vật liệu'!B111</f>
        <v>V12705</v>
      </c>
      <c r="C1804" s="34">
        <v>457</v>
      </c>
      <c r="D1804" s="144" t="str">
        <f>" - " &amp; 'Vật liệu'!D111</f>
        <v xml:space="preserve"> - Cọc bê tông 35cmx35cm</v>
      </c>
      <c r="E1804" s="168" t="str">
        <f>'Vật liệu'!E111</f>
        <v>m</v>
      </c>
      <c r="F1804" s="60"/>
      <c r="G1804" s="60">
        <v>0</v>
      </c>
      <c r="H1804" s="60"/>
      <c r="I1804" s="60"/>
      <c r="J1804" s="60">
        <f>ROUND(F1802*G1804,4)</f>
        <v>0</v>
      </c>
      <c r="K1804" s="60"/>
      <c r="L1804" s="60"/>
    </row>
    <row r="1805" spans="1:12" x14ac:dyDescent="0.25">
      <c r="A1805" s="168"/>
      <c r="B1805" s="144" t="str">
        <f>'Vật liệu'!B766</f>
        <v>V00750</v>
      </c>
      <c r="C1805" s="34">
        <v>302</v>
      </c>
      <c r="D1805" s="144" t="str">
        <f>" - " &amp; 'Vật liệu'!D766</f>
        <v xml:space="preserve"> - Vật liệu khác</v>
      </c>
      <c r="E1805" s="168" t="str">
        <f>'Vật liệu'!E766</f>
        <v>%</v>
      </c>
      <c r="F1805" s="60"/>
      <c r="G1805" s="60">
        <v>1.5</v>
      </c>
      <c r="H1805" s="60"/>
      <c r="I1805" s="60"/>
      <c r="J1805" s="60"/>
      <c r="K1805" s="60"/>
      <c r="L1805" s="60"/>
    </row>
    <row r="1806" spans="1:12" x14ac:dyDescent="0.25">
      <c r="A1806" s="56"/>
      <c r="B1806" s="23"/>
      <c r="C1806" s="88"/>
      <c r="D1806" s="23" t="s">
        <v>202</v>
      </c>
      <c r="E1806" s="56"/>
      <c r="F1806" s="118"/>
      <c r="G1806" s="118"/>
      <c r="H1806" s="118"/>
      <c r="I1806" s="118"/>
      <c r="J1806" s="118"/>
      <c r="K1806" s="118"/>
      <c r="L1806" s="118"/>
    </row>
    <row r="1807" spans="1:12" x14ac:dyDescent="0.25">
      <c r="A1807" s="168"/>
      <c r="B1807" s="144" t="str">
        <f>'Nhân công'!B103</f>
        <v>N0015</v>
      </c>
      <c r="C1807" s="34">
        <v>554</v>
      </c>
      <c r="D1807" s="144" t="s">
        <v>1014</v>
      </c>
      <c r="E1807" s="168" t="str">
        <f>'Nhân công'!G103</f>
        <v>công</v>
      </c>
      <c r="F1807" s="60"/>
      <c r="G1807" s="60"/>
      <c r="H1807" s="60">
        <v>7.2240000000000002</v>
      </c>
      <c r="I1807" s="60"/>
      <c r="J1807" s="60"/>
      <c r="K1807" s="60">
        <f>ROUND(F1802*H1807,4)</f>
        <v>2.1671999999999998</v>
      </c>
      <c r="L1807" s="60"/>
    </row>
    <row r="1808" spans="1:12" x14ac:dyDescent="0.25">
      <c r="A1808" s="56"/>
      <c r="B1808" s="23"/>
      <c r="C1808" s="88"/>
      <c r="D1808" s="23" t="s">
        <v>378</v>
      </c>
      <c r="E1808" s="56"/>
      <c r="F1808" s="118"/>
      <c r="G1808" s="118"/>
      <c r="H1808" s="118"/>
      <c r="I1808" s="118"/>
      <c r="J1808" s="118"/>
      <c r="K1808" s="118"/>
      <c r="L1808" s="118"/>
    </row>
    <row r="1809" spans="1:12" ht="30" x14ac:dyDescent="0.25">
      <c r="A1809" s="168"/>
      <c r="B1809" s="144" t="str">
        <f>'Máy thi công'!B94</f>
        <v>M9441</v>
      </c>
      <c r="C1809" s="34">
        <v>717</v>
      </c>
      <c r="D1809" s="144" t="str">
        <f>" - " &amp; 'Máy thi công'!D94</f>
        <v xml:space="preserve"> - Búa diezel chạy trên ray - trọng lượng đầu búa: 1,8 t</v>
      </c>
      <c r="E1809" s="168" t="str">
        <f>'Máy thi công'!E94</f>
        <v>ca</v>
      </c>
      <c r="F1809" s="60"/>
      <c r="G1809" s="60"/>
      <c r="H1809" s="60"/>
      <c r="I1809" s="60">
        <v>3.6120000000000001</v>
      </c>
      <c r="J1809" s="60"/>
      <c r="K1809" s="60"/>
      <c r="L1809" s="60">
        <f>ROUND(F1802*I1809,4)</f>
        <v>1.0835999999999999</v>
      </c>
    </row>
    <row r="1810" spans="1:12" x14ac:dyDescent="0.25">
      <c r="A1810" s="168"/>
      <c r="B1810" s="144" t="str">
        <f>'Máy thi công'!B398</f>
        <v>M0111</v>
      </c>
      <c r="C1810" s="34">
        <v>640</v>
      </c>
      <c r="D1810" s="144" t="str">
        <f>" - " &amp; 'Máy thi công'!D398</f>
        <v xml:space="preserve"> - Máy khác</v>
      </c>
      <c r="E1810" s="168" t="str">
        <f>'Máy thi công'!E398</f>
        <v>%</v>
      </c>
      <c r="F1810" s="60"/>
      <c r="G1810" s="60"/>
      <c r="H1810" s="60"/>
      <c r="I1810" s="60">
        <v>6</v>
      </c>
      <c r="J1810" s="60"/>
      <c r="K1810" s="60"/>
      <c r="L1810" s="60"/>
    </row>
    <row r="1811" spans="1:12" ht="28.5" x14ac:dyDescent="0.25">
      <c r="A1811" s="65">
        <f>'Công trình'!A238</f>
        <v>189</v>
      </c>
      <c r="B1811" s="14" t="str">
        <f>'Công trình'!B238</f>
        <v>AB.25112</v>
      </c>
      <c r="C1811" s="94"/>
      <c r="D1811" s="14" t="str">
        <f>'Công trình'!C238</f>
        <v>Đào móng chiều rộng &lt;=6m bằng máy đào 0,8m3, đất cấp II</v>
      </c>
      <c r="E1811" s="46" t="str">
        <f>'Công trình'!D238</f>
        <v>100m3</v>
      </c>
      <c r="F1811" s="106">
        <f>'Công trình'!K238</f>
        <v>2.2724000000000002</v>
      </c>
      <c r="G1811" s="126"/>
      <c r="H1811" s="126"/>
      <c r="I1811" s="126"/>
      <c r="J1811" s="126"/>
      <c r="K1811" s="126"/>
      <c r="L1811" s="126"/>
    </row>
    <row r="1812" spans="1:12" x14ac:dyDescent="0.25">
      <c r="A1812" s="56"/>
      <c r="B1812" s="23"/>
      <c r="C1812" s="88"/>
      <c r="D1812" s="23" t="s">
        <v>202</v>
      </c>
      <c r="E1812" s="56"/>
      <c r="F1812" s="118"/>
      <c r="G1812" s="118"/>
      <c r="H1812" s="118"/>
      <c r="I1812" s="118"/>
      <c r="J1812" s="118"/>
      <c r="K1812" s="118"/>
      <c r="L1812" s="118"/>
    </row>
    <row r="1813" spans="1:12" x14ac:dyDescent="0.25">
      <c r="A1813" s="168"/>
      <c r="B1813" s="144" t="str">
        <f>'Nhân công'!B6</f>
        <v>N0006</v>
      </c>
      <c r="C1813" s="34">
        <v>545</v>
      </c>
      <c r="D1813" s="144" t="s">
        <v>256</v>
      </c>
      <c r="E1813" s="168" t="str">
        <f>'Nhân công'!G6</f>
        <v>công</v>
      </c>
      <c r="F1813" s="60"/>
      <c r="G1813" s="60"/>
      <c r="H1813" s="60">
        <v>6.11</v>
      </c>
      <c r="I1813" s="60"/>
      <c r="J1813" s="60"/>
      <c r="K1813" s="60">
        <f>ROUND(F1811*H1813,4)</f>
        <v>13.884399999999999</v>
      </c>
      <c r="L1813" s="60"/>
    </row>
    <row r="1814" spans="1:12" x14ac:dyDescent="0.25">
      <c r="A1814" s="56"/>
      <c r="B1814" s="23"/>
      <c r="C1814" s="88"/>
      <c r="D1814" s="23" t="s">
        <v>378</v>
      </c>
      <c r="E1814" s="56"/>
      <c r="F1814" s="118"/>
      <c r="G1814" s="118"/>
      <c r="H1814" s="118"/>
      <c r="I1814" s="118"/>
      <c r="J1814" s="118"/>
      <c r="K1814" s="118"/>
      <c r="L1814" s="118"/>
    </row>
    <row r="1815" spans="1:12" ht="30" x14ac:dyDescent="0.25">
      <c r="A1815" s="168"/>
      <c r="B1815" s="144" t="str">
        <f>'Máy thi công'!B269</f>
        <v>M7900</v>
      </c>
      <c r="C1815" s="34">
        <v>711</v>
      </c>
      <c r="D1815" s="144" t="str">
        <f>" - " &amp; 'Máy thi công'!D269</f>
        <v xml:space="preserve"> - Máy đào một gầu, bánh xích - dung tích gầu: 0,80 m3</v>
      </c>
      <c r="E1815" s="168" t="str">
        <f>'Máy thi công'!E269</f>
        <v>ca</v>
      </c>
      <c r="F1815" s="60"/>
      <c r="G1815" s="60"/>
      <c r="H1815" s="60"/>
      <c r="I1815" s="60">
        <v>0.372</v>
      </c>
      <c r="J1815" s="60"/>
      <c r="K1815" s="60"/>
      <c r="L1815" s="60">
        <f>ROUND(F1811*I1815,4)</f>
        <v>0.84530000000000005</v>
      </c>
    </row>
    <row r="1816" spans="1:12" ht="28.5" x14ac:dyDescent="0.25">
      <c r="A1816" s="65">
        <f>'Công trình'!A239</f>
        <v>190</v>
      </c>
      <c r="B1816" s="14" t="str">
        <f>'Công trình'!B239</f>
        <v>AB.65120</v>
      </c>
      <c r="C1816" s="94"/>
      <c r="D1816" s="14" t="str">
        <f>'Công trình'!C239</f>
        <v>Đắp đất công trình bằng đầm cóc, độ chặt K=0,90</v>
      </c>
      <c r="E1816" s="46" t="str">
        <f>'Công trình'!D239</f>
        <v>100m3</v>
      </c>
      <c r="F1816" s="106">
        <f>'Công trình'!K239</f>
        <v>1.6185</v>
      </c>
      <c r="G1816" s="126"/>
      <c r="H1816" s="126"/>
      <c r="I1816" s="126"/>
      <c r="J1816" s="126"/>
      <c r="K1816" s="126"/>
      <c r="L1816" s="126"/>
    </row>
    <row r="1817" spans="1:12" x14ac:dyDescent="0.25">
      <c r="A1817" s="56"/>
      <c r="B1817" s="23"/>
      <c r="C1817" s="88"/>
      <c r="D1817" s="23" t="s">
        <v>202</v>
      </c>
      <c r="E1817" s="56"/>
      <c r="F1817" s="118"/>
      <c r="G1817" s="118"/>
      <c r="H1817" s="118"/>
      <c r="I1817" s="118"/>
      <c r="J1817" s="118"/>
      <c r="K1817" s="118"/>
      <c r="L1817" s="118"/>
    </row>
    <row r="1818" spans="1:12" x14ac:dyDescent="0.25">
      <c r="A1818" s="168"/>
      <c r="B1818" s="144" t="str">
        <f>'Nhân công'!B130</f>
        <v>N0011</v>
      </c>
      <c r="C1818" s="34">
        <v>550</v>
      </c>
      <c r="D1818" s="144" t="s">
        <v>671</v>
      </c>
      <c r="E1818" s="168" t="str">
        <f>'Nhân công'!G130</f>
        <v>công</v>
      </c>
      <c r="F1818" s="60"/>
      <c r="G1818" s="60"/>
      <c r="H1818" s="60">
        <v>8.84</v>
      </c>
      <c r="I1818" s="60"/>
      <c r="J1818" s="60"/>
      <c r="K1818" s="60">
        <f>ROUND(F1816*H1818,4)</f>
        <v>14.307499999999999</v>
      </c>
      <c r="L1818" s="60"/>
    </row>
    <row r="1819" spans="1:12" x14ac:dyDescent="0.25">
      <c r="A1819" s="56"/>
      <c r="B1819" s="23"/>
      <c r="C1819" s="88"/>
      <c r="D1819" s="23" t="s">
        <v>378</v>
      </c>
      <c r="E1819" s="56"/>
      <c r="F1819" s="118"/>
      <c r="G1819" s="118"/>
      <c r="H1819" s="118"/>
      <c r="I1819" s="118"/>
      <c r="J1819" s="118"/>
      <c r="K1819" s="118"/>
      <c r="L1819" s="118"/>
    </row>
    <row r="1820" spans="1:12" x14ac:dyDescent="0.25">
      <c r="A1820" s="168"/>
      <c r="B1820" s="144" t="str">
        <f>'Máy thi công'!B258</f>
        <v>M9577</v>
      </c>
      <c r="C1820" s="34">
        <v>752</v>
      </c>
      <c r="D1820" s="144" t="str">
        <f>" - " &amp; 'Máy thi công'!D258</f>
        <v xml:space="preserve"> - Máy đầm đất cầm tay - trọng lượng : 60 kg</v>
      </c>
      <c r="E1820" s="168" t="str">
        <f>'Máy thi công'!E258</f>
        <v>ca</v>
      </c>
      <c r="F1820" s="60"/>
      <c r="G1820" s="60"/>
      <c r="H1820" s="60"/>
      <c r="I1820" s="60">
        <v>4.42</v>
      </c>
      <c r="J1820" s="60"/>
      <c r="K1820" s="60"/>
      <c r="L1820" s="60">
        <f>ROUND(F1816*I1820,4)</f>
        <v>7.1538000000000004</v>
      </c>
    </row>
    <row r="1821" spans="1:12" ht="28.5" x14ac:dyDescent="0.25">
      <c r="A1821" s="65">
        <f>'Công trình'!A241</f>
        <v>191</v>
      </c>
      <c r="B1821" s="14" t="str">
        <f>'Công trình'!B241</f>
        <v>AD.11222</v>
      </c>
      <c r="C1821" s="94"/>
      <c r="D1821" s="14" t="str">
        <f>'Công trình'!C241</f>
        <v>Làm móng lớp trên cấp phối đá dăm, đường làm mới</v>
      </c>
      <c r="E1821" s="46" t="str">
        <f>'Công trình'!D241</f>
        <v>100m3</v>
      </c>
      <c r="F1821" s="106">
        <f>'Công trình'!K241</f>
        <v>1.0704</v>
      </c>
      <c r="G1821" s="126"/>
      <c r="H1821" s="126"/>
      <c r="I1821" s="126"/>
      <c r="J1821" s="126"/>
      <c r="K1821" s="126"/>
      <c r="L1821" s="126"/>
    </row>
    <row r="1822" spans="1:12" x14ac:dyDescent="0.25">
      <c r="A1822" s="56"/>
      <c r="B1822" s="23"/>
      <c r="C1822" s="88"/>
      <c r="D1822" s="23" t="s">
        <v>479</v>
      </c>
      <c r="E1822" s="56"/>
      <c r="F1822" s="118"/>
      <c r="G1822" s="118"/>
      <c r="H1822" s="118"/>
      <c r="I1822" s="118"/>
      <c r="J1822" s="118"/>
      <c r="K1822" s="118"/>
      <c r="L1822" s="118"/>
    </row>
    <row r="1823" spans="1:12" x14ac:dyDescent="0.25">
      <c r="A1823" s="168"/>
      <c r="B1823" s="144" t="str">
        <f>'Vật liệu'!B43</f>
        <v>V12698</v>
      </c>
      <c r="C1823" s="34">
        <v>454</v>
      </c>
      <c r="D1823" s="144" t="str">
        <f>" - " &amp; 'Vật liệu'!D43</f>
        <v xml:space="preserve"> - Cấp phối đá dăm 0,075-50mm lớp trên</v>
      </c>
      <c r="E1823" s="168" t="str">
        <f>'Vật liệu'!E43</f>
        <v>m3</v>
      </c>
      <c r="F1823" s="60"/>
      <c r="G1823" s="60">
        <v>142</v>
      </c>
      <c r="H1823" s="60"/>
      <c r="I1823" s="60"/>
      <c r="J1823" s="60">
        <f>ROUND(F1821*G1823,4)</f>
        <v>151.99680000000001</v>
      </c>
      <c r="K1823" s="60"/>
      <c r="L1823" s="60"/>
    </row>
    <row r="1824" spans="1:12" x14ac:dyDescent="0.25">
      <c r="A1824" s="56"/>
      <c r="B1824" s="23"/>
      <c r="C1824" s="88"/>
      <c r="D1824" s="23" t="s">
        <v>202</v>
      </c>
      <c r="E1824" s="56"/>
      <c r="F1824" s="118"/>
      <c r="G1824" s="118"/>
      <c r="H1824" s="118"/>
      <c r="I1824" s="118"/>
      <c r="J1824" s="118"/>
      <c r="K1824" s="118"/>
      <c r="L1824" s="118"/>
    </row>
    <row r="1825" spans="1:12" x14ac:dyDescent="0.25">
      <c r="A1825" s="168"/>
      <c r="B1825" s="144" t="str">
        <f>'Nhân công'!B185</f>
        <v>N0020</v>
      </c>
      <c r="C1825" s="34">
        <v>555</v>
      </c>
      <c r="D1825" s="144" t="s">
        <v>625</v>
      </c>
      <c r="E1825" s="168" t="str">
        <f>'Nhân công'!G185</f>
        <v>công</v>
      </c>
      <c r="F1825" s="60"/>
      <c r="G1825" s="60"/>
      <c r="H1825" s="60">
        <v>4.4000000000000004</v>
      </c>
      <c r="I1825" s="60"/>
      <c r="J1825" s="60"/>
      <c r="K1825" s="60">
        <f>ROUND(F1821*H1825,4)</f>
        <v>4.7098000000000004</v>
      </c>
      <c r="L1825" s="60"/>
    </row>
    <row r="1826" spans="1:12" x14ac:dyDescent="0.25">
      <c r="A1826" s="56"/>
      <c r="B1826" s="23"/>
      <c r="C1826" s="88"/>
      <c r="D1826" s="23" t="s">
        <v>378</v>
      </c>
      <c r="E1826" s="56"/>
      <c r="F1826" s="118"/>
      <c r="G1826" s="118"/>
      <c r="H1826" s="118"/>
      <c r="I1826" s="118"/>
      <c r="J1826" s="118"/>
      <c r="K1826" s="118"/>
      <c r="L1826" s="118"/>
    </row>
    <row r="1827" spans="1:12" x14ac:dyDescent="0.25">
      <c r="A1827" s="168"/>
      <c r="B1827" s="144" t="str">
        <f>'Máy thi công'!B167</f>
        <v>M9657</v>
      </c>
      <c r="C1827" s="34">
        <v>766</v>
      </c>
      <c r="D1827" s="144" t="str">
        <f>" - " &amp; 'Máy thi công'!D167</f>
        <v xml:space="preserve"> - Đầm bánh thép tự hành - trọng lượng: 10 t</v>
      </c>
      <c r="E1827" s="168" t="str">
        <f>'Máy thi công'!E167</f>
        <v>ca</v>
      </c>
      <c r="F1827" s="60"/>
      <c r="G1827" s="60"/>
      <c r="H1827" s="60"/>
      <c r="I1827" s="60">
        <v>0.21</v>
      </c>
      <c r="J1827" s="60"/>
      <c r="K1827" s="60"/>
      <c r="L1827" s="60">
        <f>ROUND(F1821*I1827,4)</f>
        <v>0.2248</v>
      </c>
    </row>
    <row r="1828" spans="1:12" x14ac:dyDescent="0.25">
      <c r="A1828" s="168"/>
      <c r="B1828" s="144" t="str">
        <f>'Máy thi công'!B374</f>
        <v>M9637</v>
      </c>
      <c r="C1828" s="34">
        <v>759</v>
      </c>
      <c r="D1828" s="144" t="str">
        <f>" - " &amp; 'Máy thi công'!D374</f>
        <v xml:space="preserve"> - Ô tô tưới nước - dung tích: 5 m3</v>
      </c>
      <c r="E1828" s="168" t="str">
        <f>'Máy thi công'!E374</f>
        <v>ca</v>
      </c>
      <c r="F1828" s="60"/>
      <c r="G1828" s="60"/>
      <c r="H1828" s="60"/>
      <c r="I1828" s="60">
        <v>0.21</v>
      </c>
      <c r="J1828" s="60"/>
      <c r="K1828" s="60"/>
      <c r="L1828" s="60">
        <f>ROUND(F1821*I1828,4)</f>
        <v>0.2248</v>
      </c>
    </row>
    <row r="1829" spans="1:12" x14ac:dyDescent="0.25">
      <c r="A1829" s="168"/>
      <c r="B1829" s="144" t="str">
        <f>'Máy thi công'!B301</f>
        <v>M9551</v>
      </c>
      <c r="C1829" s="34">
        <v>742</v>
      </c>
      <c r="D1829" s="144" t="str">
        <f>" - " &amp; 'Máy thi công'!D301</f>
        <v xml:space="preserve"> - Máy rải cấp phối đá dăm - năng suất 60 m3/h</v>
      </c>
      <c r="E1829" s="168" t="str">
        <f>'Máy thi công'!E301</f>
        <v>ca</v>
      </c>
      <c r="F1829" s="60"/>
      <c r="G1829" s="60"/>
      <c r="H1829" s="60"/>
      <c r="I1829" s="60">
        <v>0.21</v>
      </c>
      <c r="J1829" s="60"/>
      <c r="K1829" s="60"/>
      <c r="L1829" s="60">
        <f>ROUND(F1821*I1829,4)</f>
        <v>0.2248</v>
      </c>
    </row>
    <row r="1830" spans="1:12" x14ac:dyDescent="0.25">
      <c r="A1830" s="168"/>
      <c r="B1830" s="144" t="str">
        <f>'Máy thi công'!B261</f>
        <v>M9576</v>
      </c>
      <c r="C1830" s="34">
        <v>751</v>
      </c>
      <c r="D1830" s="144" t="str">
        <f>" - " &amp; 'Máy thi công'!D261</f>
        <v xml:space="preserve"> - Máy đầm rung tự hành - trọng lượng: 25 t</v>
      </c>
      <c r="E1830" s="168" t="str">
        <f>'Máy thi công'!E261</f>
        <v>ca</v>
      </c>
      <c r="F1830" s="60"/>
      <c r="G1830" s="60"/>
      <c r="H1830" s="60"/>
      <c r="I1830" s="60">
        <v>0.21</v>
      </c>
      <c r="J1830" s="60"/>
      <c r="K1830" s="60"/>
      <c r="L1830" s="60">
        <f>ROUND(F1821*I1830,4)</f>
        <v>0.2248</v>
      </c>
    </row>
    <row r="1831" spans="1:12" x14ac:dyDescent="0.25">
      <c r="A1831" s="168"/>
      <c r="B1831" s="144" t="str">
        <f>'Máy thi công'!B158</f>
        <v>M9654</v>
      </c>
      <c r="C1831" s="34">
        <v>764</v>
      </c>
      <c r="D1831" s="144" t="str">
        <f>" - " &amp; 'Máy thi công'!D158</f>
        <v xml:space="preserve"> - Đầm bánh hơi tự hành - trọng lượng: 16 t</v>
      </c>
      <c r="E1831" s="168" t="str">
        <f>'Máy thi công'!E158</f>
        <v>ca</v>
      </c>
      <c r="F1831" s="60"/>
      <c r="G1831" s="60"/>
      <c r="H1831" s="60"/>
      <c r="I1831" s="60">
        <v>0.42</v>
      </c>
      <c r="J1831" s="60"/>
      <c r="K1831" s="60"/>
      <c r="L1831" s="60">
        <f>ROUND(F1821*I1831,4)</f>
        <v>0.4496</v>
      </c>
    </row>
    <row r="1832" spans="1:12" x14ac:dyDescent="0.25">
      <c r="A1832" s="168"/>
      <c r="B1832" s="144" t="str">
        <f>'Máy thi công'!B398</f>
        <v>M0111</v>
      </c>
      <c r="C1832" s="34">
        <v>641</v>
      </c>
      <c r="D1832" s="144" t="str">
        <f>" - " &amp; 'Máy thi công'!D398</f>
        <v xml:space="preserve"> - Máy khác</v>
      </c>
      <c r="E1832" s="168" t="str">
        <f>'Máy thi công'!E398</f>
        <v>%</v>
      </c>
      <c r="F1832" s="60"/>
      <c r="G1832" s="60"/>
      <c r="H1832" s="60"/>
      <c r="I1832" s="60">
        <v>0.5</v>
      </c>
      <c r="J1832" s="60"/>
      <c r="K1832" s="60"/>
      <c r="L1832" s="60"/>
    </row>
    <row r="1833" spans="1:12" ht="28.5" x14ac:dyDescent="0.25">
      <c r="A1833" s="65">
        <f>'Công trình'!A242</f>
        <v>192</v>
      </c>
      <c r="B1833" s="14" t="str">
        <f>'Công trình'!B242</f>
        <v>AB.66114</v>
      </c>
      <c r="C1833" s="94"/>
      <c r="D1833" s="14" t="str">
        <f>'Công trình'!C242</f>
        <v>Đắp cát công trình bằng máy đầm 9T, độ chặt K=0,98</v>
      </c>
      <c r="E1833" s="46" t="str">
        <f>'Công trình'!D242</f>
        <v>100m3</v>
      </c>
      <c r="F1833" s="106">
        <f>'Công trình'!K242</f>
        <v>15.778700000000001</v>
      </c>
      <c r="G1833" s="126"/>
      <c r="H1833" s="126"/>
      <c r="I1833" s="126"/>
      <c r="J1833" s="126"/>
      <c r="K1833" s="126"/>
      <c r="L1833" s="126"/>
    </row>
    <row r="1834" spans="1:12" x14ac:dyDescent="0.25">
      <c r="A1834" s="56"/>
      <c r="B1834" s="23"/>
      <c r="C1834" s="88"/>
      <c r="D1834" s="23" t="s">
        <v>479</v>
      </c>
      <c r="E1834" s="56"/>
      <c r="F1834" s="118"/>
      <c r="G1834" s="118"/>
      <c r="H1834" s="118"/>
      <c r="I1834" s="118"/>
      <c r="J1834" s="118"/>
      <c r="K1834" s="118"/>
      <c r="L1834" s="118"/>
    </row>
    <row r="1835" spans="1:12" x14ac:dyDescent="0.25">
      <c r="A1835" s="168"/>
      <c r="B1835" s="144" t="str">
        <f>'Vật liệu'!B45</f>
        <v>V00113</v>
      </c>
      <c r="C1835" s="34">
        <v>127</v>
      </c>
      <c r="D1835" s="144" t="str">
        <f>" - " &amp; 'Vật liệu'!D45</f>
        <v xml:space="preserve"> - Cát đen</v>
      </c>
      <c r="E1835" s="168" t="str">
        <f>'Vật liệu'!E45</f>
        <v>m3</v>
      </c>
      <c r="F1835" s="60"/>
      <c r="G1835" s="60">
        <v>122</v>
      </c>
      <c r="H1835" s="60"/>
      <c r="I1835" s="60"/>
      <c r="J1835" s="60">
        <f>ROUND(F1833*G1835,4)</f>
        <v>1925.0014000000001</v>
      </c>
      <c r="K1835" s="60"/>
      <c r="L1835" s="60"/>
    </row>
    <row r="1836" spans="1:12" x14ac:dyDescent="0.25">
      <c r="A1836" s="56"/>
      <c r="B1836" s="23"/>
      <c r="C1836" s="88"/>
      <c r="D1836" s="23" t="s">
        <v>202</v>
      </c>
      <c r="E1836" s="56"/>
      <c r="F1836" s="118"/>
      <c r="G1836" s="118"/>
      <c r="H1836" s="118"/>
      <c r="I1836" s="118"/>
      <c r="J1836" s="118"/>
      <c r="K1836" s="118"/>
      <c r="L1836" s="118"/>
    </row>
    <row r="1837" spans="1:12" x14ac:dyDescent="0.25">
      <c r="A1837" s="168"/>
      <c r="B1837" s="144" t="str">
        <f>'Nhân công'!B6</f>
        <v>N0006</v>
      </c>
      <c r="C1837" s="34">
        <v>545</v>
      </c>
      <c r="D1837" s="144" t="s">
        <v>256</v>
      </c>
      <c r="E1837" s="168" t="str">
        <f>'Nhân công'!G6</f>
        <v>công</v>
      </c>
      <c r="F1837" s="60"/>
      <c r="G1837" s="60"/>
      <c r="H1837" s="60">
        <v>1.5</v>
      </c>
      <c r="I1837" s="60"/>
      <c r="J1837" s="60"/>
      <c r="K1837" s="60">
        <f>ROUND(F1833*H1837,4)</f>
        <v>23.668099999999999</v>
      </c>
      <c r="L1837" s="60"/>
    </row>
    <row r="1838" spans="1:12" x14ac:dyDescent="0.25">
      <c r="A1838" s="56"/>
      <c r="B1838" s="23"/>
      <c r="C1838" s="88"/>
      <c r="D1838" s="23" t="s">
        <v>378</v>
      </c>
      <c r="E1838" s="56"/>
      <c r="F1838" s="118"/>
      <c r="G1838" s="118"/>
      <c r="H1838" s="118"/>
      <c r="I1838" s="118"/>
      <c r="J1838" s="118"/>
      <c r="K1838" s="118"/>
      <c r="L1838" s="118"/>
    </row>
    <row r="1839" spans="1:12" x14ac:dyDescent="0.25">
      <c r="A1839" s="168"/>
      <c r="B1839" s="144" t="str">
        <f>'Máy thi công'!B350</f>
        <v>M9578</v>
      </c>
      <c r="C1839" s="34">
        <v>753</v>
      </c>
      <c r="D1839" s="144" t="str">
        <f>" - " &amp; 'Máy thi công'!D350</f>
        <v xml:space="preserve"> - Máy ủi - công suất: 108,0 CV (110CV)</v>
      </c>
      <c r="E1839" s="168" t="str">
        <f>'Máy thi công'!E350</f>
        <v>ca</v>
      </c>
      <c r="F1839" s="60"/>
      <c r="G1839" s="60"/>
      <c r="H1839" s="60"/>
      <c r="I1839" s="60">
        <v>0.19</v>
      </c>
      <c r="J1839" s="60"/>
      <c r="K1839" s="60"/>
      <c r="L1839" s="60">
        <f>ROUND(F1833*I1839,4)</f>
        <v>2.9980000000000002</v>
      </c>
    </row>
    <row r="1840" spans="1:12" x14ac:dyDescent="0.25">
      <c r="A1840" s="168"/>
      <c r="B1840" s="144" t="str">
        <f>'Máy thi công'!B162</f>
        <v>M9656</v>
      </c>
      <c r="C1840" s="34">
        <v>765</v>
      </c>
      <c r="D1840" s="144" t="str">
        <f>" - " &amp; 'Máy thi công'!D162</f>
        <v xml:space="preserve"> - Đầm bánh hơi tự hành - trọng lượng: 9 t</v>
      </c>
      <c r="E1840" s="168" t="str">
        <f>'Máy thi công'!E162</f>
        <v>ca</v>
      </c>
      <c r="F1840" s="60"/>
      <c r="G1840" s="60"/>
      <c r="H1840" s="60"/>
      <c r="I1840" s="60">
        <v>0.38</v>
      </c>
      <c r="J1840" s="60"/>
      <c r="K1840" s="60"/>
      <c r="L1840" s="60">
        <f>ROUND(F1833*I1840,4)</f>
        <v>5.9958999999999998</v>
      </c>
    </row>
    <row r="1841" spans="1:12" x14ac:dyDescent="0.25">
      <c r="A1841" s="168"/>
      <c r="B1841" s="144" t="str">
        <f>'Máy thi công'!B398</f>
        <v>M0111</v>
      </c>
      <c r="C1841" s="34">
        <v>643</v>
      </c>
      <c r="D1841" s="144" t="str">
        <f>" - " &amp; 'Máy thi công'!D398</f>
        <v xml:space="preserve"> - Máy khác</v>
      </c>
      <c r="E1841" s="168" t="str">
        <f>'Máy thi công'!E398</f>
        <v>%</v>
      </c>
      <c r="F1841" s="60"/>
      <c r="G1841" s="60"/>
      <c r="H1841" s="60"/>
      <c r="I1841" s="60">
        <v>1.5</v>
      </c>
      <c r="J1841" s="60"/>
      <c r="K1841" s="60"/>
      <c r="L1841" s="60"/>
    </row>
    <row r="1842" spans="1:12" x14ac:dyDescent="0.25">
      <c r="A1842" s="65">
        <f>'Công trình'!A243</f>
        <v>193</v>
      </c>
      <c r="B1842" s="14" t="str">
        <f>'Công trình'!B243</f>
        <v>AB.21121</v>
      </c>
      <c r="C1842" s="94"/>
      <c r="D1842" s="14" t="str">
        <f>'Công trình'!C243</f>
        <v>Đất bóc phong hóa</v>
      </c>
      <c r="E1842" s="46" t="str">
        <f>'Công trình'!D243</f>
        <v>100m3</v>
      </c>
      <c r="F1842" s="106">
        <f>'Công trình'!K243</f>
        <v>2.5015000000000001</v>
      </c>
      <c r="G1842" s="126"/>
      <c r="H1842" s="126"/>
      <c r="I1842" s="126"/>
      <c r="J1842" s="126"/>
      <c r="K1842" s="126"/>
      <c r="L1842" s="126"/>
    </row>
    <row r="1843" spans="1:12" x14ac:dyDescent="0.25">
      <c r="A1843" s="56"/>
      <c r="B1843" s="23"/>
      <c r="C1843" s="88"/>
      <c r="D1843" s="23" t="s">
        <v>202</v>
      </c>
      <c r="E1843" s="56"/>
      <c r="F1843" s="118"/>
      <c r="G1843" s="118"/>
      <c r="H1843" s="118"/>
      <c r="I1843" s="118"/>
      <c r="J1843" s="118"/>
      <c r="K1843" s="118"/>
      <c r="L1843" s="118"/>
    </row>
    <row r="1844" spans="1:12" x14ac:dyDescent="0.25">
      <c r="A1844" s="168"/>
      <c r="B1844" s="144" t="str">
        <f>'Nhân công'!B6</f>
        <v>N0006</v>
      </c>
      <c r="C1844" s="34">
        <v>545</v>
      </c>
      <c r="D1844" s="144" t="s">
        <v>256</v>
      </c>
      <c r="E1844" s="168" t="str">
        <f>'Nhân công'!G6</f>
        <v>công</v>
      </c>
      <c r="F1844" s="60"/>
      <c r="G1844" s="60"/>
      <c r="H1844" s="60">
        <v>0.5</v>
      </c>
      <c r="I1844" s="60"/>
      <c r="J1844" s="60"/>
      <c r="K1844" s="60">
        <f>ROUND(F1842*H1844,4)</f>
        <v>1.2507999999999999</v>
      </c>
      <c r="L1844" s="60"/>
    </row>
    <row r="1845" spans="1:12" x14ac:dyDescent="0.25">
      <c r="A1845" s="56"/>
      <c r="B1845" s="23"/>
      <c r="C1845" s="88"/>
      <c r="D1845" s="23" t="s">
        <v>378</v>
      </c>
      <c r="E1845" s="56"/>
      <c r="F1845" s="118"/>
      <c r="G1845" s="118"/>
      <c r="H1845" s="118"/>
      <c r="I1845" s="118"/>
      <c r="J1845" s="118"/>
      <c r="K1845" s="118"/>
      <c r="L1845" s="118"/>
    </row>
    <row r="1846" spans="1:12" x14ac:dyDescent="0.25">
      <c r="A1846" s="168"/>
      <c r="B1846" s="144" t="str">
        <f>'Máy thi công'!B350</f>
        <v>M9578</v>
      </c>
      <c r="C1846" s="34">
        <v>753</v>
      </c>
      <c r="D1846" s="144" t="str">
        <f>" - " &amp; 'Máy thi công'!D350</f>
        <v xml:space="preserve"> - Máy ủi - công suất: 108,0 CV (110CV)</v>
      </c>
      <c r="E1846" s="168" t="str">
        <f>'Máy thi công'!E350</f>
        <v>ca</v>
      </c>
      <c r="F1846" s="60"/>
      <c r="G1846" s="60"/>
      <c r="H1846" s="60"/>
      <c r="I1846" s="60">
        <v>0.03</v>
      </c>
      <c r="J1846" s="60"/>
      <c r="K1846" s="60"/>
      <c r="L1846" s="60">
        <f>ROUND(F1842*I1846,4)</f>
        <v>7.4999999999999997E-2</v>
      </c>
    </row>
    <row r="1847" spans="1:12" ht="30" x14ac:dyDescent="0.25">
      <c r="A1847" s="168"/>
      <c r="B1847" s="144" t="str">
        <f>'Máy thi công'!B269</f>
        <v>M7900</v>
      </c>
      <c r="C1847" s="34">
        <v>711</v>
      </c>
      <c r="D1847" s="144" t="str">
        <f>" - " &amp; 'Máy thi công'!D269</f>
        <v xml:space="preserve"> - Máy đào một gầu, bánh xích - dung tích gầu: 0,80 m3</v>
      </c>
      <c r="E1847" s="168" t="str">
        <f>'Máy thi công'!E269</f>
        <v>ca</v>
      </c>
      <c r="F1847" s="60"/>
      <c r="G1847" s="60"/>
      <c r="H1847" s="60"/>
      <c r="I1847" s="60">
        <v>0.25</v>
      </c>
      <c r="J1847" s="60"/>
      <c r="K1847" s="60"/>
      <c r="L1847" s="60">
        <f>ROUND(F1842*I1847,4)</f>
        <v>0.62539999999999996</v>
      </c>
    </row>
    <row r="1848" spans="1:12" ht="28.5" x14ac:dyDescent="0.25">
      <c r="A1848" s="65">
        <f>'Công trình'!A244</f>
        <v>194</v>
      </c>
      <c r="B1848" s="14" t="str">
        <f>'Công trình'!B244</f>
        <v>AB.25112</v>
      </c>
      <c r="C1848" s="94"/>
      <c r="D1848" s="14" t="str">
        <f>'Công trình'!C244</f>
        <v>Đào móng chiều rộng &lt;=6m bằng máy đào 0,8m3, đất cấp II</v>
      </c>
      <c r="E1848" s="46" t="str">
        <f>'Công trình'!D244</f>
        <v>100m3</v>
      </c>
      <c r="F1848" s="106">
        <f>'Công trình'!K244</f>
        <v>0.14269999999999999</v>
      </c>
      <c r="G1848" s="126"/>
      <c r="H1848" s="126"/>
      <c r="I1848" s="126"/>
      <c r="J1848" s="126"/>
      <c r="K1848" s="126"/>
      <c r="L1848" s="126"/>
    </row>
    <row r="1849" spans="1:12" x14ac:dyDescent="0.25">
      <c r="A1849" s="56"/>
      <c r="B1849" s="23"/>
      <c r="C1849" s="88"/>
      <c r="D1849" s="23" t="s">
        <v>202</v>
      </c>
      <c r="E1849" s="56"/>
      <c r="F1849" s="118"/>
      <c r="G1849" s="118"/>
      <c r="H1849" s="118"/>
      <c r="I1849" s="118"/>
      <c r="J1849" s="118"/>
      <c r="K1849" s="118"/>
      <c r="L1849" s="118"/>
    </row>
    <row r="1850" spans="1:12" x14ac:dyDescent="0.25">
      <c r="A1850" s="168"/>
      <c r="B1850" s="144" t="str">
        <f>'Nhân công'!B6</f>
        <v>N0006</v>
      </c>
      <c r="C1850" s="34">
        <v>545</v>
      </c>
      <c r="D1850" s="144" t="s">
        <v>256</v>
      </c>
      <c r="E1850" s="168" t="str">
        <f>'Nhân công'!G6</f>
        <v>công</v>
      </c>
      <c r="F1850" s="60"/>
      <c r="G1850" s="60"/>
      <c r="H1850" s="60">
        <v>6.11</v>
      </c>
      <c r="I1850" s="60"/>
      <c r="J1850" s="60"/>
      <c r="K1850" s="60">
        <f>ROUND(F1848*H1850,4)</f>
        <v>0.87190000000000001</v>
      </c>
      <c r="L1850" s="60"/>
    </row>
    <row r="1851" spans="1:12" x14ac:dyDescent="0.25">
      <c r="A1851" s="56"/>
      <c r="B1851" s="23"/>
      <c r="C1851" s="88"/>
      <c r="D1851" s="23" t="s">
        <v>378</v>
      </c>
      <c r="E1851" s="56"/>
      <c r="F1851" s="118"/>
      <c r="G1851" s="118"/>
      <c r="H1851" s="118"/>
      <c r="I1851" s="118"/>
      <c r="J1851" s="118"/>
      <c r="K1851" s="118"/>
      <c r="L1851" s="118"/>
    </row>
    <row r="1852" spans="1:12" ht="30" x14ac:dyDescent="0.25">
      <c r="A1852" s="168"/>
      <c r="B1852" s="144" t="str">
        <f>'Máy thi công'!B269</f>
        <v>M7900</v>
      </c>
      <c r="C1852" s="34">
        <v>711</v>
      </c>
      <c r="D1852" s="144" t="str">
        <f>" - " &amp; 'Máy thi công'!D269</f>
        <v xml:space="preserve"> - Máy đào một gầu, bánh xích - dung tích gầu: 0,80 m3</v>
      </c>
      <c r="E1852" s="168" t="str">
        <f>'Máy thi công'!E269</f>
        <v>ca</v>
      </c>
      <c r="F1852" s="60"/>
      <c r="G1852" s="60"/>
      <c r="H1852" s="60"/>
      <c r="I1852" s="60">
        <v>0.372</v>
      </c>
      <c r="J1852" s="60"/>
      <c r="K1852" s="60"/>
      <c r="L1852" s="60">
        <f>ROUND(F1848*I1852,4)</f>
        <v>5.3100000000000001E-2</v>
      </c>
    </row>
    <row r="1853" spans="1:12" ht="28.5" x14ac:dyDescent="0.25">
      <c r="A1853" s="65">
        <f>'Công trình'!A245</f>
        <v>195</v>
      </c>
      <c r="B1853" s="14" t="str">
        <f>'Công trình'!B245</f>
        <v>AB.64112</v>
      </c>
      <c r="C1853" s="94"/>
      <c r="D1853" s="14" t="str">
        <f>'Công trình'!C245</f>
        <v>Đắp nền đường bằng máy đầm 9T, độ chặt K=0,90</v>
      </c>
      <c r="E1853" s="46" t="str">
        <f>'Công trình'!D245</f>
        <v>100m3</v>
      </c>
      <c r="F1853" s="106">
        <f>'Công trình'!K245</f>
        <v>16.957000000000001</v>
      </c>
      <c r="G1853" s="126"/>
      <c r="H1853" s="126"/>
      <c r="I1853" s="126"/>
      <c r="J1853" s="126"/>
      <c r="K1853" s="126"/>
      <c r="L1853" s="126"/>
    </row>
    <row r="1854" spans="1:12" x14ac:dyDescent="0.25">
      <c r="A1854" s="56"/>
      <c r="B1854" s="23"/>
      <c r="C1854" s="88"/>
      <c r="D1854" s="23" t="s">
        <v>202</v>
      </c>
      <c r="E1854" s="56"/>
      <c r="F1854" s="118"/>
      <c r="G1854" s="118"/>
      <c r="H1854" s="118"/>
      <c r="I1854" s="118"/>
      <c r="J1854" s="118"/>
      <c r="K1854" s="118"/>
      <c r="L1854" s="118"/>
    </row>
    <row r="1855" spans="1:12" x14ac:dyDescent="0.25">
      <c r="A1855" s="168"/>
      <c r="B1855" s="144" t="str">
        <f>'Nhân công'!B6</f>
        <v>N0006</v>
      </c>
      <c r="C1855" s="34">
        <v>545</v>
      </c>
      <c r="D1855" s="144" t="s">
        <v>256</v>
      </c>
      <c r="E1855" s="168" t="str">
        <f>'Nhân công'!G6</f>
        <v>công</v>
      </c>
      <c r="F1855" s="60"/>
      <c r="G1855" s="60"/>
      <c r="H1855" s="60">
        <v>1.74</v>
      </c>
      <c r="I1855" s="60"/>
      <c r="J1855" s="60"/>
      <c r="K1855" s="60">
        <f>ROUND(F1853*H1855,4)</f>
        <v>29.505199999999999</v>
      </c>
      <c r="L1855" s="60"/>
    </row>
    <row r="1856" spans="1:12" x14ac:dyDescent="0.25">
      <c r="A1856" s="56"/>
      <c r="B1856" s="23"/>
      <c r="C1856" s="88"/>
      <c r="D1856" s="23" t="s">
        <v>378</v>
      </c>
      <c r="E1856" s="56"/>
      <c r="F1856" s="118"/>
      <c r="G1856" s="118"/>
      <c r="H1856" s="118"/>
      <c r="I1856" s="118"/>
      <c r="J1856" s="118"/>
      <c r="K1856" s="118"/>
      <c r="L1856" s="118"/>
    </row>
    <row r="1857" spans="1:12" x14ac:dyDescent="0.25">
      <c r="A1857" s="168"/>
      <c r="B1857" s="144" t="str">
        <f>'Máy thi công'!B350</f>
        <v>M9578</v>
      </c>
      <c r="C1857" s="34">
        <v>753</v>
      </c>
      <c r="D1857" s="144" t="str">
        <f>" - " &amp; 'Máy thi công'!D350</f>
        <v xml:space="preserve"> - Máy ủi - công suất: 108,0 CV (110CV)</v>
      </c>
      <c r="E1857" s="168" t="str">
        <f>'Máy thi công'!E350</f>
        <v>ca</v>
      </c>
      <c r="F1857" s="60"/>
      <c r="G1857" s="60"/>
      <c r="H1857" s="60"/>
      <c r="I1857" s="60">
        <v>0.15</v>
      </c>
      <c r="J1857" s="60"/>
      <c r="K1857" s="60"/>
      <c r="L1857" s="60">
        <f>ROUND(F1853*I1857,4)</f>
        <v>2.5436000000000001</v>
      </c>
    </row>
    <row r="1858" spans="1:12" x14ac:dyDescent="0.25">
      <c r="A1858" s="168"/>
      <c r="B1858" s="144" t="str">
        <f>'Máy thi công'!B162</f>
        <v>M9656</v>
      </c>
      <c r="C1858" s="34">
        <v>765</v>
      </c>
      <c r="D1858" s="144" t="str">
        <f>" - " &amp; 'Máy thi công'!D162</f>
        <v xml:space="preserve"> - Đầm bánh hơi tự hành - trọng lượng: 9 t</v>
      </c>
      <c r="E1858" s="168" t="str">
        <f>'Máy thi công'!E162</f>
        <v>ca</v>
      </c>
      <c r="F1858" s="60"/>
      <c r="G1858" s="60"/>
      <c r="H1858" s="60"/>
      <c r="I1858" s="60">
        <v>0.3</v>
      </c>
      <c r="J1858" s="60"/>
      <c r="K1858" s="60"/>
      <c r="L1858" s="60">
        <f>ROUND(F1853*I1858,4)</f>
        <v>5.0871000000000004</v>
      </c>
    </row>
    <row r="1859" spans="1:12" x14ac:dyDescent="0.25">
      <c r="A1859" s="168"/>
      <c r="B1859" s="144" t="str">
        <f>'Máy thi công'!B398</f>
        <v>M0111</v>
      </c>
      <c r="C1859" s="34">
        <v>688</v>
      </c>
      <c r="D1859" s="144" t="str">
        <f>" - " &amp; 'Máy thi công'!D398</f>
        <v xml:space="preserve"> - Máy khác</v>
      </c>
      <c r="E1859" s="168" t="str">
        <f>'Máy thi công'!E398</f>
        <v>%</v>
      </c>
      <c r="F1859" s="60"/>
      <c r="G1859" s="60"/>
      <c r="H1859" s="60"/>
      <c r="I1859" s="60">
        <v>1.5</v>
      </c>
      <c r="J1859" s="60"/>
      <c r="K1859" s="60"/>
      <c r="L1859" s="60"/>
    </row>
    <row r="1860" spans="1:12" x14ac:dyDescent="0.25">
      <c r="A1860" s="65">
        <f>'Công trình'!A246</f>
        <v>196</v>
      </c>
      <c r="B1860" s="14" t="str">
        <f>'Công trình'!B246</f>
        <v>TT</v>
      </c>
      <c r="C1860" s="94"/>
      <c r="D1860" s="14" t="str">
        <f>'Công trình'!C246</f>
        <v>Mua đất chọn lọc để đắp (HS 1,14*1,07)</v>
      </c>
      <c r="E1860" s="46" t="str">
        <f>'Công trình'!D246</f>
        <v>m3</v>
      </c>
      <c r="F1860" s="106">
        <f>'Công trình'!K246</f>
        <v>2068.4149000000002</v>
      </c>
      <c r="G1860" s="126"/>
      <c r="H1860" s="126"/>
      <c r="I1860" s="126"/>
      <c r="J1860" s="126"/>
      <c r="K1860" s="126"/>
      <c r="L1860" s="126"/>
    </row>
    <row r="1861" spans="1:12" x14ac:dyDescent="0.25">
      <c r="A1861" s="56"/>
      <c r="B1861" s="23"/>
      <c r="C1861" s="88"/>
      <c r="D1861" s="23" t="s">
        <v>479</v>
      </c>
      <c r="E1861" s="56"/>
      <c r="F1861" s="118"/>
      <c r="G1861" s="118"/>
      <c r="H1861" s="118"/>
      <c r="I1861" s="118"/>
      <c r="J1861" s="118"/>
      <c r="K1861" s="118"/>
      <c r="L1861" s="118"/>
    </row>
    <row r="1862" spans="1:12" x14ac:dyDescent="0.25">
      <c r="A1862" s="168"/>
      <c r="B1862" s="144" t="str">
        <f>'Vật liệu'!B198</f>
        <v>V00830</v>
      </c>
      <c r="C1862" s="34">
        <v>410</v>
      </c>
      <c r="D1862" s="144" t="str">
        <f>" - " &amp; 'Vật liệu'!D198</f>
        <v xml:space="preserve"> - Đất chọn lọc</v>
      </c>
      <c r="E1862" s="168" t="str">
        <f>'Vật liệu'!E198</f>
        <v>m3</v>
      </c>
      <c r="F1862" s="60"/>
      <c r="G1862" s="60">
        <v>1</v>
      </c>
      <c r="H1862" s="60"/>
      <c r="I1862" s="60"/>
      <c r="J1862" s="60">
        <f>ROUND(F1860*G1862,4)</f>
        <v>2068.4149000000002</v>
      </c>
      <c r="K1862" s="60"/>
      <c r="L1862" s="60"/>
    </row>
    <row r="1863" spans="1:12" ht="28.5" x14ac:dyDescent="0.25">
      <c r="A1863" s="65">
        <f>'Công trình'!A247</f>
        <v>197</v>
      </c>
      <c r="B1863" s="14" t="str">
        <f>'Công trình'!B247</f>
        <v>AF.12313</v>
      </c>
      <c r="C1863" s="94"/>
      <c r="D1863" s="14" t="str">
        <f>'Công trình'!C247</f>
        <v>Bê tông dầm chặn chân, đá 1x2, vữa BT mác 200</v>
      </c>
      <c r="E1863" s="46" t="str">
        <f>'Công trình'!D247</f>
        <v>m3</v>
      </c>
      <c r="F1863" s="106">
        <f>'Công trình'!K247</f>
        <v>17.84</v>
      </c>
      <c r="G1863" s="126"/>
      <c r="H1863" s="126"/>
      <c r="I1863" s="126"/>
      <c r="J1863" s="126"/>
      <c r="K1863" s="126"/>
      <c r="L1863" s="126"/>
    </row>
    <row r="1864" spans="1:12" x14ac:dyDescent="0.25">
      <c r="A1864" s="56"/>
      <c r="B1864" s="23"/>
      <c r="C1864" s="88"/>
      <c r="D1864" s="23" t="s">
        <v>479</v>
      </c>
      <c r="E1864" s="56"/>
      <c r="F1864" s="118"/>
      <c r="G1864" s="118"/>
      <c r="H1864" s="118"/>
      <c r="I1864" s="118"/>
      <c r="J1864" s="118"/>
      <c r="K1864" s="118"/>
      <c r="L1864" s="118"/>
    </row>
    <row r="1865" spans="1:12" x14ac:dyDescent="0.25">
      <c r="A1865" s="168"/>
      <c r="B1865" s="144" t="str">
        <f>'Vật liệu'!B721</f>
        <v>V00761</v>
      </c>
      <c r="C1865" s="34">
        <v>397</v>
      </c>
      <c r="D1865" s="144" t="str">
        <f>" - " &amp; 'Vật liệu'!D721</f>
        <v xml:space="preserve"> - Xi măng PC40</v>
      </c>
      <c r="E1865" s="168" t="str">
        <f>'Vật liệu'!E721</f>
        <v>kg</v>
      </c>
      <c r="F1865" s="60"/>
      <c r="G1865" s="60">
        <v>288.02499999999998</v>
      </c>
      <c r="H1865" s="60"/>
      <c r="I1865" s="60"/>
      <c r="J1865" s="60">
        <f>ROUND(F1863*G1865,4)</f>
        <v>5138.366</v>
      </c>
      <c r="K1865" s="60"/>
      <c r="L1865" s="60"/>
    </row>
    <row r="1866" spans="1:12" x14ac:dyDescent="0.25">
      <c r="A1866" s="168"/>
      <c r="B1866" s="144" t="str">
        <f>'Vật liệu'!B54</f>
        <v>V00112</v>
      </c>
      <c r="C1866" s="34">
        <v>125</v>
      </c>
      <c r="D1866" s="144" t="str">
        <f>" - " &amp; 'Vật liệu'!D54</f>
        <v xml:space="preserve"> - Cát vàng</v>
      </c>
      <c r="E1866" s="168" t="str">
        <f>'Vật liệu'!E54</f>
        <v>m3</v>
      </c>
      <c r="F1866" s="60"/>
      <c r="G1866" s="60">
        <v>0.50529999999999997</v>
      </c>
      <c r="H1866" s="60"/>
      <c r="I1866" s="60"/>
      <c r="J1866" s="60">
        <f>ROUND(F1863*G1866,4)</f>
        <v>9.0145999999999997</v>
      </c>
      <c r="K1866" s="60"/>
      <c r="L1866" s="60"/>
    </row>
    <row r="1867" spans="1:12" x14ac:dyDescent="0.25">
      <c r="A1867" s="168"/>
      <c r="B1867" s="144" t="str">
        <f>'Vật liệu'!B142</f>
        <v>V05207</v>
      </c>
      <c r="C1867" s="34">
        <v>416</v>
      </c>
      <c r="D1867" s="144" t="str">
        <f>" - " &amp; 'Vật liệu'!D142</f>
        <v xml:space="preserve"> - Đá 1x2</v>
      </c>
      <c r="E1867" s="168" t="str">
        <f>'Vật liệu'!E142</f>
        <v>m3</v>
      </c>
      <c r="F1867" s="60"/>
      <c r="G1867" s="60">
        <v>0.9133</v>
      </c>
      <c r="H1867" s="60"/>
      <c r="I1867" s="60"/>
      <c r="J1867" s="60">
        <f>ROUND(F1863*G1867,4)</f>
        <v>16.293299999999999</v>
      </c>
      <c r="K1867" s="60"/>
      <c r="L1867" s="60"/>
    </row>
    <row r="1868" spans="1:12" x14ac:dyDescent="0.25">
      <c r="A1868" s="168"/>
      <c r="B1868" s="144" t="str">
        <f>'Vật liệu'!B353</f>
        <v>V00494</v>
      </c>
      <c r="C1868" s="34">
        <v>148</v>
      </c>
      <c r="D1868" s="144" t="str">
        <f>" - " &amp; 'Vật liệu'!D353</f>
        <v xml:space="preserve"> - Nước</v>
      </c>
      <c r="E1868" s="168" t="str">
        <f>'Vật liệu'!E353</f>
        <v>lít</v>
      </c>
      <c r="F1868" s="60"/>
      <c r="G1868" s="60">
        <v>189.625</v>
      </c>
      <c r="H1868" s="60"/>
      <c r="I1868" s="60"/>
      <c r="J1868" s="60">
        <f>ROUND(F1863*G1868,4)</f>
        <v>3382.91</v>
      </c>
      <c r="K1868" s="60"/>
      <c r="L1868" s="60"/>
    </row>
    <row r="1869" spans="1:12" x14ac:dyDescent="0.25">
      <c r="A1869" s="168"/>
      <c r="B1869" s="144" t="str">
        <f>'Vật liệu'!B766</f>
        <v>V00750</v>
      </c>
      <c r="C1869" s="34">
        <v>303</v>
      </c>
      <c r="D1869" s="144" t="str">
        <f>" - " &amp; 'Vật liệu'!D766</f>
        <v xml:space="preserve"> - Vật liệu khác</v>
      </c>
      <c r="E1869" s="168" t="str">
        <f>'Vật liệu'!E766</f>
        <v>%</v>
      </c>
      <c r="F1869" s="60"/>
      <c r="G1869" s="60">
        <v>1</v>
      </c>
      <c r="H1869" s="60"/>
      <c r="I1869" s="60"/>
      <c r="J1869" s="60"/>
      <c r="K1869" s="60"/>
      <c r="L1869" s="60"/>
    </row>
    <row r="1870" spans="1:12" x14ac:dyDescent="0.25">
      <c r="A1870" s="56"/>
      <c r="B1870" s="23"/>
      <c r="C1870" s="88"/>
      <c r="D1870" s="23" t="s">
        <v>202</v>
      </c>
      <c r="E1870" s="56"/>
      <c r="F1870" s="118"/>
      <c r="G1870" s="118"/>
      <c r="H1870" s="118"/>
      <c r="I1870" s="118"/>
      <c r="J1870" s="118"/>
      <c r="K1870" s="118"/>
      <c r="L1870" s="118"/>
    </row>
    <row r="1871" spans="1:12" x14ac:dyDescent="0.25">
      <c r="A1871" s="168"/>
      <c r="B1871" s="144" t="str">
        <f>'Nhân công'!B45</f>
        <v>N0009</v>
      </c>
      <c r="C1871" s="34">
        <v>546</v>
      </c>
      <c r="D1871" s="144" t="s">
        <v>1052</v>
      </c>
      <c r="E1871" s="168" t="str">
        <f>'Nhân công'!G45</f>
        <v>công</v>
      </c>
      <c r="F1871" s="60"/>
      <c r="G1871" s="60"/>
      <c r="H1871" s="60">
        <v>3.56</v>
      </c>
      <c r="I1871" s="60"/>
      <c r="J1871" s="60"/>
      <c r="K1871" s="60">
        <f>ROUND(F1863*H1871,4)</f>
        <v>63.510399999999997</v>
      </c>
      <c r="L1871" s="60"/>
    </row>
    <row r="1872" spans="1:12" x14ac:dyDescent="0.25">
      <c r="A1872" s="56"/>
      <c r="B1872" s="23"/>
      <c r="C1872" s="88"/>
      <c r="D1872" s="23" t="s">
        <v>378</v>
      </c>
      <c r="E1872" s="56"/>
      <c r="F1872" s="118"/>
      <c r="G1872" s="118"/>
      <c r="H1872" s="118"/>
      <c r="I1872" s="118"/>
      <c r="J1872" s="118"/>
      <c r="K1872" s="118"/>
      <c r="L1872" s="118"/>
    </row>
    <row r="1873" spans="1:12" x14ac:dyDescent="0.25">
      <c r="A1873" s="168"/>
      <c r="B1873" s="144" t="str">
        <f>'Máy thi công'!B358</f>
        <v>M9560</v>
      </c>
      <c r="C1873" s="34">
        <v>746</v>
      </c>
      <c r="D1873" s="144" t="str">
        <f>" - " &amp; 'Máy thi công'!D358</f>
        <v xml:space="preserve"> - Máy vận thăng - sức nâng: 0,8 t - H nâng 80 m</v>
      </c>
      <c r="E1873" s="168" t="str">
        <f>'Máy thi công'!E358</f>
        <v>ca</v>
      </c>
      <c r="F1873" s="60"/>
      <c r="G1873" s="60"/>
      <c r="H1873" s="60"/>
      <c r="I1873" s="60">
        <v>0</v>
      </c>
      <c r="J1873" s="60"/>
      <c r="K1873" s="60"/>
      <c r="L1873" s="60">
        <f>ROUND(F1863*I1873,4)</f>
        <v>0</v>
      </c>
    </row>
    <row r="1874" spans="1:12" x14ac:dyDescent="0.25">
      <c r="A1874" s="168"/>
      <c r="B1874" s="144" t="str">
        <f>'Máy thi công'!B232</f>
        <v>M9571</v>
      </c>
      <c r="C1874" s="34">
        <v>750</v>
      </c>
      <c r="D1874" s="144" t="str">
        <f>" - " &amp; 'Máy thi công'!D232</f>
        <v xml:space="preserve"> - Máy đầm bê tông, dầm dùi - công suất: 1,5 kW</v>
      </c>
      <c r="E1874" s="168" t="str">
        <f>'Máy thi công'!E232</f>
        <v>ca</v>
      </c>
      <c r="F1874" s="60"/>
      <c r="G1874" s="60"/>
      <c r="H1874" s="60"/>
      <c r="I1874" s="60">
        <v>0.18</v>
      </c>
      <c r="J1874" s="60"/>
      <c r="K1874" s="60"/>
      <c r="L1874" s="60">
        <f>ROUND(F1863*I1874,4)</f>
        <v>3.2111999999999998</v>
      </c>
    </row>
    <row r="1875" spans="1:12" x14ac:dyDescent="0.25">
      <c r="A1875" s="168"/>
      <c r="B1875" s="144" t="str">
        <f>'Máy thi công'!B306</f>
        <v>M9555</v>
      </c>
      <c r="C1875" s="34">
        <v>744</v>
      </c>
      <c r="D1875" s="144" t="str">
        <f>" - " &amp; 'Máy thi công'!D306</f>
        <v xml:space="preserve"> - Máy trộn bê tông - dung tích: 250 lít</v>
      </c>
      <c r="E1875" s="168" t="str">
        <f>'Máy thi công'!E306</f>
        <v>ca</v>
      </c>
      <c r="F1875" s="60"/>
      <c r="G1875" s="60"/>
      <c r="H1875" s="60"/>
      <c r="I1875" s="60">
        <v>9.5000000000000001E-2</v>
      </c>
      <c r="J1875" s="60"/>
      <c r="K1875" s="60"/>
      <c r="L1875" s="60">
        <f>ROUND(F1863*I1875,4)</f>
        <v>1.6948000000000001</v>
      </c>
    </row>
    <row r="1876" spans="1:12" x14ac:dyDescent="0.25">
      <c r="A1876" s="65">
        <f>'Công trình'!A248</f>
        <v>198</v>
      </c>
      <c r="B1876" s="14" t="str">
        <f>'Công trình'!B248</f>
        <v>AK.41124</v>
      </c>
      <c r="C1876" s="94"/>
      <c r="D1876" s="14" t="str">
        <f>'Công trình'!C248</f>
        <v>Vữa lót M75-3cm</v>
      </c>
      <c r="E1876" s="46" t="str">
        <f>'Công trình'!D248</f>
        <v>m2</v>
      </c>
      <c r="F1876" s="106">
        <f>'Công trình'!K248</f>
        <v>71.36</v>
      </c>
      <c r="G1876" s="126"/>
      <c r="H1876" s="126"/>
      <c r="I1876" s="126"/>
      <c r="J1876" s="126"/>
      <c r="K1876" s="126"/>
      <c r="L1876" s="126"/>
    </row>
    <row r="1877" spans="1:12" x14ac:dyDescent="0.25">
      <c r="A1877" s="56"/>
      <c r="B1877" s="23"/>
      <c r="C1877" s="88"/>
      <c r="D1877" s="23" t="s">
        <v>479</v>
      </c>
      <c r="E1877" s="56"/>
      <c r="F1877" s="118"/>
      <c r="G1877" s="118"/>
      <c r="H1877" s="118"/>
      <c r="I1877" s="118"/>
      <c r="J1877" s="118"/>
      <c r="K1877" s="118"/>
      <c r="L1877" s="118"/>
    </row>
    <row r="1878" spans="1:12" x14ac:dyDescent="0.25">
      <c r="A1878" s="168"/>
      <c r="B1878" s="144" t="str">
        <f>'Vật liệu'!B721</f>
        <v>V00761</v>
      </c>
      <c r="C1878" s="34">
        <v>397</v>
      </c>
      <c r="D1878" s="144" t="str">
        <f>" - " &amp; 'Vật liệu'!D721</f>
        <v xml:space="preserve"> - Xi măng PC40</v>
      </c>
      <c r="E1878" s="168" t="str">
        <f>'Vật liệu'!E721</f>
        <v>kg</v>
      </c>
      <c r="F1878" s="60"/>
      <c r="G1878" s="60">
        <v>7.9457000000000004</v>
      </c>
      <c r="H1878" s="60"/>
      <c r="I1878" s="60"/>
      <c r="J1878" s="60">
        <f>ROUND(F1876*G1878,4)</f>
        <v>567.00519999999995</v>
      </c>
      <c r="K1878" s="60"/>
      <c r="L1878" s="60"/>
    </row>
    <row r="1879" spans="1:12" x14ac:dyDescent="0.25">
      <c r="A1879" s="168"/>
      <c r="B1879" s="144" t="str">
        <f>'Vật liệu'!B54</f>
        <v>V00112</v>
      </c>
      <c r="C1879" s="34">
        <v>125</v>
      </c>
      <c r="D1879" s="144" t="str">
        <f>" - " &amp; 'Vật liệu'!D54</f>
        <v xml:space="preserve"> - Cát vàng</v>
      </c>
      <c r="E1879" s="168" t="str">
        <f>'Vật liệu'!E54</f>
        <v>m3</v>
      </c>
      <c r="F1879" s="60"/>
      <c r="G1879" s="60">
        <v>3.9600000000000003E-2</v>
      </c>
      <c r="H1879" s="60"/>
      <c r="I1879" s="60"/>
      <c r="J1879" s="60">
        <f>ROUND(F1876*G1879,4)</f>
        <v>2.8258999999999999</v>
      </c>
      <c r="K1879" s="60"/>
      <c r="L1879" s="60"/>
    </row>
    <row r="1880" spans="1:12" x14ac:dyDescent="0.25">
      <c r="A1880" s="168"/>
      <c r="B1880" s="144" t="str">
        <f>'Vật liệu'!B353</f>
        <v>V00494</v>
      </c>
      <c r="C1880" s="34">
        <v>148</v>
      </c>
      <c r="D1880" s="144" t="str">
        <f>" - " &amp; 'Vật liệu'!D353</f>
        <v xml:space="preserve"> - Nước</v>
      </c>
      <c r="E1880" s="168" t="str">
        <f>'Vật liệu'!E353</f>
        <v>lít</v>
      </c>
      <c r="F1880" s="60"/>
      <c r="G1880" s="60">
        <v>9.1</v>
      </c>
      <c r="H1880" s="60"/>
      <c r="I1880" s="60"/>
      <c r="J1880" s="60">
        <f>ROUND(F1876*G1880,4)</f>
        <v>649.37599999999998</v>
      </c>
      <c r="K1880" s="60"/>
      <c r="L1880" s="60"/>
    </row>
    <row r="1881" spans="1:12" x14ac:dyDescent="0.25">
      <c r="A1881" s="56"/>
      <c r="B1881" s="23"/>
      <c r="C1881" s="88"/>
      <c r="D1881" s="23" t="s">
        <v>202</v>
      </c>
      <c r="E1881" s="56"/>
      <c r="F1881" s="118"/>
      <c r="G1881" s="118"/>
      <c r="H1881" s="118"/>
      <c r="I1881" s="118"/>
      <c r="J1881" s="118"/>
      <c r="K1881" s="118"/>
      <c r="L1881" s="118"/>
    </row>
    <row r="1882" spans="1:12" x14ac:dyDescent="0.25">
      <c r="A1882" s="168"/>
      <c r="B1882" s="144" t="str">
        <f>'Nhân công'!B130</f>
        <v>N0011</v>
      </c>
      <c r="C1882" s="34">
        <v>550</v>
      </c>
      <c r="D1882" s="144" t="s">
        <v>671</v>
      </c>
      <c r="E1882" s="168" t="str">
        <f>'Nhân công'!G130</f>
        <v>công</v>
      </c>
      <c r="F1882" s="60"/>
      <c r="G1882" s="60"/>
      <c r="H1882" s="60">
        <v>0.106</v>
      </c>
      <c r="I1882" s="60"/>
      <c r="J1882" s="60"/>
      <c r="K1882" s="60">
        <f>ROUND(F1876*H1882,4)</f>
        <v>7.5641999999999996</v>
      </c>
      <c r="L1882" s="60"/>
    </row>
    <row r="1883" spans="1:12" x14ac:dyDescent="0.25">
      <c r="A1883" s="56"/>
      <c r="B1883" s="23"/>
      <c r="C1883" s="88"/>
      <c r="D1883" s="23" t="s">
        <v>378</v>
      </c>
      <c r="E1883" s="56"/>
      <c r="F1883" s="118"/>
      <c r="G1883" s="118"/>
      <c r="H1883" s="118"/>
      <c r="I1883" s="118"/>
      <c r="J1883" s="118"/>
      <c r="K1883" s="118"/>
      <c r="L1883" s="118"/>
    </row>
    <row r="1884" spans="1:12" x14ac:dyDescent="0.25">
      <c r="A1884" s="168"/>
      <c r="B1884" s="144" t="str">
        <f>'Máy thi công'!B341</f>
        <v>M9558</v>
      </c>
      <c r="C1884" s="34">
        <v>745</v>
      </c>
      <c r="D1884" s="144" t="str">
        <f>" - " &amp; 'Máy thi công'!D341</f>
        <v xml:space="preserve"> - Máy trộn vữa - dung tích: 80 lít</v>
      </c>
      <c r="E1884" s="168" t="str">
        <f>'Máy thi công'!E341</f>
        <v>ca</v>
      </c>
      <c r="F1884" s="60"/>
      <c r="G1884" s="60"/>
      <c r="H1884" s="60"/>
      <c r="I1884" s="60">
        <v>4.0000000000000001E-3</v>
      </c>
      <c r="J1884" s="60"/>
      <c r="K1884" s="60"/>
      <c r="L1884" s="60">
        <f>ROUND(F1876*I1884,4)</f>
        <v>0.28539999999999999</v>
      </c>
    </row>
    <row r="1885" spans="1:12" ht="28.5" x14ac:dyDescent="0.25">
      <c r="A1885" s="65">
        <f>'Công trình'!A249</f>
        <v>199</v>
      </c>
      <c r="B1885" s="14" t="str">
        <f>'Công trình'!B249</f>
        <v>AF.82111</v>
      </c>
      <c r="C1885" s="94"/>
      <c r="D1885" s="14" t="str">
        <f>'Công trình'!C249</f>
        <v>Sản xuất, lắp dựng tháo dỡ ván khuôn thép, cây chống gỗ dầm, giằng, chiều cao &lt;=16m</v>
      </c>
      <c r="E1885" s="46" t="str">
        <f>'Công trình'!D249</f>
        <v>100m2</v>
      </c>
      <c r="F1885" s="106">
        <f>'Công trình'!K249</f>
        <v>0.71360000000000001</v>
      </c>
      <c r="G1885" s="126"/>
      <c r="H1885" s="126"/>
      <c r="I1885" s="126"/>
      <c r="J1885" s="126"/>
      <c r="K1885" s="126"/>
      <c r="L1885" s="126"/>
    </row>
    <row r="1886" spans="1:12" x14ac:dyDescent="0.25">
      <c r="A1886" s="56"/>
      <c r="B1886" s="23"/>
      <c r="C1886" s="88"/>
      <c r="D1886" s="23" t="s">
        <v>479</v>
      </c>
      <c r="E1886" s="56"/>
      <c r="F1886" s="118"/>
      <c r="G1886" s="118"/>
      <c r="H1886" s="118"/>
      <c r="I1886" s="118"/>
      <c r="J1886" s="118"/>
      <c r="K1886" s="118"/>
      <c r="L1886" s="118"/>
    </row>
    <row r="1887" spans="1:12" x14ac:dyDescent="0.25">
      <c r="A1887" s="168"/>
      <c r="B1887" s="144" t="str">
        <f>'Vật liệu'!B450</f>
        <v>V00515</v>
      </c>
      <c r="C1887" s="34">
        <v>154</v>
      </c>
      <c r="D1887" s="144" t="str">
        <f>" - " &amp; 'Vật liệu'!D450</f>
        <v xml:space="preserve"> - Que hàn</v>
      </c>
      <c r="E1887" s="168" t="str">
        <f>'Vật liệu'!E450</f>
        <v>kg</v>
      </c>
      <c r="F1887" s="60"/>
      <c r="G1887" s="60">
        <v>5.6</v>
      </c>
      <c r="H1887" s="60"/>
      <c r="I1887" s="60"/>
      <c r="J1887" s="60">
        <f>ROUND(F1885*G1887,4)</f>
        <v>3.9962</v>
      </c>
      <c r="K1887" s="60"/>
      <c r="L1887" s="60"/>
    </row>
    <row r="1888" spans="1:12" x14ac:dyDescent="0.25">
      <c r="A1888" s="168"/>
      <c r="B1888" s="144" t="str">
        <f>'Vật liệu'!B294</f>
        <v>V00390</v>
      </c>
      <c r="C1888" s="34">
        <v>140</v>
      </c>
      <c r="D1888" s="144" t="str">
        <f>" - " &amp; 'Vật liệu'!D294</f>
        <v xml:space="preserve"> - Gỗ chống</v>
      </c>
      <c r="E1888" s="168" t="str">
        <f>'Vật liệu'!E294</f>
        <v>m3</v>
      </c>
      <c r="F1888" s="60"/>
      <c r="G1888" s="60">
        <v>0.496</v>
      </c>
      <c r="H1888" s="60"/>
      <c r="I1888" s="60"/>
      <c r="J1888" s="60">
        <f>ROUND(F1885*G1888,4)</f>
        <v>0.35389999999999999</v>
      </c>
      <c r="K1888" s="60"/>
      <c r="L1888" s="60"/>
    </row>
    <row r="1889" spans="1:12" x14ac:dyDescent="0.25">
      <c r="A1889" s="168"/>
      <c r="B1889" s="144" t="str">
        <f>'Vật liệu'!B606</f>
        <v>V00671</v>
      </c>
      <c r="C1889" s="34">
        <v>166</v>
      </c>
      <c r="D1889" s="144" t="str">
        <f>" - " &amp; 'Vật liệu'!D606</f>
        <v xml:space="preserve"> - Thép tấm</v>
      </c>
      <c r="E1889" s="168" t="str">
        <f>'Vật liệu'!E606</f>
        <v>kg</v>
      </c>
      <c r="F1889" s="60"/>
      <c r="G1889" s="60">
        <v>51.81</v>
      </c>
      <c r="H1889" s="60"/>
      <c r="I1889" s="60"/>
      <c r="J1889" s="60">
        <f>ROUND(F1885*G1889,4)</f>
        <v>36.971600000000002</v>
      </c>
      <c r="K1889" s="60"/>
      <c r="L1889" s="60"/>
    </row>
    <row r="1890" spans="1:12" x14ac:dyDescent="0.25">
      <c r="A1890" s="168"/>
      <c r="B1890" s="144" t="str">
        <f>'Vật liệu'!B556</f>
        <v>V00641</v>
      </c>
      <c r="C1890" s="34">
        <v>160</v>
      </c>
      <c r="D1890" s="144" t="str">
        <f>" - " &amp; 'Vật liệu'!D556</f>
        <v xml:space="preserve"> - Thép hình</v>
      </c>
      <c r="E1890" s="168" t="str">
        <f>'Vật liệu'!E556</f>
        <v>kg</v>
      </c>
      <c r="F1890" s="60"/>
      <c r="G1890" s="60">
        <v>48.84</v>
      </c>
      <c r="H1890" s="60"/>
      <c r="I1890" s="60"/>
      <c r="J1890" s="60">
        <f>ROUND(F1885*G1890,4)</f>
        <v>34.852200000000003</v>
      </c>
      <c r="K1890" s="60"/>
      <c r="L1890" s="60"/>
    </row>
    <row r="1891" spans="1:12" x14ac:dyDescent="0.25">
      <c r="A1891" s="168"/>
      <c r="B1891" s="144" t="str">
        <f>'Vật liệu'!B766</f>
        <v>V00750</v>
      </c>
      <c r="C1891" s="34">
        <v>304</v>
      </c>
      <c r="D1891" s="144" t="str">
        <f>" - " &amp; 'Vật liệu'!D766</f>
        <v xml:space="preserve"> - Vật liệu khác</v>
      </c>
      <c r="E1891" s="168" t="str">
        <f>'Vật liệu'!E766</f>
        <v>%</v>
      </c>
      <c r="F1891" s="60"/>
      <c r="G1891" s="60">
        <v>5</v>
      </c>
      <c r="H1891" s="60"/>
      <c r="I1891" s="60"/>
      <c r="J1891" s="60"/>
      <c r="K1891" s="60"/>
      <c r="L1891" s="60"/>
    </row>
    <row r="1892" spans="1:12" x14ac:dyDescent="0.25">
      <c r="A1892" s="56"/>
      <c r="B1892" s="23"/>
      <c r="C1892" s="88"/>
      <c r="D1892" s="23" t="s">
        <v>202</v>
      </c>
      <c r="E1892" s="56"/>
      <c r="F1892" s="118"/>
      <c r="G1892" s="118"/>
      <c r="H1892" s="118"/>
      <c r="I1892" s="118"/>
      <c r="J1892" s="118"/>
      <c r="K1892" s="118"/>
      <c r="L1892" s="118"/>
    </row>
    <row r="1893" spans="1:12" x14ac:dyDescent="0.25">
      <c r="A1893" s="168"/>
      <c r="B1893" s="144" t="str">
        <f>'Nhân công'!B130</f>
        <v>N0011</v>
      </c>
      <c r="C1893" s="34">
        <v>550</v>
      </c>
      <c r="D1893" s="144" t="s">
        <v>671</v>
      </c>
      <c r="E1893" s="168" t="str">
        <f>'Nhân công'!G130</f>
        <v>công</v>
      </c>
      <c r="F1893" s="60"/>
      <c r="G1893" s="60"/>
      <c r="H1893" s="60">
        <v>38.28</v>
      </c>
      <c r="I1893" s="60"/>
      <c r="J1893" s="60"/>
      <c r="K1893" s="60">
        <f>ROUND(F1885*H1893,4)</f>
        <v>27.316600000000001</v>
      </c>
      <c r="L1893" s="60"/>
    </row>
    <row r="1894" spans="1:12" x14ac:dyDescent="0.25">
      <c r="A1894" s="56"/>
      <c r="B1894" s="23"/>
      <c r="C1894" s="88"/>
      <c r="D1894" s="23" t="s">
        <v>378</v>
      </c>
      <c r="E1894" s="56"/>
      <c r="F1894" s="118"/>
      <c r="G1894" s="118"/>
      <c r="H1894" s="118"/>
      <c r="I1894" s="118"/>
      <c r="J1894" s="118"/>
      <c r="K1894" s="118"/>
      <c r="L1894" s="118"/>
    </row>
    <row r="1895" spans="1:12" x14ac:dyDescent="0.25">
      <c r="A1895" s="168"/>
      <c r="B1895" s="144" t="str">
        <f>'Máy thi công'!B358</f>
        <v>M9560</v>
      </c>
      <c r="C1895" s="34">
        <v>746</v>
      </c>
      <c r="D1895" s="144" t="str">
        <f>" - " &amp; 'Máy thi công'!D358</f>
        <v xml:space="preserve"> - Máy vận thăng - sức nâng: 0,8 t - H nâng 80 m</v>
      </c>
      <c r="E1895" s="168" t="str">
        <f>'Máy thi công'!E358</f>
        <v>ca</v>
      </c>
      <c r="F1895" s="60"/>
      <c r="G1895" s="60"/>
      <c r="H1895" s="60"/>
      <c r="I1895" s="60">
        <v>0</v>
      </c>
      <c r="J1895" s="60"/>
      <c r="K1895" s="60"/>
      <c r="L1895" s="60">
        <f>ROUND(F1885*I1895,4)</f>
        <v>0</v>
      </c>
    </row>
    <row r="1896" spans="1:12" x14ac:dyDescent="0.25">
      <c r="A1896" s="168"/>
      <c r="B1896" s="144" t="str">
        <f>'Máy thi công'!B6</f>
        <v>M9438</v>
      </c>
      <c r="C1896" s="34">
        <v>714</v>
      </c>
      <c r="D1896" s="144" t="str">
        <f>" - " &amp; 'Máy thi công'!D6</f>
        <v xml:space="preserve"> - Biến thế hàn xoay chiều - công suất: 23 kW</v>
      </c>
      <c r="E1896" s="168" t="str">
        <f>'Máy thi công'!E6</f>
        <v>ca</v>
      </c>
      <c r="F1896" s="60"/>
      <c r="G1896" s="60"/>
      <c r="H1896" s="60"/>
      <c r="I1896" s="60">
        <v>1.5</v>
      </c>
      <c r="J1896" s="60"/>
      <c r="K1896" s="60"/>
      <c r="L1896" s="60">
        <f>ROUND(F1885*I1896,4)</f>
        <v>1.0704</v>
      </c>
    </row>
    <row r="1897" spans="1:12" x14ac:dyDescent="0.25">
      <c r="A1897" s="168"/>
      <c r="B1897" s="144" t="str">
        <f>'Máy thi công'!B398</f>
        <v>M0111</v>
      </c>
      <c r="C1897" s="34">
        <v>644</v>
      </c>
      <c r="D1897" s="144" t="str">
        <f>" - " &amp; 'Máy thi công'!D398</f>
        <v xml:space="preserve"> - Máy khác</v>
      </c>
      <c r="E1897" s="168" t="str">
        <f>'Máy thi công'!E398</f>
        <v>%</v>
      </c>
      <c r="F1897" s="60"/>
      <c r="G1897" s="60"/>
      <c r="H1897" s="60"/>
      <c r="I1897" s="60">
        <v>2</v>
      </c>
      <c r="J1897" s="60"/>
      <c r="K1897" s="60"/>
      <c r="L1897" s="60"/>
    </row>
    <row r="1898" spans="1:12" ht="28.5" x14ac:dyDescent="0.25">
      <c r="A1898" s="65">
        <f>'Công trình'!A250</f>
        <v>200</v>
      </c>
      <c r="B1898" s="14" t="str">
        <f>'Công trình'!B250</f>
        <v>AG.11413</v>
      </c>
      <c r="C1898" s="94"/>
      <c r="D1898" s="14" t="str">
        <f>'Công trình'!C250</f>
        <v>Sản xuất bê tông lục giác, đá 1x2, vữa BT mác 200</v>
      </c>
      <c r="E1898" s="46" t="str">
        <f>'Công trình'!D250</f>
        <v>m3</v>
      </c>
      <c r="F1898" s="106">
        <f>'Công trình'!K250</f>
        <v>72.459999999999994</v>
      </c>
      <c r="G1898" s="126"/>
      <c r="H1898" s="126"/>
      <c r="I1898" s="126"/>
      <c r="J1898" s="126"/>
      <c r="K1898" s="126"/>
      <c r="L1898" s="126"/>
    </row>
    <row r="1899" spans="1:12" x14ac:dyDescent="0.25">
      <c r="A1899" s="56"/>
      <c r="B1899" s="23"/>
      <c r="C1899" s="88"/>
      <c r="D1899" s="23" t="s">
        <v>479</v>
      </c>
      <c r="E1899" s="56"/>
      <c r="F1899" s="118"/>
      <c r="G1899" s="118"/>
      <c r="H1899" s="118"/>
      <c r="I1899" s="118"/>
      <c r="J1899" s="118"/>
      <c r="K1899" s="118"/>
      <c r="L1899" s="118"/>
    </row>
    <row r="1900" spans="1:12" x14ac:dyDescent="0.25">
      <c r="A1900" s="168"/>
      <c r="B1900" s="144" t="str">
        <f>'Vật liệu'!B721</f>
        <v>V00761</v>
      </c>
      <c r="C1900" s="34">
        <v>397</v>
      </c>
      <c r="D1900" s="144" t="str">
        <f>" - " &amp; 'Vật liệu'!D721</f>
        <v xml:space="preserve"> - Xi măng PC40</v>
      </c>
      <c r="E1900" s="168" t="str">
        <f>'Vật liệu'!E721</f>
        <v>kg</v>
      </c>
      <c r="F1900" s="60"/>
      <c r="G1900" s="60">
        <v>285.21499999999997</v>
      </c>
      <c r="H1900" s="60"/>
      <c r="I1900" s="60"/>
      <c r="J1900" s="60">
        <f>ROUND(F1898*G1900,4)</f>
        <v>20666.678899999999</v>
      </c>
      <c r="K1900" s="60"/>
      <c r="L1900" s="60"/>
    </row>
    <row r="1901" spans="1:12" x14ac:dyDescent="0.25">
      <c r="A1901" s="168"/>
      <c r="B1901" s="144" t="str">
        <f>'Vật liệu'!B54</f>
        <v>V00112</v>
      </c>
      <c r="C1901" s="34">
        <v>125</v>
      </c>
      <c r="D1901" s="144" t="str">
        <f>" - " &amp; 'Vật liệu'!D54</f>
        <v xml:space="preserve"> - Cát vàng</v>
      </c>
      <c r="E1901" s="168" t="str">
        <f>'Vật liệu'!E54</f>
        <v>m3</v>
      </c>
      <c r="F1901" s="60"/>
      <c r="G1901" s="60">
        <v>0.50039999999999996</v>
      </c>
      <c r="H1901" s="60"/>
      <c r="I1901" s="60"/>
      <c r="J1901" s="60">
        <f>ROUND(F1898*G1901,4)</f>
        <v>36.259</v>
      </c>
      <c r="K1901" s="60"/>
      <c r="L1901" s="60"/>
    </row>
    <row r="1902" spans="1:12" x14ac:dyDescent="0.25">
      <c r="A1902" s="168"/>
      <c r="B1902" s="144" t="str">
        <f>'Vật liệu'!B142</f>
        <v>V05207</v>
      </c>
      <c r="C1902" s="34">
        <v>416</v>
      </c>
      <c r="D1902" s="144" t="str">
        <f>" - " &amp; 'Vật liệu'!D142</f>
        <v xml:space="preserve"> - Đá 1x2</v>
      </c>
      <c r="E1902" s="168" t="str">
        <f>'Vật liệu'!E142</f>
        <v>m3</v>
      </c>
      <c r="F1902" s="60"/>
      <c r="G1902" s="60">
        <v>0.90439999999999998</v>
      </c>
      <c r="H1902" s="60"/>
      <c r="I1902" s="60"/>
      <c r="J1902" s="60">
        <f>ROUND(F1898*G1902,4)</f>
        <v>65.532799999999995</v>
      </c>
      <c r="K1902" s="60"/>
      <c r="L1902" s="60"/>
    </row>
    <row r="1903" spans="1:12" x14ac:dyDescent="0.25">
      <c r="A1903" s="168"/>
      <c r="B1903" s="144" t="str">
        <f>'Vật liệu'!B353</f>
        <v>V00494</v>
      </c>
      <c r="C1903" s="34">
        <v>148</v>
      </c>
      <c r="D1903" s="144" t="str">
        <f>" - " &amp; 'Vật liệu'!D353</f>
        <v xml:space="preserve"> - Nước</v>
      </c>
      <c r="E1903" s="168" t="str">
        <f>'Vật liệu'!E353</f>
        <v>lít</v>
      </c>
      <c r="F1903" s="60"/>
      <c r="G1903" s="60">
        <v>187.77500000000001</v>
      </c>
      <c r="H1903" s="60"/>
      <c r="I1903" s="60"/>
      <c r="J1903" s="60">
        <f>ROUND(F1898*G1903,4)</f>
        <v>13606.1765</v>
      </c>
      <c r="K1903" s="60"/>
      <c r="L1903" s="60"/>
    </row>
    <row r="1904" spans="1:12" x14ac:dyDescent="0.25">
      <c r="A1904" s="168"/>
      <c r="B1904" s="144" t="str">
        <f>'Vật liệu'!B766</f>
        <v>V00750</v>
      </c>
      <c r="C1904" s="34">
        <v>305</v>
      </c>
      <c r="D1904" s="144" t="str">
        <f>" - " &amp; 'Vật liệu'!D766</f>
        <v xml:space="preserve"> - Vật liệu khác</v>
      </c>
      <c r="E1904" s="168" t="str">
        <f>'Vật liệu'!E766</f>
        <v>%</v>
      </c>
      <c r="F1904" s="60"/>
      <c r="G1904" s="60">
        <v>0.5</v>
      </c>
      <c r="H1904" s="60"/>
      <c r="I1904" s="60"/>
      <c r="J1904" s="60"/>
      <c r="K1904" s="60"/>
      <c r="L1904" s="60"/>
    </row>
    <row r="1905" spans="1:12" x14ac:dyDescent="0.25">
      <c r="A1905" s="56"/>
      <c r="B1905" s="23"/>
      <c r="C1905" s="88"/>
      <c r="D1905" s="23" t="s">
        <v>202</v>
      </c>
      <c r="E1905" s="56"/>
      <c r="F1905" s="118"/>
      <c r="G1905" s="118"/>
      <c r="H1905" s="118"/>
      <c r="I1905" s="118"/>
      <c r="J1905" s="118"/>
      <c r="K1905" s="118"/>
      <c r="L1905" s="118"/>
    </row>
    <row r="1906" spans="1:12" x14ac:dyDescent="0.25">
      <c r="A1906" s="168"/>
      <c r="B1906" s="144" t="str">
        <f>'Nhân công'!B6</f>
        <v>N0006</v>
      </c>
      <c r="C1906" s="34">
        <v>545</v>
      </c>
      <c r="D1906" s="144" t="s">
        <v>256</v>
      </c>
      <c r="E1906" s="168" t="str">
        <f>'Nhân công'!G6</f>
        <v>công</v>
      </c>
      <c r="F1906" s="60"/>
      <c r="G1906" s="60"/>
      <c r="H1906" s="60">
        <v>2.57</v>
      </c>
      <c r="I1906" s="60"/>
      <c r="J1906" s="60"/>
      <c r="K1906" s="60">
        <f>ROUND(F1898*H1906,4)</f>
        <v>186.22219999999999</v>
      </c>
      <c r="L1906" s="60"/>
    </row>
    <row r="1907" spans="1:12" x14ac:dyDescent="0.25">
      <c r="A1907" s="56"/>
      <c r="B1907" s="23"/>
      <c r="C1907" s="88"/>
      <c r="D1907" s="23" t="s">
        <v>378</v>
      </c>
      <c r="E1907" s="56"/>
      <c r="F1907" s="118"/>
      <c r="G1907" s="118"/>
      <c r="H1907" s="118"/>
      <c r="I1907" s="118"/>
      <c r="J1907" s="118"/>
      <c r="K1907" s="118"/>
      <c r="L1907" s="118"/>
    </row>
    <row r="1908" spans="1:12" x14ac:dyDescent="0.25">
      <c r="A1908" s="168"/>
      <c r="B1908" s="144" t="str">
        <f>'Máy thi công'!B306</f>
        <v>M9555</v>
      </c>
      <c r="C1908" s="34">
        <v>744</v>
      </c>
      <c r="D1908" s="144" t="str">
        <f>" - " &amp; 'Máy thi công'!D306</f>
        <v xml:space="preserve"> - Máy trộn bê tông - dung tích: 250 lít</v>
      </c>
      <c r="E1908" s="168" t="str">
        <f>'Máy thi công'!E306</f>
        <v>ca</v>
      </c>
      <c r="F1908" s="60"/>
      <c r="G1908" s="60"/>
      <c r="H1908" s="60"/>
      <c r="I1908" s="60">
        <v>9.5000000000000001E-2</v>
      </c>
      <c r="J1908" s="60"/>
      <c r="K1908" s="60"/>
      <c r="L1908" s="60">
        <f>ROUND(F1898*I1908,4)</f>
        <v>6.8837000000000002</v>
      </c>
    </row>
    <row r="1909" spans="1:12" ht="28.5" x14ac:dyDescent="0.25">
      <c r="A1909" s="65">
        <f>'Công trình'!A251</f>
        <v>201</v>
      </c>
      <c r="B1909" s="14" t="str">
        <f>'Công trình'!B251</f>
        <v>AG.32511</v>
      </c>
      <c r="C1909" s="94"/>
      <c r="D1909" s="14" t="str">
        <f>'Công trình'!C251</f>
        <v>Sản xuất, lắp dựng, tháo dỡ ván khuôn thép bê tông đúc sẵn nắp đan, tấm chớp</v>
      </c>
      <c r="E1909" s="46" t="str">
        <f>'Công trình'!D251</f>
        <v>100m2</v>
      </c>
      <c r="F1909" s="106">
        <f>'Công trình'!K251</f>
        <v>12.736599999999999</v>
      </c>
      <c r="G1909" s="126"/>
      <c r="H1909" s="126"/>
      <c r="I1909" s="126"/>
      <c r="J1909" s="126"/>
      <c r="K1909" s="126"/>
      <c r="L1909" s="126"/>
    </row>
    <row r="1910" spans="1:12" x14ac:dyDescent="0.25">
      <c r="A1910" s="56"/>
      <c r="B1910" s="23"/>
      <c r="C1910" s="88"/>
      <c r="D1910" s="23" t="s">
        <v>479</v>
      </c>
      <c r="E1910" s="56"/>
      <c r="F1910" s="118"/>
      <c r="G1910" s="118"/>
      <c r="H1910" s="118"/>
      <c r="I1910" s="118"/>
      <c r="J1910" s="118"/>
      <c r="K1910" s="118"/>
      <c r="L1910" s="118"/>
    </row>
    <row r="1911" spans="1:12" x14ac:dyDescent="0.25">
      <c r="A1911" s="168"/>
      <c r="B1911" s="144" t="str">
        <f>'Vật liệu'!B450</f>
        <v>V00515</v>
      </c>
      <c r="C1911" s="34">
        <v>154</v>
      </c>
      <c r="D1911" s="144" t="str">
        <f>" - " &amp; 'Vật liệu'!D450</f>
        <v xml:space="preserve"> - Que hàn</v>
      </c>
      <c r="E1911" s="168" t="str">
        <f>'Vật liệu'!E450</f>
        <v>kg</v>
      </c>
      <c r="F1911" s="60"/>
      <c r="G1911" s="60">
        <v>1.2</v>
      </c>
      <c r="H1911" s="60"/>
      <c r="I1911" s="60"/>
      <c r="J1911" s="60">
        <f>ROUND(F1909*G1911,4)</f>
        <v>15.283899999999999</v>
      </c>
      <c r="K1911" s="60"/>
      <c r="L1911" s="60"/>
    </row>
    <row r="1912" spans="1:12" x14ac:dyDescent="0.25">
      <c r="A1912" s="168"/>
      <c r="B1912" s="144" t="str">
        <f>'Vật liệu'!B606</f>
        <v>V00671</v>
      </c>
      <c r="C1912" s="34">
        <v>166</v>
      </c>
      <c r="D1912" s="144" t="str">
        <f>" - " &amp; 'Vật liệu'!D606</f>
        <v xml:space="preserve"> - Thép tấm</v>
      </c>
      <c r="E1912" s="168" t="str">
        <f>'Vật liệu'!E606</f>
        <v>kg</v>
      </c>
      <c r="F1912" s="60"/>
      <c r="G1912" s="60">
        <v>23.03</v>
      </c>
      <c r="H1912" s="60"/>
      <c r="I1912" s="60"/>
      <c r="J1912" s="60">
        <f>ROUND(F1909*G1912,4)</f>
        <v>293.32389999999998</v>
      </c>
      <c r="K1912" s="60"/>
      <c r="L1912" s="60"/>
    </row>
    <row r="1913" spans="1:12" x14ac:dyDescent="0.25">
      <c r="A1913" s="168"/>
      <c r="B1913" s="144" t="str">
        <f>'Vật liệu'!B556</f>
        <v>V00641</v>
      </c>
      <c r="C1913" s="34">
        <v>160</v>
      </c>
      <c r="D1913" s="144" t="str">
        <f>" - " &amp; 'Vật liệu'!D556</f>
        <v xml:space="preserve"> - Thép hình</v>
      </c>
      <c r="E1913" s="168" t="str">
        <f>'Vật liệu'!E556</f>
        <v>kg</v>
      </c>
      <c r="F1913" s="60"/>
      <c r="G1913" s="60">
        <v>13.68</v>
      </c>
      <c r="H1913" s="60"/>
      <c r="I1913" s="60"/>
      <c r="J1913" s="60">
        <f>ROUND(F1909*G1913,4)</f>
        <v>174.23670000000001</v>
      </c>
      <c r="K1913" s="60"/>
      <c r="L1913" s="60"/>
    </row>
    <row r="1914" spans="1:12" x14ac:dyDescent="0.25">
      <c r="A1914" s="168"/>
      <c r="B1914" s="144" t="str">
        <f>'Vật liệu'!B766</f>
        <v>V00750</v>
      </c>
      <c r="C1914" s="34">
        <v>388</v>
      </c>
      <c r="D1914" s="144" t="str">
        <f>" - " &amp; 'Vật liệu'!D766</f>
        <v xml:space="preserve"> - Vật liệu khác</v>
      </c>
      <c r="E1914" s="168" t="str">
        <f>'Vật liệu'!E766</f>
        <v>%</v>
      </c>
      <c r="F1914" s="60"/>
      <c r="G1914" s="60">
        <v>5</v>
      </c>
      <c r="H1914" s="60"/>
      <c r="I1914" s="60"/>
      <c r="J1914" s="60"/>
      <c r="K1914" s="60"/>
      <c r="L1914" s="60"/>
    </row>
    <row r="1915" spans="1:12" x14ac:dyDescent="0.25">
      <c r="A1915" s="56"/>
      <c r="B1915" s="23"/>
      <c r="C1915" s="88"/>
      <c r="D1915" s="23" t="s">
        <v>202</v>
      </c>
      <c r="E1915" s="56"/>
      <c r="F1915" s="118"/>
      <c r="G1915" s="118"/>
      <c r="H1915" s="118"/>
      <c r="I1915" s="118"/>
      <c r="J1915" s="118"/>
      <c r="K1915" s="118"/>
      <c r="L1915" s="118"/>
    </row>
    <row r="1916" spans="1:12" x14ac:dyDescent="0.25">
      <c r="A1916" s="168"/>
      <c r="B1916" s="144" t="str">
        <f>'Nhân công'!B45</f>
        <v>N0009</v>
      </c>
      <c r="C1916" s="34">
        <v>546</v>
      </c>
      <c r="D1916" s="144" t="s">
        <v>1052</v>
      </c>
      <c r="E1916" s="168" t="str">
        <f>'Nhân công'!G45</f>
        <v>công</v>
      </c>
      <c r="F1916" s="60"/>
      <c r="G1916" s="60"/>
      <c r="H1916" s="60">
        <v>23.06</v>
      </c>
      <c r="I1916" s="60"/>
      <c r="J1916" s="60"/>
      <c r="K1916" s="60">
        <f>ROUND(F1909*H1916,4)</f>
        <v>293.70600000000002</v>
      </c>
      <c r="L1916" s="60"/>
    </row>
    <row r="1917" spans="1:12" x14ac:dyDescent="0.25">
      <c r="A1917" s="56"/>
      <c r="B1917" s="23"/>
      <c r="C1917" s="88"/>
      <c r="D1917" s="23" t="s">
        <v>378</v>
      </c>
      <c r="E1917" s="56"/>
      <c r="F1917" s="118"/>
      <c r="G1917" s="118"/>
      <c r="H1917" s="118"/>
      <c r="I1917" s="118"/>
      <c r="J1917" s="118"/>
      <c r="K1917" s="118"/>
      <c r="L1917" s="118"/>
    </row>
    <row r="1918" spans="1:12" x14ac:dyDescent="0.25">
      <c r="A1918" s="168"/>
      <c r="B1918" s="144" t="str">
        <f>'Máy thi công'!B6</f>
        <v>M9438</v>
      </c>
      <c r="C1918" s="34">
        <v>714</v>
      </c>
      <c r="D1918" s="144" t="str">
        <f>" - " &amp; 'Máy thi công'!D6</f>
        <v xml:space="preserve"> - Biến thế hàn xoay chiều - công suất: 23 kW</v>
      </c>
      <c r="E1918" s="168" t="str">
        <f>'Máy thi công'!E6</f>
        <v>ca</v>
      </c>
      <c r="F1918" s="60"/>
      <c r="G1918" s="60"/>
      <c r="H1918" s="60"/>
      <c r="I1918" s="60">
        <v>0.43</v>
      </c>
      <c r="J1918" s="60"/>
      <c r="K1918" s="60"/>
      <c r="L1918" s="60">
        <f>ROUND(F1909*I1918,4)</f>
        <v>5.4767000000000001</v>
      </c>
    </row>
    <row r="1919" spans="1:12" x14ac:dyDescent="0.25">
      <c r="A1919" s="168"/>
      <c r="B1919" s="144" t="str">
        <f>'Máy thi công'!B398</f>
        <v>M0111</v>
      </c>
      <c r="C1919" s="34">
        <v>689</v>
      </c>
      <c r="D1919" s="144" t="str">
        <f>" - " &amp; 'Máy thi công'!D398</f>
        <v xml:space="preserve"> - Máy khác</v>
      </c>
      <c r="E1919" s="168" t="str">
        <f>'Máy thi công'!E398</f>
        <v>%</v>
      </c>
      <c r="F1919" s="60"/>
      <c r="G1919" s="60"/>
      <c r="H1919" s="60"/>
      <c r="I1919" s="60">
        <v>10</v>
      </c>
      <c r="J1919" s="60"/>
      <c r="K1919" s="60"/>
      <c r="L1919" s="60"/>
    </row>
    <row r="1920" spans="1:12" ht="28.5" x14ac:dyDescent="0.25">
      <c r="A1920" s="65">
        <f>'Công trình'!A252</f>
        <v>202</v>
      </c>
      <c r="B1920" s="14" t="str">
        <f>'Công trình'!B252</f>
        <v>AG.42111</v>
      </c>
      <c r="C1920" s="94"/>
      <c r="D1920" s="14" t="str">
        <f>'Công trình'!C252</f>
        <v>Lắp các loại cấu kiện BT đúc sẵn bằng thủ công trọng lượng &lt;=50kg, vữa XM mác 100</v>
      </c>
      <c r="E1920" s="46" t="str">
        <f>'Công trình'!D252</f>
        <v>cái</v>
      </c>
      <c r="F1920" s="106">
        <f>'Công trình'!K252</f>
        <v>6968</v>
      </c>
      <c r="G1920" s="126"/>
      <c r="H1920" s="126"/>
      <c r="I1920" s="126"/>
      <c r="J1920" s="126"/>
      <c r="K1920" s="126"/>
      <c r="L1920" s="126"/>
    </row>
    <row r="1921" spans="1:12" x14ac:dyDescent="0.25">
      <c r="A1921" s="56"/>
      <c r="B1921" s="23"/>
      <c r="C1921" s="88"/>
      <c r="D1921" s="23" t="s">
        <v>479</v>
      </c>
      <c r="E1921" s="56"/>
      <c r="F1921" s="118"/>
      <c r="G1921" s="118"/>
      <c r="H1921" s="118"/>
      <c r="I1921" s="118"/>
      <c r="J1921" s="118"/>
      <c r="K1921" s="118"/>
      <c r="L1921" s="118"/>
    </row>
    <row r="1922" spans="1:12" x14ac:dyDescent="0.25">
      <c r="A1922" s="168"/>
      <c r="B1922" s="144" t="str">
        <f>'Vật liệu'!B721</f>
        <v>V00761</v>
      </c>
      <c r="C1922" s="34">
        <v>397</v>
      </c>
      <c r="D1922" s="144" t="str">
        <f>" - " &amp; 'Vật liệu'!D721</f>
        <v xml:space="preserve"> - Xi măng PC40</v>
      </c>
      <c r="E1922" s="168" t="str">
        <f>'Vật liệu'!E721</f>
        <v>kg</v>
      </c>
      <c r="F1922" s="60"/>
      <c r="G1922" s="60">
        <v>0.8911</v>
      </c>
      <c r="H1922" s="60"/>
      <c r="I1922" s="60"/>
      <c r="J1922" s="60">
        <f>ROUND(F1920*G1922,4)</f>
        <v>6209.1848</v>
      </c>
      <c r="K1922" s="60"/>
      <c r="L1922" s="60"/>
    </row>
    <row r="1923" spans="1:12" x14ac:dyDescent="0.25">
      <c r="A1923" s="168"/>
      <c r="B1923" s="144" t="str">
        <f>'Vật liệu'!B54</f>
        <v>V00112</v>
      </c>
      <c r="C1923" s="34">
        <v>125</v>
      </c>
      <c r="D1923" s="144" t="str">
        <f>" - " &amp; 'Vật liệu'!D54</f>
        <v xml:space="preserve"> - Cát vàng</v>
      </c>
      <c r="E1923" s="168" t="str">
        <f>'Vật liệu'!E54</f>
        <v>m3</v>
      </c>
      <c r="F1923" s="60"/>
      <c r="G1923" s="60">
        <v>3.3E-3</v>
      </c>
      <c r="H1923" s="60"/>
      <c r="I1923" s="60"/>
      <c r="J1923" s="60">
        <f>ROUND(F1920*G1923,4)</f>
        <v>22.994399999999999</v>
      </c>
      <c r="K1923" s="60"/>
      <c r="L1923" s="60"/>
    </row>
    <row r="1924" spans="1:12" x14ac:dyDescent="0.25">
      <c r="A1924" s="168"/>
      <c r="B1924" s="144" t="str">
        <f>'Vật liệu'!B353</f>
        <v>V00494</v>
      </c>
      <c r="C1924" s="34">
        <v>148</v>
      </c>
      <c r="D1924" s="144" t="str">
        <f>" - " &amp; 'Vật liệu'!D353</f>
        <v xml:space="preserve"> - Nước</v>
      </c>
      <c r="E1924" s="168" t="str">
        <f>'Vật liệu'!E353</f>
        <v>lít</v>
      </c>
      <c r="F1924" s="60"/>
      <c r="G1924" s="60">
        <v>0.78</v>
      </c>
      <c r="H1924" s="60"/>
      <c r="I1924" s="60"/>
      <c r="J1924" s="60">
        <f>ROUND(F1920*G1924,4)</f>
        <v>5435.04</v>
      </c>
      <c r="K1924" s="60"/>
      <c r="L1924" s="60"/>
    </row>
    <row r="1925" spans="1:12" x14ac:dyDescent="0.25">
      <c r="A1925" s="168"/>
      <c r="B1925" s="144" t="str">
        <f>'Vật liệu'!B766</f>
        <v>V00750</v>
      </c>
      <c r="C1925" s="34">
        <v>348</v>
      </c>
      <c r="D1925" s="144" t="str">
        <f>" - " &amp; 'Vật liệu'!D766</f>
        <v xml:space="preserve"> - Vật liệu khác</v>
      </c>
      <c r="E1925" s="168" t="str">
        <f>'Vật liệu'!E766</f>
        <v>%</v>
      </c>
      <c r="F1925" s="60"/>
      <c r="G1925" s="60">
        <v>10</v>
      </c>
      <c r="H1925" s="60"/>
      <c r="I1925" s="60"/>
      <c r="J1925" s="60"/>
      <c r="K1925" s="60"/>
      <c r="L1925" s="60"/>
    </row>
    <row r="1926" spans="1:12" x14ac:dyDescent="0.25">
      <c r="A1926" s="56"/>
      <c r="B1926" s="23"/>
      <c r="C1926" s="88"/>
      <c r="D1926" s="23" t="s">
        <v>202</v>
      </c>
      <c r="E1926" s="56"/>
      <c r="F1926" s="118"/>
      <c r="G1926" s="118"/>
      <c r="H1926" s="118"/>
      <c r="I1926" s="118"/>
      <c r="J1926" s="118"/>
      <c r="K1926" s="118"/>
      <c r="L1926" s="118"/>
    </row>
    <row r="1927" spans="1:12" x14ac:dyDescent="0.25">
      <c r="A1927" s="168"/>
      <c r="B1927" s="144" t="str">
        <f>'Nhân công'!B185</f>
        <v>N0020</v>
      </c>
      <c r="C1927" s="34">
        <v>555</v>
      </c>
      <c r="D1927" s="144" t="s">
        <v>625</v>
      </c>
      <c r="E1927" s="168" t="str">
        <f>'Nhân công'!G185</f>
        <v>công</v>
      </c>
      <c r="F1927" s="60"/>
      <c r="G1927" s="60"/>
      <c r="H1927" s="60">
        <v>0.15</v>
      </c>
      <c r="I1927" s="60"/>
      <c r="J1927" s="60"/>
      <c r="K1927" s="60">
        <f>ROUND(F1920*H1927,4)</f>
        <v>1045.2</v>
      </c>
      <c r="L1927" s="60"/>
    </row>
    <row r="1928" spans="1:12" x14ac:dyDescent="0.25">
      <c r="A1928" s="65">
        <f>'Công trình'!A253</f>
        <v>203</v>
      </c>
      <c r="B1928" s="14" t="str">
        <f>'Công trình'!B253</f>
        <v>AL.16122</v>
      </c>
      <c r="C1928" s="94"/>
      <c r="D1928" s="14" t="str">
        <f>'Công trình'!C253</f>
        <v>Rải vải địa kỹ thuật làm móng công trình</v>
      </c>
      <c r="E1928" s="46" t="str">
        <f>'Công trình'!D253</f>
        <v>100m2</v>
      </c>
      <c r="F1928" s="106">
        <f>'Công trình'!K253</f>
        <v>19.880400000000002</v>
      </c>
      <c r="G1928" s="126"/>
      <c r="H1928" s="126"/>
      <c r="I1928" s="126"/>
      <c r="J1928" s="126"/>
      <c r="K1928" s="126"/>
      <c r="L1928" s="126"/>
    </row>
    <row r="1929" spans="1:12" x14ac:dyDescent="0.25">
      <c r="A1929" s="56"/>
      <c r="B1929" s="23"/>
      <c r="C1929" s="88"/>
      <c r="D1929" s="23" t="s">
        <v>479</v>
      </c>
      <c r="E1929" s="56"/>
      <c r="F1929" s="118"/>
      <c r="G1929" s="118"/>
      <c r="H1929" s="118"/>
      <c r="I1929" s="118"/>
      <c r="J1929" s="118"/>
      <c r="K1929" s="118"/>
      <c r="L1929" s="118"/>
    </row>
    <row r="1930" spans="1:12" x14ac:dyDescent="0.25">
      <c r="A1930" s="168"/>
      <c r="B1930" s="144" t="str">
        <f>'Vật liệu'!B709</f>
        <v>V00749</v>
      </c>
      <c r="C1930" s="34">
        <v>174</v>
      </c>
      <c r="D1930" s="144" t="str">
        <f>" - " &amp; 'Vật liệu'!D709</f>
        <v xml:space="preserve"> - Vải địa kỹ thuật</v>
      </c>
      <c r="E1930" s="168" t="str">
        <f>'Vật liệu'!E709</f>
        <v>m2</v>
      </c>
      <c r="F1930" s="60"/>
      <c r="G1930" s="60">
        <v>110</v>
      </c>
      <c r="H1930" s="60"/>
      <c r="I1930" s="60"/>
      <c r="J1930" s="60">
        <f>ROUND(F1928*G1930,4)</f>
        <v>2186.8440000000001</v>
      </c>
      <c r="K1930" s="60"/>
      <c r="L1930" s="60"/>
    </row>
    <row r="1931" spans="1:12" x14ac:dyDescent="0.25">
      <c r="A1931" s="168"/>
      <c r="B1931" s="144" t="str">
        <f>'Vật liệu'!B766</f>
        <v>V00750</v>
      </c>
      <c r="C1931" s="34">
        <v>307</v>
      </c>
      <c r="D1931" s="144" t="str">
        <f>" - " &amp; 'Vật liệu'!D766</f>
        <v xml:space="preserve"> - Vật liệu khác</v>
      </c>
      <c r="E1931" s="168" t="str">
        <f>'Vật liệu'!E766</f>
        <v>%</v>
      </c>
      <c r="F1931" s="60"/>
      <c r="G1931" s="60">
        <v>0.2</v>
      </c>
      <c r="H1931" s="60"/>
      <c r="I1931" s="60"/>
      <c r="J1931" s="60"/>
      <c r="K1931" s="60"/>
      <c r="L1931" s="60"/>
    </row>
    <row r="1932" spans="1:12" x14ac:dyDescent="0.25">
      <c r="A1932" s="56"/>
      <c r="B1932" s="23"/>
      <c r="C1932" s="88"/>
      <c r="D1932" s="23" t="s">
        <v>202</v>
      </c>
      <c r="E1932" s="56"/>
      <c r="F1932" s="118"/>
      <c r="G1932" s="118"/>
      <c r="H1932" s="118"/>
      <c r="I1932" s="118"/>
      <c r="J1932" s="118"/>
      <c r="K1932" s="118"/>
      <c r="L1932" s="118"/>
    </row>
    <row r="1933" spans="1:12" x14ac:dyDescent="0.25">
      <c r="A1933" s="168"/>
      <c r="B1933" s="144" t="str">
        <f>'Nhân công'!B103</f>
        <v>N0015</v>
      </c>
      <c r="C1933" s="34">
        <v>554</v>
      </c>
      <c r="D1933" s="144" t="s">
        <v>1014</v>
      </c>
      <c r="E1933" s="168" t="str">
        <f>'Nhân công'!G103</f>
        <v>công</v>
      </c>
      <c r="F1933" s="60"/>
      <c r="G1933" s="60"/>
      <c r="H1933" s="60">
        <v>1.08</v>
      </c>
      <c r="I1933" s="60"/>
      <c r="J1933" s="60"/>
      <c r="K1933" s="60">
        <f>ROUND(F1928*H1933,4)</f>
        <v>21.470800000000001</v>
      </c>
      <c r="L1933" s="60"/>
    </row>
    <row r="1934" spans="1:12" ht="28.5" x14ac:dyDescent="0.25">
      <c r="A1934" s="65">
        <f>'Công trình'!A255</f>
        <v>204</v>
      </c>
      <c r="B1934" s="14" t="str">
        <f>'Công trình'!B255</f>
        <v>AF.14325</v>
      </c>
      <c r="C1934" s="94"/>
      <c r="D1934" s="14" t="str">
        <f>'Công trình'!C255</f>
        <v>Bê tông lan can, gờ chắn đá 1x2, vữa BT mác 300</v>
      </c>
      <c r="E1934" s="46" t="str">
        <f>'Công trình'!D255</f>
        <v>m3</v>
      </c>
      <c r="F1934" s="106">
        <f>'Công trình'!K255</f>
        <v>21.43</v>
      </c>
      <c r="G1934" s="126"/>
      <c r="H1934" s="126"/>
      <c r="I1934" s="126"/>
      <c r="J1934" s="126"/>
      <c r="K1934" s="126"/>
      <c r="L1934" s="126"/>
    </row>
    <row r="1935" spans="1:12" x14ac:dyDescent="0.25">
      <c r="A1935" s="56"/>
      <c r="B1935" s="23"/>
      <c r="C1935" s="88"/>
      <c r="D1935" s="23" t="s">
        <v>479</v>
      </c>
      <c r="E1935" s="56"/>
      <c r="F1935" s="118"/>
      <c r="G1935" s="118"/>
      <c r="H1935" s="118"/>
      <c r="I1935" s="118"/>
      <c r="J1935" s="118"/>
      <c r="K1935" s="118"/>
      <c r="L1935" s="118"/>
    </row>
    <row r="1936" spans="1:12" x14ac:dyDescent="0.25">
      <c r="A1936" s="168"/>
      <c r="B1936" s="144" t="str">
        <f>'Vật liệu'!B721</f>
        <v>V00761</v>
      </c>
      <c r="C1936" s="34">
        <v>397</v>
      </c>
      <c r="D1936" s="144" t="str">
        <f>" - " &amp; 'Vật liệu'!D721</f>
        <v xml:space="preserve"> - Xi măng PC40</v>
      </c>
      <c r="E1936" s="168" t="str">
        <f>'Vật liệu'!E721</f>
        <v>kg</v>
      </c>
      <c r="F1936" s="60"/>
      <c r="G1936" s="60">
        <v>383.35</v>
      </c>
      <c r="H1936" s="60"/>
      <c r="I1936" s="60"/>
      <c r="J1936" s="60">
        <f>ROUND(F1934*G1936,4)</f>
        <v>8215.1905000000006</v>
      </c>
      <c r="K1936" s="60"/>
      <c r="L1936" s="60"/>
    </row>
    <row r="1937" spans="1:12" x14ac:dyDescent="0.25">
      <c r="A1937" s="168"/>
      <c r="B1937" s="144" t="str">
        <f>'Vật liệu'!B54</f>
        <v>V00112</v>
      </c>
      <c r="C1937" s="34">
        <v>125</v>
      </c>
      <c r="D1937" s="144" t="str">
        <f>" - " &amp; 'Vật liệu'!D54</f>
        <v xml:space="preserve"> - Cát vàng</v>
      </c>
      <c r="E1937" s="168" t="str">
        <f>'Vật liệu'!E54</f>
        <v>m3</v>
      </c>
      <c r="F1937" s="60"/>
      <c r="G1937" s="60">
        <v>0.46839999999999998</v>
      </c>
      <c r="H1937" s="60"/>
      <c r="I1937" s="60"/>
      <c r="J1937" s="60">
        <f>ROUND(F1934*G1937,4)</f>
        <v>10.037800000000001</v>
      </c>
      <c r="K1937" s="60"/>
      <c r="L1937" s="60"/>
    </row>
    <row r="1938" spans="1:12" x14ac:dyDescent="0.25">
      <c r="A1938" s="168"/>
      <c r="B1938" s="144" t="str">
        <f>'Vật liệu'!B142</f>
        <v>V05207</v>
      </c>
      <c r="C1938" s="34">
        <v>416</v>
      </c>
      <c r="D1938" s="144" t="str">
        <f>" - " &amp; 'Vật liệu'!D142</f>
        <v xml:space="preserve"> - Đá 1x2</v>
      </c>
      <c r="E1938" s="168" t="str">
        <f>'Vật liệu'!E142</f>
        <v>m3</v>
      </c>
      <c r="F1938" s="60"/>
      <c r="G1938" s="60">
        <v>0.89380000000000004</v>
      </c>
      <c r="H1938" s="60"/>
      <c r="I1938" s="60"/>
      <c r="J1938" s="60">
        <f>ROUND(F1934*G1938,4)</f>
        <v>19.1541</v>
      </c>
      <c r="K1938" s="60"/>
      <c r="L1938" s="60"/>
    </row>
    <row r="1939" spans="1:12" x14ac:dyDescent="0.25">
      <c r="A1939" s="168"/>
      <c r="B1939" s="144" t="str">
        <f>'Vật liệu'!B353</f>
        <v>V00494</v>
      </c>
      <c r="C1939" s="34">
        <v>148</v>
      </c>
      <c r="D1939" s="144" t="str">
        <f>" - " &amp; 'Vật liệu'!D353</f>
        <v xml:space="preserve"> - Nước</v>
      </c>
      <c r="E1939" s="168" t="str">
        <f>'Vật liệu'!E353</f>
        <v>lít</v>
      </c>
      <c r="F1939" s="60"/>
      <c r="G1939" s="60">
        <v>189.625</v>
      </c>
      <c r="H1939" s="60"/>
      <c r="I1939" s="60"/>
      <c r="J1939" s="60">
        <f>ROUND(F1934*G1939,4)</f>
        <v>4063.6637999999998</v>
      </c>
      <c r="K1939" s="60"/>
      <c r="L1939" s="60"/>
    </row>
    <row r="1940" spans="1:12" x14ac:dyDescent="0.25">
      <c r="A1940" s="168"/>
      <c r="B1940" s="144" t="str">
        <f>'Vật liệu'!B766</f>
        <v>V00750</v>
      </c>
      <c r="C1940" s="34">
        <v>321</v>
      </c>
      <c r="D1940" s="144" t="str">
        <f>" - " &amp; 'Vật liệu'!D766</f>
        <v xml:space="preserve"> - Vật liệu khác</v>
      </c>
      <c r="E1940" s="168" t="str">
        <f>'Vật liệu'!E766</f>
        <v>%</v>
      </c>
      <c r="F1940" s="60"/>
      <c r="G1940" s="60">
        <v>4</v>
      </c>
      <c r="H1940" s="60"/>
      <c r="I1940" s="60"/>
      <c r="J1940" s="60"/>
      <c r="K1940" s="60"/>
      <c r="L1940" s="60"/>
    </row>
    <row r="1941" spans="1:12" x14ac:dyDescent="0.25">
      <c r="A1941" s="56"/>
      <c r="B1941" s="23"/>
      <c r="C1941" s="88"/>
      <c r="D1941" s="23" t="s">
        <v>202</v>
      </c>
      <c r="E1941" s="56"/>
      <c r="F1941" s="118"/>
      <c r="G1941" s="118"/>
      <c r="H1941" s="118"/>
      <c r="I1941" s="118"/>
      <c r="J1941" s="118"/>
      <c r="K1941" s="118"/>
      <c r="L1941" s="118"/>
    </row>
    <row r="1942" spans="1:12" x14ac:dyDescent="0.25">
      <c r="A1942" s="168"/>
      <c r="B1942" s="144" t="str">
        <f>'Nhân công'!B45</f>
        <v>N0009</v>
      </c>
      <c r="C1942" s="34">
        <v>546</v>
      </c>
      <c r="D1942" s="144" t="s">
        <v>1052</v>
      </c>
      <c r="E1942" s="168" t="str">
        <f>'Nhân công'!G45</f>
        <v>công</v>
      </c>
      <c r="F1942" s="60"/>
      <c r="G1942" s="60"/>
      <c r="H1942" s="60">
        <v>4.5</v>
      </c>
      <c r="I1942" s="60"/>
      <c r="J1942" s="60"/>
      <c r="K1942" s="60">
        <f>ROUND(F1934*H1942,4)</f>
        <v>96.435000000000002</v>
      </c>
      <c r="L1942" s="60"/>
    </row>
    <row r="1943" spans="1:12" x14ac:dyDescent="0.25">
      <c r="A1943" s="56"/>
      <c r="B1943" s="23"/>
      <c r="C1943" s="88"/>
      <c r="D1943" s="23" t="s">
        <v>378</v>
      </c>
      <c r="E1943" s="56"/>
      <c r="F1943" s="118"/>
      <c r="G1943" s="118"/>
      <c r="H1943" s="118"/>
      <c r="I1943" s="118"/>
      <c r="J1943" s="118"/>
      <c r="K1943" s="118"/>
      <c r="L1943" s="118"/>
    </row>
    <row r="1944" spans="1:12" x14ac:dyDescent="0.25">
      <c r="A1944" s="168"/>
      <c r="B1944" s="144" t="str">
        <f>'Máy thi công'!B306</f>
        <v>M9555</v>
      </c>
      <c r="C1944" s="34">
        <v>744</v>
      </c>
      <c r="D1944" s="144" t="str">
        <f>" - " &amp; 'Máy thi công'!D306</f>
        <v xml:space="preserve"> - Máy trộn bê tông - dung tích: 250 lít</v>
      </c>
      <c r="E1944" s="168" t="str">
        <f>'Máy thi công'!E306</f>
        <v>ca</v>
      </c>
      <c r="F1944" s="60"/>
      <c r="G1944" s="60"/>
      <c r="H1944" s="60"/>
      <c r="I1944" s="60">
        <v>0.11</v>
      </c>
      <c r="J1944" s="60"/>
      <c r="K1944" s="60"/>
      <c r="L1944" s="60">
        <f>ROUND(F1934*I1944,4)</f>
        <v>2.3573</v>
      </c>
    </row>
    <row r="1945" spans="1:12" x14ac:dyDescent="0.25">
      <c r="A1945" s="168"/>
      <c r="B1945" s="144" t="str">
        <f>'Máy thi công'!B398</f>
        <v>M0111</v>
      </c>
      <c r="C1945" s="34">
        <v>657</v>
      </c>
      <c r="D1945" s="144" t="str">
        <f>" - " &amp; 'Máy thi công'!D398</f>
        <v xml:space="preserve"> - Máy khác</v>
      </c>
      <c r="E1945" s="168" t="str">
        <f>'Máy thi công'!E398</f>
        <v>%</v>
      </c>
      <c r="F1945" s="60"/>
      <c r="G1945" s="60"/>
      <c r="H1945" s="60"/>
      <c r="I1945" s="60">
        <v>5</v>
      </c>
      <c r="J1945" s="60"/>
      <c r="K1945" s="60"/>
      <c r="L1945" s="60"/>
    </row>
    <row r="1946" spans="1:12" ht="28.5" x14ac:dyDescent="0.25">
      <c r="A1946" s="65">
        <f>'Công trình'!A256</f>
        <v>205</v>
      </c>
      <c r="B1946" s="14" t="str">
        <f>'Công trình'!B256</f>
        <v>AF.82111</v>
      </c>
      <c r="C1946" s="94"/>
      <c r="D1946" s="14" t="str">
        <f>'Công trình'!C256</f>
        <v>Sản xuất, lắp dựng tháo dỡ ván khuôn thép lan can</v>
      </c>
      <c r="E1946" s="46" t="str">
        <f>'Công trình'!D256</f>
        <v>100m2</v>
      </c>
      <c r="F1946" s="106">
        <f>'Công trình'!K256</f>
        <v>1.5298</v>
      </c>
      <c r="G1946" s="126"/>
      <c r="H1946" s="126"/>
      <c r="I1946" s="126"/>
      <c r="J1946" s="126"/>
      <c r="K1946" s="126"/>
      <c r="L1946" s="126"/>
    </row>
    <row r="1947" spans="1:12" x14ac:dyDescent="0.25">
      <c r="A1947" s="56"/>
      <c r="B1947" s="23"/>
      <c r="C1947" s="88"/>
      <c r="D1947" s="23" t="s">
        <v>479</v>
      </c>
      <c r="E1947" s="56"/>
      <c r="F1947" s="118"/>
      <c r="G1947" s="118"/>
      <c r="H1947" s="118"/>
      <c r="I1947" s="118"/>
      <c r="J1947" s="118"/>
      <c r="K1947" s="118"/>
      <c r="L1947" s="118"/>
    </row>
    <row r="1948" spans="1:12" x14ac:dyDescent="0.25">
      <c r="A1948" s="168"/>
      <c r="B1948" s="144" t="str">
        <f>'Vật liệu'!B450</f>
        <v>V00515</v>
      </c>
      <c r="C1948" s="34">
        <v>154</v>
      </c>
      <c r="D1948" s="144" t="str">
        <f>" - " &amp; 'Vật liệu'!D450</f>
        <v xml:space="preserve"> - Que hàn</v>
      </c>
      <c r="E1948" s="168" t="str">
        <f>'Vật liệu'!E450</f>
        <v>kg</v>
      </c>
      <c r="F1948" s="60"/>
      <c r="G1948" s="60">
        <v>5.6</v>
      </c>
      <c r="H1948" s="60"/>
      <c r="I1948" s="60"/>
      <c r="J1948" s="60">
        <f>ROUND(F1946*G1948,4)</f>
        <v>8.5669000000000004</v>
      </c>
      <c r="K1948" s="60"/>
      <c r="L1948" s="60"/>
    </row>
    <row r="1949" spans="1:12" x14ac:dyDescent="0.25">
      <c r="A1949" s="168"/>
      <c r="B1949" s="144" t="str">
        <f>'Vật liệu'!B294</f>
        <v>V00390</v>
      </c>
      <c r="C1949" s="34">
        <v>140</v>
      </c>
      <c r="D1949" s="144" t="str">
        <f>" - " &amp; 'Vật liệu'!D294</f>
        <v xml:space="preserve"> - Gỗ chống</v>
      </c>
      <c r="E1949" s="168" t="str">
        <f>'Vật liệu'!E294</f>
        <v>m3</v>
      </c>
      <c r="F1949" s="60"/>
      <c r="G1949" s="60">
        <v>0.496</v>
      </c>
      <c r="H1949" s="60"/>
      <c r="I1949" s="60"/>
      <c r="J1949" s="60">
        <f>ROUND(F1946*G1949,4)</f>
        <v>0.75880000000000003</v>
      </c>
      <c r="K1949" s="60"/>
      <c r="L1949" s="60"/>
    </row>
    <row r="1950" spans="1:12" x14ac:dyDescent="0.25">
      <c r="A1950" s="168"/>
      <c r="B1950" s="144" t="str">
        <f>'Vật liệu'!B606</f>
        <v>V00671</v>
      </c>
      <c r="C1950" s="34">
        <v>166</v>
      </c>
      <c r="D1950" s="144" t="str">
        <f>" - " &amp; 'Vật liệu'!D606</f>
        <v xml:space="preserve"> - Thép tấm</v>
      </c>
      <c r="E1950" s="168" t="str">
        <f>'Vật liệu'!E606</f>
        <v>kg</v>
      </c>
      <c r="F1950" s="60"/>
      <c r="G1950" s="60">
        <v>51.81</v>
      </c>
      <c r="H1950" s="60"/>
      <c r="I1950" s="60"/>
      <c r="J1950" s="60">
        <f>ROUND(F1946*G1950,4)</f>
        <v>79.258899999999997</v>
      </c>
      <c r="K1950" s="60"/>
      <c r="L1950" s="60"/>
    </row>
    <row r="1951" spans="1:12" x14ac:dyDescent="0.25">
      <c r="A1951" s="168"/>
      <c r="B1951" s="144" t="str">
        <f>'Vật liệu'!B556</f>
        <v>V00641</v>
      </c>
      <c r="C1951" s="34">
        <v>160</v>
      </c>
      <c r="D1951" s="144" t="str">
        <f>" - " &amp; 'Vật liệu'!D556</f>
        <v xml:space="preserve"> - Thép hình</v>
      </c>
      <c r="E1951" s="168" t="str">
        <f>'Vật liệu'!E556</f>
        <v>kg</v>
      </c>
      <c r="F1951" s="60"/>
      <c r="G1951" s="60">
        <v>48.84</v>
      </c>
      <c r="H1951" s="60"/>
      <c r="I1951" s="60"/>
      <c r="J1951" s="60">
        <f>ROUND(F1946*G1951,4)</f>
        <v>74.715400000000002</v>
      </c>
      <c r="K1951" s="60"/>
      <c r="L1951" s="60"/>
    </row>
    <row r="1952" spans="1:12" x14ac:dyDescent="0.25">
      <c r="A1952" s="168"/>
      <c r="B1952" s="144" t="str">
        <f>'Vật liệu'!B766</f>
        <v>V00750</v>
      </c>
      <c r="C1952" s="34">
        <v>322</v>
      </c>
      <c r="D1952" s="144" t="str">
        <f>" - " &amp; 'Vật liệu'!D766</f>
        <v xml:space="preserve"> - Vật liệu khác</v>
      </c>
      <c r="E1952" s="168" t="str">
        <f>'Vật liệu'!E766</f>
        <v>%</v>
      </c>
      <c r="F1952" s="60"/>
      <c r="G1952" s="60">
        <v>5</v>
      </c>
      <c r="H1952" s="60"/>
      <c r="I1952" s="60"/>
      <c r="J1952" s="60"/>
      <c r="K1952" s="60"/>
      <c r="L1952" s="60"/>
    </row>
    <row r="1953" spans="1:12" x14ac:dyDescent="0.25">
      <c r="A1953" s="56"/>
      <c r="B1953" s="23"/>
      <c r="C1953" s="88"/>
      <c r="D1953" s="23" t="s">
        <v>202</v>
      </c>
      <c r="E1953" s="56"/>
      <c r="F1953" s="118"/>
      <c r="G1953" s="118"/>
      <c r="H1953" s="118"/>
      <c r="I1953" s="118"/>
      <c r="J1953" s="118"/>
      <c r="K1953" s="118"/>
      <c r="L1953" s="118"/>
    </row>
    <row r="1954" spans="1:12" x14ac:dyDescent="0.25">
      <c r="A1954" s="168"/>
      <c r="B1954" s="144" t="str">
        <f>'Nhân công'!B130</f>
        <v>N0011</v>
      </c>
      <c r="C1954" s="34">
        <v>550</v>
      </c>
      <c r="D1954" s="144" t="s">
        <v>671</v>
      </c>
      <c r="E1954" s="168" t="str">
        <f>'Nhân công'!G130</f>
        <v>công</v>
      </c>
      <c r="F1954" s="60"/>
      <c r="G1954" s="60"/>
      <c r="H1954" s="60">
        <v>38.28</v>
      </c>
      <c r="I1954" s="60"/>
      <c r="J1954" s="60"/>
      <c r="K1954" s="60">
        <f>ROUND(F1946*H1954,4)</f>
        <v>58.560699999999997</v>
      </c>
      <c r="L1954" s="60"/>
    </row>
    <row r="1955" spans="1:12" x14ac:dyDescent="0.25">
      <c r="A1955" s="56"/>
      <c r="B1955" s="23"/>
      <c r="C1955" s="88"/>
      <c r="D1955" s="23" t="s">
        <v>378</v>
      </c>
      <c r="E1955" s="56"/>
      <c r="F1955" s="118"/>
      <c r="G1955" s="118"/>
      <c r="H1955" s="118"/>
      <c r="I1955" s="118"/>
      <c r="J1955" s="118"/>
      <c r="K1955" s="118"/>
      <c r="L1955" s="118"/>
    </row>
    <row r="1956" spans="1:12" x14ac:dyDescent="0.25">
      <c r="A1956" s="168"/>
      <c r="B1956" s="144" t="str">
        <f>'Máy thi công'!B358</f>
        <v>M9560</v>
      </c>
      <c r="C1956" s="34">
        <v>746</v>
      </c>
      <c r="D1956" s="144" t="str">
        <f>" - " &amp; 'Máy thi công'!D358</f>
        <v xml:space="preserve"> - Máy vận thăng - sức nâng: 0,8 t - H nâng 80 m</v>
      </c>
      <c r="E1956" s="168" t="str">
        <f>'Máy thi công'!E358</f>
        <v>ca</v>
      </c>
      <c r="F1956" s="60"/>
      <c r="G1956" s="60"/>
      <c r="H1956" s="60"/>
      <c r="I1956" s="60">
        <v>0</v>
      </c>
      <c r="J1956" s="60"/>
      <c r="K1956" s="60"/>
      <c r="L1956" s="60">
        <f>ROUND(F1946*I1956,4)</f>
        <v>0</v>
      </c>
    </row>
    <row r="1957" spans="1:12" x14ac:dyDescent="0.25">
      <c r="A1957" s="168"/>
      <c r="B1957" s="144" t="str">
        <f>'Máy thi công'!B6</f>
        <v>M9438</v>
      </c>
      <c r="C1957" s="34">
        <v>714</v>
      </c>
      <c r="D1957" s="144" t="str">
        <f>" - " &amp; 'Máy thi công'!D6</f>
        <v xml:space="preserve"> - Biến thế hàn xoay chiều - công suất: 23 kW</v>
      </c>
      <c r="E1957" s="168" t="str">
        <f>'Máy thi công'!E6</f>
        <v>ca</v>
      </c>
      <c r="F1957" s="60"/>
      <c r="G1957" s="60"/>
      <c r="H1957" s="60"/>
      <c r="I1957" s="60">
        <v>1.5</v>
      </c>
      <c r="J1957" s="60"/>
      <c r="K1957" s="60"/>
      <c r="L1957" s="60">
        <f>ROUND(F1946*I1957,4)</f>
        <v>2.2947000000000002</v>
      </c>
    </row>
    <row r="1958" spans="1:12" x14ac:dyDescent="0.25">
      <c r="A1958" s="168"/>
      <c r="B1958" s="144" t="str">
        <f>'Máy thi công'!B398</f>
        <v>M0111</v>
      </c>
      <c r="C1958" s="34">
        <v>658</v>
      </c>
      <c r="D1958" s="144" t="str">
        <f>" - " &amp; 'Máy thi công'!D398</f>
        <v xml:space="preserve"> - Máy khác</v>
      </c>
      <c r="E1958" s="168" t="str">
        <f>'Máy thi công'!E398</f>
        <v>%</v>
      </c>
      <c r="F1958" s="60"/>
      <c r="G1958" s="60"/>
      <c r="H1958" s="60"/>
      <c r="I1958" s="60">
        <v>2</v>
      </c>
      <c r="J1958" s="60"/>
      <c r="K1958" s="60"/>
      <c r="L1958" s="60"/>
    </row>
    <row r="1959" spans="1:12" ht="28.5" x14ac:dyDescent="0.25">
      <c r="A1959" s="65">
        <f>'Công trình'!A257</f>
        <v>206</v>
      </c>
      <c r="B1959" s="14" t="str">
        <f>'Công trình'!B257</f>
        <v>AF.61110</v>
      </c>
      <c r="C1959" s="94"/>
      <c r="D1959" s="14" t="str">
        <f>'Công trình'!C257</f>
        <v>Sản xuất, lắp dựng cốt thép đường kính &lt;=10mm</v>
      </c>
      <c r="E1959" s="46" t="str">
        <f>'Công trình'!D257</f>
        <v>tấn</v>
      </c>
      <c r="F1959" s="106">
        <f>'Công trình'!K257</f>
        <v>1.6686000000000001</v>
      </c>
      <c r="G1959" s="126"/>
      <c r="H1959" s="126"/>
      <c r="I1959" s="126"/>
      <c r="J1959" s="126"/>
      <c r="K1959" s="126"/>
      <c r="L1959" s="126"/>
    </row>
    <row r="1960" spans="1:12" x14ac:dyDescent="0.25">
      <c r="A1960" s="56"/>
      <c r="B1960" s="23"/>
      <c r="C1960" s="88"/>
      <c r="D1960" s="23" t="s">
        <v>479</v>
      </c>
      <c r="E1960" s="56"/>
      <c r="F1960" s="118"/>
      <c r="G1960" s="118"/>
      <c r="H1960" s="118"/>
      <c r="I1960" s="118"/>
      <c r="J1960" s="118"/>
      <c r="K1960" s="118"/>
      <c r="L1960" s="118"/>
    </row>
    <row r="1961" spans="1:12" x14ac:dyDescent="0.25">
      <c r="A1961" s="168"/>
      <c r="B1961" s="144" t="str">
        <f>'Vật liệu'!B221</f>
        <v>V00226</v>
      </c>
      <c r="C1961" s="34">
        <v>135</v>
      </c>
      <c r="D1961" s="144" t="str">
        <f>" - " &amp; 'Vật liệu'!D221</f>
        <v xml:space="preserve"> - Dây thép</v>
      </c>
      <c r="E1961" s="168" t="str">
        <f>'Vật liệu'!E221</f>
        <v>kg</v>
      </c>
      <c r="F1961" s="60"/>
      <c r="G1961" s="60">
        <v>21.42</v>
      </c>
      <c r="H1961" s="60"/>
      <c r="I1961" s="60"/>
      <c r="J1961" s="60">
        <f>ROUND(F1959*G1961,4)</f>
        <v>35.741399999999999</v>
      </c>
      <c r="K1961" s="60"/>
      <c r="L1961" s="60"/>
    </row>
    <row r="1962" spans="1:12" x14ac:dyDescent="0.25">
      <c r="A1962" s="168"/>
      <c r="B1962" s="144" t="str">
        <f>'Vật liệu'!B650</f>
        <v>V48494</v>
      </c>
      <c r="C1962" s="34">
        <v>484</v>
      </c>
      <c r="D1962" s="144" t="str">
        <f>" - " &amp; 'Vật liệu'!D650</f>
        <v xml:space="preserve"> - Thép tròn đường kính &lt;=10 mm</v>
      </c>
      <c r="E1962" s="168" t="str">
        <f>'Vật liệu'!E650</f>
        <v>kg</v>
      </c>
      <c r="F1962" s="60"/>
      <c r="G1962" s="60">
        <v>1005</v>
      </c>
      <c r="H1962" s="60"/>
      <c r="I1962" s="60"/>
      <c r="J1962" s="60">
        <f>ROUND(F1959*G1962,4)</f>
        <v>1676.943</v>
      </c>
      <c r="K1962" s="60"/>
      <c r="L1962" s="60"/>
    </row>
    <row r="1963" spans="1:12" x14ac:dyDescent="0.25">
      <c r="A1963" s="56"/>
      <c r="B1963" s="23"/>
      <c r="C1963" s="88"/>
      <c r="D1963" s="23" t="s">
        <v>202</v>
      </c>
      <c r="E1963" s="56"/>
      <c r="F1963" s="118"/>
      <c r="G1963" s="118"/>
      <c r="H1963" s="118"/>
      <c r="I1963" s="118"/>
      <c r="J1963" s="118"/>
      <c r="K1963" s="118"/>
      <c r="L1963" s="118"/>
    </row>
    <row r="1964" spans="1:12" x14ac:dyDescent="0.25">
      <c r="A1964" s="168"/>
      <c r="B1964" s="144" t="str">
        <f>'Nhân công'!B45</f>
        <v>N0009</v>
      </c>
      <c r="C1964" s="34">
        <v>546</v>
      </c>
      <c r="D1964" s="144" t="s">
        <v>1052</v>
      </c>
      <c r="E1964" s="168" t="str">
        <f>'Nhân công'!G45</f>
        <v>công</v>
      </c>
      <c r="F1964" s="60"/>
      <c r="G1964" s="60"/>
      <c r="H1964" s="60">
        <v>11.32</v>
      </c>
      <c r="I1964" s="60"/>
      <c r="J1964" s="60"/>
      <c r="K1964" s="60">
        <f>ROUND(F1959*H1964,4)</f>
        <v>18.8886</v>
      </c>
      <c r="L1964" s="60"/>
    </row>
    <row r="1965" spans="1:12" x14ac:dyDescent="0.25">
      <c r="A1965" s="56"/>
      <c r="B1965" s="23"/>
      <c r="C1965" s="88"/>
      <c r="D1965" s="23" t="s">
        <v>378</v>
      </c>
      <c r="E1965" s="56"/>
      <c r="F1965" s="118"/>
      <c r="G1965" s="118"/>
      <c r="H1965" s="118"/>
      <c r="I1965" s="118"/>
      <c r="J1965" s="118"/>
      <c r="K1965" s="118"/>
      <c r="L1965" s="118"/>
    </row>
    <row r="1966" spans="1:12" x14ac:dyDescent="0.25">
      <c r="A1966" s="168"/>
      <c r="B1966" s="144" t="str">
        <f>'Máy thi công'!B184</f>
        <v>M9521</v>
      </c>
      <c r="C1966" s="34">
        <v>737</v>
      </c>
      <c r="D1966" s="144" t="str">
        <f>" - " &amp; 'Máy thi công'!D184</f>
        <v xml:space="preserve"> - Máy cắt uốn cốt thép - công suất: 5 kW</v>
      </c>
      <c r="E1966" s="168" t="str">
        <f>'Máy thi công'!E184</f>
        <v>ca</v>
      </c>
      <c r="F1966" s="60"/>
      <c r="G1966" s="60"/>
      <c r="H1966" s="60"/>
      <c r="I1966" s="60">
        <v>0.4</v>
      </c>
      <c r="J1966" s="60"/>
      <c r="K1966" s="60"/>
      <c r="L1966" s="60">
        <f>ROUND(F1959*I1966,4)</f>
        <v>0.66739999999999999</v>
      </c>
    </row>
    <row r="1967" spans="1:12" ht="28.5" x14ac:dyDescent="0.25">
      <c r="A1967" s="65">
        <f>'Công trình'!A258</f>
        <v>207</v>
      </c>
      <c r="B1967" s="14" t="str">
        <f>'Công trình'!B258</f>
        <v>AF.61120</v>
      </c>
      <c r="C1967" s="94"/>
      <c r="D1967" s="14" t="str">
        <f>'Công trình'!C258</f>
        <v>Sản xuất, lắp dựng cốt thép đường kính &lt;=18mm</v>
      </c>
      <c r="E1967" s="46" t="str">
        <f>'Công trình'!D258</f>
        <v>tấn</v>
      </c>
      <c r="F1967" s="106">
        <f>'Công trình'!K258</f>
        <v>0.63660000000000005</v>
      </c>
      <c r="G1967" s="126"/>
      <c r="H1967" s="126"/>
      <c r="I1967" s="126"/>
      <c r="J1967" s="126"/>
      <c r="K1967" s="126"/>
      <c r="L1967" s="126"/>
    </row>
    <row r="1968" spans="1:12" x14ac:dyDescent="0.25">
      <c r="A1968" s="56"/>
      <c r="B1968" s="23"/>
      <c r="C1968" s="88"/>
      <c r="D1968" s="23" t="s">
        <v>479</v>
      </c>
      <c r="E1968" s="56"/>
      <c r="F1968" s="118"/>
      <c r="G1968" s="118"/>
      <c r="H1968" s="118"/>
      <c r="I1968" s="118"/>
      <c r="J1968" s="118"/>
      <c r="K1968" s="118"/>
      <c r="L1968" s="118"/>
    </row>
    <row r="1969" spans="1:12" x14ac:dyDescent="0.25">
      <c r="A1969" s="168"/>
      <c r="B1969" s="144" t="str">
        <f>'Vật liệu'!B450</f>
        <v>V00515</v>
      </c>
      <c r="C1969" s="34">
        <v>154</v>
      </c>
      <c r="D1969" s="144" t="str">
        <f>" - " &amp; 'Vật liệu'!D450</f>
        <v xml:space="preserve"> - Que hàn</v>
      </c>
      <c r="E1969" s="168" t="str">
        <f>'Vật liệu'!E450</f>
        <v>kg</v>
      </c>
      <c r="F1969" s="60"/>
      <c r="G1969" s="60">
        <v>4.6399999999999997</v>
      </c>
      <c r="H1969" s="60"/>
      <c r="I1969" s="60"/>
      <c r="J1969" s="60">
        <f>ROUND(F1967*G1969,4)</f>
        <v>2.9538000000000002</v>
      </c>
      <c r="K1969" s="60"/>
      <c r="L1969" s="60"/>
    </row>
    <row r="1970" spans="1:12" x14ac:dyDescent="0.25">
      <c r="A1970" s="168"/>
      <c r="B1970" s="144" t="str">
        <f>'Vật liệu'!B221</f>
        <v>V00226</v>
      </c>
      <c r="C1970" s="34">
        <v>135</v>
      </c>
      <c r="D1970" s="144" t="str">
        <f>" - " &amp; 'Vật liệu'!D221</f>
        <v xml:space="preserve"> - Dây thép</v>
      </c>
      <c r="E1970" s="168" t="str">
        <f>'Vật liệu'!E221</f>
        <v>kg</v>
      </c>
      <c r="F1970" s="60"/>
      <c r="G1970" s="60">
        <v>14.28</v>
      </c>
      <c r="H1970" s="60"/>
      <c r="I1970" s="60"/>
      <c r="J1970" s="60">
        <f>ROUND(F1967*G1970,4)</f>
        <v>9.0906000000000002</v>
      </c>
      <c r="K1970" s="60"/>
      <c r="L1970" s="60"/>
    </row>
    <row r="1971" spans="1:12" x14ac:dyDescent="0.25">
      <c r="A1971" s="168"/>
      <c r="B1971" s="144" t="str">
        <f>'Vật liệu'!B665</f>
        <v>V48495</v>
      </c>
      <c r="C1971" s="34">
        <v>485</v>
      </c>
      <c r="D1971" s="144" t="str">
        <f>" - " &amp; 'Vật liệu'!D665</f>
        <v xml:space="preserve"> - Thép tròn đường kính &lt;=18mm</v>
      </c>
      <c r="E1971" s="168" t="str">
        <f>'Vật liệu'!E665</f>
        <v>kg</v>
      </c>
      <c r="F1971" s="60"/>
      <c r="G1971" s="60">
        <v>1020</v>
      </c>
      <c r="H1971" s="60"/>
      <c r="I1971" s="60"/>
      <c r="J1971" s="60">
        <f>ROUND(F1967*G1971,4)</f>
        <v>649.33199999999999</v>
      </c>
      <c r="K1971" s="60"/>
      <c r="L1971" s="60"/>
    </row>
    <row r="1972" spans="1:12" x14ac:dyDescent="0.25">
      <c r="A1972" s="56"/>
      <c r="B1972" s="23"/>
      <c r="C1972" s="88"/>
      <c r="D1972" s="23" t="s">
        <v>202</v>
      </c>
      <c r="E1972" s="56"/>
      <c r="F1972" s="118"/>
      <c r="G1972" s="118"/>
      <c r="H1972" s="118"/>
      <c r="I1972" s="118"/>
      <c r="J1972" s="118"/>
      <c r="K1972" s="118"/>
      <c r="L1972" s="118"/>
    </row>
    <row r="1973" spans="1:12" x14ac:dyDescent="0.25">
      <c r="A1973" s="168"/>
      <c r="B1973" s="144" t="str">
        <f>'Nhân công'!B45</f>
        <v>N0009</v>
      </c>
      <c r="C1973" s="34">
        <v>546</v>
      </c>
      <c r="D1973" s="144" t="s">
        <v>1052</v>
      </c>
      <c r="E1973" s="168" t="str">
        <f>'Nhân công'!G45</f>
        <v>công</v>
      </c>
      <c r="F1973" s="60"/>
      <c r="G1973" s="60"/>
      <c r="H1973" s="60">
        <v>8.34</v>
      </c>
      <c r="I1973" s="60"/>
      <c r="J1973" s="60"/>
      <c r="K1973" s="60">
        <f>ROUND(F1967*H1973,4)</f>
        <v>5.3091999999999997</v>
      </c>
      <c r="L1973" s="60"/>
    </row>
    <row r="1974" spans="1:12" x14ac:dyDescent="0.25">
      <c r="A1974" s="56"/>
      <c r="B1974" s="23"/>
      <c r="C1974" s="88"/>
      <c r="D1974" s="23" t="s">
        <v>378</v>
      </c>
      <c r="E1974" s="56"/>
      <c r="F1974" s="118"/>
      <c r="G1974" s="118"/>
      <c r="H1974" s="118"/>
      <c r="I1974" s="118"/>
      <c r="J1974" s="118"/>
      <c r="K1974" s="118"/>
      <c r="L1974" s="118"/>
    </row>
    <row r="1975" spans="1:12" x14ac:dyDescent="0.25">
      <c r="A1975" s="168"/>
      <c r="B1975" s="144" t="str">
        <f>'Máy thi công'!B184</f>
        <v>M9521</v>
      </c>
      <c r="C1975" s="34">
        <v>737</v>
      </c>
      <c r="D1975" s="144" t="str">
        <f>" - " &amp; 'Máy thi công'!D184</f>
        <v xml:space="preserve"> - Máy cắt uốn cốt thép - công suất: 5 kW</v>
      </c>
      <c r="E1975" s="168" t="str">
        <f>'Máy thi công'!E184</f>
        <v>ca</v>
      </c>
      <c r="F1975" s="60"/>
      <c r="G1975" s="60"/>
      <c r="H1975" s="60"/>
      <c r="I1975" s="60">
        <v>0.32</v>
      </c>
      <c r="J1975" s="60"/>
      <c r="K1975" s="60"/>
      <c r="L1975" s="60">
        <f>ROUND(F1967*I1975,4)</f>
        <v>0.20369999999999999</v>
      </c>
    </row>
    <row r="1976" spans="1:12" x14ac:dyDescent="0.25">
      <c r="A1976" s="168"/>
      <c r="B1976" s="144" t="str">
        <f>'Máy thi công'!B6</f>
        <v>M9438</v>
      </c>
      <c r="C1976" s="34">
        <v>714</v>
      </c>
      <c r="D1976" s="144" t="str">
        <f>" - " &amp; 'Máy thi công'!D6</f>
        <v xml:space="preserve"> - Biến thế hàn xoay chiều - công suất: 23 kW</v>
      </c>
      <c r="E1976" s="168" t="str">
        <f>'Máy thi công'!E6</f>
        <v>ca</v>
      </c>
      <c r="F1976" s="60"/>
      <c r="G1976" s="60"/>
      <c r="H1976" s="60"/>
      <c r="I1976" s="60">
        <v>1.1200000000000001</v>
      </c>
      <c r="J1976" s="60"/>
      <c r="K1976" s="60"/>
      <c r="L1976" s="60">
        <f>ROUND(F1967*I1976,4)</f>
        <v>0.71299999999999997</v>
      </c>
    </row>
    <row r="1977" spans="1:12" ht="28.5" x14ac:dyDescent="0.25">
      <c r="A1977" s="65">
        <f>'Công trình'!A259</f>
        <v>208</v>
      </c>
      <c r="B1977" s="14" t="str">
        <f>'Công trình'!B259</f>
        <v>BB.14309</v>
      </c>
      <c r="C1977" s="94"/>
      <c r="D1977" s="14" t="str">
        <f>'Công trình'!C259</f>
        <v>Lắp đặt ống thép tráng kẽm, đoạn ống dài 8m, đk=110mm</v>
      </c>
      <c r="E1977" s="46" t="str">
        <f>'Công trình'!D259</f>
        <v>100m</v>
      </c>
      <c r="F1977" s="106">
        <f>'Công trình'!K259</f>
        <v>0.3</v>
      </c>
      <c r="G1977" s="126"/>
      <c r="H1977" s="126"/>
      <c r="I1977" s="126"/>
      <c r="J1977" s="126"/>
      <c r="K1977" s="126"/>
      <c r="L1977" s="126"/>
    </row>
    <row r="1978" spans="1:12" x14ac:dyDescent="0.25">
      <c r="A1978" s="56"/>
      <c r="B1978" s="23"/>
      <c r="C1978" s="88"/>
      <c r="D1978" s="23" t="s">
        <v>479</v>
      </c>
      <c r="E1978" s="56"/>
      <c r="F1978" s="118"/>
      <c r="G1978" s="118"/>
      <c r="H1978" s="118"/>
      <c r="I1978" s="118"/>
      <c r="J1978" s="118"/>
      <c r="K1978" s="118"/>
      <c r="L1978" s="118"/>
    </row>
    <row r="1979" spans="1:12" x14ac:dyDescent="0.25">
      <c r="A1979" s="168"/>
      <c r="B1979" s="144" t="str">
        <f>'Vật liệu'!B341</f>
        <v>V48368</v>
      </c>
      <c r="C1979" s="34">
        <v>479</v>
      </c>
      <c r="D1979" s="144" t="str">
        <f>" - " &amp; 'Vật liệu'!D341</f>
        <v xml:space="preserve"> - Măng sông thép tráng kẽm đường kính 110mm</v>
      </c>
      <c r="E1979" s="168" t="str">
        <f>'Vật liệu'!E341</f>
        <v>cái</v>
      </c>
      <c r="F1979" s="60"/>
      <c r="G1979" s="60">
        <v>12</v>
      </c>
      <c r="H1979" s="60"/>
      <c r="I1979" s="60"/>
      <c r="J1979" s="60">
        <f>ROUND(F1977*G1979,4)</f>
        <v>3.6</v>
      </c>
      <c r="K1979" s="60"/>
      <c r="L1979" s="60"/>
    </row>
    <row r="1980" spans="1:12" x14ac:dyDescent="0.25">
      <c r="A1980" s="168"/>
      <c r="B1980" s="144" t="str">
        <f>'Vật liệu'!B432</f>
        <v>V49059</v>
      </c>
      <c r="C1980" s="34">
        <v>511</v>
      </c>
      <c r="D1980" s="144" t="str">
        <f>" - " &amp; 'Vật liệu'!D432</f>
        <v xml:space="preserve"> - Ống thép tráng kẽm đường kính 110mm</v>
      </c>
      <c r="E1980" s="168" t="str">
        <f>'Vật liệu'!E432</f>
        <v>m</v>
      </c>
      <c r="F1980" s="60"/>
      <c r="G1980" s="60">
        <v>100.5</v>
      </c>
      <c r="H1980" s="60"/>
      <c r="I1980" s="60"/>
      <c r="J1980" s="60">
        <f>ROUND(F1977*G1980,4)</f>
        <v>30.15</v>
      </c>
      <c r="K1980" s="60"/>
      <c r="L1980" s="60"/>
    </row>
    <row r="1981" spans="1:12" x14ac:dyDescent="0.25">
      <c r="A1981" s="168"/>
      <c r="B1981" s="144" t="str">
        <f>'Vật liệu'!B766</f>
        <v>V00750</v>
      </c>
      <c r="C1981" s="34">
        <v>323</v>
      </c>
      <c r="D1981" s="144" t="str">
        <f>" - " &amp; 'Vật liệu'!D766</f>
        <v xml:space="preserve"> - Vật liệu khác</v>
      </c>
      <c r="E1981" s="168" t="str">
        <f>'Vật liệu'!E766</f>
        <v>%</v>
      </c>
      <c r="F1981" s="60"/>
      <c r="G1981" s="60">
        <v>0.01</v>
      </c>
      <c r="H1981" s="60"/>
      <c r="I1981" s="60"/>
      <c r="J1981" s="60"/>
      <c r="K1981" s="60"/>
      <c r="L1981" s="60"/>
    </row>
    <row r="1982" spans="1:12" x14ac:dyDescent="0.25">
      <c r="A1982" s="56"/>
      <c r="B1982" s="23"/>
      <c r="C1982" s="88"/>
      <c r="D1982" s="23" t="s">
        <v>202</v>
      </c>
      <c r="E1982" s="56"/>
      <c r="F1982" s="118"/>
      <c r="G1982" s="118"/>
      <c r="H1982" s="118"/>
      <c r="I1982" s="118"/>
      <c r="J1982" s="118"/>
      <c r="K1982" s="118"/>
      <c r="L1982" s="118"/>
    </row>
    <row r="1983" spans="1:12" x14ac:dyDescent="0.25">
      <c r="A1983" s="168"/>
      <c r="B1983" s="144" t="str">
        <f>'Nhân công'!B103</f>
        <v>N0015</v>
      </c>
      <c r="C1983" s="34">
        <v>554</v>
      </c>
      <c r="D1983" s="144" t="s">
        <v>1014</v>
      </c>
      <c r="E1983" s="168" t="str">
        <f>'Nhân công'!G103</f>
        <v>công</v>
      </c>
      <c r="F1983" s="60"/>
      <c r="G1983" s="60"/>
      <c r="H1983" s="60">
        <v>21.99</v>
      </c>
      <c r="I1983" s="60"/>
      <c r="J1983" s="60"/>
      <c r="K1983" s="60">
        <f>ROUND(F1977*H1983,4)</f>
        <v>6.5970000000000004</v>
      </c>
      <c r="L1983" s="60"/>
    </row>
    <row r="1984" spans="1:12" x14ac:dyDescent="0.25">
      <c r="A1984" s="65">
        <f>'Công trình'!A260</f>
        <v>209</v>
      </c>
      <c r="B1984" s="14" t="str">
        <f>'Công trình'!B260</f>
        <v>BB.26119</v>
      </c>
      <c r="C1984" s="94"/>
      <c r="D1984" s="14" t="str">
        <f>'Công trình'!C260</f>
        <v>Cút nối 90 độ thép mạ kẽm</v>
      </c>
      <c r="E1984" s="46" t="str">
        <f>'Công trình'!D260</f>
        <v>Cái</v>
      </c>
      <c r="F1984" s="106">
        <f>'Công trình'!K260</f>
        <v>20</v>
      </c>
      <c r="G1984" s="126"/>
      <c r="H1984" s="126"/>
      <c r="I1984" s="126"/>
      <c r="J1984" s="126"/>
      <c r="K1984" s="126"/>
      <c r="L1984" s="126"/>
    </row>
    <row r="1985" spans="1:12" x14ac:dyDescent="0.25">
      <c r="A1985" s="56"/>
      <c r="B1985" s="23"/>
      <c r="C1985" s="88"/>
      <c r="D1985" s="23" t="s">
        <v>479</v>
      </c>
      <c r="E1985" s="56"/>
      <c r="F1985" s="118"/>
      <c r="G1985" s="118"/>
      <c r="H1985" s="118"/>
      <c r="I1985" s="118"/>
      <c r="J1985" s="118"/>
      <c r="K1985" s="118"/>
      <c r="L1985" s="118"/>
    </row>
    <row r="1986" spans="1:12" x14ac:dyDescent="0.25">
      <c r="A1986" s="168"/>
      <c r="B1986" s="144" t="str">
        <f>'Vật liệu'!B140</f>
        <v>V48171</v>
      </c>
      <c r="C1986" s="34">
        <v>476</v>
      </c>
      <c r="D1986" s="144" t="str">
        <f>" - " &amp; 'Vật liệu'!D140</f>
        <v xml:space="preserve"> - Cút tráng kẽm đường kính 89mm</v>
      </c>
      <c r="E1986" s="168" t="str">
        <f>'Vật liệu'!E140</f>
        <v>Cái</v>
      </c>
      <c r="F1986" s="60"/>
      <c r="G1986" s="60">
        <v>1</v>
      </c>
      <c r="H1986" s="60"/>
      <c r="I1986" s="60"/>
      <c r="J1986" s="60">
        <f>ROUND(F1984*G1986,4)</f>
        <v>20</v>
      </c>
      <c r="K1986" s="60"/>
      <c r="L1986" s="60"/>
    </row>
    <row r="1987" spans="1:12" x14ac:dyDescent="0.25">
      <c r="A1987" s="168"/>
      <c r="B1987" s="144" t="str">
        <f>'Vật liệu'!B766</f>
        <v>V00750</v>
      </c>
      <c r="C1987" s="34">
        <v>324</v>
      </c>
      <c r="D1987" s="144" t="str">
        <f>" - " &amp; 'Vật liệu'!D766</f>
        <v xml:space="preserve"> - Vật liệu khác</v>
      </c>
      <c r="E1987" s="168" t="str">
        <f>'Vật liệu'!E766</f>
        <v>%</v>
      </c>
      <c r="F1987" s="60"/>
      <c r="G1987" s="60">
        <v>0.1</v>
      </c>
      <c r="H1987" s="60"/>
      <c r="I1987" s="60"/>
      <c r="J1987" s="60"/>
      <c r="K1987" s="60"/>
      <c r="L1987" s="60"/>
    </row>
    <row r="1988" spans="1:12" x14ac:dyDescent="0.25">
      <c r="A1988" s="56"/>
      <c r="B1988" s="23"/>
      <c r="C1988" s="88"/>
      <c r="D1988" s="23" t="s">
        <v>202</v>
      </c>
      <c r="E1988" s="56"/>
      <c r="F1988" s="118"/>
      <c r="G1988" s="118"/>
      <c r="H1988" s="118"/>
      <c r="I1988" s="118"/>
      <c r="J1988" s="118"/>
      <c r="K1988" s="118"/>
      <c r="L1988" s="118"/>
    </row>
    <row r="1989" spans="1:12" x14ac:dyDescent="0.25">
      <c r="A1989" s="168"/>
      <c r="B1989" s="144" t="str">
        <f>'Nhân công'!B103</f>
        <v>N0015</v>
      </c>
      <c r="C1989" s="34">
        <v>554</v>
      </c>
      <c r="D1989" s="144" t="s">
        <v>1014</v>
      </c>
      <c r="E1989" s="168" t="str">
        <f>'Nhân công'!G103</f>
        <v>công</v>
      </c>
      <c r="F1989" s="60"/>
      <c r="G1989" s="60"/>
      <c r="H1989" s="60">
        <v>0.22</v>
      </c>
      <c r="I1989" s="60"/>
      <c r="J1989" s="60"/>
      <c r="K1989" s="60">
        <f>ROUND(F1984*H1989,4)</f>
        <v>4.4000000000000004</v>
      </c>
      <c r="L1989" s="60"/>
    </row>
    <row r="1990" spans="1:12" x14ac:dyDescent="0.25">
      <c r="A1990" s="65">
        <f>'Công trình'!A262</f>
        <v>210</v>
      </c>
      <c r="B1990" s="14" t="str">
        <f>'Công trình'!B262</f>
        <v>AI.21152</v>
      </c>
      <c r="C1990" s="94"/>
      <c r="D1990" s="14" t="str">
        <f>'Công trình'!C262</f>
        <v>Sản xuất kết cấu thép lan can cầu đường bộ</v>
      </c>
      <c r="E1990" s="46" t="str">
        <f>'Công trình'!D262</f>
        <v>tấn</v>
      </c>
      <c r="F1990" s="106">
        <f>'Công trình'!K262</f>
        <v>14.2187</v>
      </c>
      <c r="G1990" s="126"/>
      <c r="H1990" s="126"/>
      <c r="I1990" s="126"/>
      <c r="J1990" s="126"/>
      <c r="K1990" s="126"/>
      <c r="L1990" s="126"/>
    </row>
    <row r="1991" spans="1:12" x14ac:dyDescent="0.25">
      <c r="A1991" s="56"/>
      <c r="B1991" s="23"/>
      <c r="C1991" s="88"/>
      <c r="D1991" s="23" t="s">
        <v>479</v>
      </c>
      <c r="E1991" s="56"/>
      <c r="F1991" s="118"/>
      <c r="G1991" s="118"/>
      <c r="H1991" s="118"/>
      <c r="I1991" s="118"/>
      <c r="J1991" s="118"/>
      <c r="K1991" s="118"/>
      <c r="L1991" s="118"/>
    </row>
    <row r="1992" spans="1:12" x14ac:dyDescent="0.25">
      <c r="A1992" s="168"/>
      <c r="B1992" s="144" t="str">
        <f>'Vật liệu'!B401</f>
        <v>V00770</v>
      </c>
      <c r="C1992" s="34">
        <v>400</v>
      </c>
      <c r="D1992" s="144" t="str">
        <f>" - " &amp; 'Vật liệu'!D401</f>
        <v xml:space="preserve"> - Ô xy</v>
      </c>
      <c r="E1992" s="168" t="str">
        <f>'Vật liệu'!E401</f>
        <v>Chai</v>
      </c>
      <c r="F1992" s="60"/>
      <c r="G1992" s="60">
        <v>1.66</v>
      </c>
      <c r="H1992" s="60"/>
      <c r="I1992" s="60"/>
      <c r="J1992" s="60">
        <f>ROUND(F1990*G1992,4)</f>
        <v>23.603000000000002</v>
      </c>
      <c r="K1992" s="60"/>
      <c r="L1992" s="60"/>
    </row>
    <row r="1993" spans="1:12" x14ac:dyDescent="0.25">
      <c r="A1993" s="168"/>
      <c r="B1993" s="144" t="str">
        <f>'Vật liệu'!B8</f>
        <v>V05496</v>
      </c>
      <c r="C1993" s="34">
        <v>421</v>
      </c>
      <c r="D1993" s="144" t="str">
        <f>" - " &amp; 'Vật liệu'!D8</f>
        <v xml:space="preserve"> - Acêtylen</v>
      </c>
      <c r="E1993" s="168" t="str">
        <f>'Vật liệu'!E8</f>
        <v>chai</v>
      </c>
      <c r="F1993" s="60"/>
      <c r="G1993" s="60">
        <v>0.55000000000000004</v>
      </c>
      <c r="H1993" s="60"/>
      <c r="I1993" s="60"/>
      <c r="J1993" s="60">
        <f>ROUND(F1990*G1993,4)</f>
        <v>7.8202999999999996</v>
      </c>
      <c r="K1993" s="60"/>
      <c r="L1993" s="60"/>
    </row>
    <row r="1994" spans="1:12" x14ac:dyDescent="0.25">
      <c r="A1994" s="168"/>
      <c r="B1994" s="144" t="str">
        <f>'Vật liệu'!B450</f>
        <v>V00515</v>
      </c>
      <c r="C1994" s="34">
        <v>154</v>
      </c>
      <c r="D1994" s="144" t="str">
        <f>" - " &amp; 'Vật liệu'!D450</f>
        <v xml:space="preserve"> - Que hàn</v>
      </c>
      <c r="E1994" s="168" t="str">
        <f>'Vật liệu'!E450</f>
        <v>kg</v>
      </c>
      <c r="F1994" s="60"/>
      <c r="G1994" s="60">
        <v>4.5</v>
      </c>
      <c r="H1994" s="60"/>
      <c r="I1994" s="60"/>
      <c r="J1994" s="60">
        <f>ROUND(F1990*G1994,4)</f>
        <v>63.984200000000001</v>
      </c>
      <c r="K1994" s="60"/>
      <c r="L1994" s="60"/>
    </row>
    <row r="1995" spans="1:12" x14ac:dyDescent="0.25">
      <c r="A1995" s="168"/>
      <c r="B1995" s="144" t="str">
        <f>'Vật liệu'!B556</f>
        <v>V00641</v>
      </c>
      <c r="C1995" s="34">
        <v>160</v>
      </c>
      <c r="D1995" s="144" t="str">
        <f>" - " &amp; 'Vật liệu'!D556</f>
        <v xml:space="preserve"> - Thép hình</v>
      </c>
      <c r="E1995" s="168" t="str">
        <f>'Vật liệu'!E556</f>
        <v>kg</v>
      </c>
      <c r="F1995" s="60"/>
      <c r="G1995" s="60">
        <v>475</v>
      </c>
      <c r="H1995" s="60"/>
      <c r="I1995" s="60"/>
      <c r="J1995" s="60">
        <f>ROUND(F1990*G1995,4)</f>
        <v>6753.8824999999997</v>
      </c>
      <c r="K1995" s="60"/>
      <c r="L1995" s="60"/>
    </row>
    <row r="1996" spans="1:12" x14ac:dyDescent="0.25">
      <c r="A1996" s="168"/>
      <c r="B1996" s="144" t="str">
        <f>'Vật liệu'!B604</f>
        <v>V00681</v>
      </c>
      <c r="C1996" s="34">
        <v>169</v>
      </c>
      <c r="D1996" s="144" t="str">
        <f>" - " &amp; 'Vật liệu'!D604</f>
        <v xml:space="preserve"> - Thép ống</v>
      </c>
      <c r="E1996" s="168" t="str">
        <f>'Vật liệu'!E604</f>
        <v>kg</v>
      </c>
      <c r="F1996" s="60"/>
      <c r="G1996" s="60">
        <v>575</v>
      </c>
      <c r="H1996" s="60"/>
      <c r="I1996" s="60"/>
      <c r="J1996" s="60">
        <f>ROUND(F1990*G1996,4)</f>
        <v>8175.7524999999996</v>
      </c>
      <c r="K1996" s="60"/>
      <c r="L1996" s="60"/>
    </row>
    <row r="1997" spans="1:12" x14ac:dyDescent="0.25">
      <c r="A1997" s="168"/>
      <c r="B1997" s="144" t="str">
        <f>'Vật liệu'!B20</f>
        <v>V00039</v>
      </c>
      <c r="C1997" s="34">
        <v>122</v>
      </c>
      <c r="D1997" s="144" t="str">
        <f>" - " &amp; 'Vật liệu'!D20</f>
        <v xml:space="preserve"> - Bu lông M20</v>
      </c>
      <c r="E1997" s="168" t="str">
        <f>'Vật liệu'!E20</f>
        <v>cái</v>
      </c>
      <c r="F1997" s="60"/>
      <c r="G1997" s="60">
        <v>0</v>
      </c>
      <c r="H1997" s="60"/>
      <c r="I1997" s="60"/>
      <c r="J1997" s="60">
        <f>ROUND(F1990*G1997,4)</f>
        <v>0</v>
      </c>
      <c r="K1997" s="60"/>
      <c r="L1997" s="60"/>
    </row>
    <row r="1998" spans="1:12" x14ac:dyDescent="0.25">
      <c r="A1998" s="168"/>
      <c r="B1998" s="144" t="str">
        <f>'Vật liệu'!B766</f>
        <v>V00750</v>
      </c>
      <c r="C1998" s="34">
        <v>389</v>
      </c>
      <c r="D1998" s="144" t="str">
        <f>" - " &amp; 'Vật liệu'!D766</f>
        <v xml:space="preserve"> - Vật liệu khác</v>
      </c>
      <c r="E1998" s="168" t="str">
        <f>'Vật liệu'!E766</f>
        <v>%</v>
      </c>
      <c r="F1998" s="60"/>
      <c r="G1998" s="60">
        <v>5</v>
      </c>
      <c r="H1998" s="60"/>
      <c r="I1998" s="60"/>
      <c r="J1998" s="60"/>
      <c r="K1998" s="60"/>
      <c r="L1998" s="60"/>
    </row>
    <row r="1999" spans="1:12" x14ac:dyDescent="0.25">
      <c r="A1999" s="56"/>
      <c r="B1999" s="23"/>
      <c r="C1999" s="88"/>
      <c r="D1999" s="23" t="s">
        <v>202</v>
      </c>
      <c r="E1999" s="56"/>
      <c r="F1999" s="118"/>
      <c r="G1999" s="118"/>
      <c r="H1999" s="118"/>
      <c r="I1999" s="118"/>
      <c r="J1999" s="118"/>
      <c r="K1999" s="118"/>
      <c r="L1999" s="118"/>
    </row>
    <row r="2000" spans="1:12" x14ac:dyDescent="0.25">
      <c r="A2000" s="168"/>
      <c r="B2000" s="144" t="str">
        <f>'Nhân công'!B219</f>
        <v>N0012</v>
      </c>
      <c r="C2000" s="34">
        <v>552</v>
      </c>
      <c r="D2000" s="144" t="s">
        <v>494</v>
      </c>
      <c r="E2000" s="168" t="str">
        <f>'Nhân công'!G219</f>
        <v>công</v>
      </c>
      <c r="F2000" s="60"/>
      <c r="G2000" s="60"/>
      <c r="H2000" s="60">
        <v>22.15</v>
      </c>
      <c r="I2000" s="60"/>
      <c r="J2000" s="60"/>
      <c r="K2000" s="60">
        <f>ROUND(F1990*H2000,4)</f>
        <v>314.94420000000002</v>
      </c>
      <c r="L2000" s="60"/>
    </row>
    <row r="2001" spans="1:12" x14ac:dyDescent="0.25">
      <c r="A2001" s="56"/>
      <c r="B2001" s="23"/>
      <c r="C2001" s="88"/>
      <c r="D2001" s="23" t="s">
        <v>378</v>
      </c>
      <c r="E2001" s="56"/>
      <c r="F2001" s="118"/>
      <c r="G2001" s="118"/>
      <c r="H2001" s="118"/>
      <c r="I2001" s="118"/>
      <c r="J2001" s="118"/>
      <c r="K2001" s="118"/>
      <c r="L2001" s="118"/>
    </row>
    <row r="2002" spans="1:12" x14ac:dyDescent="0.25">
      <c r="A2002" s="168"/>
      <c r="B2002" s="144" t="str">
        <f>'Máy thi công'!B6</f>
        <v>M9438</v>
      </c>
      <c r="C2002" s="34">
        <v>714</v>
      </c>
      <c r="D2002" s="144" t="str">
        <f>" - " &amp; 'Máy thi công'!D6</f>
        <v xml:space="preserve"> - Biến thế hàn xoay chiều - công suất: 23 kW</v>
      </c>
      <c r="E2002" s="168" t="str">
        <f>'Máy thi công'!E6</f>
        <v>ca</v>
      </c>
      <c r="F2002" s="60"/>
      <c r="G2002" s="60"/>
      <c r="H2002" s="60"/>
      <c r="I2002" s="60">
        <v>1.5</v>
      </c>
      <c r="J2002" s="60"/>
      <c r="K2002" s="60"/>
      <c r="L2002" s="60">
        <f>ROUND(F1990*I2002,4)</f>
        <v>21.328099999999999</v>
      </c>
    </row>
    <row r="2003" spans="1:12" x14ac:dyDescent="0.25">
      <c r="A2003" s="168"/>
      <c r="B2003" s="144" t="str">
        <f>'Máy thi công'!B281</f>
        <v>M112.1502</v>
      </c>
      <c r="C2003" s="34">
        <v>702</v>
      </c>
      <c r="D2003" s="144" t="str">
        <f>" - " &amp; 'Máy thi công'!D281</f>
        <v xml:space="preserve"> - Máy khoan đứng - công suất: 4,5 kW</v>
      </c>
      <c r="E2003" s="168" t="str">
        <f>'Máy thi công'!E281</f>
        <v>ca</v>
      </c>
      <c r="F2003" s="60"/>
      <c r="G2003" s="60"/>
      <c r="H2003" s="60"/>
      <c r="I2003" s="60">
        <v>1.78</v>
      </c>
      <c r="J2003" s="60"/>
      <c r="K2003" s="60"/>
      <c r="L2003" s="60">
        <f>ROUND(F1990*I2003,4)</f>
        <v>25.3093</v>
      </c>
    </row>
    <row r="2004" spans="1:12" x14ac:dyDescent="0.25">
      <c r="A2004" s="168"/>
      <c r="B2004" s="144" t="str">
        <f>'Máy thi công'!B295</f>
        <v>M9537</v>
      </c>
      <c r="C2004" s="34">
        <v>740</v>
      </c>
      <c r="D2004" s="144" t="str">
        <f>" - " &amp; 'Máy thi công'!D295</f>
        <v xml:space="preserve"> - Máy nén khí, động cơ diezel - năng suất: 240 m3/h</v>
      </c>
      <c r="E2004" s="168" t="str">
        <f>'Máy thi công'!E295</f>
        <v>ca</v>
      </c>
      <c r="F2004" s="60"/>
      <c r="G2004" s="60"/>
      <c r="H2004" s="60"/>
      <c r="I2004" s="60">
        <v>0.89</v>
      </c>
      <c r="J2004" s="60"/>
      <c r="K2004" s="60"/>
      <c r="L2004" s="60">
        <f>ROUND(F1990*I2004,4)</f>
        <v>12.6546</v>
      </c>
    </row>
    <row r="2005" spans="1:12" x14ac:dyDescent="0.25">
      <c r="A2005" s="168"/>
      <c r="B2005" s="144" t="str">
        <f>'Máy thi công'!B398</f>
        <v>M0111</v>
      </c>
      <c r="C2005" s="34">
        <v>690</v>
      </c>
      <c r="D2005" s="144" t="str">
        <f>" - " &amp; 'Máy thi công'!D398</f>
        <v xml:space="preserve"> - Máy khác</v>
      </c>
      <c r="E2005" s="168" t="str">
        <f>'Máy thi công'!E398</f>
        <v>%</v>
      </c>
      <c r="F2005" s="60"/>
      <c r="G2005" s="60"/>
      <c r="H2005" s="60"/>
      <c r="I2005" s="60">
        <v>1</v>
      </c>
      <c r="J2005" s="60"/>
      <c r="K2005" s="60"/>
      <c r="L2005" s="60"/>
    </row>
    <row r="2006" spans="1:12" x14ac:dyDescent="0.25">
      <c r="A2006" s="65">
        <f>'Công trình'!A263</f>
        <v>211</v>
      </c>
      <c r="B2006" s="14" t="str">
        <f>'Công trình'!B263</f>
        <v>AI.63211</v>
      </c>
      <c r="C2006" s="94"/>
      <c r="D2006" s="14" t="str">
        <f>'Công trình'!C263</f>
        <v>Lắp dựng lan can sắt, vữa XM mác 75</v>
      </c>
      <c r="E2006" s="46" t="str">
        <f>'Công trình'!D263</f>
        <v>m2</v>
      </c>
      <c r="F2006" s="106">
        <f>'Công trình'!K263</f>
        <v>105.3</v>
      </c>
      <c r="G2006" s="126"/>
      <c r="H2006" s="126"/>
      <c r="I2006" s="126"/>
      <c r="J2006" s="126"/>
      <c r="K2006" s="126"/>
      <c r="L2006" s="126"/>
    </row>
    <row r="2007" spans="1:12" x14ac:dyDescent="0.25">
      <c r="A2007" s="56"/>
      <c r="B2007" s="23"/>
      <c r="C2007" s="88"/>
      <c r="D2007" s="23" t="s">
        <v>479</v>
      </c>
      <c r="E2007" s="56"/>
      <c r="F2007" s="118"/>
      <c r="G2007" s="118"/>
      <c r="H2007" s="118"/>
      <c r="I2007" s="118"/>
      <c r="J2007" s="118"/>
      <c r="K2007" s="118"/>
      <c r="L2007" s="118"/>
    </row>
    <row r="2008" spans="1:12" x14ac:dyDescent="0.25">
      <c r="A2008" s="168"/>
      <c r="B2008" s="144" t="str">
        <f>'Vật liệu'!B450</f>
        <v>V00515</v>
      </c>
      <c r="C2008" s="34">
        <v>154</v>
      </c>
      <c r="D2008" s="144" t="str">
        <f>" - " &amp; 'Vật liệu'!D450</f>
        <v xml:space="preserve"> - Que hàn</v>
      </c>
      <c r="E2008" s="168" t="str">
        <f>'Vật liệu'!E450</f>
        <v>kg</v>
      </c>
      <c r="F2008" s="60"/>
      <c r="G2008" s="60">
        <v>0.2</v>
      </c>
      <c r="H2008" s="60"/>
      <c r="I2008" s="60"/>
      <c r="J2008" s="60">
        <f>ROUND(F2006*G2008,4)</f>
        <v>21.06</v>
      </c>
      <c r="K2008" s="60"/>
      <c r="L2008" s="60"/>
    </row>
    <row r="2009" spans="1:12" x14ac:dyDescent="0.25">
      <c r="A2009" s="168"/>
      <c r="B2009" s="144" t="str">
        <f>'Vật liệu'!B721</f>
        <v>V00761</v>
      </c>
      <c r="C2009" s="34">
        <v>397</v>
      </c>
      <c r="D2009" s="144" t="str">
        <f>" - " &amp; 'Vật liệu'!D721</f>
        <v xml:space="preserve"> - Xi măng PC40</v>
      </c>
      <c r="E2009" s="168" t="str">
        <f>'Vật liệu'!E721</f>
        <v>kg</v>
      </c>
      <c r="F2009" s="60"/>
      <c r="G2009" s="60">
        <v>0.61760000000000004</v>
      </c>
      <c r="H2009" s="60"/>
      <c r="I2009" s="60"/>
      <c r="J2009" s="60">
        <f>ROUND(F2006*G2009,4)</f>
        <v>65.033299999999997</v>
      </c>
      <c r="K2009" s="60"/>
      <c r="L2009" s="60"/>
    </row>
    <row r="2010" spans="1:12" x14ac:dyDescent="0.25">
      <c r="A2010" s="168"/>
      <c r="B2010" s="144" t="str">
        <f>'Vật liệu'!B50</f>
        <v>V00108</v>
      </c>
      <c r="C2010" s="34">
        <v>124</v>
      </c>
      <c r="D2010" s="144" t="str">
        <f>" - " &amp; 'Vật liệu'!D50</f>
        <v xml:space="preserve"> - Cát mịn ML=1,5-2,0</v>
      </c>
      <c r="E2010" s="168" t="str">
        <f>'Vật liệu'!E50</f>
        <v>m3</v>
      </c>
      <c r="F2010" s="60"/>
      <c r="G2010" s="60">
        <v>2.8E-3</v>
      </c>
      <c r="H2010" s="60"/>
      <c r="I2010" s="60"/>
      <c r="J2010" s="60">
        <f>ROUND(F2006*G2010,4)</f>
        <v>0.29480000000000001</v>
      </c>
      <c r="K2010" s="60"/>
      <c r="L2010" s="60"/>
    </row>
    <row r="2011" spans="1:12" x14ac:dyDescent="0.25">
      <c r="A2011" s="168"/>
      <c r="B2011" s="144" t="str">
        <f>'Vật liệu'!B353</f>
        <v>V00494</v>
      </c>
      <c r="C2011" s="34">
        <v>148</v>
      </c>
      <c r="D2011" s="144" t="str">
        <f>" - " &amp; 'Vật liệu'!D353</f>
        <v xml:space="preserve"> - Nước</v>
      </c>
      <c r="E2011" s="168" t="str">
        <f>'Vật liệu'!E353</f>
        <v>lít</v>
      </c>
      <c r="F2011" s="60"/>
      <c r="G2011" s="60">
        <v>0.65</v>
      </c>
      <c r="H2011" s="60"/>
      <c r="I2011" s="60"/>
      <c r="J2011" s="60">
        <f>ROUND(F2006*G2011,4)</f>
        <v>68.444999999999993</v>
      </c>
      <c r="K2011" s="60"/>
      <c r="L2011" s="60"/>
    </row>
    <row r="2012" spans="1:12" x14ac:dyDescent="0.25">
      <c r="A2012" s="168"/>
      <c r="B2012" s="144" t="str">
        <f>'Vật liệu'!B766</f>
        <v>V00750</v>
      </c>
      <c r="C2012" s="34">
        <v>326</v>
      </c>
      <c r="D2012" s="144" t="str">
        <f>" - " &amp; 'Vật liệu'!D766</f>
        <v xml:space="preserve"> - Vật liệu khác</v>
      </c>
      <c r="E2012" s="168" t="str">
        <f>'Vật liệu'!E766</f>
        <v>%</v>
      </c>
      <c r="F2012" s="60"/>
      <c r="G2012" s="60">
        <v>5</v>
      </c>
      <c r="H2012" s="60"/>
      <c r="I2012" s="60"/>
      <c r="J2012" s="60"/>
      <c r="K2012" s="60"/>
      <c r="L2012" s="60"/>
    </row>
    <row r="2013" spans="1:12" x14ac:dyDescent="0.25">
      <c r="A2013" s="56"/>
      <c r="B2013" s="23"/>
      <c r="C2013" s="88"/>
      <c r="D2013" s="23" t="s">
        <v>202</v>
      </c>
      <c r="E2013" s="56"/>
      <c r="F2013" s="118"/>
      <c r="G2013" s="118"/>
      <c r="H2013" s="118"/>
      <c r="I2013" s="118"/>
      <c r="J2013" s="118"/>
      <c r="K2013" s="118"/>
      <c r="L2013" s="118"/>
    </row>
    <row r="2014" spans="1:12" x14ac:dyDescent="0.25">
      <c r="A2014" s="168"/>
      <c r="B2014" s="144" t="str">
        <f>'Nhân công'!B130</f>
        <v>N0011</v>
      </c>
      <c r="C2014" s="34">
        <v>550</v>
      </c>
      <c r="D2014" s="144" t="s">
        <v>671</v>
      </c>
      <c r="E2014" s="168" t="str">
        <f>'Nhân công'!G130</f>
        <v>công</v>
      </c>
      <c r="F2014" s="60"/>
      <c r="G2014" s="60"/>
      <c r="H2014" s="60">
        <v>0.4</v>
      </c>
      <c r="I2014" s="60"/>
      <c r="J2014" s="60"/>
      <c r="K2014" s="60">
        <f>ROUND(F2006*H2014,4)</f>
        <v>42.12</v>
      </c>
      <c r="L2014" s="60"/>
    </row>
    <row r="2015" spans="1:12" x14ac:dyDescent="0.25">
      <c r="A2015" s="56"/>
      <c r="B2015" s="23"/>
      <c r="C2015" s="88"/>
      <c r="D2015" s="23" t="s">
        <v>378</v>
      </c>
      <c r="E2015" s="56"/>
      <c r="F2015" s="118"/>
      <c r="G2015" s="118"/>
      <c r="H2015" s="118"/>
      <c r="I2015" s="118"/>
      <c r="J2015" s="118"/>
      <c r="K2015" s="118"/>
      <c r="L2015" s="118"/>
    </row>
    <row r="2016" spans="1:12" x14ac:dyDescent="0.25">
      <c r="A2016" s="168"/>
      <c r="B2016" s="144" t="str">
        <f>'Máy thi công'!B6</f>
        <v>M9438</v>
      </c>
      <c r="C2016" s="34">
        <v>714</v>
      </c>
      <c r="D2016" s="144" t="str">
        <f>" - " &amp; 'Máy thi công'!D6</f>
        <v xml:space="preserve"> - Biến thế hàn xoay chiều - công suất: 23 kW</v>
      </c>
      <c r="E2016" s="168" t="str">
        <f>'Máy thi công'!E6</f>
        <v>ca</v>
      </c>
      <c r="F2016" s="60"/>
      <c r="G2016" s="60"/>
      <c r="H2016" s="60"/>
      <c r="I2016" s="60">
        <v>0.1</v>
      </c>
      <c r="J2016" s="60"/>
      <c r="K2016" s="60"/>
      <c r="L2016" s="60">
        <f>ROUND(F2006*I2016,4)</f>
        <v>10.53</v>
      </c>
    </row>
    <row r="2017" spans="1:12" x14ac:dyDescent="0.25">
      <c r="A2017" s="65">
        <f>'Công trình'!A264</f>
        <v>212</v>
      </c>
      <c r="B2017" s="14" t="str">
        <f>'Công trình'!B264</f>
        <v>TT</v>
      </c>
      <c r="C2017" s="94"/>
      <c r="D2017" s="14" t="str">
        <f>'Công trình'!C264</f>
        <v>Bu long các loại</v>
      </c>
      <c r="E2017" s="46" t="str">
        <f>'Công trình'!D264</f>
        <v>bộ</v>
      </c>
      <c r="F2017" s="106">
        <f>'Công trình'!K264</f>
        <v>1750</v>
      </c>
      <c r="G2017" s="126"/>
      <c r="H2017" s="126"/>
      <c r="I2017" s="126"/>
      <c r="J2017" s="126"/>
      <c r="K2017" s="126"/>
      <c r="L2017" s="126"/>
    </row>
    <row r="2018" spans="1:12" x14ac:dyDescent="0.25">
      <c r="A2018" s="56"/>
      <c r="B2018" s="23"/>
      <c r="C2018" s="88"/>
      <c r="D2018" s="23" t="s">
        <v>479</v>
      </c>
      <c r="E2018" s="56"/>
      <c r="F2018" s="118"/>
      <c r="G2018" s="118"/>
      <c r="H2018" s="118"/>
      <c r="I2018" s="118"/>
      <c r="J2018" s="118"/>
      <c r="K2018" s="118"/>
      <c r="L2018" s="118"/>
    </row>
    <row r="2019" spans="1:12" x14ac:dyDescent="0.25">
      <c r="A2019" s="168"/>
      <c r="B2019" s="144" t="str">
        <f>'Vật liệu'!B12</f>
        <v>V00014</v>
      </c>
      <c r="C2019" s="34">
        <v>113</v>
      </c>
      <c r="D2019" s="144" t="str">
        <f>" - " &amp; 'Vật liệu'!D12</f>
        <v xml:space="preserve"> - Bu lông các loại</v>
      </c>
      <c r="E2019" s="168" t="str">
        <f>'Vật liệu'!E12</f>
        <v>cái</v>
      </c>
      <c r="F2019" s="60"/>
      <c r="G2019" s="60">
        <v>1</v>
      </c>
      <c r="H2019" s="60"/>
      <c r="I2019" s="60"/>
      <c r="J2019" s="60">
        <f>ROUND(F2017*G2019,4)</f>
        <v>1750</v>
      </c>
      <c r="K2019" s="60"/>
      <c r="L2019" s="60"/>
    </row>
    <row r="2020" spans="1:12" x14ac:dyDescent="0.25">
      <c r="A2020" s="65">
        <f>'Công trình'!A265</f>
        <v>213</v>
      </c>
      <c r="B2020" s="14" t="str">
        <f>'Công trình'!B265</f>
        <v>AK.41115</v>
      </c>
      <c r="C2020" s="94"/>
      <c r="D2020" s="14" t="str">
        <f>'Công trình'!C265</f>
        <v>Vữa xi măng M100</v>
      </c>
      <c r="E2020" s="46" t="str">
        <f>'Công trình'!D265</f>
        <v>m2</v>
      </c>
      <c r="F2020" s="106">
        <f>'Công trình'!K265</f>
        <v>16</v>
      </c>
      <c r="G2020" s="126"/>
      <c r="H2020" s="126"/>
      <c r="I2020" s="126"/>
      <c r="J2020" s="126"/>
      <c r="K2020" s="126"/>
      <c r="L2020" s="126"/>
    </row>
    <row r="2021" spans="1:12" x14ac:dyDescent="0.25">
      <c r="A2021" s="56"/>
      <c r="B2021" s="23"/>
      <c r="C2021" s="88"/>
      <c r="D2021" s="23" t="s">
        <v>479</v>
      </c>
      <c r="E2021" s="56"/>
      <c r="F2021" s="118"/>
      <c r="G2021" s="118"/>
      <c r="H2021" s="118"/>
      <c r="I2021" s="118"/>
      <c r="J2021" s="118"/>
      <c r="K2021" s="118"/>
      <c r="L2021" s="118"/>
    </row>
    <row r="2022" spans="1:12" x14ac:dyDescent="0.25">
      <c r="A2022" s="168"/>
      <c r="B2022" s="144" t="str">
        <f>'Vật liệu'!B721</f>
        <v>V00761</v>
      </c>
      <c r="C2022" s="34">
        <v>397</v>
      </c>
      <c r="D2022" s="144" t="str">
        <f>" - " &amp; 'Vật liệu'!D721</f>
        <v xml:space="preserve"> - Xi măng PC40</v>
      </c>
      <c r="E2022" s="168" t="str">
        <f>'Vật liệu'!E721</f>
        <v>kg</v>
      </c>
      <c r="F2022" s="60"/>
      <c r="G2022" s="60">
        <v>7.4255000000000004</v>
      </c>
      <c r="H2022" s="60"/>
      <c r="I2022" s="60"/>
      <c r="J2022" s="60">
        <f>ROUND(F2020*G2022,4)</f>
        <v>118.80800000000001</v>
      </c>
      <c r="K2022" s="60"/>
      <c r="L2022" s="60"/>
    </row>
    <row r="2023" spans="1:12" x14ac:dyDescent="0.25">
      <c r="A2023" s="168"/>
      <c r="B2023" s="144" t="str">
        <f>'Vật liệu'!B54</f>
        <v>V00112</v>
      </c>
      <c r="C2023" s="34">
        <v>125</v>
      </c>
      <c r="D2023" s="144" t="str">
        <f>" - " &amp; 'Vật liệu'!D54</f>
        <v xml:space="preserve"> - Cát vàng</v>
      </c>
      <c r="E2023" s="168" t="str">
        <f>'Vật liệu'!E54</f>
        <v>m3</v>
      </c>
      <c r="F2023" s="60"/>
      <c r="G2023" s="60">
        <v>2.7799999999999998E-2</v>
      </c>
      <c r="H2023" s="60"/>
      <c r="I2023" s="60"/>
      <c r="J2023" s="60">
        <f>ROUND(F2020*G2023,4)</f>
        <v>0.44479999999999997</v>
      </c>
      <c r="K2023" s="60"/>
      <c r="L2023" s="60"/>
    </row>
    <row r="2024" spans="1:12" x14ac:dyDescent="0.25">
      <c r="A2024" s="168"/>
      <c r="B2024" s="144" t="str">
        <f>'Vật liệu'!B353</f>
        <v>V00494</v>
      </c>
      <c r="C2024" s="34">
        <v>148</v>
      </c>
      <c r="D2024" s="144" t="str">
        <f>" - " &amp; 'Vật liệu'!D353</f>
        <v xml:space="preserve"> - Nước</v>
      </c>
      <c r="E2024" s="168" t="str">
        <f>'Vật liệu'!E353</f>
        <v>lít</v>
      </c>
      <c r="F2024" s="60"/>
      <c r="G2024" s="60">
        <v>6.5</v>
      </c>
      <c r="H2024" s="60"/>
      <c r="I2024" s="60"/>
      <c r="J2024" s="60">
        <f>ROUND(F2020*G2024,4)</f>
        <v>104</v>
      </c>
      <c r="K2024" s="60"/>
      <c r="L2024" s="60"/>
    </row>
    <row r="2025" spans="1:12" x14ac:dyDescent="0.25">
      <c r="A2025" s="56"/>
      <c r="B2025" s="23"/>
      <c r="C2025" s="88"/>
      <c r="D2025" s="23" t="s">
        <v>202</v>
      </c>
      <c r="E2025" s="56"/>
      <c r="F2025" s="118"/>
      <c r="G2025" s="118"/>
      <c r="H2025" s="118"/>
      <c r="I2025" s="118"/>
      <c r="J2025" s="118"/>
      <c r="K2025" s="118"/>
      <c r="L2025" s="118"/>
    </row>
    <row r="2026" spans="1:12" x14ac:dyDescent="0.25">
      <c r="A2026" s="168"/>
      <c r="B2026" s="144" t="str">
        <f>'Nhân công'!B130</f>
        <v>N0011</v>
      </c>
      <c r="C2026" s="34">
        <v>550</v>
      </c>
      <c r="D2026" s="144" t="s">
        <v>671</v>
      </c>
      <c r="E2026" s="168" t="str">
        <f>'Nhân công'!G130</f>
        <v>công</v>
      </c>
      <c r="F2026" s="60"/>
      <c r="G2026" s="60"/>
      <c r="H2026" s="60">
        <v>6.8000000000000005E-2</v>
      </c>
      <c r="I2026" s="60"/>
      <c r="J2026" s="60"/>
      <c r="K2026" s="60">
        <f>ROUND(F2020*H2026,4)</f>
        <v>1.0880000000000001</v>
      </c>
      <c r="L2026" s="60"/>
    </row>
    <row r="2027" spans="1:12" x14ac:dyDescent="0.25">
      <c r="A2027" s="56"/>
      <c r="B2027" s="23"/>
      <c r="C2027" s="88"/>
      <c r="D2027" s="23" t="s">
        <v>378</v>
      </c>
      <c r="E2027" s="56"/>
      <c r="F2027" s="118"/>
      <c r="G2027" s="118"/>
      <c r="H2027" s="118"/>
      <c r="I2027" s="118"/>
      <c r="J2027" s="118"/>
      <c r="K2027" s="118"/>
      <c r="L2027" s="118"/>
    </row>
    <row r="2028" spans="1:12" x14ac:dyDescent="0.25">
      <c r="A2028" s="168"/>
      <c r="B2028" s="144" t="str">
        <f>'Máy thi công'!B341</f>
        <v>M9558</v>
      </c>
      <c r="C2028" s="34">
        <v>745</v>
      </c>
      <c r="D2028" s="144" t="str">
        <f>" - " &amp; 'Máy thi công'!D341</f>
        <v xml:space="preserve"> - Máy trộn vữa - dung tích: 80 lít</v>
      </c>
      <c r="E2028" s="168" t="str">
        <f>'Máy thi công'!E341</f>
        <v>ca</v>
      </c>
      <c r="F2028" s="60"/>
      <c r="G2028" s="60"/>
      <c r="H2028" s="60"/>
      <c r="I2028" s="60">
        <v>3.0000000000000001E-3</v>
      </c>
      <c r="J2028" s="60"/>
      <c r="K2028" s="60"/>
      <c r="L2028" s="60">
        <f>ROUND(F2020*I2028,4)</f>
        <v>4.8000000000000001E-2</v>
      </c>
    </row>
    <row r="2029" spans="1:12" ht="28.5" x14ac:dyDescent="0.25">
      <c r="A2029" s="65">
        <f>'Công trình'!A267</f>
        <v>214</v>
      </c>
      <c r="B2029" s="14" t="str">
        <f>'Công trình'!B267</f>
        <v>AF.11212</v>
      </c>
      <c r="C2029" s="94"/>
      <c r="D2029" s="14" t="str">
        <f>'Công trình'!C267</f>
        <v>Bê tông móng rộng &lt;=250cm đá 1x2, vữa BT mác 150</v>
      </c>
      <c r="E2029" s="46" t="str">
        <f>'Công trình'!D267</f>
        <v>m3</v>
      </c>
      <c r="F2029" s="106">
        <f>'Công trình'!K267</f>
        <v>3.4</v>
      </c>
      <c r="G2029" s="126"/>
      <c r="H2029" s="126"/>
      <c r="I2029" s="126"/>
      <c r="J2029" s="126"/>
      <c r="K2029" s="126"/>
      <c r="L2029" s="126"/>
    </row>
    <row r="2030" spans="1:12" x14ac:dyDescent="0.25">
      <c r="A2030" s="56"/>
      <c r="B2030" s="23"/>
      <c r="C2030" s="88"/>
      <c r="D2030" s="23" t="s">
        <v>479</v>
      </c>
      <c r="E2030" s="56"/>
      <c r="F2030" s="118"/>
      <c r="G2030" s="118"/>
      <c r="H2030" s="118"/>
      <c r="I2030" s="118"/>
      <c r="J2030" s="118"/>
      <c r="K2030" s="118"/>
      <c r="L2030" s="118"/>
    </row>
    <row r="2031" spans="1:12" x14ac:dyDescent="0.25">
      <c r="A2031" s="168"/>
      <c r="B2031" s="144" t="str">
        <f>'Vật liệu'!B721</f>
        <v>V00761</v>
      </c>
      <c r="C2031" s="34">
        <v>397</v>
      </c>
      <c r="D2031" s="144" t="str">
        <f>" - " &amp; 'Vật liệu'!D721</f>
        <v xml:space="preserve"> - Xi măng PC40</v>
      </c>
      <c r="E2031" s="168" t="str">
        <f>'Vật liệu'!E721</f>
        <v>kg</v>
      </c>
      <c r="F2031" s="60"/>
      <c r="G2031" s="60">
        <v>238.82499999999999</v>
      </c>
      <c r="H2031" s="60"/>
      <c r="I2031" s="60"/>
      <c r="J2031" s="60">
        <f>ROUND(F2029*G2031,4)</f>
        <v>812.005</v>
      </c>
      <c r="K2031" s="60"/>
      <c r="L2031" s="60"/>
    </row>
    <row r="2032" spans="1:12" x14ac:dyDescent="0.25">
      <c r="A2032" s="168"/>
      <c r="B2032" s="144" t="str">
        <f>'Vật liệu'!B54</f>
        <v>V00112</v>
      </c>
      <c r="C2032" s="34">
        <v>125</v>
      </c>
      <c r="D2032" s="144" t="str">
        <f>" - " &amp; 'Vật liệu'!D54</f>
        <v xml:space="preserve"> - Cát vàng</v>
      </c>
      <c r="E2032" s="168" t="str">
        <f>'Vật liệu'!E54</f>
        <v>m3</v>
      </c>
      <c r="F2032" s="60"/>
      <c r="G2032" s="60">
        <v>0.52280000000000004</v>
      </c>
      <c r="H2032" s="60"/>
      <c r="I2032" s="60"/>
      <c r="J2032" s="60">
        <f>ROUND(F2029*G2032,4)</f>
        <v>1.7775000000000001</v>
      </c>
      <c r="K2032" s="60"/>
      <c r="L2032" s="60"/>
    </row>
    <row r="2033" spans="1:12" x14ac:dyDescent="0.25">
      <c r="A2033" s="168"/>
      <c r="B2033" s="144" t="str">
        <f>'Vật liệu'!B142</f>
        <v>V05207</v>
      </c>
      <c r="C2033" s="34">
        <v>416</v>
      </c>
      <c r="D2033" s="144" t="str">
        <f>" - " &amp; 'Vật liệu'!D142</f>
        <v xml:space="preserve"> - Đá 1x2</v>
      </c>
      <c r="E2033" s="168" t="str">
        <f>'Vật liệu'!E142</f>
        <v>m3</v>
      </c>
      <c r="F2033" s="60"/>
      <c r="G2033" s="60">
        <v>0.92559999999999998</v>
      </c>
      <c r="H2033" s="60"/>
      <c r="I2033" s="60"/>
      <c r="J2033" s="60">
        <f>ROUND(F2029*G2033,4)</f>
        <v>3.1469999999999998</v>
      </c>
      <c r="K2033" s="60"/>
      <c r="L2033" s="60"/>
    </row>
    <row r="2034" spans="1:12" x14ac:dyDescent="0.25">
      <c r="A2034" s="168"/>
      <c r="B2034" s="144" t="str">
        <f>'Vật liệu'!B353</f>
        <v>V00494</v>
      </c>
      <c r="C2034" s="34">
        <v>148</v>
      </c>
      <c r="D2034" s="144" t="str">
        <f>" - " &amp; 'Vật liệu'!D353</f>
        <v xml:space="preserve"> - Nước</v>
      </c>
      <c r="E2034" s="168" t="str">
        <f>'Vật liệu'!E353</f>
        <v>lít</v>
      </c>
      <c r="F2034" s="60"/>
      <c r="G2034" s="60">
        <v>189.625</v>
      </c>
      <c r="H2034" s="60"/>
      <c r="I2034" s="60"/>
      <c r="J2034" s="60">
        <f>ROUND(F2029*G2034,4)</f>
        <v>644.72500000000002</v>
      </c>
      <c r="K2034" s="60"/>
      <c r="L2034" s="60"/>
    </row>
    <row r="2035" spans="1:12" x14ac:dyDescent="0.25">
      <c r="A2035" s="168"/>
      <c r="B2035" s="144" t="str">
        <f>'Vật liệu'!B766</f>
        <v>V00750</v>
      </c>
      <c r="C2035" s="34">
        <v>327</v>
      </c>
      <c r="D2035" s="144" t="str">
        <f>" - " &amp; 'Vật liệu'!D766</f>
        <v xml:space="preserve"> - Vật liệu khác</v>
      </c>
      <c r="E2035" s="168" t="str">
        <f>'Vật liệu'!E766</f>
        <v>%</v>
      </c>
      <c r="F2035" s="60"/>
      <c r="G2035" s="60">
        <v>1</v>
      </c>
      <c r="H2035" s="60"/>
      <c r="I2035" s="60"/>
      <c r="J2035" s="60"/>
      <c r="K2035" s="60"/>
      <c r="L2035" s="60"/>
    </row>
    <row r="2036" spans="1:12" x14ac:dyDescent="0.25">
      <c r="A2036" s="56"/>
      <c r="B2036" s="23"/>
      <c r="C2036" s="88"/>
      <c r="D2036" s="23" t="s">
        <v>202</v>
      </c>
      <c r="E2036" s="56"/>
      <c r="F2036" s="118"/>
      <c r="G2036" s="118"/>
      <c r="H2036" s="118"/>
      <c r="I2036" s="118"/>
      <c r="J2036" s="118"/>
      <c r="K2036" s="118"/>
      <c r="L2036" s="118"/>
    </row>
    <row r="2037" spans="1:12" x14ac:dyDescent="0.25">
      <c r="A2037" s="168"/>
      <c r="B2037" s="144" t="str">
        <f>'Nhân công'!B6</f>
        <v>N0006</v>
      </c>
      <c r="C2037" s="34">
        <v>545</v>
      </c>
      <c r="D2037" s="144" t="s">
        <v>256</v>
      </c>
      <c r="E2037" s="168" t="str">
        <f>'Nhân công'!G6</f>
        <v>công</v>
      </c>
      <c r="F2037" s="60"/>
      <c r="G2037" s="60"/>
      <c r="H2037" s="60">
        <v>1.64</v>
      </c>
      <c r="I2037" s="60"/>
      <c r="J2037" s="60"/>
      <c r="K2037" s="60">
        <f>ROUND(F2029*H2037,4)</f>
        <v>5.5759999999999996</v>
      </c>
      <c r="L2037" s="60"/>
    </row>
    <row r="2038" spans="1:12" x14ac:dyDescent="0.25">
      <c r="A2038" s="56"/>
      <c r="B2038" s="23"/>
      <c r="C2038" s="88"/>
      <c r="D2038" s="23" t="s">
        <v>378</v>
      </c>
      <c r="E2038" s="56"/>
      <c r="F2038" s="118"/>
      <c r="G2038" s="118"/>
      <c r="H2038" s="118"/>
      <c r="I2038" s="118"/>
      <c r="J2038" s="118"/>
      <c r="K2038" s="118"/>
      <c r="L2038" s="118"/>
    </row>
    <row r="2039" spans="1:12" x14ac:dyDescent="0.25">
      <c r="A2039" s="168"/>
      <c r="B2039" s="144" t="str">
        <f>'Máy thi công'!B232</f>
        <v>M9571</v>
      </c>
      <c r="C2039" s="34">
        <v>750</v>
      </c>
      <c r="D2039" s="144" t="str">
        <f>" - " &amp; 'Máy thi công'!D232</f>
        <v xml:space="preserve"> - Máy đầm bê tông, dầm dùi - công suất: 1,5 kW</v>
      </c>
      <c r="E2039" s="168" t="str">
        <f>'Máy thi công'!E232</f>
        <v>ca</v>
      </c>
      <c r="F2039" s="60"/>
      <c r="G2039" s="60"/>
      <c r="H2039" s="60"/>
      <c r="I2039" s="60">
        <v>8.8999999999999996E-2</v>
      </c>
      <c r="J2039" s="60"/>
      <c r="K2039" s="60"/>
      <c r="L2039" s="60">
        <f>ROUND(F2029*I2039,4)</f>
        <v>0.30259999999999998</v>
      </c>
    </row>
    <row r="2040" spans="1:12" x14ac:dyDescent="0.25">
      <c r="A2040" s="168"/>
      <c r="B2040" s="144" t="str">
        <f>'Máy thi công'!B306</f>
        <v>M9555</v>
      </c>
      <c r="C2040" s="34">
        <v>744</v>
      </c>
      <c r="D2040" s="144" t="str">
        <f>" - " &amp; 'Máy thi công'!D306</f>
        <v xml:space="preserve"> - Máy trộn bê tông - dung tích: 250 lít</v>
      </c>
      <c r="E2040" s="168" t="str">
        <f>'Máy thi công'!E306</f>
        <v>ca</v>
      </c>
      <c r="F2040" s="60"/>
      <c r="G2040" s="60"/>
      <c r="H2040" s="60"/>
      <c r="I2040" s="60">
        <v>9.5000000000000001E-2</v>
      </c>
      <c r="J2040" s="60"/>
      <c r="K2040" s="60"/>
      <c r="L2040" s="60">
        <f>ROUND(F2029*I2040,4)</f>
        <v>0.32300000000000001</v>
      </c>
    </row>
    <row r="2041" spans="1:12" x14ac:dyDescent="0.25">
      <c r="A2041" s="65">
        <f>'Công trình'!A268</f>
        <v>215</v>
      </c>
      <c r="B2041" s="14" t="str">
        <f>'Công trình'!B268</f>
        <v>BB.14211</v>
      </c>
      <c r="C2041" s="94"/>
      <c r="D2041" s="14" t="str">
        <f>'Công trình'!C268</f>
        <v>Ống thép Þ120 dày 2 mm</v>
      </c>
      <c r="E2041" s="46" t="str">
        <f>'Công trình'!D268</f>
        <v>100m</v>
      </c>
      <c r="F2041" s="106">
        <f>'Công trình'!K268</f>
        <v>0.71</v>
      </c>
      <c r="G2041" s="126"/>
      <c r="H2041" s="126"/>
      <c r="I2041" s="126"/>
      <c r="J2041" s="126"/>
      <c r="K2041" s="126"/>
      <c r="L2041" s="126"/>
    </row>
    <row r="2042" spans="1:12" x14ac:dyDescent="0.25">
      <c r="A2042" s="56"/>
      <c r="B2042" s="23"/>
      <c r="C2042" s="88"/>
      <c r="D2042" s="23" t="s">
        <v>479</v>
      </c>
      <c r="E2042" s="56"/>
      <c r="F2042" s="118"/>
      <c r="G2042" s="118"/>
      <c r="H2042" s="118"/>
      <c r="I2042" s="118"/>
      <c r="J2042" s="118"/>
      <c r="K2042" s="118"/>
      <c r="L2042" s="118"/>
    </row>
    <row r="2043" spans="1:12" x14ac:dyDescent="0.25">
      <c r="A2043" s="168"/>
      <c r="B2043" s="144" t="str">
        <f>'Vật liệu'!B529</f>
        <v>V02269</v>
      </c>
      <c r="C2043" s="34">
        <v>412</v>
      </c>
      <c r="D2043" s="144" t="str">
        <f>" - " &amp; 'Vật liệu'!D529</f>
        <v xml:space="preserve"> - Que hàn không rỉ</v>
      </c>
      <c r="E2043" s="168" t="str">
        <f>'Vật liệu'!E529</f>
        <v>kg</v>
      </c>
      <c r="F2043" s="60"/>
      <c r="G2043" s="60">
        <v>1.82</v>
      </c>
      <c r="H2043" s="60"/>
      <c r="I2043" s="60"/>
      <c r="J2043" s="60">
        <f>ROUND(F2041*G2043,4)</f>
        <v>1.2922</v>
      </c>
      <c r="K2043" s="60"/>
      <c r="L2043" s="60"/>
    </row>
    <row r="2044" spans="1:12" x14ac:dyDescent="0.25">
      <c r="A2044" s="168"/>
      <c r="B2044" s="144" t="str">
        <f>'Vật liệu'!B430</f>
        <v>V49033</v>
      </c>
      <c r="C2044" s="34">
        <v>508</v>
      </c>
      <c r="D2044" s="144" t="str">
        <f>" - " &amp; 'Vật liệu'!D430</f>
        <v xml:space="preserve"> - Ống thép không rỉ đường kính 125mm</v>
      </c>
      <c r="E2044" s="168" t="str">
        <f>'Vật liệu'!E430</f>
        <v>m</v>
      </c>
      <c r="F2044" s="60"/>
      <c r="G2044" s="60">
        <v>100.5</v>
      </c>
      <c r="H2044" s="60"/>
      <c r="I2044" s="60"/>
      <c r="J2044" s="60">
        <f>ROUND(F2041*G2044,4)</f>
        <v>71.355000000000004</v>
      </c>
      <c r="K2044" s="60"/>
      <c r="L2044" s="60"/>
    </row>
    <row r="2045" spans="1:12" x14ac:dyDescent="0.25">
      <c r="A2045" s="168"/>
      <c r="B2045" s="144" t="str">
        <f>'Vật liệu'!B766</f>
        <v>V00750</v>
      </c>
      <c r="C2045" s="34">
        <v>329</v>
      </c>
      <c r="D2045" s="144" t="str">
        <f>" - " &amp; 'Vật liệu'!D766</f>
        <v xml:space="preserve"> - Vật liệu khác</v>
      </c>
      <c r="E2045" s="168" t="str">
        <f>'Vật liệu'!E766</f>
        <v>%</v>
      </c>
      <c r="F2045" s="60"/>
      <c r="G2045" s="60">
        <v>0.01</v>
      </c>
      <c r="H2045" s="60"/>
      <c r="I2045" s="60"/>
      <c r="J2045" s="60"/>
      <c r="K2045" s="60"/>
      <c r="L2045" s="60"/>
    </row>
    <row r="2046" spans="1:12" x14ac:dyDescent="0.25">
      <c r="A2046" s="56"/>
      <c r="B2046" s="23"/>
      <c r="C2046" s="88"/>
      <c r="D2046" s="23" t="s">
        <v>202</v>
      </c>
      <c r="E2046" s="56"/>
      <c r="F2046" s="118"/>
      <c r="G2046" s="118"/>
      <c r="H2046" s="118"/>
      <c r="I2046" s="118"/>
      <c r="J2046" s="118"/>
      <c r="K2046" s="118"/>
      <c r="L2046" s="118"/>
    </row>
    <row r="2047" spans="1:12" x14ac:dyDescent="0.25">
      <c r="A2047" s="168"/>
      <c r="B2047" s="144" t="str">
        <f>'Nhân công'!B103</f>
        <v>N0015</v>
      </c>
      <c r="C2047" s="34">
        <v>554</v>
      </c>
      <c r="D2047" s="144" t="s">
        <v>1014</v>
      </c>
      <c r="E2047" s="168" t="str">
        <f>'Nhân công'!G103</f>
        <v>công</v>
      </c>
      <c r="F2047" s="60"/>
      <c r="G2047" s="60"/>
      <c r="H2047" s="60">
        <v>39.270000000000003</v>
      </c>
      <c r="I2047" s="60"/>
      <c r="J2047" s="60"/>
      <c r="K2047" s="60">
        <f>ROUND(F2041*H2047,4)</f>
        <v>27.881699999999999</v>
      </c>
      <c r="L2047" s="60"/>
    </row>
    <row r="2048" spans="1:12" x14ac:dyDescent="0.25">
      <c r="A2048" s="56"/>
      <c r="B2048" s="23"/>
      <c r="C2048" s="88"/>
      <c r="D2048" s="23" t="s">
        <v>378</v>
      </c>
      <c r="E2048" s="56"/>
      <c r="F2048" s="118"/>
      <c r="G2048" s="118"/>
      <c r="H2048" s="118"/>
      <c r="I2048" s="118"/>
      <c r="J2048" s="118"/>
      <c r="K2048" s="118"/>
      <c r="L2048" s="118"/>
    </row>
    <row r="2049" spans="1:12" x14ac:dyDescent="0.25">
      <c r="A2049" s="168"/>
      <c r="B2049" s="144" t="str">
        <f>'Máy thi công'!B6</f>
        <v>M9438</v>
      </c>
      <c r="C2049" s="34">
        <v>714</v>
      </c>
      <c r="D2049" s="144" t="str">
        <f>" - " &amp; 'Máy thi công'!D6</f>
        <v xml:space="preserve"> - Biến thế hàn xoay chiều - công suất: 23 kW</v>
      </c>
      <c r="E2049" s="168" t="str">
        <f>'Máy thi công'!E6</f>
        <v>ca</v>
      </c>
      <c r="F2049" s="60"/>
      <c r="G2049" s="60"/>
      <c r="H2049" s="60"/>
      <c r="I2049" s="60">
        <v>0.55000000000000004</v>
      </c>
      <c r="J2049" s="60"/>
      <c r="K2049" s="60"/>
      <c r="L2049" s="60">
        <f>ROUND(F2041*I2049,4)</f>
        <v>0.39050000000000001</v>
      </c>
    </row>
    <row r="2050" spans="1:12" x14ac:dyDescent="0.25">
      <c r="A2050" s="168"/>
      <c r="B2050" s="144" t="str">
        <f>'Máy thi công'!B398</f>
        <v>M0111</v>
      </c>
      <c r="C2050" s="34">
        <v>661</v>
      </c>
      <c r="D2050" s="144" t="str">
        <f>" - " &amp; 'Máy thi công'!D398</f>
        <v xml:space="preserve"> - Máy khác</v>
      </c>
      <c r="E2050" s="168" t="str">
        <f>'Máy thi công'!E398</f>
        <v>%</v>
      </c>
      <c r="F2050" s="60"/>
      <c r="G2050" s="60"/>
      <c r="H2050" s="60"/>
      <c r="I2050" s="60">
        <v>5</v>
      </c>
      <c r="J2050" s="60"/>
      <c r="K2050" s="60"/>
      <c r="L2050" s="60"/>
    </row>
    <row r="2051" spans="1:12" x14ac:dyDescent="0.25">
      <c r="A2051" s="65">
        <f>'Công trình'!A269</f>
        <v>216</v>
      </c>
      <c r="B2051" s="14" t="str">
        <f>'Công trình'!B269</f>
        <v>AD.32411</v>
      </c>
      <c r="C2051" s="94"/>
      <c r="D2051" s="14" t="str">
        <f>'Công trình'!C269</f>
        <v>Biển báo (1.2 x 1.2)m</v>
      </c>
      <c r="E2051" s="46" t="str">
        <f>'Công trình'!D269</f>
        <v>cái</v>
      </c>
      <c r="F2051" s="106">
        <f>'Công trình'!K269</f>
        <v>68</v>
      </c>
      <c r="G2051" s="126"/>
      <c r="H2051" s="126"/>
      <c r="I2051" s="126"/>
      <c r="J2051" s="126"/>
      <c r="K2051" s="126"/>
      <c r="L2051" s="126"/>
    </row>
    <row r="2052" spans="1:12" x14ac:dyDescent="0.25">
      <c r="A2052" s="56"/>
      <c r="B2052" s="23"/>
      <c r="C2052" s="88"/>
      <c r="D2052" s="23" t="s">
        <v>479</v>
      </c>
      <c r="E2052" s="56"/>
      <c r="F2052" s="118"/>
      <c r="G2052" s="118"/>
      <c r="H2052" s="118"/>
      <c r="I2052" s="118"/>
      <c r="J2052" s="118"/>
      <c r="K2052" s="118"/>
      <c r="L2052" s="118"/>
    </row>
    <row r="2053" spans="1:12" x14ac:dyDescent="0.25">
      <c r="A2053" s="168"/>
      <c r="B2053" s="144" t="str">
        <f>'Vật liệu'!B285</f>
        <v>V00215</v>
      </c>
      <c r="C2053" s="34">
        <v>133</v>
      </c>
      <c r="D2053" s="144" t="str">
        <f>" - " &amp; 'Vật liệu'!D285</f>
        <v xml:space="preserve"> - Dung môi PUV</v>
      </c>
      <c r="E2053" s="168" t="str">
        <f>'Vật liệu'!E285</f>
        <v>lít</v>
      </c>
      <c r="F2053" s="60"/>
      <c r="G2053" s="60">
        <v>3.7999999999999999E-2</v>
      </c>
      <c r="H2053" s="60"/>
      <c r="I2053" s="60"/>
      <c r="J2053" s="60">
        <f>ROUND(F2051*G2053,4)</f>
        <v>2.5840000000000001</v>
      </c>
      <c r="K2053" s="60"/>
      <c r="L2053" s="60"/>
    </row>
    <row r="2054" spans="1:12" x14ac:dyDescent="0.25">
      <c r="A2054" s="168"/>
      <c r="B2054" s="144" t="str">
        <f>'Vật liệu'!B702</f>
        <v>V03174</v>
      </c>
      <c r="C2054" s="34">
        <v>414</v>
      </c>
      <c r="D2054" s="144" t="str">
        <f>" - " &amp; 'Vật liệu'!D702</f>
        <v xml:space="preserve"> - Tôn tráng kẽm</v>
      </c>
      <c r="E2054" s="168" t="str">
        <f>'Vật liệu'!E702</f>
        <v>kg</v>
      </c>
      <c r="F2054" s="60"/>
      <c r="G2054" s="60">
        <v>3.8</v>
      </c>
      <c r="H2054" s="60"/>
      <c r="I2054" s="60"/>
      <c r="J2054" s="60">
        <f>ROUND(F2051*G2054,4)</f>
        <v>258.39999999999998</v>
      </c>
      <c r="K2054" s="60"/>
      <c r="L2054" s="60"/>
    </row>
    <row r="2055" spans="1:12" x14ac:dyDescent="0.25">
      <c r="A2055" s="168"/>
      <c r="B2055" s="144" t="str">
        <f>'Vật liệu'!B337</f>
        <v>V00451</v>
      </c>
      <c r="C2055" s="34">
        <v>146</v>
      </c>
      <c r="D2055" s="144" t="str">
        <f>" - " &amp; 'Vật liệu'!D337</f>
        <v xml:space="preserve"> - Màng phản quang</v>
      </c>
      <c r="E2055" s="168" t="str">
        <f>'Vật liệu'!E337</f>
        <v>m2</v>
      </c>
      <c r="F2055" s="60"/>
      <c r="G2055" s="60">
        <v>0.45100000000000001</v>
      </c>
      <c r="H2055" s="60"/>
      <c r="I2055" s="60"/>
      <c r="J2055" s="60">
        <f>ROUND(F2051*G2055,4)</f>
        <v>30.667999999999999</v>
      </c>
      <c r="K2055" s="60"/>
      <c r="L2055" s="60"/>
    </row>
    <row r="2056" spans="1:12" x14ac:dyDescent="0.25">
      <c r="A2056" s="168"/>
      <c r="B2056" s="144" t="str">
        <f>'Vật liệu'!B349</f>
        <v>V00475</v>
      </c>
      <c r="C2056" s="34">
        <v>147</v>
      </c>
      <c r="D2056" s="144" t="str">
        <f>" - " &amp; 'Vật liệu'!D349</f>
        <v xml:space="preserve"> - Mực in cao cấp</v>
      </c>
      <c r="E2056" s="168" t="str">
        <f>'Vật liệu'!E349</f>
        <v>lít</v>
      </c>
      <c r="F2056" s="60"/>
      <c r="G2056" s="60">
        <v>3.7999999999999999E-2</v>
      </c>
      <c r="H2056" s="60"/>
      <c r="I2056" s="60"/>
      <c r="J2056" s="60">
        <f>ROUND(F2051*G2056,4)</f>
        <v>2.5840000000000001</v>
      </c>
      <c r="K2056" s="60"/>
      <c r="L2056" s="60"/>
    </row>
    <row r="2057" spans="1:12" x14ac:dyDescent="0.25">
      <c r="A2057" s="168"/>
      <c r="B2057" s="144" t="str">
        <f>'Vật liệu'!B281</f>
        <v>V08331</v>
      </c>
      <c r="C2057" s="34">
        <v>438</v>
      </c>
      <c r="D2057" s="144" t="str">
        <f>" - " &amp; 'Vật liệu'!D281</f>
        <v xml:space="preserve"> - Dung môi PUH3519</v>
      </c>
      <c r="E2057" s="168" t="str">
        <f>'Vật liệu'!E281</f>
        <v>lít</v>
      </c>
      <c r="F2057" s="60"/>
      <c r="G2057" s="60">
        <v>1.4999999999999999E-2</v>
      </c>
      <c r="H2057" s="60"/>
      <c r="I2057" s="60"/>
      <c r="J2057" s="60">
        <f>ROUND(F2051*G2057,4)</f>
        <v>1.02</v>
      </c>
      <c r="K2057" s="60"/>
      <c r="L2057" s="60"/>
    </row>
    <row r="2058" spans="1:12" x14ac:dyDescent="0.25">
      <c r="A2058" s="168"/>
      <c r="B2058" s="144" t="str">
        <f>'Vật liệu'!B766</f>
        <v>V00750</v>
      </c>
      <c r="C2058" s="34">
        <v>330</v>
      </c>
      <c r="D2058" s="144" t="str">
        <f>" - " &amp; 'Vật liệu'!D766</f>
        <v xml:space="preserve"> - Vật liệu khác</v>
      </c>
      <c r="E2058" s="168" t="str">
        <f>'Vật liệu'!E766</f>
        <v>%</v>
      </c>
      <c r="F2058" s="60"/>
      <c r="G2058" s="60">
        <v>1.5</v>
      </c>
      <c r="H2058" s="60"/>
      <c r="I2058" s="60"/>
      <c r="J2058" s="60"/>
      <c r="K2058" s="60"/>
      <c r="L2058" s="60"/>
    </row>
    <row r="2059" spans="1:12" x14ac:dyDescent="0.25">
      <c r="A2059" s="56"/>
      <c r="B2059" s="23"/>
      <c r="C2059" s="88"/>
      <c r="D2059" s="23" t="s">
        <v>202</v>
      </c>
      <c r="E2059" s="56"/>
      <c r="F2059" s="118"/>
      <c r="G2059" s="118"/>
      <c r="H2059" s="118"/>
      <c r="I2059" s="118"/>
      <c r="J2059" s="118"/>
      <c r="K2059" s="118"/>
      <c r="L2059" s="118"/>
    </row>
    <row r="2060" spans="1:12" x14ac:dyDescent="0.25">
      <c r="A2060" s="168"/>
      <c r="B2060" s="144" t="str">
        <f>'Nhân công'!B126</f>
        <v>N0031</v>
      </c>
      <c r="C2060" s="34">
        <v>559</v>
      </c>
      <c r="D2060" s="144" t="s">
        <v>817</v>
      </c>
      <c r="E2060" s="168" t="str">
        <f>'Nhân công'!G126</f>
        <v>công</v>
      </c>
      <c r="F2060" s="60"/>
      <c r="G2060" s="60"/>
      <c r="H2060" s="60">
        <v>1.37</v>
      </c>
      <c r="I2060" s="60"/>
      <c r="J2060" s="60"/>
      <c r="K2060" s="60">
        <f>ROUND(F2051*H2060,4)</f>
        <v>93.16</v>
      </c>
      <c r="L2060" s="60"/>
    </row>
    <row r="2061" spans="1:12" x14ac:dyDescent="0.25">
      <c r="A2061" s="56"/>
      <c r="B2061" s="23"/>
      <c r="C2061" s="88"/>
      <c r="D2061" s="23" t="s">
        <v>378</v>
      </c>
      <c r="E2061" s="56"/>
      <c r="F2061" s="118"/>
      <c r="G2061" s="118"/>
      <c r="H2061" s="118"/>
      <c r="I2061" s="118"/>
      <c r="J2061" s="118"/>
      <c r="K2061" s="118"/>
      <c r="L2061" s="118"/>
    </row>
    <row r="2062" spans="1:12" x14ac:dyDescent="0.25">
      <c r="A2062" s="168"/>
      <c r="B2062" s="144" t="str">
        <f>'Máy thi công'!B378</f>
        <v>M9649</v>
      </c>
      <c r="C2062" s="34">
        <v>762</v>
      </c>
      <c r="D2062" s="144" t="str">
        <f>" - " &amp; 'Máy thi công'!D378</f>
        <v xml:space="preserve"> - Ô tô vận tải thùng - trọng tải: 2,5 t</v>
      </c>
      <c r="E2062" s="168" t="str">
        <f>'Máy thi công'!E378</f>
        <v>ca</v>
      </c>
      <c r="F2062" s="60"/>
      <c r="G2062" s="60"/>
      <c r="H2062" s="60"/>
      <c r="I2062" s="60">
        <v>2.5000000000000001E-2</v>
      </c>
      <c r="J2062" s="60"/>
      <c r="K2062" s="60"/>
      <c r="L2062" s="60">
        <f>ROUND(F2051*I2062,4)</f>
        <v>1.7</v>
      </c>
    </row>
    <row r="2063" spans="1:12" x14ac:dyDescent="0.25">
      <c r="A2063" s="65">
        <f>'Công trình'!A270</f>
        <v>217</v>
      </c>
      <c r="B2063" s="14" t="str">
        <f>'Công trình'!B270</f>
        <v>TT</v>
      </c>
      <c r="C2063" s="94"/>
      <c r="D2063" s="14" t="str">
        <f>'Công trình'!C270</f>
        <v>Bu lông M14</v>
      </c>
      <c r="E2063" s="46" t="str">
        <f>'Công trình'!D270</f>
        <v>bộ</v>
      </c>
      <c r="F2063" s="106">
        <f>'Công trình'!K270</f>
        <v>56</v>
      </c>
      <c r="G2063" s="126"/>
      <c r="H2063" s="126"/>
      <c r="I2063" s="126"/>
      <c r="J2063" s="126"/>
      <c r="K2063" s="126"/>
      <c r="L2063" s="126"/>
    </row>
    <row r="2064" spans="1:12" x14ac:dyDescent="0.25">
      <c r="A2064" s="56"/>
      <c r="B2064" s="23"/>
      <c r="C2064" s="88"/>
      <c r="D2064" s="23" t="s">
        <v>479</v>
      </c>
      <c r="E2064" s="56"/>
      <c r="F2064" s="118"/>
      <c r="G2064" s="118"/>
      <c r="H2064" s="118"/>
      <c r="I2064" s="118"/>
      <c r="J2064" s="118"/>
      <c r="K2064" s="118"/>
      <c r="L2064" s="118"/>
    </row>
    <row r="2065" spans="1:12" x14ac:dyDescent="0.25">
      <c r="A2065" s="168"/>
      <c r="B2065" s="144" t="str">
        <f>'Vật liệu'!B17</f>
        <v>V00025</v>
      </c>
      <c r="C2065" s="34">
        <v>119</v>
      </c>
      <c r="D2065" s="144" t="str">
        <f>" - " &amp; 'Vật liệu'!D17</f>
        <v xml:space="preserve"> - Bu lông M14</v>
      </c>
      <c r="E2065" s="168" t="str">
        <f>'Vật liệu'!E17</f>
        <v>cái</v>
      </c>
      <c r="F2065" s="60"/>
      <c r="G2065" s="60">
        <v>1</v>
      </c>
      <c r="H2065" s="60"/>
      <c r="I2065" s="60"/>
      <c r="J2065" s="60">
        <f>ROUND(F2063*G2065,4)</f>
        <v>56</v>
      </c>
      <c r="K2065" s="60"/>
      <c r="L2065" s="60"/>
    </row>
    <row r="2066" spans="1:12" ht="28.5" x14ac:dyDescent="0.25">
      <c r="A2066" s="65">
        <f>'Công trình'!A271</f>
        <v>218</v>
      </c>
      <c r="B2066" s="14" t="str">
        <f>'Công trình'!B271</f>
        <v>AC.11121</v>
      </c>
      <c r="C2066" s="94"/>
      <c r="D2066" s="14" t="str">
        <f>'Công trình'!C271</f>
        <v>Đóng cọc tràm chiều dài cọc ngập đất &gt;2,5m đất cấp I</v>
      </c>
      <c r="E2066" s="46" t="str">
        <f>'Công trình'!D271</f>
        <v>100m</v>
      </c>
      <c r="F2066" s="106">
        <f>'Công trình'!K271</f>
        <v>1.2</v>
      </c>
      <c r="G2066" s="126"/>
      <c r="H2066" s="126"/>
      <c r="I2066" s="126"/>
      <c r="J2066" s="126"/>
      <c r="K2066" s="126"/>
      <c r="L2066" s="126"/>
    </row>
    <row r="2067" spans="1:12" x14ac:dyDescent="0.25">
      <c r="A2067" s="56"/>
      <c r="B2067" s="23"/>
      <c r="C2067" s="88"/>
      <c r="D2067" s="23" t="s">
        <v>479</v>
      </c>
      <c r="E2067" s="56"/>
      <c r="F2067" s="118"/>
      <c r="G2067" s="118"/>
      <c r="H2067" s="118"/>
      <c r="I2067" s="118"/>
      <c r="J2067" s="118"/>
      <c r="K2067" s="118"/>
      <c r="L2067" s="118"/>
    </row>
    <row r="2068" spans="1:12" x14ac:dyDescent="0.25">
      <c r="A2068" s="168"/>
      <c r="B2068" s="144" t="str">
        <f>'Vật liệu'!B307</f>
        <v>V00402</v>
      </c>
      <c r="C2068" s="34">
        <v>142</v>
      </c>
      <c r="D2068" s="144" t="str">
        <f>" - " &amp; 'Vật liệu'!D307</f>
        <v xml:space="preserve"> - Gỗ ván</v>
      </c>
      <c r="E2068" s="168" t="str">
        <f>'Vật liệu'!E307</f>
        <v>m3</v>
      </c>
      <c r="F2068" s="60"/>
      <c r="G2068" s="60">
        <v>0.01</v>
      </c>
      <c r="H2068" s="60"/>
      <c r="I2068" s="60"/>
      <c r="J2068" s="60">
        <f>ROUND(F2066*G2068,4)</f>
        <v>1.2E-2</v>
      </c>
      <c r="K2068" s="60"/>
      <c r="L2068" s="60"/>
    </row>
    <row r="2069" spans="1:12" x14ac:dyDescent="0.25">
      <c r="A2069" s="168"/>
      <c r="B2069" s="144" t="str">
        <f>'Vật liệu'!B124</f>
        <v>V32325</v>
      </c>
      <c r="C2069" s="34">
        <v>466</v>
      </c>
      <c r="D2069" s="144" t="str">
        <f>" - " &amp; 'Vật liệu'!D124</f>
        <v xml:space="preserve"> - Cọc tràm</v>
      </c>
      <c r="E2069" s="168" t="str">
        <f>'Vật liệu'!E124</f>
        <v>m</v>
      </c>
      <c r="F2069" s="60"/>
      <c r="G2069" s="60">
        <v>105</v>
      </c>
      <c r="H2069" s="60"/>
      <c r="I2069" s="60"/>
      <c r="J2069" s="60">
        <f>ROUND(F2066*G2069,4)</f>
        <v>126</v>
      </c>
      <c r="K2069" s="60"/>
      <c r="L2069" s="60"/>
    </row>
    <row r="2070" spans="1:12" x14ac:dyDescent="0.25">
      <c r="A2070" s="168"/>
      <c r="B2070" s="144" t="str">
        <f>'Vật liệu'!B101</f>
        <v>V00116</v>
      </c>
      <c r="C2070" s="34">
        <v>129</v>
      </c>
      <c r="D2070" s="144" t="str">
        <f>" - " &amp; 'Vật liệu'!D101</f>
        <v xml:space="preserve"> - Cây chống</v>
      </c>
      <c r="E2070" s="168" t="str">
        <f>'Vật liệu'!E101</f>
        <v>cây</v>
      </c>
      <c r="F2070" s="60"/>
      <c r="G2070" s="60">
        <v>1.65</v>
      </c>
      <c r="H2070" s="60"/>
      <c r="I2070" s="60"/>
      <c r="J2070" s="60">
        <f>ROUND(F2066*G2070,4)</f>
        <v>1.98</v>
      </c>
      <c r="K2070" s="60"/>
      <c r="L2070" s="60"/>
    </row>
    <row r="2071" spans="1:12" x14ac:dyDescent="0.25">
      <c r="A2071" s="168"/>
      <c r="B2071" s="144" t="str">
        <f>'Vật liệu'!B766</f>
        <v>V00750</v>
      </c>
      <c r="C2071" s="34">
        <v>331</v>
      </c>
      <c r="D2071" s="144" t="str">
        <f>" - " &amp; 'Vật liệu'!D766</f>
        <v xml:space="preserve"> - Vật liệu khác</v>
      </c>
      <c r="E2071" s="168" t="str">
        <f>'Vật liệu'!E766</f>
        <v>%</v>
      </c>
      <c r="F2071" s="60"/>
      <c r="G2071" s="60">
        <v>5</v>
      </c>
      <c r="H2071" s="60"/>
      <c r="I2071" s="60"/>
      <c r="J2071" s="60"/>
      <c r="K2071" s="60"/>
      <c r="L2071" s="60"/>
    </row>
    <row r="2072" spans="1:12" x14ac:dyDescent="0.25">
      <c r="A2072" s="56"/>
      <c r="B2072" s="23"/>
      <c r="C2072" s="88"/>
      <c r="D2072" s="23" t="s">
        <v>202</v>
      </c>
      <c r="E2072" s="56"/>
      <c r="F2072" s="118"/>
      <c r="G2072" s="118"/>
      <c r="H2072" s="118"/>
      <c r="I2072" s="118"/>
      <c r="J2072" s="118"/>
      <c r="K2072" s="118"/>
      <c r="L2072" s="118"/>
    </row>
    <row r="2073" spans="1:12" x14ac:dyDescent="0.25">
      <c r="A2073" s="168"/>
      <c r="B2073" s="144" t="str">
        <f>'Nhân công'!B103</f>
        <v>N0015</v>
      </c>
      <c r="C2073" s="34">
        <v>554</v>
      </c>
      <c r="D2073" s="144" t="s">
        <v>1014</v>
      </c>
      <c r="E2073" s="168" t="str">
        <f>'Nhân công'!G103</f>
        <v>công</v>
      </c>
      <c r="F2073" s="60"/>
      <c r="G2073" s="60"/>
      <c r="H2073" s="60">
        <v>2.5299999999999998</v>
      </c>
      <c r="I2073" s="60"/>
      <c r="J2073" s="60"/>
      <c r="K2073" s="60">
        <f>ROUND(F2066*H2073,4)</f>
        <v>3.036</v>
      </c>
      <c r="L2073" s="60"/>
    </row>
    <row r="2074" spans="1:12" ht="28.5" x14ac:dyDescent="0.25">
      <c r="A2074" s="65">
        <f>'Công trình'!A272</f>
        <v>219</v>
      </c>
      <c r="B2074" s="14" t="str">
        <f>'Công trình'!B272</f>
        <v>AB.11412</v>
      </c>
      <c r="C2074" s="94"/>
      <c r="D2074" s="14" t="str">
        <f>'Công trình'!C272</f>
        <v>Đào móng cột trụ, hố kiểm tra, rộng &lt;=1m,sâu &lt;=1m, đất cấp II</v>
      </c>
      <c r="E2074" s="46" t="str">
        <f>'Công trình'!D272</f>
        <v>m3</v>
      </c>
      <c r="F2074" s="106">
        <f>'Công trình'!K272</f>
        <v>3.24</v>
      </c>
      <c r="G2074" s="126"/>
      <c r="H2074" s="126"/>
      <c r="I2074" s="126"/>
      <c r="J2074" s="126"/>
      <c r="K2074" s="126"/>
      <c r="L2074" s="126"/>
    </row>
    <row r="2075" spans="1:12" x14ac:dyDescent="0.25">
      <c r="A2075" s="56"/>
      <c r="B2075" s="23"/>
      <c r="C2075" s="88"/>
      <c r="D2075" s="23" t="s">
        <v>202</v>
      </c>
      <c r="E2075" s="56"/>
      <c r="F2075" s="118"/>
      <c r="G2075" s="118"/>
      <c r="H2075" s="118"/>
      <c r="I2075" s="118"/>
      <c r="J2075" s="118"/>
      <c r="K2075" s="118"/>
      <c r="L2075" s="118"/>
    </row>
    <row r="2076" spans="1:12" x14ac:dyDescent="0.25">
      <c r="A2076" s="168"/>
      <c r="B2076" s="144" t="str">
        <f>'Nhân công'!B6</f>
        <v>N0006</v>
      </c>
      <c r="C2076" s="34">
        <v>545</v>
      </c>
      <c r="D2076" s="144" t="s">
        <v>256</v>
      </c>
      <c r="E2076" s="168" t="str">
        <f>'Nhân công'!G6</f>
        <v>công</v>
      </c>
      <c r="F2076" s="60"/>
      <c r="G2076" s="60"/>
      <c r="H2076" s="60">
        <v>1.19</v>
      </c>
      <c r="I2076" s="60"/>
      <c r="J2076" s="60"/>
      <c r="K2076" s="60">
        <f>ROUND(F2074*H2076,4)</f>
        <v>3.8555999999999999</v>
      </c>
      <c r="L2076" s="60"/>
    </row>
    <row r="2077" spans="1:12" ht="28.5" x14ac:dyDescent="0.25">
      <c r="A2077" s="65">
        <f>'Công trình'!A273</f>
        <v>220</v>
      </c>
      <c r="B2077" s="14" t="str">
        <f>'Công trình'!B273</f>
        <v>TH.01.05.20</v>
      </c>
      <c r="C2077" s="94"/>
      <c r="D2077" s="14" t="str">
        <f>'Công trình'!C273</f>
        <v>Đèn tín hiệu thông thuyền</v>
      </c>
      <c r="E2077" s="46" t="str">
        <f>'Công trình'!D273</f>
        <v>1 Bộ</v>
      </c>
      <c r="F2077" s="106">
        <f>'Công trình'!K273</f>
        <v>16</v>
      </c>
      <c r="G2077" s="126"/>
      <c r="H2077" s="126"/>
      <c r="I2077" s="126"/>
      <c r="J2077" s="126"/>
      <c r="K2077" s="126"/>
      <c r="L2077" s="126"/>
    </row>
    <row r="2078" spans="1:12" x14ac:dyDescent="0.25">
      <c r="A2078" s="56"/>
      <c r="B2078" s="23"/>
      <c r="C2078" s="88"/>
      <c r="D2078" s="23" t="s">
        <v>479</v>
      </c>
      <c r="E2078" s="56"/>
      <c r="F2078" s="118"/>
      <c r="G2078" s="118"/>
      <c r="H2078" s="118"/>
      <c r="I2078" s="118"/>
      <c r="J2078" s="118"/>
      <c r="K2078" s="118"/>
      <c r="L2078" s="118"/>
    </row>
    <row r="2079" spans="1:12" x14ac:dyDescent="0.25">
      <c r="A2079" s="168"/>
      <c r="B2079" s="144" t="str">
        <f>'Vật liệu'!B345</f>
        <v>V76886</v>
      </c>
      <c r="C2079" s="34">
        <v>519</v>
      </c>
      <c r="D2079" s="144" t="str">
        <f>" - " &amp; 'Vật liệu'!D345</f>
        <v xml:space="preserve"> - Mặt đèn tín hiệu giao thông Ø100</v>
      </c>
      <c r="E2079" s="168" t="str">
        <f>'Vật liệu'!E345</f>
        <v>bộ</v>
      </c>
      <c r="F2079" s="60"/>
      <c r="G2079" s="60">
        <v>1</v>
      </c>
      <c r="H2079" s="60"/>
      <c r="I2079" s="60"/>
      <c r="J2079" s="60">
        <f>ROUND(F2077*G2079,4)</f>
        <v>16</v>
      </c>
      <c r="K2079" s="60"/>
      <c r="L2079" s="60"/>
    </row>
    <row r="2080" spans="1:12" x14ac:dyDescent="0.25">
      <c r="A2080" s="56"/>
      <c r="B2080" s="23"/>
      <c r="C2080" s="88"/>
      <c r="D2080" s="23" t="s">
        <v>202</v>
      </c>
      <c r="E2080" s="56"/>
      <c r="F2080" s="118"/>
      <c r="G2080" s="118"/>
      <c r="H2080" s="118"/>
      <c r="I2080" s="118"/>
      <c r="J2080" s="118"/>
      <c r="K2080" s="118"/>
      <c r="L2080" s="118"/>
    </row>
    <row r="2081" spans="1:12" x14ac:dyDescent="0.25">
      <c r="A2081" s="168"/>
      <c r="B2081" s="144" t="str">
        <f>'Nhân công'!B183</f>
        <v>N0011</v>
      </c>
      <c r="C2081" s="34">
        <v>551</v>
      </c>
      <c r="D2081" s="144" t="s">
        <v>671</v>
      </c>
      <c r="E2081" s="168" t="str">
        <f>'Nhân công'!G183</f>
        <v>Công</v>
      </c>
      <c r="F2081" s="60"/>
      <c r="G2081" s="60"/>
      <c r="H2081" s="60">
        <v>0.39200000000000002</v>
      </c>
      <c r="I2081" s="60"/>
      <c r="J2081" s="60"/>
      <c r="K2081" s="60">
        <f>ROUND(F2077*H2081,4)</f>
        <v>6.2720000000000002</v>
      </c>
      <c r="L2081" s="60"/>
    </row>
    <row r="2082" spans="1:12" x14ac:dyDescent="0.25">
      <c r="A2082" s="56"/>
      <c r="B2082" s="23"/>
      <c r="C2082" s="88"/>
      <c r="D2082" s="23" t="s">
        <v>378</v>
      </c>
      <c r="E2082" s="56"/>
      <c r="F2082" s="118"/>
      <c r="G2082" s="118"/>
      <c r="H2082" s="118"/>
      <c r="I2082" s="118"/>
      <c r="J2082" s="118"/>
      <c r="K2082" s="118"/>
      <c r="L2082" s="118"/>
    </row>
    <row r="2083" spans="1:12" x14ac:dyDescent="0.25">
      <c r="A2083" s="168"/>
      <c r="B2083" s="144" t="str">
        <f>'Máy thi công'!B396</f>
        <v>M4250</v>
      </c>
      <c r="C2083" s="34">
        <v>708</v>
      </c>
      <c r="D2083" s="144" t="str">
        <f>" - " &amp; 'Máy thi công'!D396</f>
        <v xml:space="preserve"> - Xe thang chiều dài thang: tới 9m</v>
      </c>
      <c r="E2083" s="168" t="str">
        <f>'Máy thi công'!E396</f>
        <v>ca</v>
      </c>
      <c r="F2083" s="60"/>
      <c r="G2083" s="60"/>
      <c r="H2083" s="60"/>
      <c r="I2083" s="60">
        <v>7.8E-2</v>
      </c>
      <c r="J2083" s="60"/>
      <c r="K2083" s="60"/>
      <c r="L2083" s="60">
        <f>ROUND(F2077*I2083,4)</f>
        <v>1.248</v>
      </c>
    </row>
    <row r="2084" spans="1:12" x14ac:dyDescent="0.25">
      <c r="A2084" s="65">
        <f>'Công trình'!A275</f>
        <v>221</v>
      </c>
      <c r="B2084" s="14" t="str">
        <f>'Công trình'!B275</f>
        <v>AD.34130</v>
      </c>
      <c r="C2084" s="94"/>
      <c r="D2084" s="14" t="str">
        <f>'Công trình'!C275</f>
        <v>Lắp đặt dải phân cách bằng tôn lượn sóng</v>
      </c>
      <c r="E2084" s="46" t="str">
        <f>'Công trình'!D275</f>
        <v>m</v>
      </c>
      <c r="F2084" s="106">
        <f>'Công trình'!K275</f>
        <v>78</v>
      </c>
      <c r="G2084" s="126"/>
      <c r="H2084" s="126"/>
      <c r="I2084" s="126"/>
      <c r="J2084" s="126"/>
      <c r="K2084" s="126"/>
      <c r="L2084" s="126"/>
    </row>
    <row r="2085" spans="1:12" x14ac:dyDescent="0.25">
      <c r="A2085" s="56"/>
      <c r="B2085" s="23"/>
      <c r="C2085" s="88"/>
      <c r="D2085" s="23" t="s">
        <v>479</v>
      </c>
      <c r="E2085" s="56"/>
      <c r="F2085" s="118"/>
      <c r="G2085" s="118"/>
      <c r="H2085" s="118"/>
      <c r="I2085" s="118"/>
      <c r="J2085" s="118"/>
      <c r="K2085" s="118"/>
      <c r="L2085" s="118"/>
    </row>
    <row r="2086" spans="1:12" x14ac:dyDescent="0.25">
      <c r="A2086" s="168"/>
      <c r="B2086" s="144" t="str">
        <f>'Vật liệu'!B15</f>
        <v>V00014</v>
      </c>
      <c r="C2086" s="34">
        <v>114</v>
      </c>
      <c r="D2086" s="144" t="str">
        <f>" - " &amp; 'Vật liệu'!D15</f>
        <v xml:space="preserve"> - Bu lông các loại</v>
      </c>
      <c r="E2086" s="168" t="str">
        <f>'Vật liệu'!E15</f>
        <v>cái</v>
      </c>
      <c r="F2086" s="60"/>
      <c r="G2086" s="60">
        <v>0.4</v>
      </c>
      <c r="H2086" s="60"/>
      <c r="I2086" s="60"/>
      <c r="J2086" s="60">
        <f>ROUND(F2084*G2086,4)</f>
        <v>31.2</v>
      </c>
      <c r="K2086" s="60"/>
      <c r="L2086" s="60"/>
    </row>
    <row r="2087" spans="1:12" x14ac:dyDescent="0.25">
      <c r="A2087" s="168"/>
      <c r="B2087" s="144" t="str">
        <f>'Vật liệu'!B700</f>
        <v>V32329</v>
      </c>
      <c r="C2087" s="34">
        <v>469</v>
      </c>
      <c r="D2087" s="144" t="str">
        <f>" - " &amp; 'Vật liệu'!D700</f>
        <v xml:space="preserve"> - Tôn lượn sóng dày 3mm</v>
      </c>
      <c r="E2087" s="168" t="str">
        <f>'Vật liệu'!E700</f>
        <v>m</v>
      </c>
      <c r="F2087" s="60"/>
      <c r="G2087" s="60">
        <v>1</v>
      </c>
      <c r="H2087" s="60"/>
      <c r="I2087" s="60"/>
      <c r="J2087" s="60">
        <f>ROUND(F2084*G2087,4)</f>
        <v>78</v>
      </c>
      <c r="K2087" s="60"/>
      <c r="L2087" s="60"/>
    </row>
    <row r="2088" spans="1:12" x14ac:dyDescent="0.25">
      <c r="A2088" s="168"/>
      <c r="B2088" s="144" t="str">
        <f>'Vật liệu'!B707</f>
        <v>V00688</v>
      </c>
      <c r="C2088" s="34">
        <v>170</v>
      </c>
      <c r="D2088" s="144" t="str">
        <f>" - " &amp; 'Vật liệu'!D707</f>
        <v xml:space="preserve"> - Trụ đỡ tôn lượn sóng</v>
      </c>
      <c r="E2088" s="168" t="str">
        <f>'Vật liệu'!E707</f>
        <v>cái</v>
      </c>
      <c r="F2088" s="60"/>
      <c r="G2088" s="60">
        <v>0.2</v>
      </c>
      <c r="H2088" s="60"/>
      <c r="I2088" s="60"/>
      <c r="J2088" s="60">
        <f>ROUND(F2084*G2088,4)</f>
        <v>15.6</v>
      </c>
      <c r="K2088" s="60"/>
      <c r="L2088" s="60"/>
    </row>
    <row r="2089" spans="1:12" x14ac:dyDescent="0.25">
      <c r="A2089" s="168"/>
      <c r="B2089" s="144" t="str">
        <f>'Vật liệu'!B766</f>
        <v>V00750</v>
      </c>
      <c r="C2089" s="34">
        <v>332</v>
      </c>
      <c r="D2089" s="144" t="str">
        <f>" - " &amp; 'Vật liệu'!D766</f>
        <v xml:space="preserve"> - Vật liệu khác</v>
      </c>
      <c r="E2089" s="168" t="str">
        <f>'Vật liệu'!E766</f>
        <v>%</v>
      </c>
      <c r="F2089" s="60"/>
      <c r="G2089" s="60">
        <v>1.5</v>
      </c>
      <c r="H2089" s="60"/>
      <c r="I2089" s="60"/>
      <c r="J2089" s="60"/>
      <c r="K2089" s="60"/>
      <c r="L2089" s="60"/>
    </row>
    <row r="2090" spans="1:12" x14ac:dyDescent="0.25">
      <c r="A2090" s="56"/>
      <c r="B2090" s="23"/>
      <c r="C2090" s="88"/>
      <c r="D2090" s="23" t="s">
        <v>202</v>
      </c>
      <c r="E2090" s="56"/>
      <c r="F2090" s="118"/>
      <c r="G2090" s="118"/>
      <c r="H2090" s="118"/>
      <c r="I2090" s="118"/>
      <c r="J2090" s="118"/>
      <c r="K2090" s="118"/>
      <c r="L2090" s="118"/>
    </row>
    <row r="2091" spans="1:12" x14ac:dyDescent="0.25">
      <c r="A2091" s="168"/>
      <c r="B2091" s="144" t="str">
        <f>'Nhân công'!B185</f>
        <v>N0020</v>
      </c>
      <c r="C2091" s="34">
        <v>555</v>
      </c>
      <c r="D2091" s="144" t="s">
        <v>625</v>
      </c>
      <c r="E2091" s="168" t="str">
        <f>'Nhân công'!G185</f>
        <v>công</v>
      </c>
      <c r="F2091" s="60"/>
      <c r="G2091" s="60"/>
      <c r="H2091" s="60">
        <v>6.5000000000000002E-2</v>
      </c>
      <c r="I2091" s="60"/>
      <c r="J2091" s="60"/>
      <c r="K2091" s="60">
        <f>ROUND(F2084*H2091,4)</f>
        <v>5.07</v>
      </c>
      <c r="L2091" s="60"/>
    </row>
    <row r="2092" spans="1:12" x14ac:dyDescent="0.25">
      <c r="A2092" s="65">
        <f>'Công trình'!A276</f>
        <v>222</v>
      </c>
      <c r="B2092" s="14" t="str">
        <f>'Công trình'!B276</f>
        <v>TT</v>
      </c>
      <c r="C2092" s="94"/>
      <c r="D2092" s="14" t="str">
        <f>'Công trình'!C276</f>
        <v>Thép ống mã kẽm Ø90</v>
      </c>
      <c r="E2092" s="46" t="str">
        <f>'Công trình'!D276</f>
        <v>m</v>
      </c>
      <c r="F2092" s="106">
        <f>'Công trình'!K276</f>
        <v>78</v>
      </c>
      <c r="G2092" s="126"/>
      <c r="H2092" s="126"/>
      <c r="I2092" s="126"/>
      <c r="J2092" s="126"/>
      <c r="K2092" s="126"/>
      <c r="L2092" s="126"/>
    </row>
    <row r="2093" spans="1:12" x14ac:dyDescent="0.25">
      <c r="A2093" s="56"/>
      <c r="B2093" s="23"/>
      <c r="C2093" s="88"/>
      <c r="D2093" s="23" t="s">
        <v>479</v>
      </c>
      <c r="E2093" s="56"/>
      <c r="F2093" s="118"/>
      <c r="G2093" s="118"/>
      <c r="H2093" s="118"/>
      <c r="I2093" s="118"/>
      <c r="J2093" s="118"/>
      <c r="K2093" s="118"/>
      <c r="L2093" s="118"/>
    </row>
    <row r="2094" spans="1:12" x14ac:dyDescent="0.25">
      <c r="A2094" s="168"/>
      <c r="B2094" s="144" t="str">
        <f>'Vật liệu'!B427</f>
        <v>V49002</v>
      </c>
      <c r="C2094" s="34">
        <v>494</v>
      </c>
      <c r="D2094" s="144" t="str">
        <f>" - " &amp; 'Vật liệu'!D427</f>
        <v xml:space="preserve"> - Ống sắt tráng kẽm fi 89</v>
      </c>
      <c r="E2094" s="168" t="str">
        <f>'Vật liệu'!E427</f>
        <v>m</v>
      </c>
      <c r="F2094" s="60"/>
      <c r="G2094" s="60">
        <v>1</v>
      </c>
      <c r="H2094" s="60"/>
      <c r="I2094" s="60"/>
      <c r="J2094" s="60">
        <f>ROUND(F2092*G2094,4)</f>
        <v>78</v>
      </c>
      <c r="K2094" s="60"/>
      <c r="L2094" s="60"/>
    </row>
    <row r="2095" spans="1:12" x14ac:dyDescent="0.25">
      <c r="A2095" s="65">
        <f>'Công trình'!A277</f>
        <v>223</v>
      </c>
      <c r="B2095" s="14" t="str">
        <f>'Công trình'!B277</f>
        <v>TT</v>
      </c>
      <c r="C2095" s="94"/>
      <c r="D2095" s="14" t="str">
        <f>'Công trình'!C277</f>
        <v>Phần đầu</v>
      </c>
      <c r="E2095" s="46" t="str">
        <f>'Công trình'!D277</f>
        <v>m</v>
      </c>
      <c r="F2095" s="106">
        <f>'Công trình'!K277</f>
        <v>2.8</v>
      </c>
      <c r="G2095" s="126"/>
      <c r="H2095" s="126"/>
      <c r="I2095" s="126"/>
      <c r="J2095" s="126"/>
      <c r="K2095" s="126"/>
      <c r="L2095" s="126"/>
    </row>
    <row r="2096" spans="1:12" x14ac:dyDescent="0.25">
      <c r="A2096" s="56"/>
      <c r="B2096" s="23"/>
      <c r="C2096" s="88"/>
      <c r="D2096" s="23" t="s">
        <v>479</v>
      </c>
      <c r="E2096" s="56"/>
      <c r="F2096" s="118"/>
      <c r="G2096" s="118"/>
      <c r="H2096" s="118"/>
      <c r="I2096" s="118"/>
      <c r="J2096" s="118"/>
      <c r="K2096" s="118"/>
      <c r="L2096" s="118"/>
    </row>
    <row r="2097" spans="1:12" x14ac:dyDescent="0.25">
      <c r="A2097" s="168"/>
      <c r="B2097" s="144" t="str">
        <f>'Vật liệu'!B442</f>
        <v>V49002d</v>
      </c>
      <c r="C2097" s="34">
        <v>503</v>
      </c>
      <c r="D2097" s="144" t="str">
        <f>" - " &amp; 'Vật liệu'!D442</f>
        <v xml:space="preserve"> - Phần đầu</v>
      </c>
      <c r="E2097" s="168" t="str">
        <f>'Vật liệu'!E442</f>
        <v>m</v>
      </c>
      <c r="F2097" s="60"/>
      <c r="G2097" s="60">
        <v>1</v>
      </c>
      <c r="H2097" s="60"/>
      <c r="I2097" s="60"/>
      <c r="J2097" s="60">
        <f>ROUND(F2095*G2097,4)</f>
        <v>2.8</v>
      </c>
      <c r="K2097" s="60"/>
      <c r="L2097" s="60"/>
    </row>
    <row r="2098" spans="1:12" x14ac:dyDescent="0.25">
      <c r="A2098" s="65">
        <f>'Công trình'!A278</f>
        <v>224</v>
      </c>
      <c r="B2098" s="14" t="str">
        <f>'Công trình'!B278</f>
        <v>TT</v>
      </c>
      <c r="C2098" s="94"/>
      <c r="D2098" s="14" t="str">
        <f>'Công trình'!C278</f>
        <v>Cột U(160x160x5x1750)mm</v>
      </c>
      <c r="E2098" s="46" t="str">
        <f>'Công trình'!D278</f>
        <v>cái</v>
      </c>
      <c r="F2098" s="106">
        <f>'Công trình'!K278</f>
        <v>56</v>
      </c>
      <c r="G2098" s="126"/>
      <c r="H2098" s="126"/>
      <c r="I2098" s="126"/>
      <c r="J2098" s="126"/>
      <c r="K2098" s="126"/>
      <c r="L2098" s="126"/>
    </row>
    <row r="2099" spans="1:12" x14ac:dyDescent="0.25">
      <c r="A2099" s="56"/>
      <c r="B2099" s="23"/>
      <c r="C2099" s="88"/>
      <c r="D2099" s="23" t="s">
        <v>479</v>
      </c>
      <c r="E2099" s="56"/>
      <c r="F2099" s="118"/>
      <c r="G2099" s="118"/>
      <c r="H2099" s="118"/>
      <c r="I2099" s="118"/>
      <c r="J2099" s="118"/>
      <c r="K2099" s="118"/>
      <c r="L2099" s="118"/>
    </row>
    <row r="2100" spans="1:12" x14ac:dyDescent="0.25">
      <c r="A2100" s="168"/>
      <c r="B2100" s="144" t="str">
        <f>'Vật liệu'!B130</f>
        <v>V49002c</v>
      </c>
      <c r="C2100" s="34">
        <v>499</v>
      </c>
      <c r="D2100" s="144" t="str">
        <f>" - " &amp; 'Vật liệu'!D130</f>
        <v xml:space="preserve"> - Cột U(160x160x5x1750)mm</v>
      </c>
      <c r="E2100" s="168" t="str">
        <f>'Vật liệu'!E130</f>
        <v>cái</v>
      </c>
      <c r="F2100" s="60"/>
      <c r="G2100" s="60">
        <v>1</v>
      </c>
      <c r="H2100" s="60"/>
      <c r="I2100" s="60"/>
      <c r="J2100" s="60">
        <f>ROUND(F2098*G2100,4)</f>
        <v>56</v>
      </c>
      <c r="K2100" s="60"/>
      <c r="L2100" s="60"/>
    </row>
    <row r="2101" spans="1:12" x14ac:dyDescent="0.25">
      <c r="A2101" s="65">
        <f>'Công trình'!A279</f>
        <v>225</v>
      </c>
      <c r="B2101" s="14" t="str">
        <f>'Công trình'!B279</f>
        <v>TT</v>
      </c>
      <c r="C2101" s="94"/>
      <c r="D2101" s="14" t="str">
        <f>'Công trình'!C279</f>
        <v>Thép ống mã kẽm Ø90</v>
      </c>
      <c r="E2101" s="46" t="str">
        <f>'Công trình'!D279</f>
        <v>m</v>
      </c>
      <c r="F2101" s="106">
        <f>'Công trình'!K279</f>
        <v>28</v>
      </c>
      <c r="G2101" s="126"/>
      <c r="H2101" s="126"/>
      <c r="I2101" s="126"/>
      <c r="J2101" s="126"/>
      <c r="K2101" s="126"/>
      <c r="L2101" s="126"/>
    </row>
    <row r="2102" spans="1:12" x14ac:dyDescent="0.25">
      <c r="A2102" s="56"/>
      <c r="B2102" s="23"/>
      <c r="C2102" s="88"/>
      <c r="D2102" s="23" t="s">
        <v>479</v>
      </c>
      <c r="E2102" s="56"/>
      <c r="F2102" s="118"/>
      <c r="G2102" s="118"/>
      <c r="H2102" s="118"/>
      <c r="I2102" s="118"/>
      <c r="J2102" s="118"/>
      <c r="K2102" s="118"/>
      <c r="L2102" s="118"/>
    </row>
    <row r="2103" spans="1:12" x14ac:dyDescent="0.25">
      <c r="A2103" s="168"/>
      <c r="B2103" s="144" t="str">
        <f>'Vật liệu'!B427</f>
        <v>V49002</v>
      </c>
      <c r="C2103" s="34">
        <v>494</v>
      </c>
      <c r="D2103" s="144" t="str">
        <f>" - " &amp; 'Vật liệu'!D427</f>
        <v xml:space="preserve"> - Ống sắt tráng kẽm fi 89</v>
      </c>
      <c r="E2103" s="168" t="str">
        <f>'Vật liệu'!E427</f>
        <v>m</v>
      </c>
      <c r="F2103" s="60"/>
      <c r="G2103" s="60">
        <v>1</v>
      </c>
      <c r="H2103" s="60"/>
      <c r="I2103" s="60"/>
      <c r="J2103" s="60">
        <f>ROUND(F2101*G2103,4)</f>
        <v>28</v>
      </c>
      <c r="K2103" s="60"/>
      <c r="L2103" s="60"/>
    </row>
    <row r="2104" spans="1:12" x14ac:dyDescent="0.25">
      <c r="A2104" s="65">
        <f>'Công trình'!A280</f>
        <v>226</v>
      </c>
      <c r="B2104" s="14" t="str">
        <f>'Công trình'!B280</f>
        <v>TT</v>
      </c>
      <c r="C2104" s="94"/>
      <c r="D2104" s="14" t="str">
        <f>'Công trình'!C280</f>
        <v>Đệm U(160x160x5x310)mm</v>
      </c>
      <c r="E2104" s="46" t="str">
        <f>'Công trình'!D280</f>
        <v>cái</v>
      </c>
      <c r="F2104" s="106">
        <f>'Công trình'!K280</f>
        <v>56</v>
      </c>
      <c r="G2104" s="126"/>
      <c r="H2104" s="126"/>
      <c r="I2104" s="126"/>
      <c r="J2104" s="126"/>
      <c r="K2104" s="126"/>
      <c r="L2104" s="126"/>
    </row>
    <row r="2105" spans="1:12" x14ac:dyDescent="0.25">
      <c r="A2105" s="56"/>
      <c r="B2105" s="23"/>
      <c r="C2105" s="88"/>
      <c r="D2105" s="23" t="s">
        <v>479</v>
      </c>
      <c r="E2105" s="56"/>
      <c r="F2105" s="118"/>
      <c r="G2105" s="118"/>
      <c r="H2105" s="118"/>
      <c r="I2105" s="118"/>
      <c r="J2105" s="118"/>
      <c r="K2105" s="118"/>
      <c r="L2105" s="118"/>
    </row>
    <row r="2106" spans="1:12" x14ac:dyDescent="0.25">
      <c r="A2106" s="168"/>
      <c r="B2106" s="144" t="str">
        <f>'Vật liệu'!B266</f>
        <v>V49002de</v>
      </c>
      <c r="C2106" s="34">
        <v>507</v>
      </c>
      <c r="D2106" s="144" t="str">
        <f>" - " &amp; 'Vật liệu'!D266</f>
        <v xml:space="preserve"> - Đệm U(160x160x5x310)mm</v>
      </c>
      <c r="E2106" s="168" t="str">
        <f>'Vật liệu'!E266</f>
        <v>cái</v>
      </c>
      <c r="F2106" s="60"/>
      <c r="G2106" s="60">
        <v>1</v>
      </c>
      <c r="H2106" s="60"/>
      <c r="I2106" s="60"/>
      <c r="J2106" s="60">
        <f>ROUND(F2104*G2106,4)</f>
        <v>56</v>
      </c>
      <c r="K2106" s="60"/>
      <c r="L2106" s="60"/>
    </row>
    <row r="2107" spans="1:12" x14ac:dyDescent="0.25">
      <c r="A2107" s="65">
        <f>'Công trình'!A281</f>
        <v>227</v>
      </c>
      <c r="B2107" s="14" t="str">
        <f>'Công trình'!B281</f>
        <v>TT</v>
      </c>
      <c r="C2107" s="94"/>
      <c r="D2107" s="14" t="str">
        <f>'Công trình'!C281</f>
        <v>Bu long các loại</v>
      </c>
      <c r="E2107" s="46" t="str">
        <f>'Công trình'!D281</f>
        <v>bộ</v>
      </c>
      <c r="F2107" s="106">
        <f>'Công trình'!K281</f>
        <v>504</v>
      </c>
      <c r="G2107" s="126"/>
      <c r="H2107" s="126"/>
      <c r="I2107" s="126"/>
      <c r="J2107" s="126"/>
      <c r="K2107" s="126"/>
      <c r="L2107" s="126"/>
    </row>
    <row r="2108" spans="1:12" x14ac:dyDescent="0.25">
      <c r="A2108" s="56"/>
      <c r="B2108" s="23"/>
      <c r="C2108" s="88"/>
      <c r="D2108" s="23" t="s">
        <v>479</v>
      </c>
      <c r="E2108" s="56"/>
      <c r="F2108" s="118"/>
      <c r="G2108" s="118"/>
      <c r="H2108" s="118"/>
      <c r="I2108" s="118"/>
      <c r="J2108" s="118"/>
      <c r="K2108" s="118"/>
      <c r="L2108" s="118"/>
    </row>
    <row r="2109" spans="1:12" x14ac:dyDescent="0.25">
      <c r="A2109" s="168"/>
      <c r="B2109" s="144" t="str">
        <f>'Vật liệu'!B12</f>
        <v>V00014</v>
      </c>
      <c r="C2109" s="34">
        <v>113</v>
      </c>
      <c r="D2109" s="144" t="str">
        <f>" - " &amp; 'Vật liệu'!D12</f>
        <v xml:space="preserve"> - Bu lông các loại</v>
      </c>
      <c r="E2109" s="168" t="str">
        <f>'Vật liệu'!E12</f>
        <v>cái</v>
      </c>
      <c r="F2109" s="60"/>
      <c r="G2109" s="60">
        <v>1</v>
      </c>
      <c r="H2109" s="60"/>
      <c r="I2109" s="60"/>
      <c r="J2109" s="60">
        <f>ROUND(F2107*G2109,4)</f>
        <v>504</v>
      </c>
      <c r="K2109" s="60"/>
      <c r="L2109" s="60"/>
    </row>
    <row r="2110" spans="1:12" x14ac:dyDescent="0.25">
      <c r="A2110" s="65">
        <f>'Công trình'!A282</f>
        <v>228</v>
      </c>
      <c r="B2110" s="14" t="str">
        <f>'Công trình'!B282</f>
        <v>TT</v>
      </c>
      <c r="C2110" s="94"/>
      <c r="D2110" s="14" t="str">
        <f>'Công trình'!C282</f>
        <v>Tiêu phản quang</v>
      </c>
      <c r="E2110" s="46" t="str">
        <f>'Công trình'!D282</f>
        <v>cái</v>
      </c>
      <c r="F2110" s="106">
        <f>'Công trình'!K282</f>
        <v>56</v>
      </c>
      <c r="G2110" s="126"/>
      <c r="H2110" s="126"/>
      <c r="I2110" s="126"/>
      <c r="J2110" s="126"/>
      <c r="K2110" s="126"/>
      <c r="L2110" s="126"/>
    </row>
    <row r="2111" spans="1:12" x14ac:dyDescent="0.25">
      <c r="A2111" s="56"/>
      <c r="B2111" s="23"/>
      <c r="C2111" s="88"/>
      <c r="D2111" s="23" t="s">
        <v>479</v>
      </c>
      <c r="E2111" s="56"/>
      <c r="F2111" s="118"/>
      <c r="G2111" s="118"/>
      <c r="H2111" s="118"/>
      <c r="I2111" s="118"/>
      <c r="J2111" s="118"/>
      <c r="K2111" s="118"/>
      <c r="L2111" s="118"/>
    </row>
    <row r="2112" spans="1:12" x14ac:dyDescent="0.25">
      <c r="A2112" s="168"/>
      <c r="B2112" s="144" t="str">
        <f>'Vật liệu'!B698</f>
        <v>V00014pq</v>
      </c>
      <c r="C2112" s="34">
        <v>118</v>
      </c>
      <c r="D2112" s="144" t="str">
        <f>" - " &amp; 'Vật liệu'!D698</f>
        <v xml:space="preserve"> - Tiêu phản quang</v>
      </c>
      <c r="E2112" s="168" t="str">
        <f>'Vật liệu'!E698</f>
        <v>cái</v>
      </c>
      <c r="F2112" s="60"/>
      <c r="G2112" s="60">
        <v>1</v>
      </c>
      <c r="H2112" s="60"/>
      <c r="I2112" s="60"/>
      <c r="J2112" s="60">
        <f>ROUND(F2110*G2112,4)</f>
        <v>56</v>
      </c>
      <c r="K2112" s="60"/>
      <c r="L2112" s="60"/>
    </row>
    <row r="2113" spans="1:12" x14ac:dyDescent="0.25">
      <c r="A2113" s="65">
        <f>'Công trình'!A283</f>
        <v>229</v>
      </c>
      <c r="B2113" s="14" t="str">
        <f>'Công trình'!B283</f>
        <v>AK.90122</v>
      </c>
      <c r="C2113" s="94"/>
      <c r="D2113" s="14" t="str">
        <f>'Công trình'!C283</f>
        <v>Sơn trắng đỏ</v>
      </c>
      <c r="E2113" s="46" t="str">
        <f>'Công trình'!D283</f>
        <v>m2</v>
      </c>
      <c r="F2113" s="106">
        <f>'Công trình'!K283</f>
        <v>74.569999999999993</v>
      </c>
      <c r="G2113" s="126"/>
      <c r="H2113" s="126"/>
      <c r="I2113" s="126"/>
      <c r="J2113" s="126"/>
      <c r="K2113" s="126"/>
      <c r="L2113" s="126"/>
    </row>
    <row r="2114" spans="1:12" x14ac:dyDescent="0.25">
      <c r="A2114" s="56"/>
      <c r="B2114" s="23"/>
      <c r="C2114" s="88"/>
      <c r="D2114" s="23" t="s">
        <v>479</v>
      </c>
      <c r="E2114" s="56"/>
      <c r="F2114" s="118"/>
      <c r="G2114" s="118"/>
      <c r="H2114" s="118"/>
      <c r="I2114" s="118"/>
      <c r="J2114" s="118"/>
      <c r="K2114" s="118"/>
      <c r="L2114" s="118"/>
    </row>
    <row r="2115" spans="1:12" x14ac:dyDescent="0.25">
      <c r="A2115" s="168"/>
      <c r="B2115" s="144" t="str">
        <f>'Vật liệu'!B541</f>
        <v>V74456</v>
      </c>
      <c r="C2115" s="34">
        <v>518</v>
      </c>
      <c r="D2115" s="144" t="str">
        <f>" - " &amp; 'Vật liệu'!D541</f>
        <v xml:space="preserve"> - Sơn phủ Joton Jony nội thất</v>
      </c>
      <c r="E2115" s="168" t="str">
        <f>'Vật liệu'!E541</f>
        <v>lít</v>
      </c>
      <c r="F2115" s="60"/>
      <c r="G2115" s="60">
        <v>0.27</v>
      </c>
      <c r="H2115" s="60"/>
      <c r="I2115" s="60"/>
      <c r="J2115" s="60">
        <f>ROUND(F2113*G2115,4)</f>
        <v>20.133900000000001</v>
      </c>
      <c r="K2115" s="60"/>
      <c r="L2115" s="60"/>
    </row>
    <row r="2116" spans="1:12" x14ac:dyDescent="0.25">
      <c r="A2116" s="168"/>
      <c r="B2116" s="144" t="str">
        <f>'Vật liệu'!B537</f>
        <v>V74434</v>
      </c>
      <c r="C2116" s="34">
        <v>517</v>
      </c>
      <c r="D2116" s="144" t="str">
        <f>" - " &amp; 'Vật liệu'!D537</f>
        <v xml:space="preserve"> - Sơn lót Joton Altin nội thất</v>
      </c>
      <c r="E2116" s="168" t="str">
        <f>'Vật liệu'!E537</f>
        <v>lít</v>
      </c>
      <c r="F2116" s="60"/>
      <c r="G2116" s="60">
        <v>0.16400000000000001</v>
      </c>
      <c r="H2116" s="60"/>
      <c r="I2116" s="60"/>
      <c r="J2116" s="60">
        <f>ROUND(F2113*G2116,4)</f>
        <v>12.2295</v>
      </c>
      <c r="K2116" s="60"/>
      <c r="L2116" s="60"/>
    </row>
    <row r="2117" spans="1:12" x14ac:dyDescent="0.25">
      <c r="A2117" s="168"/>
      <c r="B2117" s="144" t="str">
        <f>'Vật liệu'!B766</f>
        <v>V00750</v>
      </c>
      <c r="C2117" s="34">
        <v>333</v>
      </c>
      <c r="D2117" s="144" t="str">
        <f>" - " &amp; 'Vật liệu'!D766</f>
        <v xml:space="preserve"> - Vật liệu khác</v>
      </c>
      <c r="E2117" s="168" t="str">
        <f>'Vật liệu'!E766</f>
        <v>%</v>
      </c>
      <c r="F2117" s="60"/>
      <c r="G2117" s="60">
        <v>1</v>
      </c>
      <c r="H2117" s="60"/>
      <c r="I2117" s="60"/>
      <c r="J2117" s="60"/>
      <c r="K2117" s="60"/>
      <c r="L2117" s="60"/>
    </row>
    <row r="2118" spans="1:12" x14ac:dyDescent="0.25">
      <c r="A2118" s="56"/>
      <c r="B2118" s="23"/>
      <c r="C2118" s="88"/>
      <c r="D2118" s="23" t="s">
        <v>202</v>
      </c>
      <c r="E2118" s="56"/>
      <c r="F2118" s="118"/>
      <c r="G2118" s="118"/>
      <c r="H2118" s="118"/>
      <c r="I2118" s="118"/>
      <c r="J2118" s="118"/>
      <c r="K2118" s="118"/>
      <c r="L2118" s="118"/>
    </row>
    <row r="2119" spans="1:12" x14ac:dyDescent="0.25">
      <c r="A2119" s="168"/>
      <c r="B2119" s="144" t="str">
        <f>'Nhân công'!B45</f>
        <v>N0009</v>
      </c>
      <c r="C2119" s="34">
        <v>546</v>
      </c>
      <c r="D2119" s="144" t="s">
        <v>1052</v>
      </c>
      <c r="E2119" s="168" t="str">
        <f>'Nhân công'!G45</f>
        <v>công</v>
      </c>
      <c r="F2119" s="60"/>
      <c r="G2119" s="60"/>
      <c r="H2119" s="60">
        <v>6.6000000000000003E-2</v>
      </c>
      <c r="I2119" s="60"/>
      <c r="J2119" s="60"/>
      <c r="K2119" s="60">
        <f>ROUND(F2113*H2119,4)</f>
        <v>4.9215999999999998</v>
      </c>
      <c r="L2119" s="60"/>
    </row>
    <row r="2120" spans="1:12" ht="28.5" x14ac:dyDescent="0.25">
      <c r="A2120" s="65">
        <f>'Công trình'!A284</f>
        <v>230</v>
      </c>
      <c r="B2120" s="14" t="str">
        <f>'Công trình'!B284</f>
        <v>AF.11213</v>
      </c>
      <c r="C2120" s="94"/>
      <c r="D2120" s="14" t="str">
        <f>'Công trình'!C284</f>
        <v>Bê tông móng rộng &lt;=250cm đá 1x2, vữa BT mác 200</v>
      </c>
      <c r="E2120" s="46" t="str">
        <f>'Công trình'!D284</f>
        <v>m3</v>
      </c>
      <c r="F2120" s="106">
        <f>'Công trình'!K284</f>
        <v>7.84</v>
      </c>
      <c r="G2120" s="126"/>
      <c r="H2120" s="126"/>
      <c r="I2120" s="126"/>
      <c r="J2120" s="126"/>
      <c r="K2120" s="126"/>
      <c r="L2120" s="126"/>
    </row>
    <row r="2121" spans="1:12" x14ac:dyDescent="0.25">
      <c r="A2121" s="56"/>
      <c r="B2121" s="23"/>
      <c r="C2121" s="88"/>
      <c r="D2121" s="23" t="s">
        <v>479</v>
      </c>
      <c r="E2121" s="56"/>
      <c r="F2121" s="118"/>
      <c r="G2121" s="118"/>
      <c r="H2121" s="118"/>
      <c r="I2121" s="118"/>
      <c r="J2121" s="118"/>
      <c r="K2121" s="118"/>
      <c r="L2121" s="118"/>
    </row>
    <row r="2122" spans="1:12" x14ac:dyDescent="0.25">
      <c r="A2122" s="168"/>
      <c r="B2122" s="144" t="str">
        <f>'Vật liệu'!B721</f>
        <v>V00761</v>
      </c>
      <c r="C2122" s="34">
        <v>397</v>
      </c>
      <c r="D2122" s="144" t="str">
        <f>" - " &amp; 'Vật liệu'!D721</f>
        <v xml:space="preserve"> - Xi măng PC40</v>
      </c>
      <c r="E2122" s="168" t="str">
        <f>'Vật liệu'!E721</f>
        <v>kg</v>
      </c>
      <c r="F2122" s="60"/>
      <c r="G2122" s="60">
        <v>288.02499999999998</v>
      </c>
      <c r="H2122" s="60"/>
      <c r="I2122" s="60"/>
      <c r="J2122" s="60">
        <f>ROUND(F2120*G2122,4)</f>
        <v>2258.116</v>
      </c>
      <c r="K2122" s="60"/>
      <c r="L2122" s="60"/>
    </row>
    <row r="2123" spans="1:12" x14ac:dyDescent="0.25">
      <c r="A2123" s="168"/>
      <c r="B2123" s="144" t="str">
        <f>'Vật liệu'!B54</f>
        <v>V00112</v>
      </c>
      <c r="C2123" s="34">
        <v>125</v>
      </c>
      <c r="D2123" s="144" t="str">
        <f>" - " &amp; 'Vật liệu'!D54</f>
        <v xml:space="preserve"> - Cát vàng</v>
      </c>
      <c r="E2123" s="168" t="str">
        <f>'Vật liệu'!E54</f>
        <v>m3</v>
      </c>
      <c r="F2123" s="60"/>
      <c r="G2123" s="60">
        <v>0.50529999999999997</v>
      </c>
      <c r="H2123" s="60"/>
      <c r="I2123" s="60"/>
      <c r="J2123" s="60">
        <f>ROUND(F2120*G2123,4)</f>
        <v>3.9615999999999998</v>
      </c>
      <c r="K2123" s="60"/>
      <c r="L2123" s="60"/>
    </row>
    <row r="2124" spans="1:12" x14ac:dyDescent="0.25">
      <c r="A2124" s="168"/>
      <c r="B2124" s="144" t="str">
        <f>'Vật liệu'!B142</f>
        <v>V05207</v>
      </c>
      <c r="C2124" s="34">
        <v>416</v>
      </c>
      <c r="D2124" s="144" t="str">
        <f>" - " &amp; 'Vật liệu'!D142</f>
        <v xml:space="preserve"> - Đá 1x2</v>
      </c>
      <c r="E2124" s="168" t="str">
        <f>'Vật liệu'!E142</f>
        <v>m3</v>
      </c>
      <c r="F2124" s="60"/>
      <c r="G2124" s="60">
        <v>0.9133</v>
      </c>
      <c r="H2124" s="60"/>
      <c r="I2124" s="60"/>
      <c r="J2124" s="60">
        <f>ROUND(F2120*G2124,4)</f>
        <v>7.1603000000000003</v>
      </c>
      <c r="K2124" s="60"/>
      <c r="L2124" s="60"/>
    </row>
    <row r="2125" spans="1:12" x14ac:dyDescent="0.25">
      <c r="A2125" s="168"/>
      <c r="B2125" s="144" t="str">
        <f>'Vật liệu'!B353</f>
        <v>V00494</v>
      </c>
      <c r="C2125" s="34">
        <v>148</v>
      </c>
      <c r="D2125" s="144" t="str">
        <f>" - " &amp; 'Vật liệu'!D353</f>
        <v xml:space="preserve"> - Nước</v>
      </c>
      <c r="E2125" s="168" t="str">
        <f>'Vật liệu'!E353</f>
        <v>lít</v>
      </c>
      <c r="F2125" s="60"/>
      <c r="G2125" s="60">
        <v>189.625</v>
      </c>
      <c r="H2125" s="60"/>
      <c r="I2125" s="60"/>
      <c r="J2125" s="60">
        <f>ROUND(F2120*G2125,4)</f>
        <v>1486.66</v>
      </c>
      <c r="K2125" s="60"/>
      <c r="L2125" s="60"/>
    </row>
    <row r="2126" spans="1:12" x14ac:dyDescent="0.25">
      <c r="A2126" s="168"/>
      <c r="B2126" s="144" t="str">
        <f>'Vật liệu'!B766</f>
        <v>V00750</v>
      </c>
      <c r="C2126" s="34">
        <v>335</v>
      </c>
      <c r="D2126" s="144" t="str">
        <f>" - " &amp; 'Vật liệu'!D766</f>
        <v xml:space="preserve"> - Vật liệu khác</v>
      </c>
      <c r="E2126" s="168" t="str">
        <f>'Vật liệu'!E766</f>
        <v>%</v>
      </c>
      <c r="F2126" s="60"/>
      <c r="G2126" s="60">
        <v>1</v>
      </c>
      <c r="H2126" s="60"/>
      <c r="I2126" s="60"/>
      <c r="J2126" s="60"/>
      <c r="K2126" s="60"/>
      <c r="L2126" s="60"/>
    </row>
    <row r="2127" spans="1:12" x14ac:dyDescent="0.25">
      <c r="A2127" s="56"/>
      <c r="B2127" s="23"/>
      <c r="C2127" s="88"/>
      <c r="D2127" s="23" t="s">
        <v>202</v>
      </c>
      <c r="E2127" s="56"/>
      <c r="F2127" s="118"/>
      <c r="G2127" s="118"/>
      <c r="H2127" s="118"/>
      <c r="I2127" s="118"/>
      <c r="J2127" s="118"/>
      <c r="K2127" s="118"/>
      <c r="L2127" s="118"/>
    </row>
    <row r="2128" spans="1:12" x14ac:dyDescent="0.25">
      <c r="A2128" s="168"/>
      <c r="B2128" s="144" t="str">
        <f>'Nhân công'!B6</f>
        <v>N0006</v>
      </c>
      <c r="C2128" s="34">
        <v>545</v>
      </c>
      <c r="D2128" s="144" t="s">
        <v>256</v>
      </c>
      <c r="E2128" s="168" t="str">
        <f>'Nhân công'!G6</f>
        <v>công</v>
      </c>
      <c r="F2128" s="60"/>
      <c r="G2128" s="60"/>
      <c r="H2128" s="60">
        <v>1.64</v>
      </c>
      <c r="I2128" s="60"/>
      <c r="J2128" s="60"/>
      <c r="K2128" s="60">
        <f>ROUND(F2120*H2128,4)</f>
        <v>12.8576</v>
      </c>
      <c r="L2128" s="60"/>
    </row>
    <row r="2129" spans="1:12" x14ac:dyDescent="0.25">
      <c r="A2129" s="56"/>
      <c r="B2129" s="23"/>
      <c r="C2129" s="88"/>
      <c r="D2129" s="23" t="s">
        <v>378</v>
      </c>
      <c r="E2129" s="56"/>
      <c r="F2129" s="118"/>
      <c r="G2129" s="118"/>
      <c r="H2129" s="118"/>
      <c r="I2129" s="118"/>
      <c r="J2129" s="118"/>
      <c r="K2129" s="118"/>
      <c r="L2129" s="118"/>
    </row>
    <row r="2130" spans="1:12" x14ac:dyDescent="0.25">
      <c r="A2130" s="168"/>
      <c r="B2130" s="144" t="str">
        <f>'Máy thi công'!B232</f>
        <v>M9571</v>
      </c>
      <c r="C2130" s="34">
        <v>750</v>
      </c>
      <c r="D2130" s="144" t="str">
        <f>" - " &amp; 'Máy thi công'!D232</f>
        <v xml:space="preserve"> - Máy đầm bê tông, dầm dùi - công suất: 1,5 kW</v>
      </c>
      <c r="E2130" s="168" t="str">
        <f>'Máy thi công'!E232</f>
        <v>ca</v>
      </c>
      <c r="F2130" s="60"/>
      <c r="G2130" s="60"/>
      <c r="H2130" s="60"/>
      <c r="I2130" s="60">
        <v>8.8999999999999996E-2</v>
      </c>
      <c r="J2130" s="60"/>
      <c r="K2130" s="60"/>
      <c r="L2130" s="60">
        <f>ROUND(F2120*I2130,4)</f>
        <v>0.69779999999999998</v>
      </c>
    </row>
    <row r="2131" spans="1:12" x14ac:dyDescent="0.25">
      <c r="A2131" s="168"/>
      <c r="B2131" s="144" t="str">
        <f>'Máy thi công'!B306</f>
        <v>M9555</v>
      </c>
      <c r="C2131" s="34">
        <v>744</v>
      </c>
      <c r="D2131" s="144" t="str">
        <f>" - " &amp; 'Máy thi công'!D306</f>
        <v xml:space="preserve"> - Máy trộn bê tông - dung tích: 250 lít</v>
      </c>
      <c r="E2131" s="168" t="str">
        <f>'Máy thi công'!E306</f>
        <v>ca</v>
      </c>
      <c r="F2131" s="60"/>
      <c r="G2131" s="60"/>
      <c r="H2131" s="60"/>
      <c r="I2131" s="60">
        <v>9.5000000000000001E-2</v>
      </c>
      <c r="J2131" s="60"/>
      <c r="K2131" s="60"/>
      <c r="L2131" s="60">
        <f>ROUND(F2120*I2131,4)</f>
        <v>0.74480000000000002</v>
      </c>
    </row>
    <row r="2132" spans="1:12" ht="28.5" x14ac:dyDescent="0.25">
      <c r="A2132" s="65">
        <f>'Công trình'!A285</f>
        <v>231</v>
      </c>
      <c r="B2132" s="14" t="str">
        <f>'Công trình'!B285</f>
        <v>AF.11212</v>
      </c>
      <c r="C2132" s="94"/>
      <c r="D2132" s="14" t="str">
        <f>'Công trình'!C285</f>
        <v>Bê tông móng rộng &lt;=250cm đá 1x2, vữa BT mác 150</v>
      </c>
      <c r="E2132" s="46" t="str">
        <f>'Công trình'!D285</f>
        <v>m3</v>
      </c>
      <c r="F2132" s="106">
        <f>'Công trình'!K285</f>
        <v>1.4</v>
      </c>
      <c r="G2132" s="126"/>
      <c r="H2132" s="126"/>
      <c r="I2132" s="126"/>
      <c r="J2132" s="126"/>
      <c r="K2132" s="126"/>
      <c r="L2132" s="126"/>
    </row>
    <row r="2133" spans="1:12" x14ac:dyDescent="0.25">
      <c r="A2133" s="56"/>
      <c r="B2133" s="23"/>
      <c r="C2133" s="88"/>
      <c r="D2133" s="23" t="s">
        <v>479</v>
      </c>
      <c r="E2133" s="56"/>
      <c r="F2133" s="118"/>
      <c r="G2133" s="118"/>
      <c r="H2133" s="118"/>
      <c r="I2133" s="118"/>
      <c r="J2133" s="118"/>
      <c r="K2133" s="118"/>
      <c r="L2133" s="118"/>
    </row>
    <row r="2134" spans="1:12" x14ac:dyDescent="0.25">
      <c r="A2134" s="168"/>
      <c r="B2134" s="144" t="str">
        <f>'Vật liệu'!B721</f>
        <v>V00761</v>
      </c>
      <c r="C2134" s="34">
        <v>397</v>
      </c>
      <c r="D2134" s="144" t="str">
        <f>" - " &amp; 'Vật liệu'!D721</f>
        <v xml:space="preserve"> - Xi măng PC40</v>
      </c>
      <c r="E2134" s="168" t="str">
        <f>'Vật liệu'!E721</f>
        <v>kg</v>
      </c>
      <c r="F2134" s="60"/>
      <c r="G2134" s="60">
        <v>238.82499999999999</v>
      </c>
      <c r="H2134" s="60"/>
      <c r="I2134" s="60"/>
      <c r="J2134" s="60">
        <f>ROUND(F2132*G2134,4)</f>
        <v>334.35500000000002</v>
      </c>
      <c r="K2134" s="60"/>
      <c r="L2134" s="60"/>
    </row>
    <row r="2135" spans="1:12" x14ac:dyDescent="0.25">
      <c r="A2135" s="168"/>
      <c r="B2135" s="144" t="str">
        <f>'Vật liệu'!B54</f>
        <v>V00112</v>
      </c>
      <c r="C2135" s="34">
        <v>125</v>
      </c>
      <c r="D2135" s="144" t="str">
        <f>" - " &amp; 'Vật liệu'!D54</f>
        <v xml:space="preserve"> - Cát vàng</v>
      </c>
      <c r="E2135" s="168" t="str">
        <f>'Vật liệu'!E54</f>
        <v>m3</v>
      </c>
      <c r="F2135" s="60"/>
      <c r="G2135" s="60">
        <v>0.52280000000000004</v>
      </c>
      <c r="H2135" s="60"/>
      <c r="I2135" s="60"/>
      <c r="J2135" s="60">
        <f>ROUND(F2132*G2135,4)</f>
        <v>0.7319</v>
      </c>
      <c r="K2135" s="60"/>
      <c r="L2135" s="60"/>
    </row>
    <row r="2136" spans="1:12" x14ac:dyDescent="0.25">
      <c r="A2136" s="168"/>
      <c r="B2136" s="144" t="str">
        <f>'Vật liệu'!B142</f>
        <v>V05207</v>
      </c>
      <c r="C2136" s="34">
        <v>416</v>
      </c>
      <c r="D2136" s="144" t="str">
        <f>" - " &amp; 'Vật liệu'!D142</f>
        <v xml:space="preserve"> - Đá 1x2</v>
      </c>
      <c r="E2136" s="168" t="str">
        <f>'Vật liệu'!E142</f>
        <v>m3</v>
      </c>
      <c r="F2136" s="60"/>
      <c r="G2136" s="60">
        <v>0.92559999999999998</v>
      </c>
      <c r="H2136" s="60"/>
      <c r="I2136" s="60"/>
      <c r="J2136" s="60">
        <f>ROUND(F2132*G2136,4)</f>
        <v>1.2958000000000001</v>
      </c>
      <c r="K2136" s="60"/>
      <c r="L2136" s="60"/>
    </row>
    <row r="2137" spans="1:12" x14ac:dyDescent="0.25">
      <c r="A2137" s="168"/>
      <c r="B2137" s="144" t="str">
        <f>'Vật liệu'!B353</f>
        <v>V00494</v>
      </c>
      <c r="C2137" s="34">
        <v>148</v>
      </c>
      <c r="D2137" s="144" t="str">
        <f>" - " &amp; 'Vật liệu'!D353</f>
        <v xml:space="preserve"> - Nước</v>
      </c>
      <c r="E2137" s="168" t="str">
        <f>'Vật liệu'!E353</f>
        <v>lít</v>
      </c>
      <c r="F2137" s="60"/>
      <c r="G2137" s="60">
        <v>189.625</v>
      </c>
      <c r="H2137" s="60"/>
      <c r="I2137" s="60"/>
      <c r="J2137" s="60">
        <f>ROUND(F2132*G2137,4)</f>
        <v>265.47500000000002</v>
      </c>
      <c r="K2137" s="60"/>
      <c r="L2137" s="60"/>
    </row>
    <row r="2138" spans="1:12" x14ac:dyDescent="0.25">
      <c r="A2138" s="168"/>
      <c r="B2138" s="144" t="str">
        <f>'Vật liệu'!B766</f>
        <v>V00750</v>
      </c>
      <c r="C2138" s="34">
        <v>336</v>
      </c>
      <c r="D2138" s="144" t="str">
        <f>" - " &amp; 'Vật liệu'!D766</f>
        <v xml:space="preserve"> - Vật liệu khác</v>
      </c>
      <c r="E2138" s="168" t="str">
        <f>'Vật liệu'!E766</f>
        <v>%</v>
      </c>
      <c r="F2138" s="60"/>
      <c r="G2138" s="60">
        <v>1</v>
      </c>
      <c r="H2138" s="60"/>
      <c r="I2138" s="60"/>
      <c r="J2138" s="60"/>
      <c r="K2138" s="60"/>
      <c r="L2138" s="60"/>
    </row>
    <row r="2139" spans="1:12" x14ac:dyDescent="0.25">
      <c r="A2139" s="56"/>
      <c r="B2139" s="23"/>
      <c r="C2139" s="88"/>
      <c r="D2139" s="23" t="s">
        <v>202</v>
      </c>
      <c r="E2139" s="56"/>
      <c r="F2139" s="118"/>
      <c r="G2139" s="118"/>
      <c r="H2139" s="118"/>
      <c r="I2139" s="118"/>
      <c r="J2139" s="118"/>
      <c r="K2139" s="118"/>
      <c r="L2139" s="118"/>
    </row>
    <row r="2140" spans="1:12" x14ac:dyDescent="0.25">
      <c r="A2140" s="168"/>
      <c r="B2140" s="144" t="str">
        <f>'Nhân công'!B6</f>
        <v>N0006</v>
      </c>
      <c r="C2140" s="34">
        <v>545</v>
      </c>
      <c r="D2140" s="144" t="s">
        <v>256</v>
      </c>
      <c r="E2140" s="168" t="str">
        <f>'Nhân công'!G6</f>
        <v>công</v>
      </c>
      <c r="F2140" s="60"/>
      <c r="G2140" s="60"/>
      <c r="H2140" s="60">
        <v>1.64</v>
      </c>
      <c r="I2140" s="60"/>
      <c r="J2140" s="60"/>
      <c r="K2140" s="60">
        <f>ROUND(F2132*H2140,4)</f>
        <v>2.2959999999999998</v>
      </c>
      <c r="L2140" s="60"/>
    </row>
    <row r="2141" spans="1:12" x14ac:dyDescent="0.25">
      <c r="A2141" s="56"/>
      <c r="B2141" s="23"/>
      <c r="C2141" s="88"/>
      <c r="D2141" s="23" t="s">
        <v>378</v>
      </c>
      <c r="E2141" s="56"/>
      <c r="F2141" s="118"/>
      <c r="G2141" s="118"/>
      <c r="H2141" s="118"/>
      <c r="I2141" s="118"/>
      <c r="J2141" s="118"/>
      <c r="K2141" s="118"/>
      <c r="L2141" s="118"/>
    </row>
    <row r="2142" spans="1:12" x14ac:dyDescent="0.25">
      <c r="A2142" s="168"/>
      <c r="B2142" s="144" t="str">
        <f>'Máy thi công'!B232</f>
        <v>M9571</v>
      </c>
      <c r="C2142" s="34">
        <v>750</v>
      </c>
      <c r="D2142" s="144" t="str">
        <f>" - " &amp; 'Máy thi công'!D232</f>
        <v xml:space="preserve"> - Máy đầm bê tông, dầm dùi - công suất: 1,5 kW</v>
      </c>
      <c r="E2142" s="168" t="str">
        <f>'Máy thi công'!E232</f>
        <v>ca</v>
      </c>
      <c r="F2142" s="60"/>
      <c r="G2142" s="60"/>
      <c r="H2142" s="60"/>
      <c r="I2142" s="60">
        <v>8.8999999999999996E-2</v>
      </c>
      <c r="J2142" s="60"/>
      <c r="K2142" s="60"/>
      <c r="L2142" s="60">
        <f>ROUND(F2132*I2142,4)</f>
        <v>0.1246</v>
      </c>
    </row>
    <row r="2143" spans="1:12" x14ac:dyDescent="0.25">
      <c r="A2143" s="168"/>
      <c r="B2143" s="144" t="str">
        <f>'Máy thi công'!B306</f>
        <v>M9555</v>
      </c>
      <c r="C2143" s="34">
        <v>744</v>
      </c>
      <c r="D2143" s="144" t="str">
        <f>" - " &amp; 'Máy thi công'!D306</f>
        <v xml:space="preserve"> - Máy trộn bê tông - dung tích: 250 lít</v>
      </c>
      <c r="E2143" s="168" t="str">
        <f>'Máy thi công'!E306</f>
        <v>ca</v>
      </c>
      <c r="F2143" s="60"/>
      <c r="G2143" s="60"/>
      <c r="H2143" s="60"/>
      <c r="I2143" s="60">
        <v>9.5000000000000001E-2</v>
      </c>
      <c r="J2143" s="60"/>
      <c r="K2143" s="60"/>
      <c r="L2143" s="60">
        <f>ROUND(F2132*I2143,4)</f>
        <v>0.13300000000000001</v>
      </c>
    </row>
    <row r="2144" spans="1:12" x14ac:dyDescent="0.25">
      <c r="A2144" s="65">
        <f>'Công trình'!A286</f>
        <v>232</v>
      </c>
      <c r="B2144" s="14" t="str">
        <f>'Công trình'!B286</f>
        <v>AK.41124</v>
      </c>
      <c r="C2144" s="94"/>
      <c r="D2144" s="14" t="str">
        <f>'Công trình'!C286</f>
        <v>Vữa lót M75 dày 3cm</v>
      </c>
      <c r="E2144" s="46" t="str">
        <f>'Công trình'!D286</f>
        <v>m2</v>
      </c>
      <c r="F2144" s="106">
        <f>'Công trình'!K286</f>
        <v>11.34</v>
      </c>
      <c r="G2144" s="126"/>
      <c r="H2144" s="126"/>
      <c r="I2144" s="126"/>
      <c r="J2144" s="126"/>
      <c r="K2144" s="126"/>
      <c r="L2144" s="126"/>
    </row>
    <row r="2145" spans="1:12" x14ac:dyDescent="0.25">
      <c r="A2145" s="56"/>
      <c r="B2145" s="23"/>
      <c r="C2145" s="88"/>
      <c r="D2145" s="23" t="s">
        <v>479</v>
      </c>
      <c r="E2145" s="56"/>
      <c r="F2145" s="118"/>
      <c r="G2145" s="118"/>
      <c r="H2145" s="118"/>
      <c r="I2145" s="118"/>
      <c r="J2145" s="118"/>
      <c r="K2145" s="118"/>
      <c r="L2145" s="118"/>
    </row>
    <row r="2146" spans="1:12" x14ac:dyDescent="0.25">
      <c r="A2146" s="168"/>
      <c r="B2146" s="144" t="str">
        <f>'Vật liệu'!B721</f>
        <v>V00761</v>
      </c>
      <c r="C2146" s="34">
        <v>397</v>
      </c>
      <c r="D2146" s="144" t="str">
        <f>" - " &amp; 'Vật liệu'!D721</f>
        <v xml:space="preserve"> - Xi măng PC40</v>
      </c>
      <c r="E2146" s="168" t="str">
        <f>'Vật liệu'!E721</f>
        <v>kg</v>
      </c>
      <c r="F2146" s="60"/>
      <c r="G2146" s="60">
        <v>7.9457000000000004</v>
      </c>
      <c r="H2146" s="60"/>
      <c r="I2146" s="60"/>
      <c r="J2146" s="60">
        <f>ROUND(F2144*G2146,4)</f>
        <v>90.104200000000006</v>
      </c>
      <c r="K2146" s="60"/>
      <c r="L2146" s="60"/>
    </row>
    <row r="2147" spans="1:12" x14ac:dyDescent="0.25">
      <c r="A2147" s="168"/>
      <c r="B2147" s="144" t="str">
        <f>'Vật liệu'!B54</f>
        <v>V00112</v>
      </c>
      <c r="C2147" s="34">
        <v>125</v>
      </c>
      <c r="D2147" s="144" t="str">
        <f>" - " &amp; 'Vật liệu'!D54</f>
        <v xml:space="preserve"> - Cát vàng</v>
      </c>
      <c r="E2147" s="168" t="str">
        <f>'Vật liệu'!E54</f>
        <v>m3</v>
      </c>
      <c r="F2147" s="60"/>
      <c r="G2147" s="60">
        <v>3.9600000000000003E-2</v>
      </c>
      <c r="H2147" s="60"/>
      <c r="I2147" s="60"/>
      <c r="J2147" s="60">
        <f>ROUND(F2144*G2147,4)</f>
        <v>0.4491</v>
      </c>
      <c r="K2147" s="60"/>
      <c r="L2147" s="60"/>
    </row>
    <row r="2148" spans="1:12" x14ac:dyDescent="0.25">
      <c r="A2148" s="168"/>
      <c r="B2148" s="144" t="str">
        <f>'Vật liệu'!B353</f>
        <v>V00494</v>
      </c>
      <c r="C2148" s="34">
        <v>148</v>
      </c>
      <c r="D2148" s="144" t="str">
        <f>" - " &amp; 'Vật liệu'!D353</f>
        <v xml:space="preserve"> - Nước</v>
      </c>
      <c r="E2148" s="168" t="str">
        <f>'Vật liệu'!E353</f>
        <v>lít</v>
      </c>
      <c r="F2148" s="60"/>
      <c r="G2148" s="60">
        <v>9.1</v>
      </c>
      <c r="H2148" s="60"/>
      <c r="I2148" s="60"/>
      <c r="J2148" s="60">
        <f>ROUND(F2144*G2148,4)</f>
        <v>103.194</v>
      </c>
      <c r="K2148" s="60"/>
      <c r="L2148" s="60"/>
    </row>
    <row r="2149" spans="1:12" x14ac:dyDescent="0.25">
      <c r="A2149" s="56"/>
      <c r="B2149" s="23"/>
      <c r="C2149" s="88"/>
      <c r="D2149" s="23" t="s">
        <v>202</v>
      </c>
      <c r="E2149" s="56"/>
      <c r="F2149" s="118"/>
      <c r="G2149" s="118"/>
      <c r="H2149" s="118"/>
      <c r="I2149" s="118"/>
      <c r="J2149" s="118"/>
      <c r="K2149" s="118"/>
      <c r="L2149" s="118"/>
    </row>
    <row r="2150" spans="1:12" x14ac:dyDescent="0.25">
      <c r="A2150" s="168"/>
      <c r="B2150" s="144" t="str">
        <f>'Nhân công'!B130</f>
        <v>N0011</v>
      </c>
      <c r="C2150" s="34">
        <v>550</v>
      </c>
      <c r="D2150" s="144" t="s">
        <v>671</v>
      </c>
      <c r="E2150" s="168" t="str">
        <f>'Nhân công'!G130</f>
        <v>công</v>
      </c>
      <c r="F2150" s="60"/>
      <c r="G2150" s="60"/>
      <c r="H2150" s="60">
        <v>0.106</v>
      </c>
      <c r="I2150" s="60"/>
      <c r="J2150" s="60"/>
      <c r="K2150" s="60">
        <f>ROUND(F2144*H2150,4)</f>
        <v>1.202</v>
      </c>
      <c r="L2150" s="60"/>
    </row>
    <row r="2151" spans="1:12" x14ac:dyDescent="0.25">
      <c r="A2151" s="56"/>
      <c r="B2151" s="23"/>
      <c r="C2151" s="88"/>
      <c r="D2151" s="23" t="s">
        <v>378</v>
      </c>
      <c r="E2151" s="56"/>
      <c r="F2151" s="118"/>
      <c r="G2151" s="118"/>
      <c r="H2151" s="118"/>
      <c r="I2151" s="118"/>
      <c r="J2151" s="118"/>
      <c r="K2151" s="118"/>
      <c r="L2151" s="118"/>
    </row>
    <row r="2152" spans="1:12" x14ac:dyDescent="0.25">
      <c r="A2152" s="168"/>
      <c r="B2152" s="144" t="str">
        <f>'Máy thi công'!B341</f>
        <v>M9558</v>
      </c>
      <c r="C2152" s="34">
        <v>745</v>
      </c>
      <c r="D2152" s="144" t="str">
        <f>" - " &amp; 'Máy thi công'!D341</f>
        <v xml:space="preserve"> - Máy trộn vữa - dung tích: 80 lít</v>
      </c>
      <c r="E2152" s="168" t="str">
        <f>'Máy thi công'!E341</f>
        <v>ca</v>
      </c>
      <c r="F2152" s="60"/>
      <c r="G2152" s="60"/>
      <c r="H2152" s="60"/>
      <c r="I2152" s="60">
        <v>4.0000000000000001E-3</v>
      </c>
      <c r="J2152" s="60"/>
      <c r="K2152" s="60"/>
      <c r="L2152" s="60">
        <f>ROUND(F2144*I2152,4)</f>
        <v>4.5400000000000003E-2</v>
      </c>
    </row>
    <row r="2153" spans="1:12" x14ac:dyDescent="0.25">
      <c r="A2153" s="65">
        <f>'Công trình'!A287</f>
        <v>233</v>
      </c>
      <c r="B2153" s="14" t="str">
        <f>'Công trình'!B287</f>
        <v>AF.82511</v>
      </c>
      <c r="C2153" s="94"/>
      <c r="D2153" s="14" t="str">
        <f>'Công trình'!C287</f>
        <v>Ván khuôn móng</v>
      </c>
      <c r="E2153" s="46" t="str">
        <f>'Công trình'!D287</f>
        <v>100m2</v>
      </c>
      <c r="F2153" s="106">
        <f>'Công trình'!K287</f>
        <v>0.62719999999999998</v>
      </c>
      <c r="G2153" s="126"/>
      <c r="H2153" s="126"/>
      <c r="I2153" s="126"/>
      <c r="J2153" s="126"/>
      <c r="K2153" s="126"/>
      <c r="L2153" s="126"/>
    </row>
    <row r="2154" spans="1:12" x14ac:dyDescent="0.25">
      <c r="A2154" s="56"/>
      <c r="B2154" s="23"/>
      <c r="C2154" s="88"/>
      <c r="D2154" s="23" t="s">
        <v>479</v>
      </c>
      <c r="E2154" s="56"/>
      <c r="F2154" s="118"/>
      <c r="G2154" s="118"/>
      <c r="H2154" s="118"/>
      <c r="I2154" s="118"/>
      <c r="J2154" s="118"/>
      <c r="K2154" s="118"/>
      <c r="L2154" s="118"/>
    </row>
    <row r="2155" spans="1:12" x14ac:dyDescent="0.25">
      <c r="A2155" s="168"/>
      <c r="B2155" s="144" t="str">
        <f>'Vật liệu'!B556</f>
        <v>V00641</v>
      </c>
      <c r="C2155" s="34">
        <v>160</v>
      </c>
      <c r="D2155" s="144" t="str">
        <f>" - " &amp; 'Vật liệu'!D556</f>
        <v xml:space="preserve"> - Thép hình</v>
      </c>
      <c r="E2155" s="168" t="str">
        <f>'Vật liệu'!E556</f>
        <v>kg</v>
      </c>
      <c r="F2155" s="60"/>
      <c r="G2155" s="60">
        <v>32.020000000000003</v>
      </c>
      <c r="H2155" s="60"/>
      <c r="I2155" s="60"/>
      <c r="J2155" s="60">
        <f>ROUND(F2153*G2155,4)</f>
        <v>20.082899999999999</v>
      </c>
      <c r="K2155" s="60"/>
      <c r="L2155" s="60"/>
    </row>
    <row r="2156" spans="1:12" x14ac:dyDescent="0.25">
      <c r="A2156" s="168"/>
      <c r="B2156" s="144" t="str">
        <f>'Vật liệu'!B606</f>
        <v>V00671</v>
      </c>
      <c r="C2156" s="34">
        <v>166</v>
      </c>
      <c r="D2156" s="144" t="str">
        <f>" - " &amp; 'Vật liệu'!D606</f>
        <v xml:space="preserve"> - Thép tấm</v>
      </c>
      <c r="E2156" s="168" t="str">
        <f>'Vật liệu'!E606</f>
        <v>kg</v>
      </c>
      <c r="F2156" s="60"/>
      <c r="G2156" s="60">
        <v>51.81</v>
      </c>
      <c r="H2156" s="60"/>
      <c r="I2156" s="60"/>
      <c r="J2156" s="60">
        <f>ROUND(F2153*G2156,4)</f>
        <v>32.495199999999997</v>
      </c>
      <c r="K2156" s="60"/>
      <c r="L2156" s="60"/>
    </row>
    <row r="2157" spans="1:12" x14ac:dyDescent="0.25">
      <c r="A2157" s="168"/>
      <c r="B2157" s="144" t="str">
        <f>'Vật liệu'!B766</f>
        <v>V00750</v>
      </c>
      <c r="C2157" s="34">
        <v>337</v>
      </c>
      <c r="D2157" s="144" t="str">
        <f>" - " &amp; 'Vật liệu'!D766</f>
        <v xml:space="preserve"> - Vật liệu khác</v>
      </c>
      <c r="E2157" s="168" t="str">
        <f>'Vật liệu'!E766</f>
        <v>%</v>
      </c>
      <c r="F2157" s="60"/>
      <c r="G2157" s="60">
        <v>10</v>
      </c>
      <c r="H2157" s="60"/>
      <c r="I2157" s="60"/>
      <c r="J2157" s="60"/>
      <c r="K2157" s="60"/>
      <c r="L2157" s="60"/>
    </row>
    <row r="2158" spans="1:12" x14ac:dyDescent="0.25">
      <c r="A2158" s="56"/>
      <c r="B2158" s="23"/>
      <c r="C2158" s="88"/>
      <c r="D2158" s="23" t="s">
        <v>202</v>
      </c>
      <c r="E2158" s="56"/>
      <c r="F2158" s="118"/>
      <c r="G2158" s="118"/>
      <c r="H2158" s="118"/>
      <c r="I2158" s="118"/>
      <c r="J2158" s="118"/>
      <c r="K2158" s="118"/>
      <c r="L2158" s="118"/>
    </row>
    <row r="2159" spans="1:12" x14ac:dyDescent="0.25">
      <c r="A2159" s="168"/>
      <c r="B2159" s="144" t="str">
        <f>'Nhân công'!B130</f>
        <v>N0011</v>
      </c>
      <c r="C2159" s="34">
        <v>550</v>
      </c>
      <c r="D2159" s="144" t="s">
        <v>671</v>
      </c>
      <c r="E2159" s="168" t="str">
        <f>'Nhân công'!G130</f>
        <v>công</v>
      </c>
      <c r="F2159" s="60"/>
      <c r="G2159" s="60"/>
      <c r="H2159" s="60">
        <v>12.25</v>
      </c>
      <c r="I2159" s="60"/>
      <c r="J2159" s="60"/>
      <c r="K2159" s="60">
        <f>ROUND(F2153*H2159,4)</f>
        <v>7.6832000000000003</v>
      </c>
      <c r="L2159" s="60"/>
    </row>
    <row r="2160" spans="1:12" x14ac:dyDescent="0.25">
      <c r="A2160" s="65">
        <f>'Công trình'!A289</f>
        <v>234</v>
      </c>
      <c r="B2160" s="14" t="str">
        <f>'Công trình'!B289</f>
        <v>BB.14306</v>
      </c>
      <c r="C2160" s="94"/>
      <c r="D2160" s="14" t="str">
        <f>'Công trình'!C289</f>
        <v>Ống thép D80mm, dày 2.9mm, mạ kẽm</v>
      </c>
      <c r="E2160" s="46" t="str">
        <f>'Công trình'!D289</f>
        <v>100m</v>
      </c>
      <c r="F2160" s="106">
        <f>'Công trình'!K289</f>
        <v>7.0000000000000007E-2</v>
      </c>
      <c r="G2160" s="126"/>
      <c r="H2160" s="126"/>
      <c r="I2160" s="126"/>
      <c r="J2160" s="126"/>
      <c r="K2160" s="126"/>
      <c r="L2160" s="126"/>
    </row>
    <row r="2161" spans="1:12" x14ac:dyDescent="0.25">
      <c r="A2161" s="56"/>
      <c r="B2161" s="23"/>
      <c r="C2161" s="88"/>
      <c r="D2161" s="23" t="s">
        <v>479</v>
      </c>
      <c r="E2161" s="56"/>
      <c r="F2161" s="118"/>
      <c r="G2161" s="118"/>
      <c r="H2161" s="118"/>
      <c r="I2161" s="118"/>
      <c r="J2161" s="118"/>
      <c r="K2161" s="118"/>
      <c r="L2161" s="118"/>
    </row>
    <row r="2162" spans="1:12" x14ac:dyDescent="0.25">
      <c r="A2162" s="168"/>
      <c r="B2162" s="144" t="str">
        <f>'Vật liệu'!B343</f>
        <v>V48379</v>
      </c>
      <c r="C2162" s="34">
        <v>481</v>
      </c>
      <c r="D2162" s="144" t="str">
        <f>" - " &amp; 'Vật liệu'!D343</f>
        <v xml:space="preserve"> - Măng sông thép tráng kẽm đường kính 80mm</v>
      </c>
      <c r="E2162" s="168" t="str">
        <f>'Vật liệu'!E343</f>
        <v>cái</v>
      </c>
      <c r="F2162" s="60"/>
      <c r="G2162" s="60">
        <v>12</v>
      </c>
      <c r="H2162" s="60"/>
      <c r="I2162" s="60"/>
      <c r="J2162" s="60">
        <f>ROUND(F2160*G2162,4)</f>
        <v>0.84</v>
      </c>
      <c r="K2162" s="60"/>
      <c r="L2162" s="60"/>
    </row>
    <row r="2163" spans="1:12" x14ac:dyDescent="0.25">
      <c r="A2163" s="168"/>
      <c r="B2163" s="144" t="str">
        <f>'Vật liệu'!B434</f>
        <v>V49067</v>
      </c>
      <c r="C2163" s="34">
        <v>513</v>
      </c>
      <c r="D2163" s="144" t="str">
        <f>" - " &amp; 'Vật liệu'!D434</f>
        <v xml:space="preserve"> - Ống thép tráng kẽm đường kính 80mm</v>
      </c>
      <c r="E2163" s="168" t="str">
        <f>'Vật liệu'!E434</f>
        <v>m</v>
      </c>
      <c r="F2163" s="60"/>
      <c r="G2163" s="60">
        <v>100.5</v>
      </c>
      <c r="H2163" s="60"/>
      <c r="I2163" s="60"/>
      <c r="J2163" s="60">
        <f>ROUND(F2160*G2163,4)</f>
        <v>7.0350000000000001</v>
      </c>
      <c r="K2163" s="60"/>
      <c r="L2163" s="60"/>
    </row>
    <row r="2164" spans="1:12" x14ac:dyDescent="0.25">
      <c r="A2164" s="168"/>
      <c r="B2164" s="144" t="str">
        <f>'Vật liệu'!B766</f>
        <v>V00750</v>
      </c>
      <c r="C2164" s="34">
        <v>340</v>
      </c>
      <c r="D2164" s="144" t="str">
        <f>" - " &amp; 'Vật liệu'!D766</f>
        <v xml:space="preserve"> - Vật liệu khác</v>
      </c>
      <c r="E2164" s="168" t="str">
        <f>'Vật liệu'!E766</f>
        <v>%</v>
      </c>
      <c r="F2164" s="60"/>
      <c r="G2164" s="60">
        <v>0.01</v>
      </c>
      <c r="H2164" s="60"/>
      <c r="I2164" s="60"/>
      <c r="J2164" s="60"/>
      <c r="K2164" s="60"/>
      <c r="L2164" s="60"/>
    </row>
    <row r="2165" spans="1:12" x14ac:dyDescent="0.25">
      <c r="A2165" s="56"/>
      <c r="B2165" s="23"/>
      <c r="C2165" s="88"/>
      <c r="D2165" s="23" t="s">
        <v>202</v>
      </c>
      <c r="E2165" s="56"/>
      <c r="F2165" s="118"/>
      <c r="G2165" s="118"/>
      <c r="H2165" s="118"/>
      <c r="I2165" s="118"/>
      <c r="J2165" s="118"/>
      <c r="K2165" s="118"/>
      <c r="L2165" s="118"/>
    </row>
    <row r="2166" spans="1:12" x14ac:dyDescent="0.25">
      <c r="A2166" s="168"/>
      <c r="B2166" s="144" t="str">
        <f>'Nhân công'!B103</f>
        <v>N0015</v>
      </c>
      <c r="C2166" s="34">
        <v>554</v>
      </c>
      <c r="D2166" s="144" t="s">
        <v>1014</v>
      </c>
      <c r="E2166" s="168" t="str">
        <f>'Nhân công'!G103</f>
        <v>công</v>
      </c>
      <c r="F2166" s="60"/>
      <c r="G2166" s="60"/>
      <c r="H2166" s="60">
        <v>18.920000000000002</v>
      </c>
      <c r="I2166" s="60"/>
      <c r="J2166" s="60"/>
      <c r="K2166" s="60">
        <f>ROUND(F2160*H2166,4)</f>
        <v>1.3244</v>
      </c>
      <c r="L2166" s="60"/>
    </row>
    <row r="2167" spans="1:12" ht="28.5" x14ac:dyDescent="0.25">
      <c r="A2167" s="65">
        <f>'Công trình'!A290</f>
        <v>235</v>
      </c>
      <c r="B2167" s="14" t="str">
        <f>'Công trình'!B290</f>
        <v>AD.32421</v>
      </c>
      <c r="C2167" s="94"/>
      <c r="D2167" s="14" t="str">
        <f>'Công trình'!C290</f>
        <v>Biển báo bằng tôn hình tròn D70cm, dày 1.2mm, sơn phản quang (Biển 115)</v>
      </c>
      <c r="E2167" s="46" t="str">
        <f>'Công trình'!D290</f>
        <v>cái</v>
      </c>
      <c r="F2167" s="106">
        <f>'Công trình'!K290</f>
        <v>2</v>
      </c>
      <c r="G2167" s="126"/>
      <c r="H2167" s="126"/>
      <c r="I2167" s="126"/>
      <c r="J2167" s="126"/>
      <c r="K2167" s="126"/>
      <c r="L2167" s="126"/>
    </row>
    <row r="2168" spans="1:12" x14ac:dyDescent="0.25">
      <c r="A2168" s="56"/>
      <c r="B2168" s="23"/>
      <c r="C2168" s="88"/>
      <c r="D2168" s="23" t="s">
        <v>479</v>
      </c>
      <c r="E2168" s="56"/>
      <c r="F2168" s="118"/>
      <c r="G2168" s="118"/>
      <c r="H2168" s="118"/>
      <c r="I2168" s="118"/>
      <c r="J2168" s="118"/>
      <c r="K2168" s="118"/>
      <c r="L2168" s="118"/>
    </row>
    <row r="2169" spans="1:12" x14ac:dyDescent="0.25">
      <c r="A2169" s="168"/>
      <c r="B2169" s="144" t="str">
        <f>'Vật liệu'!B285</f>
        <v>V00215</v>
      </c>
      <c r="C2169" s="34">
        <v>133</v>
      </c>
      <c r="D2169" s="144" t="str">
        <f>" - " &amp; 'Vật liệu'!D285</f>
        <v xml:space="preserve"> - Dung môi PUV</v>
      </c>
      <c r="E2169" s="168" t="str">
        <f>'Vật liệu'!E285</f>
        <v>lít</v>
      </c>
      <c r="F2169" s="60"/>
      <c r="G2169" s="60">
        <v>0.04</v>
      </c>
      <c r="H2169" s="60"/>
      <c r="I2169" s="60"/>
      <c r="J2169" s="60">
        <f>ROUND(F2167*G2169,4)</f>
        <v>0.08</v>
      </c>
      <c r="K2169" s="60"/>
      <c r="L2169" s="60"/>
    </row>
    <row r="2170" spans="1:12" x14ac:dyDescent="0.25">
      <c r="A2170" s="168"/>
      <c r="B2170" s="144" t="str">
        <f>'Vật liệu'!B702</f>
        <v>V03174</v>
      </c>
      <c r="C2170" s="34">
        <v>414</v>
      </c>
      <c r="D2170" s="144" t="str">
        <f>" - " &amp; 'Vật liệu'!D702</f>
        <v xml:space="preserve"> - Tôn tráng kẽm</v>
      </c>
      <c r="E2170" s="168" t="str">
        <f>'Vật liệu'!E702</f>
        <v>kg</v>
      </c>
      <c r="F2170" s="60"/>
      <c r="G2170" s="60">
        <v>5.17</v>
      </c>
      <c r="H2170" s="60"/>
      <c r="I2170" s="60"/>
      <c r="J2170" s="60">
        <f>ROUND(F2167*G2170,4)</f>
        <v>10.34</v>
      </c>
      <c r="K2170" s="60"/>
      <c r="L2170" s="60"/>
    </row>
    <row r="2171" spans="1:12" x14ac:dyDescent="0.25">
      <c r="A2171" s="168"/>
      <c r="B2171" s="144" t="str">
        <f>'Vật liệu'!B337</f>
        <v>V00451</v>
      </c>
      <c r="C2171" s="34">
        <v>146</v>
      </c>
      <c r="D2171" s="144" t="str">
        <f>" - " &amp; 'Vật liệu'!D337</f>
        <v xml:space="preserve"> - Màng phản quang</v>
      </c>
      <c r="E2171" s="168" t="str">
        <f>'Vật liệu'!E337</f>
        <v>m2</v>
      </c>
      <c r="F2171" s="60"/>
      <c r="G2171" s="60">
        <v>0.56999999999999995</v>
      </c>
      <c r="H2171" s="60"/>
      <c r="I2171" s="60"/>
      <c r="J2171" s="60">
        <f>ROUND(F2167*G2171,4)</f>
        <v>1.1399999999999999</v>
      </c>
      <c r="K2171" s="60"/>
      <c r="L2171" s="60"/>
    </row>
    <row r="2172" spans="1:12" x14ac:dyDescent="0.25">
      <c r="A2172" s="168"/>
      <c r="B2172" s="144" t="str">
        <f>'Vật liệu'!B349</f>
        <v>V00475</v>
      </c>
      <c r="C2172" s="34">
        <v>147</v>
      </c>
      <c r="D2172" s="144" t="str">
        <f>" - " &amp; 'Vật liệu'!D349</f>
        <v xml:space="preserve"> - Mực in cao cấp</v>
      </c>
      <c r="E2172" s="168" t="str">
        <f>'Vật liệu'!E349</f>
        <v>lít</v>
      </c>
      <c r="F2172" s="60"/>
      <c r="G2172" s="60">
        <v>0.04</v>
      </c>
      <c r="H2172" s="60"/>
      <c r="I2172" s="60"/>
      <c r="J2172" s="60">
        <f>ROUND(F2167*G2172,4)</f>
        <v>0.08</v>
      </c>
      <c r="K2172" s="60"/>
      <c r="L2172" s="60"/>
    </row>
    <row r="2173" spans="1:12" x14ac:dyDescent="0.25">
      <c r="A2173" s="168"/>
      <c r="B2173" s="144" t="str">
        <f>'Vật liệu'!B281</f>
        <v>V08331</v>
      </c>
      <c r="C2173" s="34">
        <v>438</v>
      </c>
      <c r="D2173" s="144" t="str">
        <f>" - " &amp; 'Vật liệu'!D281</f>
        <v xml:space="preserve"> - Dung môi PUH3519</v>
      </c>
      <c r="E2173" s="168" t="str">
        <f>'Vật liệu'!E281</f>
        <v>lít</v>
      </c>
      <c r="F2173" s="60"/>
      <c r="G2173" s="60">
        <v>1.6E-2</v>
      </c>
      <c r="H2173" s="60"/>
      <c r="I2173" s="60"/>
      <c r="J2173" s="60">
        <f>ROUND(F2167*G2173,4)</f>
        <v>3.2000000000000001E-2</v>
      </c>
      <c r="K2173" s="60"/>
      <c r="L2173" s="60"/>
    </row>
    <row r="2174" spans="1:12" x14ac:dyDescent="0.25">
      <c r="A2174" s="168"/>
      <c r="B2174" s="144" t="str">
        <f>'Vật liệu'!B766</f>
        <v>V00750</v>
      </c>
      <c r="C2174" s="34">
        <v>342</v>
      </c>
      <c r="D2174" s="144" t="str">
        <f>" - " &amp; 'Vật liệu'!D766</f>
        <v xml:space="preserve"> - Vật liệu khác</v>
      </c>
      <c r="E2174" s="168" t="str">
        <f>'Vật liệu'!E766</f>
        <v>%</v>
      </c>
      <c r="F2174" s="60"/>
      <c r="G2174" s="60">
        <v>1.5</v>
      </c>
      <c r="H2174" s="60"/>
      <c r="I2174" s="60"/>
      <c r="J2174" s="60"/>
      <c r="K2174" s="60"/>
      <c r="L2174" s="60"/>
    </row>
    <row r="2175" spans="1:12" x14ac:dyDescent="0.25">
      <c r="A2175" s="56"/>
      <c r="B2175" s="23"/>
      <c r="C2175" s="88"/>
      <c r="D2175" s="23" t="s">
        <v>202</v>
      </c>
      <c r="E2175" s="56"/>
      <c r="F2175" s="118"/>
      <c r="G2175" s="118"/>
      <c r="H2175" s="118"/>
      <c r="I2175" s="118"/>
      <c r="J2175" s="118"/>
      <c r="K2175" s="118"/>
      <c r="L2175" s="118"/>
    </row>
    <row r="2176" spans="1:12" x14ac:dyDescent="0.25">
      <c r="A2176" s="168"/>
      <c r="B2176" s="144" t="str">
        <f>'Nhân công'!B126</f>
        <v>N0031</v>
      </c>
      <c r="C2176" s="34">
        <v>559</v>
      </c>
      <c r="D2176" s="144" t="s">
        <v>817</v>
      </c>
      <c r="E2176" s="168" t="str">
        <f>'Nhân công'!G126</f>
        <v>công</v>
      </c>
      <c r="F2176" s="60"/>
      <c r="G2176" s="60"/>
      <c r="H2176" s="60">
        <v>1.44</v>
      </c>
      <c r="I2176" s="60"/>
      <c r="J2176" s="60"/>
      <c r="K2176" s="60">
        <f>ROUND(F2167*H2176,4)</f>
        <v>2.88</v>
      </c>
      <c r="L2176" s="60"/>
    </row>
    <row r="2177" spans="1:12" x14ac:dyDescent="0.25">
      <c r="A2177" s="56"/>
      <c r="B2177" s="23"/>
      <c r="C2177" s="88"/>
      <c r="D2177" s="23" t="s">
        <v>378</v>
      </c>
      <c r="E2177" s="56"/>
      <c r="F2177" s="118"/>
      <c r="G2177" s="118"/>
      <c r="H2177" s="118"/>
      <c r="I2177" s="118"/>
      <c r="J2177" s="118"/>
      <c r="K2177" s="118"/>
      <c r="L2177" s="118"/>
    </row>
    <row r="2178" spans="1:12" x14ac:dyDescent="0.25">
      <c r="A2178" s="168"/>
      <c r="B2178" s="144" t="str">
        <f>'Máy thi công'!B378</f>
        <v>M9649</v>
      </c>
      <c r="C2178" s="34">
        <v>762</v>
      </c>
      <c r="D2178" s="144" t="str">
        <f>" - " &amp; 'Máy thi công'!D378</f>
        <v xml:space="preserve"> - Ô tô vận tải thùng - trọng tải: 2,5 t</v>
      </c>
      <c r="E2178" s="168" t="str">
        <f>'Máy thi công'!E378</f>
        <v>ca</v>
      </c>
      <c r="F2178" s="60"/>
      <c r="G2178" s="60"/>
      <c r="H2178" s="60"/>
      <c r="I2178" s="60">
        <v>2.5000000000000001E-2</v>
      </c>
      <c r="J2178" s="60"/>
      <c r="K2178" s="60"/>
      <c r="L2178" s="60">
        <f>ROUND(F2167*I2178,4)</f>
        <v>0.05</v>
      </c>
    </row>
    <row r="2179" spans="1:12" x14ac:dyDescent="0.25">
      <c r="A2179" s="65">
        <f>'Công trình'!A291</f>
        <v>236</v>
      </c>
      <c r="B2179" s="14" t="str">
        <f>'Công trình'!B291</f>
        <v>AD.32441</v>
      </c>
      <c r="C2179" s="94"/>
      <c r="D2179" s="14" t="str">
        <f>'Công trình'!C291</f>
        <v>Biển hình chữ nhật (40x60) (biển 439)</v>
      </c>
      <c r="E2179" s="46" t="str">
        <f>'Công trình'!D291</f>
        <v>cái</v>
      </c>
      <c r="F2179" s="106">
        <f>'Công trình'!K291</f>
        <v>4</v>
      </c>
      <c r="G2179" s="126"/>
      <c r="H2179" s="126"/>
      <c r="I2179" s="126"/>
      <c r="J2179" s="126"/>
      <c r="K2179" s="126"/>
      <c r="L2179" s="126"/>
    </row>
    <row r="2180" spans="1:12" x14ac:dyDescent="0.25">
      <c r="A2180" s="56"/>
      <c r="B2180" s="23"/>
      <c r="C2180" s="88"/>
      <c r="D2180" s="23" t="s">
        <v>479</v>
      </c>
      <c r="E2180" s="56"/>
      <c r="F2180" s="118"/>
      <c r="G2180" s="118"/>
      <c r="H2180" s="118"/>
      <c r="I2180" s="118"/>
      <c r="J2180" s="118"/>
      <c r="K2180" s="118"/>
      <c r="L2180" s="118"/>
    </row>
    <row r="2181" spans="1:12" x14ac:dyDescent="0.25">
      <c r="A2181" s="168"/>
      <c r="B2181" s="144" t="str">
        <f>'Vật liệu'!B285</f>
        <v>V00215</v>
      </c>
      <c r="C2181" s="34">
        <v>133</v>
      </c>
      <c r="D2181" s="144" t="str">
        <f>" - " &amp; 'Vật liệu'!D285</f>
        <v xml:space="preserve"> - Dung môi PUV</v>
      </c>
      <c r="E2181" s="168" t="str">
        <f>'Vật liệu'!E285</f>
        <v>lít</v>
      </c>
      <c r="F2181" s="60"/>
      <c r="G2181" s="60">
        <v>1.6E-2</v>
      </c>
      <c r="H2181" s="60"/>
      <c r="I2181" s="60"/>
      <c r="J2181" s="60">
        <f>ROUND(F2179*G2181,4)</f>
        <v>6.4000000000000001E-2</v>
      </c>
      <c r="K2181" s="60"/>
      <c r="L2181" s="60"/>
    </row>
    <row r="2182" spans="1:12" x14ac:dyDescent="0.25">
      <c r="A2182" s="168"/>
      <c r="B2182" s="144" t="str">
        <f>'Vật liệu'!B702</f>
        <v>V03174</v>
      </c>
      <c r="C2182" s="34">
        <v>414</v>
      </c>
      <c r="D2182" s="144" t="str">
        <f>" - " &amp; 'Vật liệu'!D702</f>
        <v xml:space="preserve"> - Tôn tráng kẽm</v>
      </c>
      <c r="E2182" s="168" t="str">
        <f>'Vật liệu'!E702</f>
        <v>kg</v>
      </c>
      <c r="F2182" s="60"/>
      <c r="G2182" s="60">
        <v>1.58</v>
      </c>
      <c r="H2182" s="60"/>
      <c r="I2182" s="60"/>
      <c r="J2182" s="60">
        <f>ROUND(F2179*G2182,4)</f>
        <v>6.32</v>
      </c>
      <c r="K2182" s="60"/>
      <c r="L2182" s="60"/>
    </row>
    <row r="2183" spans="1:12" x14ac:dyDescent="0.25">
      <c r="A2183" s="168"/>
      <c r="B2183" s="144" t="str">
        <f>'Vật liệu'!B337</f>
        <v>V00451</v>
      </c>
      <c r="C2183" s="34">
        <v>146</v>
      </c>
      <c r="D2183" s="144" t="str">
        <f>" - " &amp; 'Vật liệu'!D337</f>
        <v xml:space="preserve"> - Màng phản quang</v>
      </c>
      <c r="E2183" s="168" t="str">
        <f>'Vật liệu'!E337</f>
        <v>m2</v>
      </c>
      <c r="F2183" s="60"/>
      <c r="G2183" s="60">
        <v>0.183</v>
      </c>
      <c r="H2183" s="60"/>
      <c r="I2183" s="60"/>
      <c r="J2183" s="60">
        <f>ROUND(F2179*G2183,4)</f>
        <v>0.73199999999999998</v>
      </c>
      <c r="K2183" s="60"/>
      <c r="L2183" s="60"/>
    </row>
    <row r="2184" spans="1:12" x14ac:dyDescent="0.25">
      <c r="A2184" s="168"/>
      <c r="B2184" s="144" t="str">
        <f>'Vật liệu'!B349</f>
        <v>V00475</v>
      </c>
      <c r="C2184" s="34">
        <v>147</v>
      </c>
      <c r="D2184" s="144" t="str">
        <f>" - " &amp; 'Vật liệu'!D349</f>
        <v xml:space="preserve"> - Mực in cao cấp</v>
      </c>
      <c r="E2184" s="168" t="str">
        <f>'Vật liệu'!E349</f>
        <v>lít</v>
      </c>
      <c r="F2184" s="60"/>
      <c r="G2184" s="60">
        <v>1.6E-2</v>
      </c>
      <c r="H2184" s="60"/>
      <c r="I2184" s="60"/>
      <c r="J2184" s="60">
        <f>ROUND(F2179*G2184,4)</f>
        <v>6.4000000000000001E-2</v>
      </c>
      <c r="K2184" s="60"/>
      <c r="L2184" s="60"/>
    </row>
    <row r="2185" spans="1:12" x14ac:dyDescent="0.25">
      <c r="A2185" s="168"/>
      <c r="B2185" s="144" t="str">
        <f>'Vật liệu'!B281</f>
        <v>V08331</v>
      </c>
      <c r="C2185" s="34">
        <v>438</v>
      </c>
      <c r="D2185" s="144" t="str">
        <f>" - " &amp; 'Vật liệu'!D281</f>
        <v xml:space="preserve"> - Dung môi PUH3519</v>
      </c>
      <c r="E2185" s="168" t="str">
        <f>'Vật liệu'!E281</f>
        <v>lít</v>
      </c>
      <c r="F2185" s="60"/>
      <c r="G2185" s="60">
        <v>6.0000000000000001E-3</v>
      </c>
      <c r="H2185" s="60"/>
      <c r="I2185" s="60"/>
      <c r="J2185" s="60">
        <f>ROUND(F2179*G2185,4)</f>
        <v>2.4E-2</v>
      </c>
      <c r="K2185" s="60"/>
      <c r="L2185" s="60"/>
    </row>
    <row r="2186" spans="1:12" x14ac:dyDescent="0.25">
      <c r="A2186" s="168"/>
      <c r="B2186" s="144" t="str">
        <f>'Vật liệu'!B766</f>
        <v>V00750</v>
      </c>
      <c r="C2186" s="34">
        <v>343</v>
      </c>
      <c r="D2186" s="144" t="str">
        <f>" - " &amp; 'Vật liệu'!D766</f>
        <v xml:space="preserve"> - Vật liệu khác</v>
      </c>
      <c r="E2186" s="168" t="str">
        <f>'Vật liệu'!E766</f>
        <v>%</v>
      </c>
      <c r="F2186" s="60"/>
      <c r="G2186" s="60">
        <v>1.5</v>
      </c>
      <c r="H2186" s="60"/>
      <c r="I2186" s="60"/>
      <c r="J2186" s="60"/>
      <c r="K2186" s="60"/>
      <c r="L2186" s="60"/>
    </row>
    <row r="2187" spans="1:12" x14ac:dyDescent="0.25">
      <c r="A2187" s="56"/>
      <c r="B2187" s="23"/>
      <c r="C2187" s="88"/>
      <c r="D2187" s="23" t="s">
        <v>202</v>
      </c>
      <c r="E2187" s="56"/>
      <c r="F2187" s="118"/>
      <c r="G2187" s="118"/>
      <c r="H2187" s="118"/>
      <c r="I2187" s="118"/>
      <c r="J2187" s="118"/>
      <c r="K2187" s="118"/>
      <c r="L2187" s="118"/>
    </row>
    <row r="2188" spans="1:12" x14ac:dyDescent="0.25">
      <c r="A2188" s="168"/>
      <c r="B2188" s="144" t="str">
        <f>'Nhân công'!B126</f>
        <v>N0031</v>
      </c>
      <c r="C2188" s="34">
        <v>559</v>
      </c>
      <c r="D2188" s="144" t="s">
        <v>817</v>
      </c>
      <c r="E2188" s="168" t="str">
        <f>'Nhân công'!G126</f>
        <v>công</v>
      </c>
      <c r="F2188" s="60"/>
      <c r="G2188" s="60"/>
      <c r="H2188" s="60">
        <v>0.93</v>
      </c>
      <c r="I2188" s="60"/>
      <c r="J2188" s="60"/>
      <c r="K2188" s="60">
        <f>ROUND(F2179*H2188,4)</f>
        <v>3.72</v>
      </c>
      <c r="L2188" s="60"/>
    </row>
    <row r="2189" spans="1:12" x14ac:dyDescent="0.25">
      <c r="A2189" s="56"/>
      <c r="B2189" s="23"/>
      <c r="C2189" s="88"/>
      <c r="D2189" s="23" t="s">
        <v>378</v>
      </c>
      <c r="E2189" s="56"/>
      <c r="F2189" s="118"/>
      <c r="G2189" s="118"/>
      <c r="H2189" s="118"/>
      <c r="I2189" s="118"/>
      <c r="J2189" s="118"/>
      <c r="K2189" s="118"/>
      <c r="L2189" s="118"/>
    </row>
    <row r="2190" spans="1:12" x14ac:dyDescent="0.25">
      <c r="A2190" s="168"/>
      <c r="B2190" s="144" t="str">
        <f>'Máy thi công'!B378</f>
        <v>M9649</v>
      </c>
      <c r="C2190" s="34">
        <v>762</v>
      </c>
      <c r="D2190" s="144" t="str">
        <f>" - " &amp; 'Máy thi công'!D378</f>
        <v xml:space="preserve"> - Ô tô vận tải thùng - trọng tải: 2,5 t</v>
      </c>
      <c r="E2190" s="168" t="str">
        <f>'Máy thi công'!E378</f>
        <v>ca</v>
      </c>
      <c r="F2190" s="60"/>
      <c r="G2190" s="60"/>
      <c r="H2190" s="60"/>
      <c r="I2190" s="60">
        <v>2.5000000000000001E-2</v>
      </c>
      <c r="J2190" s="60"/>
      <c r="K2190" s="60"/>
      <c r="L2190" s="60">
        <f>ROUND(F2179*I2190,4)</f>
        <v>0.1</v>
      </c>
    </row>
    <row r="2191" spans="1:12" x14ac:dyDescent="0.25">
      <c r="A2191" s="65">
        <f>'Công trình'!A292</f>
        <v>237</v>
      </c>
      <c r="B2191" s="14" t="str">
        <f>'Công trình'!B292</f>
        <v>AK.90122</v>
      </c>
      <c r="C2191" s="94"/>
      <c r="D2191" s="14" t="str">
        <f>'Công trình'!C292</f>
        <v>Sơn trắng đỏ</v>
      </c>
      <c r="E2191" s="46" t="str">
        <f>'Công trình'!D292</f>
        <v>m2</v>
      </c>
      <c r="F2191" s="106">
        <f>'Công trình'!K292</f>
        <v>74.569999999999993</v>
      </c>
      <c r="G2191" s="126"/>
      <c r="H2191" s="126"/>
      <c r="I2191" s="126"/>
      <c r="J2191" s="126"/>
      <c r="K2191" s="126"/>
      <c r="L2191" s="126"/>
    </row>
    <row r="2192" spans="1:12" x14ac:dyDescent="0.25">
      <c r="A2192" s="56"/>
      <c r="B2192" s="23"/>
      <c r="C2192" s="88"/>
      <c r="D2192" s="23" t="s">
        <v>479</v>
      </c>
      <c r="E2192" s="56"/>
      <c r="F2192" s="118"/>
      <c r="G2192" s="118"/>
      <c r="H2192" s="118"/>
      <c r="I2192" s="118"/>
      <c r="J2192" s="118"/>
      <c r="K2192" s="118"/>
      <c r="L2192" s="118"/>
    </row>
    <row r="2193" spans="1:12" x14ac:dyDescent="0.25">
      <c r="A2193" s="168"/>
      <c r="B2193" s="144" t="str">
        <f>'Vật liệu'!B541</f>
        <v>V74456</v>
      </c>
      <c r="C2193" s="34">
        <v>518</v>
      </c>
      <c r="D2193" s="144" t="str">
        <f>" - " &amp; 'Vật liệu'!D541</f>
        <v xml:space="preserve"> - Sơn phủ Joton Jony nội thất</v>
      </c>
      <c r="E2193" s="168" t="str">
        <f>'Vật liệu'!E541</f>
        <v>lít</v>
      </c>
      <c r="F2193" s="60"/>
      <c r="G2193" s="60">
        <v>0.27</v>
      </c>
      <c r="H2193" s="60"/>
      <c r="I2193" s="60"/>
      <c r="J2193" s="60">
        <f>ROUND(F2191*G2193,4)</f>
        <v>20.133900000000001</v>
      </c>
      <c r="K2193" s="60"/>
      <c r="L2193" s="60"/>
    </row>
    <row r="2194" spans="1:12" x14ac:dyDescent="0.25">
      <c r="A2194" s="168"/>
      <c r="B2194" s="144" t="str">
        <f>'Vật liệu'!B537</f>
        <v>V74434</v>
      </c>
      <c r="C2194" s="34">
        <v>517</v>
      </c>
      <c r="D2194" s="144" t="str">
        <f>" - " &amp; 'Vật liệu'!D537</f>
        <v xml:space="preserve"> - Sơn lót Joton Altin nội thất</v>
      </c>
      <c r="E2194" s="168" t="str">
        <f>'Vật liệu'!E537</f>
        <v>lít</v>
      </c>
      <c r="F2194" s="60"/>
      <c r="G2194" s="60">
        <v>0.16400000000000001</v>
      </c>
      <c r="H2194" s="60"/>
      <c r="I2194" s="60"/>
      <c r="J2194" s="60">
        <f>ROUND(F2191*G2194,4)</f>
        <v>12.2295</v>
      </c>
      <c r="K2194" s="60"/>
      <c r="L2194" s="60"/>
    </row>
    <row r="2195" spans="1:12" x14ac:dyDescent="0.25">
      <c r="A2195" s="168"/>
      <c r="B2195" s="144" t="str">
        <f>'Vật liệu'!B766</f>
        <v>V00750</v>
      </c>
      <c r="C2195" s="34">
        <v>345</v>
      </c>
      <c r="D2195" s="144" t="str">
        <f>" - " &amp; 'Vật liệu'!D766</f>
        <v xml:space="preserve"> - Vật liệu khác</v>
      </c>
      <c r="E2195" s="168" t="str">
        <f>'Vật liệu'!E766</f>
        <v>%</v>
      </c>
      <c r="F2195" s="60"/>
      <c r="G2195" s="60">
        <v>1</v>
      </c>
      <c r="H2195" s="60"/>
      <c r="I2195" s="60"/>
      <c r="J2195" s="60"/>
      <c r="K2195" s="60"/>
      <c r="L2195" s="60"/>
    </row>
    <row r="2196" spans="1:12" x14ac:dyDescent="0.25">
      <c r="A2196" s="56"/>
      <c r="B2196" s="23"/>
      <c r="C2196" s="88"/>
      <c r="D2196" s="23" t="s">
        <v>202</v>
      </c>
      <c r="E2196" s="56"/>
      <c r="F2196" s="118"/>
      <c r="G2196" s="118"/>
      <c r="H2196" s="118"/>
      <c r="I2196" s="118"/>
      <c r="J2196" s="118"/>
      <c r="K2196" s="118"/>
      <c r="L2196" s="118"/>
    </row>
    <row r="2197" spans="1:12" x14ac:dyDescent="0.25">
      <c r="A2197" s="168"/>
      <c r="B2197" s="144" t="str">
        <f>'Nhân công'!B45</f>
        <v>N0009</v>
      </c>
      <c r="C2197" s="34">
        <v>546</v>
      </c>
      <c r="D2197" s="144" t="s">
        <v>1052</v>
      </c>
      <c r="E2197" s="168" t="str">
        <f>'Nhân công'!G45</f>
        <v>công</v>
      </c>
      <c r="F2197" s="60"/>
      <c r="G2197" s="60"/>
      <c r="H2197" s="60">
        <v>6.6000000000000003E-2</v>
      </c>
      <c r="I2197" s="60"/>
      <c r="J2197" s="60"/>
      <c r="K2197" s="60">
        <f>ROUND(F2191*H2197,4)</f>
        <v>4.9215999999999998</v>
      </c>
      <c r="L2197" s="60"/>
    </row>
    <row r="2198" spans="1:12" x14ac:dyDescent="0.25">
      <c r="A2198" s="65">
        <f>'Công trình'!A293</f>
        <v>238</v>
      </c>
      <c r="B2198" s="14" t="str">
        <f>'Công trình'!B293</f>
        <v>TT</v>
      </c>
      <c r="C2198" s="94"/>
      <c r="D2198" s="14" t="str">
        <f>'Công trình'!C293</f>
        <v>Chụp nhựa chắn nước</v>
      </c>
      <c r="E2198" s="46" t="str">
        <f>'Công trình'!D293</f>
        <v>cái</v>
      </c>
      <c r="F2198" s="106">
        <f>'Công trình'!K293</f>
        <v>4</v>
      </c>
      <c r="G2198" s="126"/>
      <c r="H2198" s="126"/>
      <c r="I2198" s="126"/>
      <c r="J2198" s="126"/>
      <c r="K2198" s="126"/>
      <c r="L2198" s="126"/>
    </row>
    <row r="2199" spans="1:12" x14ac:dyDescent="0.25">
      <c r="A2199" s="56"/>
      <c r="B2199" s="23"/>
      <c r="C2199" s="88"/>
      <c r="D2199" s="23" t="s">
        <v>479</v>
      </c>
      <c r="E2199" s="56"/>
      <c r="F2199" s="118"/>
      <c r="G2199" s="118"/>
      <c r="H2199" s="118"/>
      <c r="I2199" s="118"/>
      <c r="J2199" s="118"/>
      <c r="K2199" s="118"/>
      <c r="L2199" s="118"/>
    </row>
    <row r="2200" spans="1:12" x14ac:dyDescent="0.25">
      <c r="A2200" s="168"/>
      <c r="B2200" s="144" t="str">
        <f>'Vật liệu'!B107</f>
        <v>cn</v>
      </c>
      <c r="C2200" s="34">
        <v>524</v>
      </c>
      <c r="D2200" s="144" t="str">
        <f>" - " &amp; 'Vật liệu'!D107</f>
        <v xml:space="preserve"> - Chụp nhựa chắn nước</v>
      </c>
      <c r="E2200" s="168" t="str">
        <f>'Vật liệu'!E107</f>
        <v>cái</v>
      </c>
      <c r="F2200" s="60"/>
      <c r="G2200" s="60">
        <v>1</v>
      </c>
      <c r="H2200" s="60"/>
      <c r="I2200" s="60"/>
      <c r="J2200" s="60">
        <f>ROUND(F2198*G2200,4)</f>
        <v>4</v>
      </c>
      <c r="K2200" s="60"/>
      <c r="L2200" s="60"/>
    </row>
    <row r="2201" spans="1:12" x14ac:dyDescent="0.25">
      <c r="A2201" s="65">
        <f>'Công trình'!A294</f>
        <v>239</v>
      </c>
      <c r="B2201" s="14" t="str">
        <f>'Công trình'!B294</f>
        <v>TT</v>
      </c>
      <c r="C2201" s="94"/>
      <c r="D2201" s="14" t="str">
        <f>'Công trình'!C294</f>
        <v>Bu lông M14</v>
      </c>
      <c r="E2201" s="46" t="str">
        <f>'Công trình'!D294</f>
        <v>bộ</v>
      </c>
      <c r="F2201" s="106">
        <f>'Công trình'!K294</f>
        <v>16</v>
      </c>
      <c r="G2201" s="126"/>
      <c r="H2201" s="126"/>
      <c r="I2201" s="126"/>
      <c r="J2201" s="126"/>
      <c r="K2201" s="126"/>
      <c r="L2201" s="126"/>
    </row>
    <row r="2202" spans="1:12" x14ac:dyDescent="0.25">
      <c r="A2202" s="56"/>
      <c r="B2202" s="23"/>
      <c r="C2202" s="88"/>
      <c r="D2202" s="23" t="s">
        <v>479</v>
      </c>
      <c r="E2202" s="56"/>
      <c r="F2202" s="118"/>
      <c r="G2202" s="118"/>
      <c r="H2202" s="118"/>
      <c r="I2202" s="118"/>
      <c r="J2202" s="118"/>
      <c r="K2202" s="118"/>
      <c r="L2202" s="118"/>
    </row>
    <row r="2203" spans="1:12" x14ac:dyDescent="0.25">
      <c r="A2203" s="168"/>
      <c r="B2203" s="144" t="str">
        <f>'Vật liệu'!B17</f>
        <v>V00025</v>
      </c>
      <c r="C2203" s="34">
        <v>119</v>
      </c>
      <c r="D2203" s="144" t="str">
        <f>" - " &amp; 'Vật liệu'!D17</f>
        <v xml:space="preserve"> - Bu lông M14</v>
      </c>
      <c r="E2203" s="168" t="str">
        <f>'Vật liệu'!E17</f>
        <v>cái</v>
      </c>
      <c r="F2203" s="60"/>
      <c r="G2203" s="60">
        <v>1</v>
      </c>
      <c r="H2203" s="60"/>
      <c r="I2203" s="60"/>
      <c r="J2203" s="60">
        <f>ROUND(F2201*G2203,4)</f>
        <v>16</v>
      </c>
      <c r="K2203" s="60"/>
      <c r="L2203" s="60"/>
    </row>
    <row r="2204" spans="1:12" ht="28.5" x14ac:dyDescent="0.25">
      <c r="A2204" s="65">
        <f>'Công trình'!A295</f>
        <v>240</v>
      </c>
      <c r="B2204" s="14" t="str">
        <f>'Công trình'!B295</f>
        <v>AF.11213</v>
      </c>
      <c r="C2204" s="94"/>
      <c r="D2204" s="14" t="str">
        <f>'Công trình'!C295</f>
        <v>Bê tông móng rộng &lt;=250cm đá 1x2, vữa BT mác 200</v>
      </c>
      <c r="E2204" s="46" t="str">
        <f>'Công trình'!D295</f>
        <v>m3</v>
      </c>
      <c r="F2204" s="106">
        <f>'Công trình'!K295</f>
        <v>0.17</v>
      </c>
      <c r="G2204" s="126"/>
      <c r="H2204" s="126"/>
      <c r="I2204" s="126"/>
      <c r="J2204" s="126"/>
      <c r="K2204" s="126"/>
      <c r="L2204" s="126"/>
    </row>
    <row r="2205" spans="1:12" x14ac:dyDescent="0.25">
      <c r="A2205" s="56"/>
      <c r="B2205" s="23"/>
      <c r="C2205" s="88"/>
      <c r="D2205" s="23" t="s">
        <v>479</v>
      </c>
      <c r="E2205" s="56"/>
      <c r="F2205" s="118"/>
      <c r="G2205" s="118"/>
      <c r="H2205" s="118"/>
      <c r="I2205" s="118"/>
      <c r="J2205" s="118"/>
      <c r="K2205" s="118"/>
      <c r="L2205" s="118"/>
    </row>
    <row r="2206" spans="1:12" x14ac:dyDescent="0.25">
      <c r="A2206" s="168"/>
      <c r="B2206" s="144" t="str">
        <f>'Vật liệu'!B721</f>
        <v>V00761</v>
      </c>
      <c r="C2206" s="34">
        <v>397</v>
      </c>
      <c r="D2206" s="144" t="str">
        <f>" - " &amp; 'Vật liệu'!D721</f>
        <v xml:space="preserve"> - Xi măng PC40</v>
      </c>
      <c r="E2206" s="168" t="str">
        <f>'Vật liệu'!E721</f>
        <v>kg</v>
      </c>
      <c r="F2206" s="60"/>
      <c r="G2206" s="60">
        <v>288.02499999999998</v>
      </c>
      <c r="H2206" s="60"/>
      <c r="I2206" s="60"/>
      <c r="J2206" s="60">
        <f>ROUND(F2204*G2206,4)</f>
        <v>48.964300000000001</v>
      </c>
      <c r="K2206" s="60"/>
      <c r="L2206" s="60"/>
    </row>
    <row r="2207" spans="1:12" x14ac:dyDescent="0.25">
      <c r="A2207" s="168"/>
      <c r="B2207" s="144" t="str">
        <f>'Vật liệu'!B54</f>
        <v>V00112</v>
      </c>
      <c r="C2207" s="34">
        <v>125</v>
      </c>
      <c r="D2207" s="144" t="str">
        <f>" - " &amp; 'Vật liệu'!D54</f>
        <v xml:space="preserve"> - Cát vàng</v>
      </c>
      <c r="E2207" s="168" t="str">
        <f>'Vật liệu'!E54</f>
        <v>m3</v>
      </c>
      <c r="F2207" s="60"/>
      <c r="G2207" s="60">
        <v>0.50529999999999997</v>
      </c>
      <c r="H2207" s="60"/>
      <c r="I2207" s="60"/>
      <c r="J2207" s="60">
        <f>ROUND(F2204*G2207,4)</f>
        <v>8.5900000000000004E-2</v>
      </c>
      <c r="K2207" s="60"/>
      <c r="L2207" s="60"/>
    </row>
    <row r="2208" spans="1:12" x14ac:dyDescent="0.25">
      <c r="A2208" s="168"/>
      <c r="B2208" s="144" t="str">
        <f>'Vật liệu'!B142</f>
        <v>V05207</v>
      </c>
      <c r="C2208" s="34">
        <v>416</v>
      </c>
      <c r="D2208" s="144" t="str">
        <f>" - " &amp; 'Vật liệu'!D142</f>
        <v xml:space="preserve"> - Đá 1x2</v>
      </c>
      <c r="E2208" s="168" t="str">
        <f>'Vật liệu'!E142</f>
        <v>m3</v>
      </c>
      <c r="F2208" s="60"/>
      <c r="G2208" s="60">
        <v>0.9133</v>
      </c>
      <c r="H2208" s="60"/>
      <c r="I2208" s="60"/>
      <c r="J2208" s="60">
        <f>ROUND(F2204*G2208,4)</f>
        <v>0.15529999999999999</v>
      </c>
      <c r="K2208" s="60"/>
      <c r="L2208" s="60"/>
    </row>
    <row r="2209" spans="1:12" x14ac:dyDescent="0.25">
      <c r="A2209" s="168"/>
      <c r="B2209" s="144" t="str">
        <f>'Vật liệu'!B353</f>
        <v>V00494</v>
      </c>
      <c r="C2209" s="34">
        <v>148</v>
      </c>
      <c r="D2209" s="144" t="str">
        <f>" - " &amp; 'Vật liệu'!D353</f>
        <v xml:space="preserve"> - Nước</v>
      </c>
      <c r="E2209" s="168" t="str">
        <f>'Vật liệu'!E353</f>
        <v>lít</v>
      </c>
      <c r="F2209" s="60"/>
      <c r="G2209" s="60">
        <v>189.625</v>
      </c>
      <c r="H2209" s="60"/>
      <c r="I2209" s="60"/>
      <c r="J2209" s="60">
        <f>ROUND(F2204*G2209,4)</f>
        <v>32.2363</v>
      </c>
      <c r="K2209" s="60"/>
      <c r="L2209" s="60"/>
    </row>
    <row r="2210" spans="1:12" x14ac:dyDescent="0.25">
      <c r="A2210" s="168"/>
      <c r="B2210" s="144" t="str">
        <f>'Vật liệu'!B766</f>
        <v>V00750</v>
      </c>
      <c r="C2210" s="34">
        <v>349</v>
      </c>
      <c r="D2210" s="144" t="str">
        <f>" - " &amp; 'Vật liệu'!D766</f>
        <v xml:space="preserve"> - Vật liệu khác</v>
      </c>
      <c r="E2210" s="168" t="str">
        <f>'Vật liệu'!E766</f>
        <v>%</v>
      </c>
      <c r="F2210" s="60"/>
      <c r="G2210" s="60">
        <v>1</v>
      </c>
      <c r="H2210" s="60"/>
      <c r="I2210" s="60"/>
      <c r="J2210" s="60"/>
      <c r="K2210" s="60"/>
      <c r="L2210" s="60"/>
    </row>
    <row r="2211" spans="1:12" x14ac:dyDescent="0.25">
      <c r="A2211" s="56"/>
      <c r="B2211" s="23"/>
      <c r="C2211" s="88"/>
      <c r="D2211" s="23" t="s">
        <v>202</v>
      </c>
      <c r="E2211" s="56"/>
      <c r="F2211" s="118"/>
      <c r="G2211" s="118"/>
      <c r="H2211" s="118"/>
      <c r="I2211" s="118"/>
      <c r="J2211" s="118"/>
      <c r="K2211" s="118"/>
      <c r="L2211" s="118"/>
    </row>
    <row r="2212" spans="1:12" x14ac:dyDescent="0.25">
      <c r="A2212" s="168"/>
      <c r="B2212" s="144" t="str">
        <f>'Nhân công'!B6</f>
        <v>N0006</v>
      </c>
      <c r="C2212" s="34">
        <v>545</v>
      </c>
      <c r="D2212" s="144" t="s">
        <v>256</v>
      </c>
      <c r="E2212" s="168" t="str">
        <f>'Nhân công'!G6</f>
        <v>công</v>
      </c>
      <c r="F2212" s="60"/>
      <c r="G2212" s="60"/>
      <c r="H2212" s="60">
        <v>1.64</v>
      </c>
      <c r="I2212" s="60"/>
      <c r="J2212" s="60"/>
      <c r="K2212" s="60">
        <f>ROUND(F2204*H2212,4)</f>
        <v>0.27879999999999999</v>
      </c>
      <c r="L2212" s="60"/>
    </row>
    <row r="2213" spans="1:12" x14ac:dyDescent="0.25">
      <c r="A2213" s="56"/>
      <c r="B2213" s="23"/>
      <c r="C2213" s="88"/>
      <c r="D2213" s="23" t="s">
        <v>378</v>
      </c>
      <c r="E2213" s="56"/>
      <c r="F2213" s="118"/>
      <c r="G2213" s="118"/>
      <c r="H2213" s="118"/>
      <c r="I2213" s="118"/>
      <c r="J2213" s="118"/>
      <c r="K2213" s="118"/>
      <c r="L2213" s="118"/>
    </row>
    <row r="2214" spans="1:12" x14ac:dyDescent="0.25">
      <c r="A2214" s="168"/>
      <c r="B2214" s="144" t="str">
        <f>'Máy thi công'!B232</f>
        <v>M9571</v>
      </c>
      <c r="C2214" s="34">
        <v>750</v>
      </c>
      <c r="D2214" s="144" t="str">
        <f>" - " &amp; 'Máy thi công'!D232</f>
        <v xml:space="preserve"> - Máy đầm bê tông, dầm dùi - công suất: 1,5 kW</v>
      </c>
      <c r="E2214" s="168" t="str">
        <f>'Máy thi công'!E232</f>
        <v>ca</v>
      </c>
      <c r="F2214" s="60"/>
      <c r="G2214" s="60"/>
      <c r="H2214" s="60"/>
      <c r="I2214" s="60">
        <v>8.8999999999999996E-2</v>
      </c>
      <c r="J2214" s="60"/>
      <c r="K2214" s="60"/>
      <c r="L2214" s="60">
        <f>ROUND(F2204*I2214,4)</f>
        <v>1.5100000000000001E-2</v>
      </c>
    </row>
    <row r="2215" spans="1:12" x14ac:dyDescent="0.25">
      <c r="A2215" s="168"/>
      <c r="B2215" s="144" t="str">
        <f>'Máy thi công'!B306</f>
        <v>M9555</v>
      </c>
      <c r="C2215" s="34">
        <v>744</v>
      </c>
      <c r="D2215" s="144" t="str">
        <f>" - " &amp; 'Máy thi công'!D306</f>
        <v xml:space="preserve"> - Máy trộn bê tông - dung tích: 250 lít</v>
      </c>
      <c r="E2215" s="168" t="str">
        <f>'Máy thi công'!E306</f>
        <v>ca</v>
      </c>
      <c r="F2215" s="60"/>
      <c r="G2215" s="60"/>
      <c r="H2215" s="60"/>
      <c r="I2215" s="60">
        <v>9.5000000000000001E-2</v>
      </c>
      <c r="J2215" s="60"/>
      <c r="K2215" s="60"/>
      <c r="L2215" s="60">
        <f>ROUND(F2204*I2215,4)</f>
        <v>1.6199999999999999E-2</v>
      </c>
    </row>
    <row r="2216" spans="1:12" ht="28.5" x14ac:dyDescent="0.25">
      <c r="A2216" s="65">
        <f>'Công trình'!A296</f>
        <v>241</v>
      </c>
      <c r="B2216" s="14" t="str">
        <f>'Công trình'!B296</f>
        <v>AF.11212</v>
      </c>
      <c r="C2216" s="94"/>
      <c r="D2216" s="14" t="str">
        <f>'Công trình'!C296</f>
        <v>Bê tông móng rộng &lt;=250cm đá 1x2, vữa BT mác 150</v>
      </c>
      <c r="E2216" s="46" t="str">
        <f>'Công trình'!D296</f>
        <v>m3</v>
      </c>
      <c r="F2216" s="106">
        <f>'Công trình'!K296</f>
        <v>0.06</v>
      </c>
      <c r="G2216" s="126"/>
      <c r="H2216" s="126"/>
      <c r="I2216" s="126"/>
      <c r="J2216" s="126"/>
      <c r="K2216" s="126"/>
      <c r="L2216" s="126"/>
    </row>
    <row r="2217" spans="1:12" x14ac:dyDescent="0.25">
      <c r="A2217" s="56"/>
      <c r="B2217" s="23"/>
      <c r="C2217" s="88"/>
      <c r="D2217" s="23" t="s">
        <v>479</v>
      </c>
      <c r="E2217" s="56"/>
      <c r="F2217" s="118"/>
      <c r="G2217" s="118"/>
      <c r="H2217" s="118"/>
      <c r="I2217" s="118"/>
      <c r="J2217" s="118"/>
      <c r="K2217" s="118"/>
      <c r="L2217" s="118"/>
    </row>
    <row r="2218" spans="1:12" x14ac:dyDescent="0.25">
      <c r="A2218" s="168"/>
      <c r="B2218" s="144" t="str">
        <f>'Vật liệu'!B721</f>
        <v>V00761</v>
      </c>
      <c r="C2218" s="34">
        <v>397</v>
      </c>
      <c r="D2218" s="144" t="str">
        <f>" - " &amp; 'Vật liệu'!D721</f>
        <v xml:space="preserve"> - Xi măng PC40</v>
      </c>
      <c r="E2218" s="168" t="str">
        <f>'Vật liệu'!E721</f>
        <v>kg</v>
      </c>
      <c r="F2218" s="60"/>
      <c r="G2218" s="60">
        <v>238.82499999999999</v>
      </c>
      <c r="H2218" s="60"/>
      <c r="I2218" s="60"/>
      <c r="J2218" s="60">
        <f>ROUND(F2216*G2218,4)</f>
        <v>14.329499999999999</v>
      </c>
      <c r="K2218" s="60"/>
      <c r="L2218" s="60"/>
    </row>
    <row r="2219" spans="1:12" x14ac:dyDescent="0.25">
      <c r="A2219" s="168"/>
      <c r="B2219" s="144" t="str">
        <f>'Vật liệu'!B54</f>
        <v>V00112</v>
      </c>
      <c r="C2219" s="34">
        <v>125</v>
      </c>
      <c r="D2219" s="144" t="str">
        <f>" - " &amp; 'Vật liệu'!D54</f>
        <v xml:space="preserve"> - Cát vàng</v>
      </c>
      <c r="E2219" s="168" t="str">
        <f>'Vật liệu'!E54</f>
        <v>m3</v>
      </c>
      <c r="F2219" s="60"/>
      <c r="G2219" s="60">
        <v>0.52280000000000004</v>
      </c>
      <c r="H2219" s="60"/>
      <c r="I2219" s="60"/>
      <c r="J2219" s="60">
        <f>ROUND(F2216*G2219,4)</f>
        <v>3.1399999999999997E-2</v>
      </c>
      <c r="K2219" s="60"/>
      <c r="L2219" s="60"/>
    </row>
    <row r="2220" spans="1:12" x14ac:dyDescent="0.25">
      <c r="A2220" s="168"/>
      <c r="B2220" s="144" t="str">
        <f>'Vật liệu'!B142</f>
        <v>V05207</v>
      </c>
      <c r="C2220" s="34">
        <v>416</v>
      </c>
      <c r="D2220" s="144" t="str">
        <f>" - " &amp; 'Vật liệu'!D142</f>
        <v xml:space="preserve"> - Đá 1x2</v>
      </c>
      <c r="E2220" s="168" t="str">
        <f>'Vật liệu'!E142</f>
        <v>m3</v>
      </c>
      <c r="F2220" s="60"/>
      <c r="G2220" s="60">
        <v>0.92559999999999998</v>
      </c>
      <c r="H2220" s="60"/>
      <c r="I2220" s="60"/>
      <c r="J2220" s="60">
        <f>ROUND(F2216*G2220,4)</f>
        <v>5.5500000000000001E-2</v>
      </c>
      <c r="K2220" s="60"/>
      <c r="L2220" s="60"/>
    </row>
    <row r="2221" spans="1:12" x14ac:dyDescent="0.25">
      <c r="A2221" s="168"/>
      <c r="B2221" s="144" t="str">
        <f>'Vật liệu'!B353</f>
        <v>V00494</v>
      </c>
      <c r="C2221" s="34">
        <v>148</v>
      </c>
      <c r="D2221" s="144" t="str">
        <f>" - " &amp; 'Vật liệu'!D353</f>
        <v xml:space="preserve"> - Nước</v>
      </c>
      <c r="E2221" s="168" t="str">
        <f>'Vật liệu'!E353</f>
        <v>lít</v>
      </c>
      <c r="F2221" s="60"/>
      <c r="G2221" s="60">
        <v>189.625</v>
      </c>
      <c r="H2221" s="60"/>
      <c r="I2221" s="60"/>
      <c r="J2221" s="60">
        <f>ROUND(F2216*G2221,4)</f>
        <v>11.3775</v>
      </c>
      <c r="K2221" s="60"/>
      <c r="L2221" s="60"/>
    </row>
    <row r="2222" spans="1:12" x14ac:dyDescent="0.25">
      <c r="A2222" s="168"/>
      <c r="B2222" s="144" t="str">
        <f>'Vật liệu'!B766</f>
        <v>V00750</v>
      </c>
      <c r="C2222" s="34">
        <v>350</v>
      </c>
      <c r="D2222" s="144" t="str">
        <f>" - " &amp; 'Vật liệu'!D766</f>
        <v xml:space="preserve"> - Vật liệu khác</v>
      </c>
      <c r="E2222" s="168" t="str">
        <f>'Vật liệu'!E766</f>
        <v>%</v>
      </c>
      <c r="F2222" s="60"/>
      <c r="G2222" s="60">
        <v>1</v>
      </c>
      <c r="H2222" s="60"/>
      <c r="I2222" s="60"/>
      <c r="J2222" s="60"/>
      <c r="K2222" s="60"/>
      <c r="L2222" s="60"/>
    </row>
    <row r="2223" spans="1:12" x14ac:dyDescent="0.25">
      <c r="A2223" s="56"/>
      <c r="B2223" s="23"/>
      <c r="C2223" s="88"/>
      <c r="D2223" s="23" t="s">
        <v>202</v>
      </c>
      <c r="E2223" s="56"/>
      <c r="F2223" s="118"/>
      <c r="G2223" s="118"/>
      <c r="H2223" s="118"/>
      <c r="I2223" s="118"/>
      <c r="J2223" s="118"/>
      <c r="K2223" s="118"/>
      <c r="L2223" s="118"/>
    </row>
    <row r="2224" spans="1:12" x14ac:dyDescent="0.25">
      <c r="A2224" s="168"/>
      <c r="B2224" s="144" t="str">
        <f>'Nhân công'!B6</f>
        <v>N0006</v>
      </c>
      <c r="C2224" s="34">
        <v>545</v>
      </c>
      <c r="D2224" s="144" t="s">
        <v>256</v>
      </c>
      <c r="E2224" s="168" t="str">
        <f>'Nhân công'!G6</f>
        <v>công</v>
      </c>
      <c r="F2224" s="60"/>
      <c r="G2224" s="60"/>
      <c r="H2224" s="60">
        <v>1.64</v>
      </c>
      <c r="I2224" s="60"/>
      <c r="J2224" s="60"/>
      <c r="K2224" s="60">
        <f>ROUND(F2216*H2224,4)</f>
        <v>9.8400000000000001E-2</v>
      </c>
      <c r="L2224" s="60"/>
    </row>
    <row r="2225" spans="1:12" x14ac:dyDescent="0.25">
      <c r="A2225" s="56"/>
      <c r="B2225" s="23"/>
      <c r="C2225" s="88"/>
      <c r="D2225" s="23" t="s">
        <v>378</v>
      </c>
      <c r="E2225" s="56"/>
      <c r="F2225" s="118"/>
      <c r="G2225" s="118"/>
      <c r="H2225" s="118"/>
      <c r="I2225" s="118"/>
      <c r="J2225" s="118"/>
      <c r="K2225" s="118"/>
      <c r="L2225" s="118"/>
    </row>
    <row r="2226" spans="1:12" x14ac:dyDescent="0.25">
      <c r="A2226" s="168"/>
      <c r="B2226" s="144" t="str">
        <f>'Máy thi công'!B232</f>
        <v>M9571</v>
      </c>
      <c r="C2226" s="34">
        <v>750</v>
      </c>
      <c r="D2226" s="144" t="str">
        <f>" - " &amp; 'Máy thi công'!D232</f>
        <v xml:space="preserve"> - Máy đầm bê tông, dầm dùi - công suất: 1,5 kW</v>
      </c>
      <c r="E2226" s="168" t="str">
        <f>'Máy thi công'!E232</f>
        <v>ca</v>
      </c>
      <c r="F2226" s="60"/>
      <c r="G2226" s="60"/>
      <c r="H2226" s="60"/>
      <c r="I2226" s="60">
        <v>8.8999999999999996E-2</v>
      </c>
      <c r="J2226" s="60"/>
      <c r="K2226" s="60"/>
      <c r="L2226" s="60">
        <f>ROUND(F2216*I2226,4)</f>
        <v>5.3E-3</v>
      </c>
    </row>
    <row r="2227" spans="1:12" x14ac:dyDescent="0.25">
      <c r="A2227" s="168"/>
      <c r="B2227" s="144" t="str">
        <f>'Máy thi công'!B306</f>
        <v>M9555</v>
      </c>
      <c r="C2227" s="34">
        <v>744</v>
      </c>
      <c r="D2227" s="144" t="str">
        <f>" - " &amp; 'Máy thi công'!D306</f>
        <v xml:space="preserve"> - Máy trộn bê tông - dung tích: 250 lít</v>
      </c>
      <c r="E2227" s="168" t="str">
        <f>'Máy thi công'!E306</f>
        <v>ca</v>
      </c>
      <c r="F2227" s="60"/>
      <c r="G2227" s="60"/>
      <c r="H2227" s="60"/>
      <c r="I2227" s="60">
        <v>9.5000000000000001E-2</v>
      </c>
      <c r="J2227" s="60"/>
      <c r="K2227" s="60"/>
      <c r="L2227" s="60">
        <f>ROUND(F2216*I2227,4)</f>
        <v>5.7000000000000002E-3</v>
      </c>
    </row>
    <row r="2228" spans="1:12" ht="28.5" x14ac:dyDescent="0.25">
      <c r="A2228" s="65">
        <f>'Công trình'!A297</f>
        <v>242</v>
      </c>
      <c r="B2228" s="14" t="str">
        <f>'Công trình'!B297</f>
        <v>AB.11412</v>
      </c>
      <c r="C2228" s="94"/>
      <c r="D2228" s="14" t="str">
        <f>'Công trình'!C297</f>
        <v>Đào móng cột trụ, hố kiểm tra, rộng &lt;=1m,sâu &lt;=1m, đất cấp II</v>
      </c>
      <c r="E2228" s="46" t="str">
        <f>'Công trình'!D297</f>
        <v>m3</v>
      </c>
      <c r="F2228" s="106">
        <f>'Công trình'!K297</f>
        <v>0.2</v>
      </c>
      <c r="G2228" s="126"/>
      <c r="H2228" s="126"/>
      <c r="I2228" s="126"/>
      <c r="J2228" s="126"/>
      <c r="K2228" s="126"/>
      <c r="L2228" s="126"/>
    </row>
    <row r="2229" spans="1:12" x14ac:dyDescent="0.25">
      <c r="A2229" s="56"/>
      <c r="B2229" s="23"/>
      <c r="C2229" s="88"/>
      <c r="D2229" s="23" t="s">
        <v>202</v>
      </c>
      <c r="E2229" s="56"/>
      <c r="F2229" s="118"/>
      <c r="G2229" s="118"/>
      <c r="H2229" s="118"/>
      <c r="I2229" s="118"/>
      <c r="J2229" s="118"/>
      <c r="K2229" s="118"/>
      <c r="L2229" s="118"/>
    </row>
    <row r="2230" spans="1:12" x14ac:dyDescent="0.25">
      <c r="A2230" s="168"/>
      <c r="B2230" s="144" t="str">
        <f>'Nhân công'!B6</f>
        <v>N0006</v>
      </c>
      <c r="C2230" s="34">
        <v>545</v>
      </c>
      <c r="D2230" s="144" t="s">
        <v>256</v>
      </c>
      <c r="E2230" s="168" t="str">
        <f>'Nhân công'!G6</f>
        <v>công</v>
      </c>
      <c r="F2230" s="60"/>
      <c r="G2230" s="60"/>
      <c r="H2230" s="60">
        <v>1.19</v>
      </c>
      <c r="I2230" s="60"/>
      <c r="J2230" s="60"/>
      <c r="K2230" s="60">
        <f>ROUND(F2228*H2230,4)</f>
        <v>0.23799999999999999</v>
      </c>
      <c r="L2230" s="60"/>
    </row>
    <row r="2231" spans="1:12" x14ac:dyDescent="0.25">
      <c r="A2231" s="65">
        <f>'Công trình'!A298</f>
        <v>243</v>
      </c>
      <c r="B2231" s="14" t="str">
        <f>'Công trình'!B298</f>
        <v>AF.82511</v>
      </c>
      <c r="C2231" s="94"/>
      <c r="D2231" s="14" t="str">
        <f>'Công trình'!C298</f>
        <v>Ván khuôn móng</v>
      </c>
      <c r="E2231" s="46" t="str">
        <f>'Công trình'!D298</f>
        <v>100m2</v>
      </c>
      <c r="F2231" s="106">
        <f>'Công trình'!K298</f>
        <v>1.7999999999999999E-2</v>
      </c>
      <c r="G2231" s="126"/>
      <c r="H2231" s="126"/>
      <c r="I2231" s="126"/>
      <c r="J2231" s="126"/>
      <c r="K2231" s="126"/>
      <c r="L2231" s="126"/>
    </row>
    <row r="2232" spans="1:12" x14ac:dyDescent="0.25">
      <c r="A2232" s="56"/>
      <c r="B2232" s="23"/>
      <c r="C2232" s="88"/>
      <c r="D2232" s="23" t="s">
        <v>479</v>
      </c>
      <c r="E2232" s="56"/>
      <c r="F2232" s="118"/>
      <c r="G2232" s="118"/>
      <c r="H2232" s="118"/>
      <c r="I2232" s="118"/>
      <c r="J2232" s="118"/>
      <c r="K2232" s="118"/>
      <c r="L2232" s="118"/>
    </row>
    <row r="2233" spans="1:12" x14ac:dyDescent="0.25">
      <c r="A2233" s="168"/>
      <c r="B2233" s="144" t="str">
        <f>'Vật liệu'!B556</f>
        <v>V00641</v>
      </c>
      <c r="C2233" s="34">
        <v>160</v>
      </c>
      <c r="D2233" s="144" t="str">
        <f>" - " &amp; 'Vật liệu'!D556</f>
        <v xml:space="preserve"> - Thép hình</v>
      </c>
      <c r="E2233" s="168" t="str">
        <f>'Vật liệu'!E556</f>
        <v>kg</v>
      </c>
      <c r="F2233" s="60"/>
      <c r="G2233" s="60">
        <v>32.020000000000003</v>
      </c>
      <c r="H2233" s="60"/>
      <c r="I2233" s="60"/>
      <c r="J2233" s="60">
        <f>ROUND(F2231*G2233,4)</f>
        <v>0.57640000000000002</v>
      </c>
      <c r="K2233" s="60"/>
      <c r="L2233" s="60"/>
    </row>
    <row r="2234" spans="1:12" x14ac:dyDescent="0.25">
      <c r="A2234" s="168"/>
      <c r="B2234" s="144" t="str">
        <f>'Vật liệu'!B606</f>
        <v>V00671</v>
      </c>
      <c r="C2234" s="34">
        <v>166</v>
      </c>
      <c r="D2234" s="144" t="str">
        <f>" - " &amp; 'Vật liệu'!D606</f>
        <v xml:space="preserve"> - Thép tấm</v>
      </c>
      <c r="E2234" s="168" t="str">
        <f>'Vật liệu'!E606</f>
        <v>kg</v>
      </c>
      <c r="F2234" s="60"/>
      <c r="G2234" s="60">
        <v>51.81</v>
      </c>
      <c r="H2234" s="60"/>
      <c r="I2234" s="60"/>
      <c r="J2234" s="60">
        <f>ROUND(F2231*G2234,4)</f>
        <v>0.93259999999999998</v>
      </c>
      <c r="K2234" s="60"/>
      <c r="L2234" s="60"/>
    </row>
    <row r="2235" spans="1:12" x14ac:dyDescent="0.25">
      <c r="A2235" s="168"/>
      <c r="B2235" s="144" t="str">
        <f>'Vật liệu'!B766</f>
        <v>V00750</v>
      </c>
      <c r="C2235" s="34">
        <v>351</v>
      </c>
      <c r="D2235" s="144" t="str">
        <f>" - " &amp; 'Vật liệu'!D766</f>
        <v xml:space="preserve"> - Vật liệu khác</v>
      </c>
      <c r="E2235" s="168" t="str">
        <f>'Vật liệu'!E766</f>
        <v>%</v>
      </c>
      <c r="F2235" s="60"/>
      <c r="G2235" s="60">
        <v>10</v>
      </c>
      <c r="H2235" s="60"/>
      <c r="I2235" s="60"/>
      <c r="J2235" s="60"/>
      <c r="K2235" s="60"/>
      <c r="L2235" s="60"/>
    </row>
    <row r="2236" spans="1:12" x14ac:dyDescent="0.25">
      <c r="A2236" s="56"/>
      <c r="B2236" s="23"/>
      <c r="C2236" s="88"/>
      <c r="D2236" s="23" t="s">
        <v>202</v>
      </c>
      <c r="E2236" s="56"/>
      <c r="F2236" s="118"/>
      <c r="G2236" s="118"/>
      <c r="H2236" s="118"/>
      <c r="I2236" s="118"/>
      <c r="J2236" s="118"/>
      <c r="K2236" s="118"/>
      <c r="L2236" s="118"/>
    </row>
    <row r="2237" spans="1:12" x14ac:dyDescent="0.25">
      <c r="A2237" s="168"/>
      <c r="B2237" s="144" t="str">
        <f>'Nhân công'!B130</f>
        <v>N0011</v>
      </c>
      <c r="C2237" s="34">
        <v>550</v>
      </c>
      <c r="D2237" s="144" t="s">
        <v>671</v>
      </c>
      <c r="E2237" s="168" t="str">
        <f>'Nhân công'!G130</f>
        <v>công</v>
      </c>
      <c r="F2237" s="60"/>
      <c r="G2237" s="60"/>
      <c r="H2237" s="60">
        <v>12.25</v>
      </c>
      <c r="I2237" s="60"/>
      <c r="J2237" s="60"/>
      <c r="K2237" s="60">
        <f>ROUND(F2231*H2237,4)</f>
        <v>0.2205</v>
      </c>
      <c r="L2237" s="60"/>
    </row>
    <row r="2238" spans="1:12" ht="28.5" x14ac:dyDescent="0.25">
      <c r="A2238" s="65">
        <f>'Công trình'!A300</f>
        <v>244</v>
      </c>
      <c r="B2238" s="14" t="str">
        <f>'Công trình'!B300</f>
        <v>AG.11113</v>
      </c>
      <c r="C2238" s="94"/>
      <c r="D2238" s="14" t="str">
        <f>'Công trình'!C300</f>
        <v>Sản xuất bê tông cọc, cột đúc sẵn đá 1x2, vữa BT mác 200</v>
      </c>
      <c r="E2238" s="46" t="str">
        <f>'Công trình'!D300</f>
        <v>m3</v>
      </c>
      <c r="F2238" s="106">
        <f>'Công trình'!K300</f>
        <v>0.9</v>
      </c>
      <c r="G2238" s="126"/>
      <c r="H2238" s="126"/>
      <c r="I2238" s="126"/>
      <c r="J2238" s="126"/>
      <c r="K2238" s="126"/>
      <c r="L2238" s="126"/>
    </row>
    <row r="2239" spans="1:12" x14ac:dyDescent="0.25">
      <c r="A2239" s="56"/>
      <c r="B2239" s="23"/>
      <c r="C2239" s="88"/>
      <c r="D2239" s="23" t="s">
        <v>479</v>
      </c>
      <c r="E2239" s="56"/>
      <c r="F2239" s="118"/>
      <c r="G2239" s="118"/>
      <c r="H2239" s="118"/>
      <c r="I2239" s="118"/>
      <c r="J2239" s="118"/>
      <c r="K2239" s="118"/>
      <c r="L2239" s="118"/>
    </row>
    <row r="2240" spans="1:12" x14ac:dyDescent="0.25">
      <c r="A2240" s="168"/>
      <c r="B2240" s="144" t="str">
        <f>'Vật liệu'!B721</f>
        <v>V00761</v>
      </c>
      <c r="C2240" s="34">
        <v>397</v>
      </c>
      <c r="D2240" s="144" t="str">
        <f>" - " &amp; 'Vật liệu'!D721</f>
        <v xml:space="preserve"> - Xi măng PC40</v>
      </c>
      <c r="E2240" s="168" t="str">
        <f>'Vật liệu'!E721</f>
        <v>kg</v>
      </c>
      <c r="F2240" s="60"/>
      <c r="G2240" s="60">
        <v>285.21499999999997</v>
      </c>
      <c r="H2240" s="60"/>
      <c r="I2240" s="60"/>
      <c r="J2240" s="60">
        <f>ROUND(F2238*G2240,4)</f>
        <v>256.69349999999997</v>
      </c>
      <c r="K2240" s="60"/>
      <c r="L2240" s="60"/>
    </row>
    <row r="2241" spans="1:12" x14ac:dyDescent="0.25">
      <c r="A2241" s="168"/>
      <c r="B2241" s="144" t="str">
        <f>'Vật liệu'!B54</f>
        <v>V00112</v>
      </c>
      <c r="C2241" s="34">
        <v>125</v>
      </c>
      <c r="D2241" s="144" t="str">
        <f>" - " &amp; 'Vật liệu'!D54</f>
        <v xml:space="preserve"> - Cát vàng</v>
      </c>
      <c r="E2241" s="168" t="str">
        <f>'Vật liệu'!E54</f>
        <v>m3</v>
      </c>
      <c r="F2241" s="60"/>
      <c r="G2241" s="60">
        <v>0.50039999999999996</v>
      </c>
      <c r="H2241" s="60"/>
      <c r="I2241" s="60"/>
      <c r="J2241" s="60">
        <f>ROUND(F2238*G2241,4)</f>
        <v>0.45040000000000002</v>
      </c>
      <c r="K2241" s="60"/>
      <c r="L2241" s="60"/>
    </row>
    <row r="2242" spans="1:12" x14ac:dyDescent="0.25">
      <c r="A2242" s="168"/>
      <c r="B2242" s="144" t="str">
        <f>'Vật liệu'!B142</f>
        <v>V05207</v>
      </c>
      <c r="C2242" s="34">
        <v>416</v>
      </c>
      <c r="D2242" s="144" t="str">
        <f>" - " &amp; 'Vật liệu'!D142</f>
        <v xml:space="preserve"> - Đá 1x2</v>
      </c>
      <c r="E2242" s="168" t="str">
        <f>'Vật liệu'!E142</f>
        <v>m3</v>
      </c>
      <c r="F2242" s="60"/>
      <c r="G2242" s="60">
        <v>0.90439999999999998</v>
      </c>
      <c r="H2242" s="60"/>
      <c r="I2242" s="60"/>
      <c r="J2242" s="60">
        <f>ROUND(F2238*G2242,4)</f>
        <v>0.81399999999999995</v>
      </c>
      <c r="K2242" s="60"/>
      <c r="L2242" s="60"/>
    </row>
    <row r="2243" spans="1:12" x14ac:dyDescent="0.25">
      <c r="A2243" s="168"/>
      <c r="B2243" s="144" t="str">
        <f>'Vật liệu'!B353</f>
        <v>V00494</v>
      </c>
      <c r="C2243" s="34">
        <v>148</v>
      </c>
      <c r="D2243" s="144" t="str">
        <f>" - " &amp; 'Vật liệu'!D353</f>
        <v xml:space="preserve"> - Nước</v>
      </c>
      <c r="E2243" s="168" t="str">
        <f>'Vật liệu'!E353</f>
        <v>lít</v>
      </c>
      <c r="F2243" s="60"/>
      <c r="G2243" s="60">
        <v>187.77500000000001</v>
      </c>
      <c r="H2243" s="60"/>
      <c r="I2243" s="60"/>
      <c r="J2243" s="60">
        <f>ROUND(F2238*G2243,4)</f>
        <v>168.9975</v>
      </c>
      <c r="K2243" s="60"/>
      <c r="L2243" s="60"/>
    </row>
    <row r="2244" spans="1:12" x14ac:dyDescent="0.25">
      <c r="A2244" s="168"/>
      <c r="B2244" s="144" t="str">
        <f>'Vật liệu'!B766</f>
        <v>V00750</v>
      </c>
      <c r="C2244" s="34">
        <v>352</v>
      </c>
      <c r="D2244" s="144" t="str">
        <f>" - " &amp; 'Vật liệu'!D766</f>
        <v xml:space="preserve"> - Vật liệu khác</v>
      </c>
      <c r="E2244" s="168" t="str">
        <f>'Vật liệu'!E766</f>
        <v>%</v>
      </c>
      <c r="F2244" s="60"/>
      <c r="G2244" s="60">
        <v>0.5</v>
      </c>
      <c r="H2244" s="60"/>
      <c r="I2244" s="60"/>
      <c r="J2244" s="60"/>
      <c r="K2244" s="60"/>
      <c r="L2244" s="60"/>
    </row>
    <row r="2245" spans="1:12" x14ac:dyDescent="0.25">
      <c r="A2245" s="56"/>
      <c r="B2245" s="23"/>
      <c r="C2245" s="88"/>
      <c r="D2245" s="23" t="s">
        <v>202</v>
      </c>
      <c r="E2245" s="56"/>
      <c r="F2245" s="118"/>
      <c r="G2245" s="118"/>
      <c r="H2245" s="118"/>
      <c r="I2245" s="118"/>
      <c r="J2245" s="118"/>
      <c r="K2245" s="118"/>
      <c r="L2245" s="118"/>
    </row>
    <row r="2246" spans="1:12" x14ac:dyDescent="0.25">
      <c r="A2246" s="168"/>
      <c r="B2246" s="144" t="str">
        <f>'Nhân công'!B6</f>
        <v>N0006</v>
      </c>
      <c r="C2246" s="34">
        <v>545</v>
      </c>
      <c r="D2246" s="144" t="s">
        <v>256</v>
      </c>
      <c r="E2246" s="168" t="str">
        <f>'Nhân công'!G6</f>
        <v>công</v>
      </c>
      <c r="F2246" s="60"/>
      <c r="G2246" s="60"/>
      <c r="H2246" s="60">
        <v>1.83</v>
      </c>
      <c r="I2246" s="60"/>
      <c r="J2246" s="60"/>
      <c r="K2246" s="60">
        <f>ROUND(F2238*H2246,4)</f>
        <v>1.647</v>
      </c>
      <c r="L2246" s="60"/>
    </row>
    <row r="2247" spans="1:12" x14ac:dyDescent="0.25">
      <c r="A2247" s="56"/>
      <c r="B2247" s="23"/>
      <c r="C2247" s="88"/>
      <c r="D2247" s="23" t="s">
        <v>378</v>
      </c>
      <c r="E2247" s="56"/>
      <c r="F2247" s="118"/>
      <c r="G2247" s="118"/>
      <c r="H2247" s="118"/>
      <c r="I2247" s="118"/>
      <c r="J2247" s="118"/>
      <c r="K2247" s="118"/>
      <c r="L2247" s="118"/>
    </row>
    <row r="2248" spans="1:12" x14ac:dyDescent="0.25">
      <c r="A2248" s="168"/>
      <c r="B2248" s="144" t="str">
        <f>'Máy thi công'!B232</f>
        <v>M9571</v>
      </c>
      <c r="C2248" s="34">
        <v>750</v>
      </c>
      <c r="D2248" s="144" t="str">
        <f>" - " &amp; 'Máy thi công'!D232</f>
        <v xml:space="preserve"> - Máy đầm bê tông, dầm dùi - công suất: 1,5 kW</v>
      </c>
      <c r="E2248" s="168" t="str">
        <f>'Máy thi công'!E232</f>
        <v>ca</v>
      </c>
      <c r="F2248" s="60"/>
      <c r="G2248" s="60"/>
      <c r="H2248" s="60"/>
      <c r="I2248" s="60">
        <v>0.18</v>
      </c>
      <c r="J2248" s="60"/>
      <c r="K2248" s="60"/>
      <c r="L2248" s="60">
        <f>ROUND(F2238*I2248,4)</f>
        <v>0.16200000000000001</v>
      </c>
    </row>
    <row r="2249" spans="1:12" x14ac:dyDescent="0.25">
      <c r="A2249" s="168"/>
      <c r="B2249" s="144" t="str">
        <f>'Máy thi công'!B306</f>
        <v>M9555</v>
      </c>
      <c r="C2249" s="34">
        <v>744</v>
      </c>
      <c r="D2249" s="144" t="str">
        <f>" - " &amp; 'Máy thi công'!D306</f>
        <v xml:space="preserve"> - Máy trộn bê tông - dung tích: 250 lít</v>
      </c>
      <c r="E2249" s="168" t="str">
        <f>'Máy thi công'!E306</f>
        <v>ca</v>
      </c>
      <c r="F2249" s="60"/>
      <c r="G2249" s="60"/>
      <c r="H2249" s="60"/>
      <c r="I2249" s="60">
        <v>9.5000000000000001E-2</v>
      </c>
      <c r="J2249" s="60"/>
      <c r="K2249" s="60"/>
      <c r="L2249" s="60">
        <f>ROUND(F2238*I2249,4)</f>
        <v>8.5500000000000007E-2</v>
      </c>
    </row>
    <row r="2250" spans="1:12" x14ac:dyDescent="0.25">
      <c r="A2250" s="168"/>
      <c r="B2250" s="144" t="str">
        <f>'Máy thi công'!B398</f>
        <v>M0111</v>
      </c>
      <c r="C2250" s="34">
        <v>665</v>
      </c>
      <c r="D2250" s="144" t="str">
        <f>" - " &amp; 'Máy thi công'!D398</f>
        <v xml:space="preserve"> - Máy khác</v>
      </c>
      <c r="E2250" s="168" t="str">
        <f>'Máy thi công'!E398</f>
        <v>%</v>
      </c>
      <c r="F2250" s="60"/>
      <c r="G2250" s="60"/>
      <c r="H2250" s="60"/>
      <c r="I2250" s="60">
        <v>10</v>
      </c>
      <c r="J2250" s="60"/>
      <c r="K2250" s="60"/>
      <c r="L2250" s="60"/>
    </row>
    <row r="2251" spans="1:12" ht="28.5" x14ac:dyDescent="0.25">
      <c r="A2251" s="65">
        <f>'Công trình'!A301</f>
        <v>245</v>
      </c>
      <c r="B2251" s="14" t="str">
        <f>'Công trình'!B301</f>
        <v>AF.11212</v>
      </c>
      <c r="C2251" s="94"/>
      <c r="D2251" s="14" t="str">
        <f>'Công trình'!C301</f>
        <v>Bê tông móng rộng &lt;=250cm đá 1x2, vữa BT mác 150</v>
      </c>
      <c r="E2251" s="46" t="str">
        <f>'Công trình'!D301</f>
        <v>m3</v>
      </c>
      <c r="F2251" s="106">
        <f>'Công trình'!K301</f>
        <v>1.44</v>
      </c>
      <c r="G2251" s="126"/>
      <c r="H2251" s="126"/>
      <c r="I2251" s="126"/>
      <c r="J2251" s="126"/>
      <c r="K2251" s="126"/>
      <c r="L2251" s="126"/>
    </row>
    <row r="2252" spans="1:12" x14ac:dyDescent="0.25">
      <c r="A2252" s="56"/>
      <c r="B2252" s="23"/>
      <c r="C2252" s="88"/>
      <c r="D2252" s="23" t="s">
        <v>479</v>
      </c>
      <c r="E2252" s="56"/>
      <c r="F2252" s="118"/>
      <c r="G2252" s="118"/>
      <c r="H2252" s="118"/>
      <c r="I2252" s="118"/>
      <c r="J2252" s="118"/>
      <c r="K2252" s="118"/>
      <c r="L2252" s="118"/>
    </row>
    <row r="2253" spans="1:12" x14ac:dyDescent="0.25">
      <c r="A2253" s="168"/>
      <c r="B2253" s="144" t="str">
        <f>'Vật liệu'!B721</f>
        <v>V00761</v>
      </c>
      <c r="C2253" s="34">
        <v>397</v>
      </c>
      <c r="D2253" s="144" t="str">
        <f>" - " &amp; 'Vật liệu'!D721</f>
        <v xml:space="preserve"> - Xi măng PC40</v>
      </c>
      <c r="E2253" s="168" t="str">
        <f>'Vật liệu'!E721</f>
        <v>kg</v>
      </c>
      <c r="F2253" s="60"/>
      <c r="G2253" s="60">
        <v>238.82499999999999</v>
      </c>
      <c r="H2253" s="60"/>
      <c r="I2253" s="60"/>
      <c r="J2253" s="60">
        <f>ROUND(F2251*G2253,4)</f>
        <v>343.90800000000002</v>
      </c>
      <c r="K2253" s="60"/>
      <c r="L2253" s="60"/>
    </row>
    <row r="2254" spans="1:12" x14ac:dyDescent="0.25">
      <c r="A2254" s="168"/>
      <c r="B2254" s="144" t="str">
        <f>'Vật liệu'!B54</f>
        <v>V00112</v>
      </c>
      <c r="C2254" s="34">
        <v>125</v>
      </c>
      <c r="D2254" s="144" t="str">
        <f>" - " &amp; 'Vật liệu'!D54</f>
        <v xml:space="preserve"> - Cát vàng</v>
      </c>
      <c r="E2254" s="168" t="str">
        <f>'Vật liệu'!E54</f>
        <v>m3</v>
      </c>
      <c r="F2254" s="60"/>
      <c r="G2254" s="60">
        <v>0.52280000000000004</v>
      </c>
      <c r="H2254" s="60"/>
      <c r="I2254" s="60"/>
      <c r="J2254" s="60">
        <f>ROUND(F2251*G2254,4)</f>
        <v>0.75280000000000002</v>
      </c>
      <c r="K2254" s="60"/>
      <c r="L2254" s="60"/>
    </row>
    <row r="2255" spans="1:12" x14ac:dyDescent="0.25">
      <c r="A2255" s="168"/>
      <c r="B2255" s="144" t="str">
        <f>'Vật liệu'!B142</f>
        <v>V05207</v>
      </c>
      <c r="C2255" s="34">
        <v>416</v>
      </c>
      <c r="D2255" s="144" t="str">
        <f>" - " &amp; 'Vật liệu'!D142</f>
        <v xml:space="preserve"> - Đá 1x2</v>
      </c>
      <c r="E2255" s="168" t="str">
        <f>'Vật liệu'!E142</f>
        <v>m3</v>
      </c>
      <c r="F2255" s="60"/>
      <c r="G2255" s="60">
        <v>0.92559999999999998</v>
      </c>
      <c r="H2255" s="60"/>
      <c r="I2255" s="60"/>
      <c r="J2255" s="60">
        <f>ROUND(F2251*G2255,4)</f>
        <v>1.3329</v>
      </c>
      <c r="K2255" s="60"/>
      <c r="L2255" s="60"/>
    </row>
    <row r="2256" spans="1:12" x14ac:dyDescent="0.25">
      <c r="A2256" s="168"/>
      <c r="B2256" s="144" t="str">
        <f>'Vật liệu'!B353</f>
        <v>V00494</v>
      </c>
      <c r="C2256" s="34">
        <v>148</v>
      </c>
      <c r="D2256" s="144" t="str">
        <f>" - " &amp; 'Vật liệu'!D353</f>
        <v xml:space="preserve"> - Nước</v>
      </c>
      <c r="E2256" s="168" t="str">
        <f>'Vật liệu'!E353</f>
        <v>lít</v>
      </c>
      <c r="F2256" s="60"/>
      <c r="G2256" s="60">
        <v>189.625</v>
      </c>
      <c r="H2256" s="60"/>
      <c r="I2256" s="60"/>
      <c r="J2256" s="60">
        <f>ROUND(F2251*G2256,4)</f>
        <v>273.06</v>
      </c>
      <c r="K2256" s="60"/>
      <c r="L2256" s="60"/>
    </row>
    <row r="2257" spans="1:12" x14ac:dyDescent="0.25">
      <c r="A2257" s="168"/>
      <c r="B2257" s="144" t="str">
        <f>'Vật liệu'!B766</f>
        <v>V00750</v>
      </c>
      <c r="C2257" s="34">
        <v>353</v>
      </c>
      <c r="D2257" s="144" t="str">
        <f>" - " &amp; 'Vật liệu'!D766</f>
        <v xml:space="preserve"> - Vật liệu khác</v>
      </c>
      <c r="E2257" s="168" t="str">
        <f>'Vật liệu'!E766</f>
        <v>%</v>
      </c>
      <c r="F2257" s="60"/>
      <c r="G2257" s="60">
        <v>1</v>
      </c>
      <c r="H2257" s="60"/>
      <c r="I2257" s="60"/>
      <c r="J2257" s="60"/>
      <c r="K2257" s="60"/>
      <c r="L2257" s="60"/>
    </row>
    <row r="2258" spans="1:12" x14ac:dyDescent="0.25">
      <c r="A2258" s="56"/>
      <c r="B2258" s="23"/>
      <c r="C2258" s="88"/>
      <c r="D2258" s="23" t="s">
        <v>202</v>
      </c>
      <c r="E2258" s="56"/>
      <c r="F2258" s="118"/>
      <c r="G2258" s="118"/>
      <c r="H2258" s="118"/>
      <c r="I2258" s="118"/>
      <c r="J2258" s="118"/>
      <c r="K2258" s="118"/>
      <c r="L2258" s="118"/>
    </row>
    <row r="2259" spans="1:12" x14ac:dyDescent="0.25">
      <c r="A2259" s="168"/>
      <c r="B2259" s="144" t="str">
        <f>'Nhân công'!B6</f>
        <v>N0006</v>
      </c>
      <c r="C2259" s="34">
        <v>545</v>
      </c>
      <c r="D2259" s="144" t="s">
        <v>256</v>
      </c>
      <c r="E2259" s="168" t="str">
        <f>'Nhân công'!G6</f>
        <v>công</v>
      </c>
      <c r="F2259" s="60"/>
      <c r="G2259" s="60"/>
      <c r="H2259" s="60">
        <v>1.64</v>
      </c>
      <c r="I2259" s="60"/>
      <c r="J2259" s="60"/>
      <c r="K2259" s="60">
        <f>ROUND(F2251*H2259,4)</f>
        <v>2.3616000000000001</v>
      </c>
      <c r="L2259" s="60"/>
    </row>
    <row r="2260" spans="1:12" x14ac:dyDescent="0.25">
      <c r="A2260" s="56"/>
      <c r="B2260" s="23"/>
      <c r="C2260" s="88"/>
      <c r="D2260" s="23" t="s">
        <v>378</v>
      </c>
      <c r="E2260" s="56"/>
      <c r="F2260" s="118"/>
      <c r="G2260" s="118"/>
      <c r="H2260" s="118"/>
      <c r="I2260" s="118"/>
      <c r="J2260" s="118"/>
      <c r="K2260" s="118"/>
      <c r="L2260" s="118"/>
    </row>
    <row r="2261" spans="1:12" x14ac:dyDescent="0.25">
      <c r="A2261" s="168"/>
      <c r="B2261" s="144" t="str">
        <f>'Máy thi công'!B232</f>
        <v>M9571</v>
      </c>
      <c r="C2261" s="34">
        <v>750</v>
      </c>
      <c r="D2261" s="144" t="str">
        <f>" - " &amp; 'Máy thi công'!D232</f>
        <v xml:space="preserve"> - Máy đầm bê tông, dầm dùi - công suất: 1,5 kW</v>
      </c>
      <c r="E2261" s="168" t="str">
        <f>'Máy thi công'!E232</f>
        <v>ca</v>
      </c>
      <c r="F2261" s="60"/>
      <c r="G2261" s="60"/>
      <c r="H2261" s="60"/>
      <c r="I2261" s="60">
        <v>8.8999999999999996E-2</v>
      </c>
      <c r="J2261" s="60"/>
      <c r="K2261" s="60"/>
      <c r="L2261" s="60">
        <f>ROUND(F2251*I2261,4)</f>
        <v>0.12820000000000001</v>
      </c>
    </row>
    <row r="2262" spans="1:12" x14ac:dyDescent="0.25">
      <c r="A2262" s="168"/>
      <c r="B2262" s="144" t="str">
        <f>'Máy thi công'!B306</f>
        <v>M9555</v>
      </c>
      <c r="C2262" s="34">
        <v>744</v>
      </c>
      <c r="D2262" s="144" t="str">
        <f>" - " &amp; 'Máy thi công'!D306</f>
        <v xml:space="preserve"> - Máy trộn bê tông - dung tích: 250 lít</v>
      </c>
      <c r="E2262" s="168" t="str">
        <f>'Máy thi công'!E306</f>
        <v>ca</v>
      </c>
      <c r="F2262" s="60"/>
      <c r="G2262" s="60"/>
      <c r="H2262" s="60"/>
      <c r="I2262" s="60">
        <v>9.5000000000000001E-2</v>
      </c>
      <c r="J2262" s="60"/>
      <c r="K2262" s="60"/>
      <c r="L2262" s="60">
        <f>ROUND(F2251*I2262,4)</f>
        <v>0.1368</v>
      </c>
    </row>
    <row r="2263" spans="1:12" ht="28.5" x14ac:dyDescent="0.25">
      <c r="A2263" s="65">
        <f>'Công trình'!A302</f>
        <v>246</v>
      </c>
      <c r="B2263" s="14" t="str">
        <f>'Công trình'!B302</f>
        <v>AF.61110</v>
      </c>
      <c r="C2263" s="94"/>
      <c r="D2263" s="14" t="str">
        <f>'Công trình'!C302</f>
        <v>Sản xuất, lắp dựng cốt thép móng đường kính &lt;=10mm</v>
      </c>
      <c r="E2263" s="46" t="str">
        <f>'Công trình'!D302</f>
        <v>tấn</v>
      </c>
      <c r="F2263" s="106">
        <f>'Công trình'!K302</f>
        <v>0.11559999999999999</v>
      </c>
      <c r="G2263" s="126"/>
      <c r="H2263" s="126"/>
      <c r="I2263" s="126"/>
      <c r="J2263" s="126"/>
      <c r="K2263" s="126"/>
      <c r="L2263" s="126"/>
    </row>
    <row r="2264" spans="1:12" x14ac:dyDescent="0.25">
      <c r="A2264" s="56"/>
      <c r="B2264" s="23"/>
      <c r="C2264" s="88"/>
      <c r="D2264" s="23" t="s">
        <v>479</v>
      </c>
      <c r="E2264" s="56"/>
      <c r="F2264" s="118"/>
      <c r="G2264" s="118"/>
      <c r="H2264" s="118"/>
      <c r="I2264" s="118"/>
      <c r="J2264" s="118"/>
      <c r="K2264" s="118"/>
      <c r="L2264" s="118"/>
    </row>
    <row r="2265" spans="1:12" x14ac:dyDescent="0.25">
      <c r="A2265" s="168"/>
      <c r="B2265" s="144" t="str">
        <f>'Vật liệu'!B221</f>
        <v>V00226</v>
      </c>
      <c r="C2265" s="34">
        <v>135</v>
      </c>
      <c r="D2265" s="144" t="str">
        <f>" - " &amp; 'Vật liệu'!D221</f>
        <v xml:space="preserve"> - Dây thép</v>
      </c>
      <c r="E2265" s="168" t="str">
        <f>'Vật liệu'!E221</f>
        <v>kg</v>
      </c>
      <c r="F2265" s="60"/>
      <c r="G2265" s="60">
        <v>21.42</v>
      </c>
      <c r="H2265" s="60"/>
      <c r="I2265" s="60"/>
      <c r="J2265" s="60">
        <f>ROUND(F2263*G2265,4)</f>
        <v>2.4762</v>
      </c>
      <c r="K2265" s="60"/>
      <c r="L2265" s="60"/>
    </row>
    <row r="2266" spans="1:12" x14ac:dyDescent="0.25">
      <c r="A2266" s="168"/>
      <c r="B2266" s="144" t="str">
        <f>'Vật liệu'!B650</f>
        <v>V48494</v>
      </c>
      <c r="C2266" s="34">
        <v>484</v>
      </c>
      <c r="D2266" s="144" t="str">
        <f>" - " &amp; 'Vật liệu'!D650</f>
        <v xml:space="preserve"> - Thép tròn đường kính &lt;=10 mm</v>
      </c>
      <c r="E2266" s="168" t="str">
        <f>'Vật liệu'!E650</f>
        <v>kg</v>
      </c>
      <c r="F2266" s="60"/>
      <c r="G2266" s="60">
        <v>1005</v>
      </c>
      <c r="H2266" s="60"/>
      <c r="I2266" s="60"/>
      <c r="J2266" s="60">
        <f>ROUND(F2263*G2266,4)</f>
        <v>116.178</v>
      </c>
      <c r="K2266" s="60"/>
      <c r="L2266" s="60"/>
    </row>
    <row r="2267" spans="1:12" x14ac:dyDescent="0.25">
      <c r="A2267" s="56"/>
      <c r="B2267" s="23"/>
      <c r="C2267" s="88"/>
      <c r="D2267" s="23" t="s">
        <v>202</v>
      </c>
      <c r="E2267" s="56"/>
      <c r="F2267" s="118"/>
      <c r="G2267" s="118"/>
      <c r="H2267" s="118"/>
      <c r="I2267" s="118"/>
      <c r="J2267" s="118"/>
      <c r="K2267" s="118"/>
      <c r="L2267" s="118"/>
    </row>
    <row r="2268" spans="1:12" x14ac:dyDescent="0.25">
      <c r="A2268" s="168"/>
      <c r="B2268" s="144" t="str">
        <f>'Nhân công'!B45</f>
        <v>N0009</v>
      </c>
      <c r="C2268" s="34">
        <v>546</v>
      </c>
      <c r="D2268" s="144" t="s">
        <v>1052</v>
      </c>
      <c r="E2268" s="168" t="str">
        <f>'Nhân công'!G45</f>
        <v>công</v>
      </c>
      <c r="F2268" s="60"/>
      <c r="G2268" s="60"/>
      <c r="H2268" s="60">
        <v>11.32</v>
      </c>
      <c r="I2268" s="60"/>
      <c r="J2268" s="60"/>
      <c r="K2268" s="60">
        <f>ROUND(F2263*H2268,4)</f>
        <v>1.3086</v>
      </c>
      <c r="L2268" s="60"/>
    </row>
    <row r="2269" spans="1:12" x14ac:dyDescent="0.25">
      <c r="A2269" s="56"/>
      <c r="B2269" s="23"/>
      <c r="C2269" s="88"/>
      <c r="D2269" s="23" t="s">
        <v>378</v>
      </c>
      <c r="E2269" s="56"/>
      <c r="F2269" s="118"/>
      <c r="G2269" s="118"/>
      <c r="H2269" s="118"/>
      <c r="I2269" s="118"/>
      <c r="J2269" s="118"/>
      <c r="K2269" s="118"/>
      <c r="L2269" s="118"/>
    </row>
    <row r="2270" spans="1:12" x14ac:dyDescent="0.25">
      <c r="A2270" s="168"/>
      <c r="B2270" s="144" t="str">
        <f>'Máy thi công'!B184</f>
        <v>M9521</v>
      </c>
      <c r="C2270" s="34">
        <v>737</v>
      </c>
      <c r="D2270" s="144" t="str">
        <f>" - " &amp; 'Máy thi công'!D184</f>
        <v xml:space="preserve"> - Máy cắt uốn cốt thép - công suất: 5 kW</v>
      </c>
      <c r="E2270" s="168" t="str">
        <f>'Máy thi công'!E184</f>
        <v>ca</v>
      </c>
      <c r="F2270" s="60"/>
      <c r="G2270" s="60"/>
      <c r="H2270" s="60"/>
      <c r="I2270" s="60">
        <v>0.4</v>
      </c>
      <c r="J2270" s="60"/>
      <c r="K2270" s="60"/>
      <c r="L2270" s="60">
        <f>ROUND(F2263*I2270,4)</f>
        <v>4.6199999999999998E-2</v>
      </c>
    </row>
    <row r="2271" spans="1:12" ht="28.5" x14ac:dyDescent="0.25">
      <c r="A2271" s="65">
        <f>'Công trình'!A303</f>
        <v>247</v>
      </c>
      <c r="B2271" s="14" t="str">
        <f>'Công trình'!B303</f>
        <v>AG.42111</v>
      </c>
      <c r="C2271" s="94"/>
      <c r="D2271" s="14" t="str">
        <f>'Công trình'!C303</f>
        <v>Lắp các loại cấu kiện BT đúc sẵn bằng thủ công trọng lượng &lt;=50kg, vữa XM mác 100</v>
      </c>
      <c r="E2271" s="46" t="str">
        <f>'Công trình'!D303</f>
        <v>cái</v>
      </c>
      <c r="F2271" s="106">
        <f>'Công trình'!K303</f>
        <v>40</v>
      </c>
      <c r="G2271" s="126"/>
      <c r="H2271" s="126"/>
      <c r="I2271" s="126"/>
      <c r="J2271" s="126"/>
      <c r="K2271" s="126"/>
      <c r="L2271" s="126"/>
    </row>
    <row r="2272" spans="1:12" x14ac:dyDescent="0.25">
      <c r="A2272" s="56"/>
      <c r="B2272" s="23"/>
      <c r="C2272" s="88"/>
      <c r="D2272" s="23" t="s">
        <v>479</v>
      </c>
      <c r="E2272" s="56"/>
      <c r="F2272" s="118"/>
      <c r="G2272" s="118"/>
      <c r="H2272" s="118"/>
      <c r="I2272" s="118"/>
      <c r="J2272" s="118"/>
      <c r="K2272" s="118"/>
      <c r="L2272" s="118"/>
    </row>
    <row r="2273" spans="1:12" x14ac:dyDescent="0.25">
      <c r="A2273" s="168"/>
      <c r="B2273" s="144" t="str">
        <f>'Vật liệu'!B721</f>
        <v>V00761</v>
      </c>
      <c r="C2273" s="34">
        <v>397</v>
      </c>
      <c r="D2273" s="144" t="str">
        <f>" - " &amp; 'Vật liệu'!D721</f>
        <v xml:space="preserve"> - Xi măng PC40</v>
      </c>
      <c r="E2273" s="168" t="str">
        <f>'Vật liệu'!E721</f>
        <v>kg</v>
      </c>
      <c r="F2273" s="60"/>
      <c r="G2273" s="60">
        <v>0.8911</v>
      </c>
      <c r="H2273" s="60"/>
      <c r="I2273" s="60"/>
      <c r="J2273" s="60">
        <f>ROUND(F2271*G2273,4)</f>
        <v>35.643999999999998</v>
      </c>
      <c r="K2273" s="60"/>
      <c r="L2273" s="60"/>
    </row>
    <row r="2274" spans="1:12" x14ac:dyDescent="0.25">
      <c r="A2274" s="168"/>
      <c r="B2274" s="144" t="str">
        <f>'Vật liệu'!B54</f>
        <v>V00112</v>
      </c>
      <c r="C2274" s="34">
        <v>125</v>
      </c>
      <c r="D2274" s="144" t="str">
        <f>" - " &amp; 'Vật liệu'!D54</f>
        <v xml:space="preserve"> - Cát vàng</v>
      </c>
      <c r="E2274" s="168" t="str">
        <f>'Vật liệu'!E54</f>
        <v>m3</v>
      </c>
      <c r="F2274" s="60"/>
      <c r="G2274" s="60">
        <v>3.3E-3</v>
      </c>
      <c r="H2274" s="60"/>
      <c r="I2274" s="60"/>
      <c r="J2274" s="60">
        <f>ROUND(F2271*G2274,4)</f>
        <v>0.13200000000000001</v>
      </c>
      <c r="K2274" s="60"/>
      <c r="L2274" s="60"/>
    </row>
    <row r="2275" spans="1:12" x14ac:dyDescent="0.25">
      <c r="A2275" s="168"/>
      <c r="B2275" s="144" t="str">
        <f>'Vật liệu'!B353</f>
        <v>V00494</v>
      </c>
      <c r="C2275" s="34">
        <v>148</v>
      </c>
      <c r="D2275" s="144" t="str">
        <f>" - " &amp; 'Vật liệu'!D353</f>
        <v xml:space="preserve"> - Nước</v>
      </c>
      <c r="E2275" s="168" t="str">
        <f>'Vật liệu'!E353</f>
        <v>lít</v>
      </c>
      <c r="F2275" s="60"/>
      <c r="G2275" s="60">
        <v>0.78</v>
      </c>
      <c r="H2275" s="60"/>
      <c r="I2275" s="60"/>
      <c r="J2275" s="60">
        <f>ROUND(F2271*G2275,4)</f>
        <v>31.2</v>
      </c>
      <c r="K2275" s="60"/>
      <c r="L2275" s="60"/>
    </row>
    <row r="2276" spans="1:12" x14ac:dyDescent="0.25">
      <c r="A2276" s="168"/>
      <c r="B2276" s="144" t="str">
        <f>'Vật liệu'!B766</f>
        <v>V00750</v>
      </c>
      <c r="C2276" s="34">
        <v>356</v>
      </c>
      <c r="D2276" s="144" t="str">
        <f>" - " &amp; 'Vật liệu'!D766</f>
        <v xml:space="preserve"> - Vật liệu khác</v>
      </c>
      <c r="E2276" s="168" t="str">
        <f>'Vật liệu'!E766</f>
        <v>%</v>
      </c>
      <c r="F2276" s="60"/>
      <c r="G2276" s="60">
        <v>10</v>
      </c>
      <c r="H2276" s="60"/>
      <c r="I2276" s="60"/>
      <c r="J2276" s="60"/>
      <c r="K2276" s="60"/>
      <c r="L2276" s="60"/>
    </row>
    <row r="2277" spans="1:12" x14ac:dyDescent="0.25">
      <c r="A2277" s="56"/>
      <c r="B2277" s="23"/>
      <c r="C2277" s="88"/>
      <c r="D2277" s="23" t="s">
        <v>202</v>
      </c>
      <c r="E2277" s="56"/>
      <c r="F2277" s="118"/>
      <c r="G2277" s="118"/>
      <c r="H2277" s="118"/>
      <c r="I2277" s="118"/>
      <c r="J2277" s="118"/>
      <c r="K2277" s="118"/>
      <c r="L2277" s="118"/>
    </row>
    <row r="2278" spans="1:12" x14ac:dyDescent="0.25">
      <c r="A2278" s="168"/>
      <c r="B2278" s="144" t="str">
        <f>'Nhân công'!B185</f>
        <v>N0020</v>
      </c>
      <c r="C2278" s="34">
        <v>555</v>
      </c>
      <c r="D2278" s="144" t="s">
        <v>625</v>
      </c>
      <c r="E2278" s="168" t="str">
        <f>'Nhân công'!G185</f>
        <v>công</v>
      </c>
      <c r="F2278" s="60"/>
      <c r="G2278" s="60"/>
      <c r="H2278" s="60">
        <v>0.15</v>
      </c>
      <c r="I2278" s="60"/>
      <c r="J2278" s="60"/>
      <c r="K2278" s="60">
        <f>ROUND(F2271*H2278,4)</f>
        <v>6</v>
      </c>
      <c r="L2278" s="60"/>
    </row>
    <row r="2279" spans="1:12" x14ac:dyDescent="0.25">
      <c r="A2279" s="65">
        <f>'Công trình'!A304</f>
        <v>248</v>
      </c>
      <c r="B2279" s="14" t="str">
        <f>'Công trình'!B304</f>
        <v>AK.90122</v>
      </c>
      <c r="C2279" s="94"/>
      <c r="D2279" s="14" t="str">
        <f>'Công trình'!C304</f>
        <v>Sơn trắng đỏ</v>
      </c>
      <c r="E2279" s="46" t="str">
        <f>'Công trình'!D304</f>
        <v>m2</v>
      </c>
      <c r="F2279" s="106">
        <f>'Công trình'!K304</f>
        <v>60</v>
      </c>
      <c r="G2279" s="126"/>
      <c r="H2279" s="126"/>
      <c r="I2279" s="126"/>
      <c r="J2279" s="126"/>
      <c r="K2279" s="126"/>
      <c r="L2279" s="126"/>
    </row>
    <row r="2280" spans="1:12" x14ac:dyDescent="0.25">
      <c r="A2280" s="56"/>
      <c r="B2280" s="23"/>
      <c r="C2280" s="88"/>
      <c r="D2280" s="23" t="s">
        <v>479</v>
      </c>
      <c r="E2280" s="56"/>
      <c r="F2280" s="118"/>
      <c r="G2280" s="118"/>
      <c r="H2280" s="118"/>
      <c r="I2280" s="118"/>
      <c r="J2280" s="118"/>
      <c r="K2280" s="118"/>
      <c r="L2280" s="118"/>
    </row>
    <row r="2281" spans="1:12" x14ac:dyDescent="0.25">
      <c r="A2281" s="168"/>
      <c r="B2281" s="144" t="str">
        <f>'Vật liệu'!B541</f>
        <v>V74456</v>
      </c>
      <c r="C2281" s="34">
        <v>518</v>
      </c>
      <c r="D2281" s="144" t="str">
        <f>" - " &amp; 'Vật liệu'!D541</f>
        <v xml:space="preserve"> - Sơn phủ Joton Jony nội thất</v>
      </c>
      <c r="E2281" s="168" t="str">
        <f>'Vật liệu'!E541</f>
        <v>lít</v>
      </c>
      <c r="F2281" s="60"/>
      <c r="G2281" s="60">
        <v>0.27</v>
      </c>
      <c r="H2281" s="60"/>
      <c r="I2281" s="60"/>
      <c r="J2281" s="60">
        <f>ROUND(F2279*G2281,4)</f>
        <v>16.2</v>
      </c>
      <c r="K2281" s="60"/>
      <c r="L2281" s="60"/>
    </row>
    <row r="2282" spans="1:12" x14ac:dyDescent="0.25">
      <c r="A2282" s="168"/>
      <c r="B2282" s="144" t="str">
        <f>'Vật liệu'!B537</f>
        <v>V74434</v>
      </c>
      <c r="C2282" s="34">
        <v>517</v>
      </c>
      <c r="D2282" s="144" t="str">
        <f>" - " &amp; 'Vật liệu'!D537</f>
        <v xml:space="preserve"> - Sơn lót Joton Altin nội thất</v>
      </c>
      <c r="E2282" s="168" t="str">
        <f>'Vật liệu'!E537</f>
        <v>lít</v>
      </c>
      <c r="F2282" s="60"/>
      <c r="G2282" s="60">
        <v>0.16400000000000001</v>
      </c>
      <c r="H2282" s="60"/>
      <c r="I2282" s="60"/>
      <c r="J2282" s="60">
        <f>ROUND(F2279*G2282,4)</f>
        <v>9.84</v>
      </c>
      <c r="K2282" s="60"/>
      <c r="L2282" s="60"/>
    </row>
    <row r="2283" spans="1:12" x14ac:dyDescent="0.25">
      <c r="A2283" s="168"/>
      <c r="B2283" s="144" t="str">
        <f>'Vật liệu'!B766</f>
        <v>V00750</v>
      </c>
      <c r="C2283" s="34">
        <v>354</v>
      </c>
      <c r="D2283" s="144" t="str">
        <f>" - " &amp; 'Vật liệu'!D766</f>
        <v xml:space="preserve"> - Vật liệu khác</v>
      </c>
      <c r="E2283" s="168" t="str">
        <f>'Vật liệu'!E766</f>
        <v>%</v>
      </c>
      <c r="F2283" s="60"/>
      <c r="G2283" s="60">
        <v>1</v>
      </c>
      <c r="H2283" s="60"/>
      <c r="I2283" s="60"/>
      <c r="J2283" s="60"/>
      <c r="K2283" s="60"/>
      <c r="L2283" s="60"/>
    </row>
    <row r="2284" spans="1:12" x14ac:dyDescent="0.25">
      <c r="A2284" s="56"/>
      <c r="B2284" s="23"/>
      <c r="C2284" s="88"/>
      <c r="D2284" s="23" t="s">
        <v>202</v>
      </c>
      <c r="E2284" s="56"/>
      <c r="F2284" s="118"/>
      <c r="G2284" s="118"/>
      <c r="H2284" s="118"/>
      <c r="I2284" s="118"/>
      <c r="J2284" s="118"/>
      <c r="K2284" s="118"/>
      <c r="L2284" s="118"/>
    </row>
    <row r="2285" spans="1:12" x14ac:dyDescent="0.25">
      <c r="A2285" s="168"/>
      <c r="B2285" s="144" t="str">
        <f>'Nhân công'!B45</f>
        <v>N0009</v>
      </c>
      <c r="C2285" s="34">
        <v>546</v>
      </c>
      <c r="D2285" s="144" t="s">
        <v>1052</v>
      </c>
      <c r="E2285" s="168" t="str">
        <f>'Nhân công'!G45</f>
        <v>công</v>
      </c>
      <c r="F2285" s="60"/>
      <c r="G2285" s="60"/>
      <c r="H2285" s="60">
        <v>6.6000000000000003E-2</v>
      </c>
      <c r="I2285" s="60"/>
      <c r="J2285" s="60"/>
      <c r="K2285" s="60">
        <f>ROUND(F2279*H2285,4)</f>
        <v>3.96</v>
      </c>
      <c r="L2285" s="60"/>
    </row>
    <row r="2286" spans="1:12" ht="42.75" x14ac:dyDescent="0.25">
      <c r="A2286" s="65">
        <f>'Công trình'!A305</f>
        <v>249</v>
      </c>
      <c r="B2286" s="14" t="str">
        <f>'Công trình'!B305</f>
        <v>AF.82511</v>
      </c>
      <c r="C2286" s="94"/>
      <c r="D2286" s="14" t="str">
        <f>'Công trình'!C305</f>
        <v>Sản xuất, lắp dựng, tháo dỡ ván khuôn cho bê tông đổ tại chổ, ván khuôn thép, ván khuôn móng</v>
      </c>
      <c r="E2286" s="46" t="str">
        <f>'Công trình'!D305</f>
        <v>100m2</v>
      </c>
      <c r="F2286" s="106">
        <f>'Công trình'!K305</f>
        <v>0.33</v>
      </c>
      <c r="G2286" s="126"/>
      <c r="H2286" s="126"/>
      <c r="I2286" s="126"/>
      <c r="J2286" s="126"/>
      <c r="K2286" s="126"/>
      <c r="L2286" s="126"/>
    </row>
    <row r="2287" spans="1:12" x14ac:dyDescent="0.25">
      <c r="A2287" s="56"/>
      <c r="B2287" s="23"/>
      <c r="C2287" s="88"/>
      <c r="D2287" s="23" t="s">
        <v>479</v>
      </c>
      <c r="E2287" s="56"/>
      <c r="F2287" s="118"/>
      <c r="G2287" s="118"/>
      <c r="H2287" s="118"/>
      <c r="I2287" s="118"/>
      <c r="J2287" s="118"/>
      <c r="K2287" s="118"/>
      <c r="L2287" s="118"/>
    </row>
    <row r="2288" spans="1:12" x14ac:dyDescent="0.25">
      <c r="A2288" s="168"/>
      <c r="B2288" s="144" t="str">
        <f>'Vật liệu'!B556</f>
        <v>V00641</v>
      </c>
      <c r="C2288" s="34">
        <v>160</v>
      </c>
      <c r="D2288" s="144" t="str">
        <f>" - " &amp; 'Vật liệu'!D556</f>
        <v xml:space="preserve"> - Thép hình</v>
      </c>
      <c r="E2288" s="168" t="str">
        <f>'Vật liệu'!E556</f>
        <v>kg</v>
      </c>
      <c r="F2288" s="60"/>
      <c r="G2288" s="60">
        <v>32.020000000000003</v>
      </c>
      <c r="H2288" s="60"/>
      <c r="I2288" s="60"/>
      <c r="J2288" s="60">
        <f>ROUND(F2286*G2288,4)</f>
        <v>10.566599999999999</v>
      </c>
      <c r="K2288" s="60"/>
      <c r="L2288" s="60"/>
    </row>
    <row r="2289" spans="1:12" x14ac:dyDescent="0.25">
      <c r="A2289" s="168"/>
      <c r="B2289" s="144" t="str">
        <f>'Vật liệu'!B606</f>
        <v>V00671</v>
      </c>
      <c r="C2289" s="34">
        <v>166</v>
      </c>
      <c r="D2289" s="144" t="str">
        <f>" - " &amp; 'Vật liệu'!D606</f>
        <v xml:space="preserve"> - Thép tấm</v>
      </c>
      <c r="E2289" s="168" t="str">
        <f>'Vật liệu'!E606</f>
        <v>kg</v>
      </c>
      <c r="F2289" s="60"/>
      <c r="G2289" s="60">
        <v>51.81</v>
      </c>
      <c r="H2289" s="60"/>
      <c r="I2289" s="60"/>
      <c r="J2289" s="60">
        <f>ROUND(F2286*G2289,4)</f>
        <v>17.097300000000001</v>
      </c>
      <c r="K2289" s="60"/>
      <c r="L2289" s="60"/>
    </row>
    <row r="2290" spans="1:12" x14ac:dyDescent="0.25">
      <c r="A2290" s="168"/>
      <c r="B2290" s="144" t="str">
        <f>'Vật liệu'!B766</f>
        <v>V00750</v>
      </c>
      <c r="C2290" s="34">
        <v>355</v>
      </c>
      <c r="D2290" s="144" t="str">
        <f>" - " &amp; 'Vật liệu'!D766</f>
        <v xml:space="preserve"> - Vật liệu khác</v>
      </c>
      <c r="E2290" s="168" t="str">
        <f>'Vật liệu'!E766</f>
        <v>%</v>
      </c>
      <c r="F2290" s="60"/>
      <c r="G2290" s="60">
        <v>10</v>
      </c>
      <c r="H2290" s="60"/>
      <c r="I2290" s="60"/>
      <c r="J2290" s="60"/>
      <c r="K2290" s="60"/>
      <c r="L2290" s="60"/>
    </row>
    <row r="2291" spans="1:12" x14ac:dyDescent="0.25">
      <c r="A2291" s="56"/>
      <c r="B2291" s="23"/>
      <c r="C2291" s="88"/>
      <c r="D2291" s="23" t="s">
        <v>202</v>
      </c>
      <c r="E2291" s="56"/>
      <c r="F2291" s="118"/>
      <c r="G2291" s="118"/>
      <c r="H2291" s="118"/>
      <c r="I2291" s="118"/>
      <c r="J2291" s="118"/>
      <c r="K2291" s="118"/>
      <c r="L2291" s="118"/>
    </row>
    <row r="2292" spans="1:12" x14ac:dyDescent="0.25">
      <c r="A2292" s="168"/>
      <c r="B2292" s="144" t="str">
        <f>'Nhân công'!B130</f>
        <v>N0011</v>
      </c>
      <c r="C2292" s="34">
        <v>550</v>
      </c>
      <c r="D2292" s="144" t="s">
        <v>671</v>
      </c>
      <c r="E2292" s="168" t="str">
        <f>'Nhân công'!G130</f>
        <v>công</v>
      </c>
      <c r="F2292" s="60"/>
      <c r="G2292" s="60"/>
      <c r="H2292" s="60">
        <v>12.25</v>
      </c>
      <c r="I2292" s="60"/>
      <c r="J2292" s="60"/>
      <c r="K2292" s="60">
        <f>ROUND(F2286*H2292,4)</f>
        <v>4.0425000000000004</v>
      </c>
      <c r="L2292" s="60"/>
    </row>
    <row r="2293" spans="1:12" ht="28.5" x14ac:dyDescent="0.25">
      <c r="A2293" s="65">
        <f>'Công trình'!A306</f>
        <v>250</v>
      </c>
      <c r="B2293" s="14" t="str">
        <f>'Công trình'!B306</f>
        <v>AB.11312</v>
      </c>
      <c r="C2293" s="94"/>
      <c r="D2293" s="14" t="str">
        <f>'Công trình'!C306</f>
        <v>Đào móng băng, rộng &lt;=3m, sâu &lt;=1m, đất cấp II</v>
      </c>
      <c r="E2293" s="46" t="str">
        <f>'Công trình'!D306</f>
        <v>m3</v>
      </c>
      <c r="F2293" s="106">
        <f>'Công trình'!K306</f>
        <v>1.44</v>
      </c>
      <c r="G2293" s="126"/>
      <c r="H2293" s="126"/>
      <c r="I2293" s="126"/>
      <c r="J2293" s="126"/>
      <c r="K2293" s="126"/>
      <c r="L2293" s="126"/>
    </row>
    <row r="2294" spans="1:12" x14ac:dyDescent="0.25">
      <c r="A2294" s="56"/>
      <c r="B2294" s="23"/>
      <c r="C2294" s="88"/>
      <c r="D2294" s="23" t="s">
        <v>202</v>
      </c>
      <c r="E2294" s="56"/>
      <c r="F2294" s="118"/>
      <c r="G2294" s="118"/>
      <c r="H2294" s="118"/>
      <c r="I2294" s="118"/>
      <c r="J2294" s="118"/>
      <c r="K2294" s="118"/>
      <c r="L2294" s="118"/>
    </row>
    <row r="2295" spans="1:12" x14ac:dyDescent="0.25">
      <c r="A2295" s="57"/>
      <c r="B2295" s="24" t="str">
        <f>'Nhân công'!B6</f>
        <v>N0006</v>
      </c>
      <c r="C2295" s="89">
        <v>545</v>
      </c>
      <c r="D2295" s="24" t="s">
        <v>256</v>
      </c>
      <c r="E2295" s="57" t="str">
        <f>'Nhân công'!G6</f>
        <v>công</v>
      </c>
      <c r="F2295" s="121"/>
      <c r="G2295" s="121"/>
      <c r="H2295" s="121">
        <v>0.82</v>
      </c>
      <c r="I2295" s="121"/>
      <c r="J2295" s="121"/>
      <c r="K2295" s="121">
        <f>ROUND(F2293*H2295,4)</f>
        <v>1.1808000000000001</v>
      </c>
      <c r="L2295" s="121"/>
    </row>
    <row r="2296" spans="1:12" ht="18" customHeight="1" x14ac:dyDescent="0.25">
      <c r="A2296" s="2"/>
      <c r="B2296" s="146"/>
      <c r="C2296" s="36"/>
      <c r="D2296" s="146"/>
      <c r="E2296" s="2"/>
      <c r="F2296" s="36"/>
      <c r="G2296" s="36"/>
      <c r="H2296" s="36"/>
      <c r="I2296" s="36"/>
      <c r="J2296" s="36"/>
      <c r="K2296" s="36"/>
      <c r="L2296" s="36"/>
    </row>
    <row r="2298" spans="1:12" ht="22.5" customHeight="1" x14ac:dyDescent="0.25">
      <c r="A2298" s="310" t="s">
        <v>569</v>
      </c>
      <c r="B2298" s="310"/>
      <c r="C2298" s="310"/>
      <c r="D2298" s="310"/>
      <c r="E2298" s="310"/>
      <c r="F2298" s="310"/>
      <c r="G2298" s="310"/>
      <c r="H2298" s="310"/>
      <c r="I2298" s="310"/>
      <c r="J2298" s="310"/>
      <c r="K2298" s="310"/>
      <c r="L2298" s="310"/>
    </row>
    <row r="2299" spans="1:12" ht="20.25" customHeight="1" x14ac:dyDescent="0.25">
      <c r="A2299" s="309" t="s">
        <v>421</v>
      </c>
      <c r="B2299" s="309"/>
      <c r="C2299" s="309"/>
      <c r="D2299" s="309"/>
      <c r="E2299" s="309"/>
      <c r="F2299" s="309"/>
      <c r="G2299" s="309"/>
      <c r="H2299" s="309"/>
      <c r="I2299" s="309"/>
      <c r="J2299" s="309"/>
      <c r="K2299" s="309"/>
      <c r="L2299" s="309"/>
    </row>
    <row r="2300" spans="1:12" ht="19.5" customHeight="1" x14ac:dyDescent="0.25">
      <c r="A2300" s="311" t="s">
        <v>594</v>
      </c>
      <c r="B2300" s="311"/>
      <c r="C2300" s="311"/>
      <c r="D2300" s="311"/>
      <c r="E2300" s="311"/>
      <c r="F2300" s="311"/>
      <c r="G2300" s="311"/>
      <c r="H2300" s="311"/>
      <c r="I2300" s="311"/>
      <c r="J2300" s="311"/>
      <c r="K2300" s="311"/>
      <c r="L2300" s="311"/>
    </row>
    <row r="2301" spans="1:12" ht="18" customHeight="1" x14ac:dyDescent="0.25">
      <c r="A2301" s="2"/>
      <c r="B2301" s="146"/>
      <c r="C2301" s="36"/>
      <c r="D2301" s="146"/>
      <c r="E2301" s="2"/>
      <c r="F2301" s="36"/>
      <c r="G2301" s="36"/>
      <c r="H2301" s="36"/>
      <c r="I2301" s="36"/>
      <c r="J2301" s="36"/>
      <c r="K2301" s="36"/>
      <c r="L2301" s="36"/>
    </row>
    <row r="2302" spans="1:12" ht="18.75" customHeight="1" x14ac:dyDescent="0.25">
      <c r="A2302" s="304" t="s">
        <v>761</v>
      </c>
      <c r="B2302" s="303" t="s">
        <v>178</v>
      </c>
      <c r="C2302" s="304" t="s">
        <v>993</v>
      </c>
      <c r="D2302" s="304" t="s">
        <v>71</v>
      </c>
      <c r="E2302" s="304" t="s">
        <v>971</v>
      </c>
      <c r="F2302" s="307" t="s">
        <v>1192</v>
      </c>
      <c r="G2302" s="307" t="s">
        <v>437</v>
      </c>
      <c r="H2302" s="307"/>
      <c r="I2302" s="307"/>
      <c r="J2302" s="307" t="s">
        <v>1064</v>
      </c>
      <c r="K2302" s="307"/>
      <c r="L2302" s="307"/>
    </row>
    <row r="2303" spans="1:12" ht="18" customHeight="1" x14ac:dyDescent="0.25">
      <c r="A2303" s="304"/>
      <c r="B2303" s="303"/>
      <c r="C2303" s="304"/>
      <c r="D2303" s="304"/>
      <c r="E2303" s="304"/>
      <c r="F2303" s="307"/>
      <c r="G2303" s="164" t="s">
        <v>479</v>
      </c>
      <c r="H2303" s="164" t="s">
        <v>202</v>
      </c>
      <c r="I2303" s="164" t="s">
        <v>378</v>
      </c>
      <c r="J2303" s="164" t="s">
        <v>479</v>
      </c>
      <c r="K2303" s="164" t="s">
        <v>202</v>
      </c>
      <c r="L2303" s="164" t="s">
        <v>378</v>
      </c>
    </row>
    <row r="2304" spans="1:12" x14ac:dyDescent="0.25">
      <c r="A2304" s="65">
        <f>'Công trình'!A316</f>
        <v>1</v>
      </c>
      <c r="B2304" s="14" t="str">
        <f>'Công trình'!B316</f>
        <v>AI.52211</v>
      </c>
      <c r="C2304" s="94"/>
      <c r="D2304" s="14" t="str">
        <f>'Công trình'!C316</f>
        <v>Sản xuất kết cấu thép khe phai - thép CT3</v>
      </c>
      <c r="E2304" s="46" t="str">
        <f>'Công trình'!D316</f>
        <v>tấn</v>
      </c>
      <c r="F2304" s="106">
        <f>'Công trình'!K316</f>
        <v>0.66779999999999995</v>
      </c>
      <c r="G2304" s="126"/>
      <c r="H2304" s="126"/>
      <c r="I2304" s="126"/>
      <c r="J2304" s="126"/>
      <c r="K2304" s="126"/>
      <c r="L2304" s="126"/>
    </row>
    <row r="2305" spans="1:12" x14ac:dyDescent="0.25">
      <c r="A2305" s="56"/>
      <c r="B2305" s="23"/>
      <c r="C2305" s="88"/>
      <c r="D2305" s="23" t="s">
        <v>479</v>
      </c>
      <c r="E2305" s="56"/>
      <c r="F2305" s="118"/>
      <c r="G2305" s="118"/>
      <c r="H2305" s="118"/>
      <c r="I2305" s="118"/>
      <c r="J2305" s="118"/>
      <c r="K2305" s="118"/>
      <c r="L2305" s="118"/>
    </row>
    <row r="2306" spans="1:12" x14ac:dyDescent="0.25">
      <c r="A2306" s="168"/>
      <c r="B2306" s="144" t="str">
        <f>'Vật liệu'!B926</f>
        <v>V00833</v>
      </c>
      <c r="C2306" s="34">
        <v>820</v>
      </c>
      <c r="D2306" s="144" t="str">
        <f>" - " &amp; 'Vật liệu'!D926</f>
        <v xml:space="preserve"> - Đất đèn</v>
      </c>
      <c r="E2306" s="168" t="str">
        <f>'Vật liệu'!E926</f>
        <v>kg</v>
      </c>
      <c r="F2306" s="60"/>
      <c r="G2306" s="60">
        <v>9.6199999999999992</v>
      </c>
      <c r="H2306" s="60"/>
      <c r="I2306" s="60"/>
      <c r="J2306" s="60">
        <f>ROUND(F2304*G2306,4)</f>
        <v>6.4241999999999999</v>
      </c>
      <c r="K2306" s="60"/>
      <c r="L2306" s="60"/>
    </row>
    <row r="2307" spans="1:12" x14ac:dyDescent="0.25">
      <c r="A2307" s="168"/>
      <c r="B2307" s="144" t="str">
        <f>'Vật liệu'!B948</f>
        <v>V00515</v>
      </c>
      <c r="C2307" s="34">
        <v>775</v>
      </c>
      <c r="D2307" s="144" t="str">
        <f>" - " &amp; 'Vật liệu'!D948</f>
        <v xml:space="preserve"> - Que hàn</v>
      </c>
      <c r="E2307" s="168" t="str">
        <f>'Vật liệu'!E948</f>
        <v>kg</v>
      </c>
      <c r="F2307" s="60"/>
      <c r="G2307" s="60">
        <v>18.75</v>
      </c>
      <c r="H2307" s="60"/>
      <c r="I2307" s="60"/>
      <c r="J2307" s="60">
        <f>ROUND(F2304*G2307,4)</f>
        <v>12.5213</v>
      </c>
      <c r="K2307" s="60"/>
      <c r="L2307" s="60"/>
    </row>
    <row r="2308" spans="1:12" x14ac:dyDescent="0.25">
      <c r="A2308" s="168"/>
      <c r="B2308" s="144" t="str">
        <f>'Vật liệu'!B941</f>
        <v>V00770</v>
      </c>
      <c r="C2308" s="34">
        <v>817</v>
      </c>
      <c r="D2308" s="144" t="str">
        <f>" - " &amp; 'Vật liệu'!D941</f>
        <v xml:space="preserve"> - Ô xy</v>
      </c>
      <c r="E2308" s="168" t="str">
        <f>'Vật liệu'!E941</f>
        <v>Chai</v>
      </c>
      <c r="F2308" s="60"/>
      <c r="G2308" s="60">
        <v>1.75</v>
      </c>
      <c r="H2308" s="60"/>
      <c r="I2308" s="60"/>
      <c r="J2308" s="60">
        <f>ROUND(F2304*G2308,4)</f>
        <v>1.1687000000000001</v>
      </c>
      <c r="K2308" s="60"/>
      <c r="L2308" s="60"/>
    </row>
    <row r="2309" spans="1:12" x14ac:dyDescent="0.25">
      <c r="A2309" s="168"/>
      <c r="B2309" s="144" t="str">
        <f>'Vật liệu'!B969</f>
        <v>V00671</v>
      </c>
      <c r="C2309" s="34">
        <v>783</v>
      </c>
      <c r="D2309" s="144" t="str">
        <f>" - " &amp; 'Vật liệu'!D969</f>
        <v xml:space="preserve"> - Thép tấm</v>
      </c>
      <c r="E2309" s="168" t="str">
        <f>'Vật liệu'!E969</f>
        <v>kg</v>
      </c>
      <c r="F2309" s="60"/>
      <c r="G2309" s="60">
        <v>250</v>
      </c>
      <c r="H2309" s="60"/>
      <c r="I2309" s="60"/>
      <c r="J2309" s="60">
        <f>ROUND(F2304*G2309,4)</f>
        <v>166.95</v>
      </c>
      <c r="K2309" s="60"/>
      <c r="L2309" s="60"/>
    </row>
    <row r="2310" spans="1:12" x14ac:dyDescent="0.25">
      <c r="A2310" s="168"/>
      <c r="B2310" s="144" t="str">
        <f>'Vật liệu'!B960</f>
        <v>V00641</v>
      </c>
      <c r="C2310" s="34">
        <v>781</v>
      </c>
      <c r="D2310" s="144" t="str">
        <f>" - " &amp; 'Vật liệu'!D960</f>
        <v xml:space="preserve"> - Thép hình</v>
      </c>
      <c r="E2310" s="168" t="str">
        <f>'Vật liệu'!E960</f>
        <v>kg</v>
      </c>
      <c r="F2310" s="60"/>
      <c r="G2310" s="60">
        <v>800</v>
      </c>
      <c r="H2310" s="60"/>
      <c r="I2310" s="60"/>
      <c r="J2310" s="60">
        <f>ROUND(F2304*G2310,4)</f>
        <v>534.24</v>
      </c>
      <c r="K2310" s="60"/>
      <c r="L2310" s="60"/>
    </row>
    <row r="2311" spans="1:12" x14ac:dyDescent="0.25">
      <c r="A2311" s="168"/>
      <c r="B2311" s="144" t="str">
        <f>'Vật liệu'!B919</f>
        <v>V00824</v>
      </c>
      <c r="C2311" s="34">
        <v>818</v>
      </c>
      <c r="D2311" s="144" t="str">
        <f>" - " &amp; 'Vật liệu'!D919</f>
        <v xml:space="preserve"> - Đá mài</v>
      </c>
      <c r="E2311" s="168" t="str">
        <f>'Vật liệu'!E919</f>
        <v>viên</v>
      </c>
      <c r="F2311" s="60"/>
      <c r="G2311" s="60">
        <v>0.28000000000000003</v>
      </c>
      <c r="H2311" s="60"/>
      <c r="I2311" s="60"/>
      <c r="J2311" s="60">
        <f>ROUND(F2304*G2311,4)</f>
        <v>0.187</v>
      </c>
      <c r="K2311" s="60"/>
      <c r="L2311" s="60"/>
    </row>
    <row r="2312" spans="1:12" x14ac:dyDescent="0.25">
      <c r="A2312" s="168"/>
      <c r="B2312" s="144" t="str">
        <f>'Vật liệu'!B973</f>
        <v>V00750</v>
      </c>
      <c r="C2312" s="34">
        <v>802</v>
      </c>
      <c r="D2312" s="144" t="str">
        <f>" - " &amp; 'Vật liệu'!D973</f>
        <v xml:space="preserve"> - Vật liệu khác</v>
      </c>
      <c r="E2312" s="168" t="str">
        <f>'Vật liệu'!E973</f>
        <v>%</v>
      </c>
      <c r="F2312" s="60"/>
      <c r="G2312" s="60">
        <v>2</v>
      </c>
      <c r="H2312" s="60"/>
      <c r="I2312" s="60"/>
      <c r="J2312" s="60"/>
      <c r="K2312" s="60"/>
      <c r="L2312" s="60"/>
    </row>
    <row r="2313" spans="1:12" x14ac:dyDescent="0.25">
      <c r="A2313" s="56"/>
      <c r="B2313" s="23"/>
      <c r="C2313" s="88"/>
      <c r="D2313" s="23" t="s">
        <v>202</v>
      </c>
      <c r="E2313" s="56"/>
      <c r="F2313" s="118"/>
      <c r="G2313" s="118"/>
      <c r="H2313" s="118"/>
      <c r="I2313" s="118"/>
      <c r="J2313" s="118"/>
      <c r="K2313" s="118"/>
      <c r="L2313" s="118"/>
    </row>
    <row r="2314" spans="1:12" x14ac:dyDescent="0.25">
      <c r="A2314" s="168"/>
      <c r="B2314" s="144" t="str">
        <f>'Nhân công'!B240</f>
        <v>N0013</v>
      </c>
      <c r="C2314" s="34">
        <v>835</v>
      </c>
      <c r="D2314" s="144" t="s">
        <v>275</v>
      </c>
      <c r="E2314" s="168" t="str">
        <f>'Nhân công'!G240</f>
        <v>công</v>
      </c>
      <c r="F2314" s="60"/>
      <c r="G2314" s="60"/>
      <c r="H2314" s="60">
        <v>26.15</v>
      </c>
      <c r="I2314" s="60"/>
      <c r="J2314" s="60"/>
      <c r="K2314" s="60">
        <f>ROUND(F2304*H2314,4)</f>
        <v>17.463000000000001</v>
      </c>
      <c r="L2314" s="60"/>
    </row>
    <row r="2315" spans="1:12" x14ac:dyDescent="0.25">
      <c r="A2315" s="56"/>
      <c r="B2315" s="23"/>
      <c r="C2315" s="88"/>
      <c r="D2315" s="23" t="s">
        <v>378</v>
      </c>
      <c r="E2315" s="56"/>
      <c r="F2315" s="118"/>
      <c r="G2315" s="118"/>
      <c r="H2315" s="118"/>
      <c r="I2315" s="118"/>
      <c r="J2315" s="118"/>
      <c r="K2315" s="118"/>
      <c r="L2315" s="118"/>
    </row>
    <row r="2316" spans="1:12" x14ac:dyDescent="0.25">
      <c r="A2316" s="168"/>
      <c r="B2316" s="144" t="str">
        <f>'Máy thi công'!B501</f>
        <v>M112.1501</v>
      </c>
      <c r="C2316" s="34">
        <v>867</v>
      </c>
      <c r="D2316" s="144" t="str">
        <f>" - " &amp; 'Máy thi công'!D501</f>
        <v xml:space="preserve"> - Máy khoan đứng - công suất: 2,5 kW</v>
      </c>
      <c r="E2316" s="168" t="str">
        <f>'Máy thi công'!E501</f>
        <v>ca</v>
      </c>
      <c r="F2316" s="60"/>
      <c r="G2316" s="60"/>
      <c r="H2316" s="60"/>
      <c r="I2316" s="60">
        <v>1.06</v>
      </c>
      <c r="J2316" s="60"/>
      <c r="K2316" s="60"/>
      <c r="L2316" s="60">
        <f>ROUND(F2304*I2316,4)</f>
        <v>0.70789999999999997</v>
      </c>
    </row>
    <row r="2317" spans="1:12" x14ac:dyDescent="0.25">
      <c r="A2317" s="168"/>
      <c r="B2317" s="144" t="str">
        <f>'Máy thi công'!B478</f>
        <v>M9438</v>
      </c>
      <c r="C2317" s="34">
        <v>892</v>
      </c>
      <c r="D2317" s="144" t="str">
        <f>" - " &amp; 'Máy thi công'!D478</f>
        <v xml:space="preserve"> - Biến thế hàn xoay chiều - công suất: 23 kW</v>
      </c>
      <c r="E2317" s="168" t="str">
        <f>'Máy thi công'!E478</f>
        <v>ca</v>
      </c>
      <c r="F2317" s="60"/>
      <c r="G2317" s="60"/>
      <c r="H2317" s="60"/>
      <c r="I2317" s="60">
        <v>4.16</v>
      </c>
      <c r="J2317" s="60"/>
      <c r="K2317" s="60"/>
      <c r="L2317" s="60">
        <f>ROUND(F2304*I2317,4)</f>
        <v>2.778</v>
      </c>
    </row>
    <row r="2318" spans="1:12" x14ac:dyDescent="0.25">
      <c r="A2318" s="168"/>
      <c r="B2318" s="144" t="str">
        <f>'Máy thi công'!B506</f>
        <v>M112.3702</v>
      </c>
      <c r="C2318" s="34">
        <v>874</v>
      </c>
      <c r="D2318" s="144" t="str">
        <f>" - " &amp; 'Máy thi công'!D506</f>
        <v xml:space="preserve"> - Máy mài - công suất: 2,7 kW</v>
      </c>
      <c r="E2318" s="168" t="str">
        <f>'Máy thi công'!E506</f>
        <v>ca</v>
      </c>
      <c r="F2318" s="60"/>
      <c r="G2318" s="60"/>
      <c r="H2318" s="60"/>
      <c r="I2318" s="60">
        <v>1.06</v>
      </c>
      <c r="J2318" s="60"/>
      <c r="K2318" s="60"/>
      <c r="L2318" s="60">
        <f>ROUND(F2304*I2318,4)</f>
        <v>0.70789999999999997</v>
      </c>
    </row>
    <row r="2319" spans="1:12" x14ac:dyDescent="0.25">
      <c r="A2319" s="168"/>
      <c r="B2319" s="144" t="str">
        <f>'Máy thi công'!B527</f>
        <v>M0111</v>
      </c>
      <c r="C2319" s="34">
        <v>855</v>
      </c>
      <c r="D2319" s="144" t="str">
        <f>" - " &amp; 'Máy thi công'!D527</f>
        <v xml:space="preserve"> - Máy khác</v>
      </c>
      <c r="E2319" s="168" t="str">
        <f>'Máy thi công'!E527</f>
        <v>%</v>
      </c>
      <c r="F2319" s="60"/>
      <c r="G2319" s="60"/>
      <c r="H2319" s="60"/>
      <c r="I2319" s="60">
        <v>5</v>
      </c>
      <c r="J2319" s="60"/>
      <c r="K2319" s="60"/>
      <c r="L2319" s="60"/>
    </row>
    <row r="2320" spans="1:12" x14ac:dyDescent="0.25">
      <c r="A2320" s="65">
        <f>'Công trình'!A317</f>
        <v>2</v>
      </c>
      <c r="B2320" s="14" t="str">
        <f>'Công trình'!B317</f>
        <v>AI.52211</v>
      </c>
      <c r="C2320" s="94"/>
      <c r="D2320" s="14" t="str">
        <f>'Công trình'!C317</f>
        <v>Sản xuất kết cấu thép khe phai - thép SUS304</v>
      </c>
      <c r="E2320" s="46" t="str">
        <f>'Công trình'!D317</f>
        <v>tấn</v>
      </c>
      <c r="F2320" s="106">
        <f>'Công trình'!K317</f>
        <v>0.91279999999999994</v>
      </c>
      <c r="G2320" s="126"/>
      <c r="H2320" s="126"/>
      <c r="I2320" s="126"/>
      <c r="J2320" s="126"/>
      <c r="K2320" s="126"/>
      <c r="L2320" s="126"/>
    </row>
    <row r="2321" spans="1:12" x14ac:dyDescent="0.25">
      <c r="A2321" s="56"/>
      <c r="B2321" s="23"/>
      <c r="C2321" s="88"/>
      <c r="D2321" s="23" t="s">
        <v>479</v>
      </c>
      <c r="E2321" s="56"/>
      <c r="F2321" s="118"/>
      <c r="G2321" s="118"/>
      <c r="H2321" s="118"/>
      <c r="I2321" s="118"/>
      <c r="J2321" s="118"/>
      <c r="K2321" s="118"/>
      <c r="L2321" s="118"/>
    </row>
    <row r="2322" spans="1:12" x14ac:dyDescent="0.25">
      <c r="A2322" s="168"/>
      <c r="B2322" s="144" t="str">
        <f>'Vật liệu'!B926</f>
        <v>V00833</v>
      </c>
      <c r="C2322" s="34">
        <v>820</v>
      </c>
      <c r="D2322" s="144" t="str">
        <f>" - " &amp; 'Vật liệu'!D926</f>
        <v xml:space="preserve"> - Đất đèn</v>
      </c>
      <c r="E2322" s="168" t="str">
        <f>'Vật liệu'!E926</f>
        <v>kg</v>
      </c>
      <c r="F2322" s="60"/>
      <c r="G2322" s="60">
        <v>9.6199999999999992</v>
      </c>
      <c r="H2322" s="60"/>
      <c r="I2322" s="60"/>
      <c r="J2322" s="60">
        <f>ROUND(F2320*G2322,4)</f>
        <v>8.7811000000000003</v>
      </c>
      <c r="K2322" s="60"/>
      <c r="L2322" s="60"/>
    </row>
    <row r="2323" spans="1:12" x14ac:dyDescent="0.25">
      <c r="A2323" s="168"/>
      <c r="B2323" s="144" t="str">
        <f>'Vật liệu'!B952</f>
        <v>V00515In</v>
      </c>
      <c r="C2323" s="34">
        <v>780</v>
      </c>
      <c r="D2323" s="144" t="str">
        <f>" - " &amp; 'Vật liệu'!D952</f>
        <v xml:space="preserve"> - Que hàn Inox</v>
      </c>
      <c r="E2323" s="168" t="str">
        <f>'Vật liệu'!E952</f>
        <v>kg</v>
      </c>
      <c r="F2323" s="60"/>
      <c r="G2323" s="60">
        <v>18.75</v>
      </c>
      <c r="H2323" s="60"/>
      <c r="I2323" s="60"/>
      <c r="J2323" s="60">
        <f>ROUND(F2320*G2323,4)</f>
        <v>17.114999999999998</v>
      </c>
      <c r="K2323" s="60"/>
      <c r="L2323" s="60"/>
    </row>
    <row r="2324" spans="1:12" x14ac:dyDescent="0.25">
      <c r="A2324" s="168"/>
      <c r="B2324" s="144" t="str">
        <f>'Vật liệu'!B941</f>
        <v>V00770</v>
      </c>
      <c r="C2324" s="34">
        <v>817</v>
      </c>
      <c r="D2324" s="144" t="str">
        <f>" - " &amp; 'Vật liệu'!D941</f>
        <v xml:space="preserve"> - Ô xy</v>
      </c>
      <c r="E2324" s="168" t="str">
        <f>'Vật liệu'!E941</f>
        <v>Chai</v>
      </c>
      <c r="F2324" s="60"/>
      <c r="G2324" s="60">
        <v>1.75</v>
      </c>
      <c r="H2324" s="60"/>
      <c r="I2324" s="60"/>
      <c r="J2324" s="60">
        <f>ROUND(F2320*G2324,4)</f>
        <v>1.5973999999999999</v>
      </c>
      <c r="K2324" s="60"/>
      <c r="L2324" s="60"/>
    </row>
    <row r="2325" spans="1:12" x14ac:dyDescent="0.25">
      <c r="A2325" s="168"/>
      <c r="B2325" s="144" t="str">
        <f>'Vật liệu'!B966</f>
        <v>V00671su</v>
      </c>
      <c r="C2325" s="34">
        <v>788</v>
      </c>
      <c r="D2325" s="144" t="str">
        <f>" - " &amp; 'Vật liệu'!D966</f>
        <v xml:space="preserve"> - Thép SUS304 các loại</v>
      </c>
      <c r="E2325" s="168" t="str">
        <f>'Vật liệu'!E966</f>
        <v>kg</v>
      </c>
      <c r="F2325" s="60"/>
      <c r="G2325" s="60">
        <v>1025</v>
      </c>
      <c r="H2325" s="60"/>
      <c r="I2325" s="60"/>
      <c r="J2325" s="60">
        <f>ROUND(F2320*G2325,4)</f>
        <v>935.62</v>
      </c>
      <c r="K2325" s="60"/>
      <c r="L2325" s="60"/>
    </row>
    <row r="2326" spans="1:12" x14ac:dyDescent="0.25">
      <c r="A2326" s="168"/>
      <c r="B2326" s="144" t="str">
        <f>'Vật liệu'!B919</f>
        <v>V00824</v>
      </c>
      <c r="C2326" s="34">
        <v>818</v>
      </c>
      <c r="D2326" s="144" t="str">
        <f>" - " &amp; 'Vật liệu'!D919</f>
        <v xml:space="preserve"> - Đá mài</v>
      </c>
      <c r="E2326" s="168" t="str">
        <f>'Vật liệu'!E919</f>
        <v>viên</v>
      </c>
      <c r="F2326" s="60"/>
      <c r="G2326" s="60">
        <v>0.28000000000000003</v>
      </c>
      <c r="H2326" s="60"/>
      <c r="I2326" s="60"/>
      <c r="J2326" s="60">
        <f>ROUND(F2320*G2326,4)</f>
        <v>0.25559999999999999</v>
      </c>
      <c r="K2326" s="60"/>
      <c r="L2326" s="60"/>
    </row>
    <row r="2327" spans="1:12" x14ac:dyDescent="0.25">
      <c r="A2327" s="168"/>
      <c r="B2327" s="144" t="str">
        <f>'Vật liệu'!B973</f>
        <v>V00750</v>
      </c>
      <c r="C2327" s="34">
        <v>804</v>
      </c>
      <c r="D2327" s="144" t="str">
        <f>" - " &amp; 'Vật liệu'!D973</f>
        <v xml:space="preserve"> - Vật liệu khác</v>
      </c>
      <c r="E2327" s="168" t="str">
        <f>'Vật liệu'!E973</f>
        <v>%</v>
      </c>
      <c r="F2327" s="60"/>
      <c r="G2327" s="60">
        <v>2</v>
      </c>
      <c r="H2327" s="60"/>
      <c r="I2327" s="60"/>
      <c r="J2327" s="60"/>
      <c r="K2327" s="60"/>
      <c r="L2327" s="60"/>
    </row>
    <row r="2328" spans="1:12" x14ac:dyDescent="0.25">
      <c r="A2328" s="56"/>
      <c r="B2328" s="23"/>
      <c r="C2328" s="88"/>
      <c r="D2328" s="23" t="s">
        <v>202</v>
      </c>
      <c r="E2328" s="56"/>
      <c r="F2328" s="118"/>
      <c r="G2328" s="118"/>
      <c r="H2328" s="118"/>
      <c r="I2328" s="118"/>
      <c r="J2328" s="118"/>
      <c r="K2328" s="118"/>
      <c r="L2328" s="118"/>
    </row>
    <row r="2329" spans="1:12" x14ac:dyDescent="0.25">
      <c r="A2329" s="168"/>
      <c r="B2329" s="144" t="str">
        <f>'Nhân công'!B240</f>
        <v>N0013</v>
      </c>
      <c r="C2329" s="34">
        <v>835</v>
      </c>
      <c r="D2329" s="144" t="s">
        <v>275</v>
      </c>
      <c r="E2329" s="168" t="str">
        <f>'Nhân công'!G240</f>
        <v>công</v>
      </c>
      <c r="F2329" s="60"/>
      <c r="G2329" s="60"/>
      <c r="H2329" s="60">
        <v>26.15</v>
      </c>
      <c r="I2329" s="60"/>
      <c r="J2329" s="60"/>
      <c r="K2329" s="60">
        <f>ROUND(F2320*H2329,4)</f>
        <v>23.869700000000002</v>
      </c>
      <c r="L2329" s="60"/>
    </row>
    <row r="2330" spans="1:12" x14ac:dyDescent="0.25">
      <c r="A2330" s="56"/>
      <c r="B2330" s="23"/>
      <c r="C2330" s="88"/>
      <c r="D2330" s="23" t="s">
        <v>378</v>
      </c>
      <c r="E2330" s="56"/>
      <c r="F2330" s="118"/>
      <c r="G2330" s="118"/>
      <c r="H2330" s="118"/>
      <c r="I2330" s="118"/>
      <c r="J2330" s="118"/>
      <c r="K2330" s="118"/>
      <c r="L2330" s="118"/>
    </row>
    <row r="2331" spans="1:12" x14ac:dyDescent="0.25">
      <c r="A2331" s="168"/>
      <c r="B2331" s="144" t="str">
        <f>'Máy thi công'!B501</f>
        <v>M112.1501</v>
      </c>
      <c r="C2331" s="34">
        <v>867</v>
      </c>
      <c r="D2331" s="144" t="str">
        <f>" - " &amp; 'Máy thi công'!D501</f>
        <v xml:space="preserve"> - Máy khoan đứng - công suất: 2,5 kW</v>
      </c>
      <c r="E2331" s="168" t="str">
        <f>'Máy thi công'!E501</f>
        <v>ca</v>
      </c>
      <c r="F2331" s="60"/>
      <c r="G2331" s="60"/>
      <c r="H2331" s="60"/>
      <c r="I2331" s="60">
        <v>1.06</v>
      </c>
      <c r="J2331" s="60"/>
      <c r="K2331" s="60"/>
      <c r="L2331" s="60">
        <f>ROUND(F2320*I2331,4)</f>
        <v>0.96760000000000002</v>
      </c>
    </row>
    <row r="2332" spans="1:12" x14ac:dyDescent="0.25">
      <c r="A2332" s="168"/>
      <c r="B2332" s="144" t="str">
        <f>'Máy thi công'!B478</f>
        <v>M9438</v>
      </c>
      <c r="C2332" s="34">
        <v>892</v>
      </c>
      <c r="D2332" s="144" t="str">
        <f>" - " &amp; 'Máy thi công'!D478</f>
        <v xml:space="preserve"> - Biến thế hàn xoay chiều - công suất: 23 kW</v>
      </c>
      <c r="E2332" s="168" t="str">
        <f>'Máy thi công'!E478</f>
        <v>ca</v>
      </c>
      <c r="F2332" s="60"/>
      <c r="G2332" s="60"/>
      <c r="H2332" s="60"/>
      <c r="I2332" s="60">
        <v>4.16</v>
      </c>
      <c r="J2332" s="60"/>
      <c r="K2332" s="60"/>
      <c r="L2332" s="60">
        <f>ROUND(F2320*I2332,4)</f>
        <v>3.7972000000000001</v>
      </c>
    </row>
    <row r="2333" spans="1:12" x14ac:dyDescent="0.25">
      <c r="A2333" s="168"/>
      <c r="B2333" s="144" t="str">
        <f>'Máy thi công'!B506</f>
        <v>M112.3702</v>
      </c>
      <c r="C2333" s="34">
        <v>874</v>
      </c>
      <c r="D2333" s="144" t="str">
        <f>" - " &amp; 'Máy thi công'!D506</f>
        <v xml:space="preserve"> - Máy mài - công suất: 2,7 kW</v>
      </c>
      <c r="E2333" s="168" t="str">
        <f>'Máy thi công'!E506</f>
        <v>ca</v>
      </c>
      <c r="F2333" s="60"/>
      <c r="G2333" s="60"/>
      <c r="H2333" s="60"/>
      <c r="I2333" s="60">
        <v>1.06</v>
      </c>
      <c r="J2333" s="60"/>
      <c r="K2333" s="60"/>
      <c r="L2333" s="60">
        <f>ROUND(F2320*I2333,4)</f>
        <v>0.96760000000000002</v>
      </c>
    </row>
    <row r="2334" spans="1:12" x14ac:dyDescent="0.25">
      <c r="A2334" s="168"/>
      <c r="B2334" s="144" t="str">
        <f>'Máy thi công'!B527</f>
        <v>M0111</v>
      </c>
      <c r="C2334" s="34">
        <v>857</v>
      </c>
      <c r="D2334" s="144" t="str">
        <f>" - " &amp; 'Máy thi công'!D527</f>
        <v xml:space="preserve"> - Máy khác</v>
      </c>
      <c r="E2334" s="168" t="str">
        <f>'Máy thi công'!E527</f>
        <v>%</v>
      </c>
      <c r="F2334" s="60"/>
      <c r="G2334" s="60"/>
      <c r="H2334" s="60"/>
      <c r="I2334" s="60">
        <v>5</v>
      </c>
      <c r="J2334" s="60"/>
      <c r="K2334" s="60"/>
      <c r="L2334" s="60"/>
    </row>
    <row r="2335" spans="1:12" x14ac:dyDescent="0.25">
      <c r="A2335" s="65">
        <f>'Công trình'!A318</f>
        <v>3</v>
      </c>
      <c r="B2335" s="14" t="str">
        <f>'Công trình'!B318</f>
        <v>AI.52211</v>
      </c>
      <c r="C2335" s="94"/>
      <c r="D2335" s="14" t="str">
        <f>'Công trình'!C318</f>
        <v>Sản xuất kết cấu thép khe cửa - thép CT3</v>
      </c>
      <c r="E2335" s="46" t="str">
        <f>'Công trình'!D318</f>
        <v>tấn</v>
      </c>
      <c r="F2335" s="106">
        <f>'Công trình'!K318</f>
        <v>0.67520000000000002</v>
      </c>
      <c r="G2335" s="126"/>
      <c r="H2335" s="126"/>
      <c r="I2335" s="126"/>
      <c r="J2335" s="126"/>
      <c r="K2335" s="126"/>
      <c r="L2335" s="126"/>
    </row>
    <row r="2336" spans="1:12" x14ac:dyDescent="0.25">
      <c r="A2336" s="56"/>
      <c r="B2336" s="23"/>
      <c r="C2336" s="88"/>
      <c r="D2336" s="23" t="s">
        <v>479</v>
      </c>
      <c r="E2336" s="56"/>
      <c r="F2336" s="118"/>
      <c r="G2336" s="118"/>
      <c r="H2336" s="118"/>
      <c r="I2336" s="118"/>
      <c r="J2336" s="118"/>
      <c r="K2336" s="118"/>
      <c r="L2336" s="118"/>
    </row>
    <row r="2337" spans="1:12" x14ac:dyDescent="0.25">
      <c r="A2337" s="168"/>
      <c r="B2337" s="144" t="str">
        <f>'Vật liệu'!B926</f>
        <v>V00833</v>
      </c>
      <c r="C2337" s="34">
        <v>820</v>
      </c>
      <c r="D2337" s="144" t="str">
        <f>" - " &amp; 'Vật liệu'!D926</f>
        <v xml:space="preserve"> - Đất đèn</v>
      </c>
      <c r="E2337" s="168" t="str">
        <f>'Vật liệu'!E926</f>
        <v>kg</v>
      </c>
      <c r="F2337" s="60"/>
      <c r="G2337" s="60">
        <v>9.6199999999999992</v>
      </c>
      <c r="H2337" s="60"/>
      <c r="I2337" s="60"/>
      <c r="J2337" s="60">
        <f>ROUND(F2335*G2337,4)</f>
        <v>6.4954000000000001</v>
      </c>
      <c r="K2337" s="60"/>
      <c r="L2337" s="60"/>
    </row>
    <row r="2338" spans="1:12" x14ac:dyDescent="0.25">
      <c r="A2338" s="168"/>
      <c r="B2338" s="144" t="str">
        <f>'Vật liệu'!B948</f>
        <v>V00515</v>
      </c>
      <c r="C2338" s="34">
        <v>775</v>
      </c>
      <c r="D2338" s="144" t="str">
        <f>" - " &amp; 'Vật liệu'!D948</f>
        <v xml:space="preserve"> - Que hàn</v>
      </c>
      <c r="E2338" s="168" t="str">
        <f>'Vật liệu'!E948</f>
        <v>kg</v>
      </c>
      <c r="F2338" s="60"/>
      <c r="G2338" s="60">
        <v>18.75</v>
      </c>
      <c r="H2338" s="60"/>
      <c r="I2338" s="60"/>
      <c r="J2338" s="60">
        <f>ROUND(F2335*G2338,4)</f>
        <v>12.66</v>
      </c>
      <c r="K2338" s="60"/>
      <c r="L2338" s="60"/>
    </row>
    <row r="2339" spans="1:12" x14ac:dyDescent="0.25">
      <c r="A2339" s="168"/>
      <c r="B2339" s="144" t="str">
        <f>'Vật liệu'!B941</f>
        <v>V00770</v>
      </c>
      <c r="C2339" s="34">
        <v>817</v>
      </c>
      <c r="D2339" s="144" t="str">
        <f>" - " &amp; 'Vật liệu'!D941</f>
        <v xml:space="preserve"> - Ô xy</v>
      </c>
      <c r="E2339" s="168" t="str">
        <f>'Vật liệu'!E941</f>
        <v>Chai</v>
      </c>
      <c r="F2339" s="60"/>
      <c r="G2339" s="60">
        <v>1.75</v>
      </c>
      <c r="H2339" s="60"/>
      <c r="I2339" s="60"/>
      <c r="J2339" s="60">
        <f>ROUND(F2335*G2339,4)</f>
        <v>1.1816</v>
      </c>
      <c r="K2339" s="60"/>
      <c r="L2339" s="60"/>
    </row>
    <row r="2340" spans="1:12" x14ac:dyDescent="0.25">
      <c r="A2340" s="168"/>
      <c r="B2340" s="144" t="str">
        <f>'Vật liệu'!B969</f>
        <v>V00671</v>
      </c>
      <c r="C2340" s="34">
        <v>783</v>
      </c>
      <c r="D2340" s="144" t="str">
        <f>" - " &amp; 'Vật liệu'!D969</f>
        <v xml:space="preserve"> - Thép tấm</v>
      </c>
      <c r="E2340" s="168" t="str">
        <f>'Vật liệu'!E969</f>
        <v>kg</v>
      </c>
      <c r="F2340" s="60"/>
      <c r="G2340" s="60">
        <v>250</v>
      </c>
      <c r="H2340" s="60"/>
      <c r="I2340" s="60"/>
      <c r="J2340" s="60">
        <f>ROUND(F2335*G2340,4)</f>
        <v>168.8</v>
      </c>
      <c r="K2340" s="60"/>
      <c r="L2340" s="60"/>
    </row>
    <row r="2341" spans="1:12" x14ac:dyDescent="0.25">
      <c r="A2341" s="168"/>
      <c r="B2341" s="144" t="str">
        <f>'Vật liệu'!B960</f>
        <v>V00641</v>
      </c>
      <c r="C2341" s="34">
        <v>781</v>
      </c>
      <c r="D2341" s="144" t="str">
        <f>" - " &amp; 'Vật liệu'!D960</f>
        <v xml:space="preserve"> - Thép hình</v>
      </c>
      <c r="E2341" s="168" t="str">
        <f>'Vật liệu'!E960</f>
        <v>kg</v>
      </c>
      <c r="F2341" s="60"/>
      <c r="G2341" s="60">
        <v>800</v>
      </c>
      <c r="H2341" s="60"/>
      <c r="I2341" s="60"/>
      <c r="J2341" s="60">
        <f>ROUND(F2335*G2341,4)</f>
        <v>540.16</v>
      </c>
      <c r="K2341" s="60"/>
      <c r="L2341" s="60"/>
    </row>
    <row r="2342" spans="1:12" x14ac:dyDescent="0.25">
      <c r="A2342" s="168"/>
      <c r="B2342" s="144" t="str">
        <f>'Vật liệu'!B919</f>
        <v>V00824</v>
      </c>
      <c r="C2342" s="34">
        <v>818</v>
      </c>
      <c r="D2342" s="144" t="str">
        <f>" - " &amp; 'Vật liệu'!D919</f>
        <v xml:space="preserve"> - Đá mài</v>
      </c>
      <c r="E2342" s="168" t="str">
        <f>'Vật liệu'!E919</f>
        <v>viên</v>
      </c>
      <c r="F2342" s="60"/>
      <c r="G2342" s="60">
        <v>0.28000000000000003</v>
      </c>
      <c r="H2342" s="60"/>
      <c r="I2342" s="60"/>
      <c r="J2342" s="60">
        <f>ROUND(F2335*G2342,4)</f>
        <v>0.18909999999999999</v>
      </c>
      <c r="K2342" s="60"/>
      <c r="L2342" s="60"/>
    </row>
    <row r="2343" spans="1:12" x14ac:dyDescent="0.25">
      <c r="A2343" s="168"/>
      <c r="B2343" s="144" t="str">
        <f>'Vật liệu'!B973</f>
        <v>V00750</v>
      </c>
      <c r="C2343" s="34">
        <v>806</v>
      </c>
      <c r="D2343" s="144" t="str">
        <f>" - " &amp; 'Vật liệu'!D973</f>
        <v xml:space="preserve"> - Vật liệu khác</v>
      </c>
      <c r="E2343" s="168" t="str">
        <f>'Vật liệu'!E973</f>
        <v>%</v>
      </c>
      <c r="F2343" s="60"/>
      <c r="G2343" s="60">
        <v>2</v>
      </c>
      <c r="H2343" s="60"/>
      <c r="I2343" s="60"/>
      <c r="J2343" s="60"/>
      <c r="K2343" s="60"/>
      <c r="L2343" s="60"/>
    </row>
    <row r="2344" spans="1:12" x14ac:dyDescent="0.25">
      <c r="A2344" s="56"/>
      <c r="B2344" s="23"/>
      <c r="C2344" s="88"/>
      <c r="D2344" s="23" t="s">
        <v>202</v>
      </c>
      <c r="E2344" s="56"/>
      <c r="F2344" s="118"/>
      <c r="G2344" s="118"/>
      <c r="H2344" s="118"/>
      <c r="I2344" s="118"/>
      <c r="J2344" s="118"/>
      <c r="K2344" s="118"/>
      <c r="L2344" s="118"/>
    </row>
    <row r="2345" spans="1:12" x14ac:dyDescent="0.25">
      <c r="A2345" s="168"/>
      <c r="B2345" s="144" t="str">
        <f>'Nhân công'!B240</f>
        <v>N0013</v>
      </c>
      <c r="C2345" s="34">
        <v>835</v>
      </c>
      <c r="D2345" s="144" t="s">
        <v>275</v>
      </c>
      <c r="E2345" s="168" t="str">
        <f>'Nhân công'!G240</f>
        <v>công</v>
      </c>
      <c r="F2345" s="60"/>
      <c r="G2345" s="60"/>
      <c r="H2345" s="60">
        <v>26.15</v>
      </c>
      <c r="I2345" s="60"/>
      <c r="J2345" s="60"/>
      <c r="K2345" s="60">
        <f>ROUND(F2335*H2345,4)</f>
        <v>17.656500000000001</v>
      </c>
      <c r="L2345" s="60"/>
    </row>
    <row r="2346" spans="1:12" x14ac:dyDescent="0.25">
      <c r="A2346" s="56"/>
      <c r="B2346" s="23"/>
      <c r="C2346" s="88"/>
      <c r="D2346" s="23" t="s">
        <v>378</v>
      </c>
      <c r="E2346" s="56"/>
      <c r="F2346" s="118"/>
      <c r="G2346" s="118"/>
      <c r="H2346" s="118"/>
      <c r="I2346" s="118"/>
      <c r="J2346" s="118"/>
      <c r="K2346" s="118"/>
      <c r="L2346" s="118"/>
    </row>
    <row r="2347" spans="1:12" x14ac:dyDescent="0.25">
      <c r="A2347" s="168"/>
      <c r="B2347" s="144" t="str">
        <f>'Máy thi công'!B501</f>
        <v>M112.1501</v>
      </c>
      <c r="C2347" s="34">
        <v>867</v>
      </c>
      <c r="D2347" s="144" t="str">
        <f>" - " &amp; 'Máy thi công'!D501</f>
        <v xml:space="preserve"> - Máy khoan đứng - công suất: 2,5 kW</v>
      </c>
      <c r="E2347" s="168" t="str">
        <f>'Máy thi công'!E501</f>
        <v>ca</v>
      </c>
      <c r="F2347" s="60"/>
      <c r="G2347" s="60"/>
      <c r="H2347" s="60"/>
      <c r="I2347" s="60">
        <v>1.06</v>
      </c>
      <c r="J2347" s="60"/>
      <c r="K2347" s="60"/>
      <c r="L2347" s="60">
        <f>ROUND(F2335*I2347,4)</f>
        <v>0.7157</v>
      </c>
    </row>
    <row r="2348" spans="1:12" x14ac:dyDescent="0.25">
      <c r="A2348" s="168"/>
      <c r="B2348" s="144" t="str">
        <f>'Máy thi công'!B478</f>
        <v>M9438</v>
      </c>
      <c r="C2348" s="34">
        <v>892</v>
      </c>
      <c r="D2348" s="144" t="str">
        <f>" - " &amp; 'Máy thi công'!D478</f>
        <v xml:space="preserve"> - Biến thế hàn xoay chiều - công suất: 23 kW</v>
      </c>
      <c r="E2348" s="168" t="str">
        <f>'Máy thi công'!E478</f>
        <v>ca</v>
      </c>
      <c r="F2348" s="60"/>
      <c r="G2348" s="60"/>
      <c r="H2348" s="60"/>
      <c r="I2348" s="60">
        <v>4.16</v>
      </c>
      <c r="J2348" s="60"/>
      <c r="K2348" s="60"/>
      <c r="L2348" s="60">
        <f>ROUND(F2335*I2348,4)</f>
        <v>2.8088000000000002</v>
      </c>
    </row>
    <row r="2349" spans="1:12" x14ac:dyDescent="0.25">
      <c r="A2349" s="168"/>
      <c r="B2349" s="144" t="str">
        <f>'Máy thi công'!B506</f>
        <v>M112.3702</v>
      </c>
      <c r="C2349" s="34">
        <v>874</v>
      </c>
      <c r="D2349" s="144" t="str">
        <f>" - " &amp; 'Máy thi công'!D506</f>
        <v xml:space="preserve"> - Máy mài - công suất: 2,7 kW</v>
      </c>
      <c r="E2349" s="168" t="str">
        <f>'Máy thi công'!E506</f>
        <v>ca</v>
      </c>
      <c r="F2349" s="60"/>
      <c r="G2349" s="60"/>
      <c r="H2349" s="60"/>
      <c r="I2349" s="60">
        <v>1.06</v>
      </c>
      <c r="J2349" s="60"/>
      <c r="K2349" s="60"/>
      <c r="L2349" s="60">
        <f>ROUND(F2335*I2349,4)</f>
        <v>0.7157</v>
      </c>
    </row>
    <row r="2350" spans="1:12" x14ac:dyDescent="0.25">
      <c r="A2350" s="168"/>
      <c r="B2350" s="144" t="str">
        <f>'Máy thi công'!B527</f>
        <v>M0111</v>
      </c>
      <c r="C2350" s="34">
        <v>859</v>
      </c>
      <c r="D2350" s="144" t="str">
        <f>" - " &amp; 'Máy thi công'!D527</f>
        <v xml:space="preserve"> - Máy khác</v>
      </c>
      <c r="E2350" s="168" t="str">
        <f>'Máy thi công'!E527</f>
        <v>%</v>
      </c>
      <c r="F2350" s="60"/>
      <c r="G2350" s="60"/>
      <c r="H2350" s="60"/>
      <c r="I2350" s="60">
        <v>5</v>
      </c>
      <c r="J2350" s="60"/>
      <c r="K2350" s="60"/>
      <c r="L2350" s="60"/>
    </row>
    <row r="2351" spans="1:12" x14ac:dyDescent="0.25">
      <c r="A2351" s="65">
        <f>'Công trình'!A319</f>
        <v>4</v>
      </c>
      <c r="B2351" s="14" t="str">
        <f>'Công trình'!B319</f>
        <v>AI.52211</v>
      </c>
      <c r="C2351" s="94"/>
      <c r="D2351" s="14" t="str">
        <f>'Công trình'!C319</f>
        <v>Sản xuất kết cấu thép khe cửa- thép SUS304</v>
      </c>
      <c r="E2351" s="46" t="str">
        <f>'Công trình'!D319</f>
        <v>tấn</v>
      </c>
      <c r="F2351" s="106">
        <f>'Công trình'!K319</f>
        <v>1.0780000000000001</v>
      </c>
      <c r="G2351" s="126"/>
      <c r="H2351" s="126"/>
      <c r="I2351" s="126"/>
      <c r="J2351" s="126"/>
      <c r="K2351" s="126"/>
      <c r="L2351" s="126"/>
    </row>
    <row r="2352" spans="1:12" x14ac:dyDescent="0.25">
      <c r="A2352" s="56"/>
      <c r="B2352" s="23"/>
      <c r="C2352" s="88"/>
      <c r="D2352" s="23" t="s">
        <v>479</v>
      </c>
      <c r="E2352" s="56"/>
      <c r="F2352" s="118"/>
      <c r="G2352" s="118"/>
      <c r="H2352" s="118"/>
      <c r="I2352" s="118"/>
      <c r="J2352" s="118"/>
      <c r="K2352" s="118"/>
      <c r="L2352" s="118"/>
    </row>
    <row r="2353" spans="1:12" x14ac:dyDescent="0.25">
      <c r="A2353" s="168"/>
      <c r="B2353" s="144" t="str">
        <f>'Vật liệu'!B926</f>
        <v>V00833</v>
      </c>
      <c r="C2353" s="34">
        <v>820</v>
      </c>
      <c r="D2353" s="144" t="str">
        <f>" - " &amp; 'Vật liệu'!D926</f>
        <v xml:space="preserve"> - Đất đèn</v>
      </c>
      <c r="E2353" s="168" t="str">
        <f>'Vật liệu'!E926</f>
        <v>kg</v>
      </c>
      <c r="F2353" s="60"/>
      <c r="G2353" s="60">
        <v>9.6199999999999992</v>
      </c>
      <c r="H2353" s="60"/>
      <c r="I2353" s="60"/>
      <c r="J2353" s="60">
        <f>ROUND(F2351*G2353,4)</f>
        <v>10.3704</v>
      </c>
      <c r="K2353" s="60"/>
      <c r="L2353" s="60"/>
    </row>
    <row r="2354" spans="1:12" x14ac:dyDescent="0.25">
      <c r="A2354" s="168"/>
      <c r="B2354" s="144" t="str">
        <f>'Vật liệu'!B952</f>
        <v>V00515In</v>
      </c>
      <c r="C2354" s="34">
        <v>780</v>
      </c>
      <c r="D2354" s="144" t="str">
        <f>" - " &amp; 'Vật liệu'!D952</f>
        <v xml:space="preserve"> - Que hàn Inox</v>
      </c>
      <c r="E2354" s="168" t="str">
        <f>'Vật liệu'!E952</f>
        <v>kg</v>
      </c>
      <c r="F2354" s="60"/>
      <c r="G2354" s="60">
        <v>18.75</v>
      </c>
      <c r="H2354" s="60"/>
      <c r="I2354" s="60"/>
      <c r="J2354" s="60">
        <f>ROUND(F2351*G2354,4)</f>
        <v>20.212499999999999</v>
      </c>
      <c r="K2354" s="60"/>
      <c r="L2354" s="60"/>
    </row>
    <row r="2355" spans="1:12" x14ac:dyDescent="0.25">
      <c r="A2355" s="168"/>
      <c r="B2355" s="144" t="str">
        <f>'Vật liệu'!B941</f>
        <v>V00770</v>
      </c>
      <c r="C2355" s="34">
        <v>817</v>
      </c>
      <c r="D2355" s="144" t="str">
        <f>" - " &amp; 'Vật liệu'!D941</f>
        <v xml:space="preserve"> - Ô xy</v>
      </c>
      <c r="E2355" s="168" t="str">
        <f>'Vật liệu'!E941</f>
        <v>Chai</v>
      </c>
      <c r="F2355" s="60"/>
      <c r="G2355" s="60">
        <v>1.75</v>
      </c>
      <c r="H2355" s="60"/>
      <c r="I2355" s="60"/>
      <c r="J2355" s="60">
        <f>ROUND(F2351*G2355,4)</f>
        <v>1.8865000000000001</v>
      </c>
      <c r="K2355" s="60"/>
      <c r="L2355" s="60"/>
    </row>
    <row r="2356" spans="1:12" x14ac:dyDescent="0.25">
      <c r="A2356" s="168"/>
      <c r="B2356" s="144" t="str">
        <f>'Vật liệu'!B966</f>
        <v>V00671su</v>
      </c>
      <c r="C2356" s="34">
        <v>788</v>
      </c>
      <c r="D2356" s="144" t="str">
        <f>" - " &amp; 'Vật liệu'!D966</f>
        <v xml:space="preserve"> - Thép SUS304 các loại</v>
      </c>
      <c r="E2356" s="168" t="str">
        <f>'Vật liệu'!E966</f>
        <v>kg</v>
      </c>
      <c r="F2356" s="60"/>
      <c r="G2356" s="60">
        <v>1025</v>
      </c>
      <c r="H2356" s="60"/>
      <c r="I2356" s="60"/>
      <c r="J2356" s="60">
        <f>ROUND(F2351*G2356,4)</f>
        <v>1104.95</v>
      </c>
      <c r="K2356" s="60"/>
      <c r="L2356" s="60"/>
    </row>
    <row r="2357" spans="1:12" x14ac:dyDescent="0.25">
      <c r="A2357" s="168"/>
      <c r="B2357" s="144" t="str">
        <f>'Vật liệu'!B919</f>
        <v>V00824</v>
      </c>
      <c r="C2357" s="34">
        <v>818</v>
      </c>
      <c r="D2357" s="144" t="str">
        <f>" - " &amp; 'Vật liệu'!D919</f>
        <v xml:space="preserve"> - Đá mài</v>
      </c>
      <c r="E2357" s="168" t="str">
        <f>'Vật liệu'!E919</f>
        <v>viên</v>
      </c>
      <c r="F2357" s="60"/>
      <c r="G2357" s="60">
        <v>0.28000000000000003</v>
      </c>
      <c r="H2357" s="60"/>
      <c r="I2357" s="60"/>
      <c r="J2357" s="60">
        <f>ROUND(F2351*G2357,4)</f>
        <v>0.30180000000000001</v>
      </c>
      <c r="K2357" s="60"/>
      <c r="L2357" s="60"/>
    </row>
    <row r="2358" spans="1:12" x14ac:dyDescent="0.25">
      <c r="A2358" s="168"/>
      <c r="B2358" s="144" t="str">
        <f>'Vật liệu'!B973</f>
        <v>V00750</v>
      </c>
      <c r="C2358" s="34">
        <v>807</v>
      </c>
      <c r="D2358" s="144" t="str">
        <f>" - " &amp; 'Vật liệu'!D973</f>
        <v xml:space="preserve"> - Vật liệu khác</v>
      </c>
      <c r="E2358" s="168" t="str">
        <f>'Vật liệu'!E973</f>
        <v>%</v>
      </c>
      <c r="F2358" s="60"/>
      <c r="G2358" s="60">
        <v>2</v>
      </c>
      <c r="H2358" s="60"/>
      <c r="I2358" s="60"/>
      <c r="J2358" s="60"/>
      <c r="K2358" s="60"/>
      <c r="L2358" s="60"/>
    </row>
    <row r="2359" spans="1:12" x14ac:dyDescent="0.25">
      <c r="A2359" s="56"/>
      <c r="B2359" s="23"/>
      <c r="C2359" s="88"/>
      <c r="D2359" s="23" t="s">
        <v>202</v>
      </c>
      <c r="E2359" s="56"/>
      <c r="F2359" s="118"/>
      <c r="G2359" s="118"/>
      <c r="H2359" s="118"/>
      <c r="I2359" s="118"/>
      <c r="J2359" s="118"/>
      <c r="K2359" s="118"/>
      <c r="L2359" s="118"/>
    </row>
    <row r="2360" spans="1:12" x14ac:dyDescent="0.25">
      <c r="A2360" s="168"/>
      <c r="B2360" s="144" t="str">
        <f>'Nhân công'!B240</f>
        <v>N0013</v>
      </c>
      <c r="C2360" s="34">
        <v>835</v>
      </c>
      <c r="D2360" s="144" t="s">
        <v>275</v>
      </c>
      <c r="E2360" s="168" t="str">
        <f>'Nhân công'!G240</f>
        <v>công</v>
      </c>
      <c r="F2360" s="60"/>
      <c r="G2360" s="60"/>
      <c r="H2360" s="60">
        <v>26.15</v>
      </c>
      <c r="I2360" s="60"/>
      <c r="J2360" s="60"/>
      <c r="K2360" s="60">
        <f>ROUND(F2351*H2360,4)</f>
        <v>28.189699999999998</v>
      </c>
      <c r="L2360" s="60"/>
    </row>
    <row r="2361" spans="1:12" x14ac:dyDescent="0.25">
      <c r="A2361" s="56"/>
      <c r="B2361" s="23"/>
      <c r="C2361" s="88"/>
      <c r="D2361" s="23" t="s">
        <v>378</v>
      </c>
      <c r="E2361" s="56"/>
      <c r="F2361" s="118"/>
      <c r="G2361" s="118"/>
      <c r="H2361" s="118"/>
      <c r="I2361" s="118"/>
      <c r="J2361" s="118"/>
      <c r="K2361" s="118"/>
      <c r="L2361" s="118"/>
    </row>
    <row r="2362" spans="1:12" x14ac:dyDescent="0.25">
      <c r="A2362" s="168"/>
      <c r="B2362" s="144" t="str">
        <f>'Máy thi công'!B501</f>
        <v>M112.1501</v>
      </c>
      <c r="C2362" s="34">
        <v>867</v>
      </c>
      <c r="D2362" s="144" t="str">
        <f>" - " &amp; 'Máy thi công'!D501</f>
        <v xml:space="preserve"> - Máy khoan đứng - công suất: 2,5 kW</v>
      </c>
      <c r="E2362" s="168" t="str">
        <f>'Máy thi công'!E501</f>
        <v>ca</v>
      </c>
      <c r="F2362" s="60"/>
      <c r="G2362" s="60"/>
      <c r="H2362" s="60"/>
      <c r="I2362" s="60">
        <v>1.06</v>
      </c>
      <c r="J2362" s="60"/>
      <c r="K2362" s="60"/>
      <c r="L2362" s="60">
        <f>ROUND(F2351*I2362,4)</f>
        <v>1.1427</v>
      </c>
    </row>
    <row r="2363" spans="1:12" x14ac:dyDescent="0.25">
      <c r="A2363" s="168"/>
      <c r="B2363" s="144" t="str">
        <f>'Máy thi công'!B478</f>
        <v>M9438</v>
      </c>
      <c r="C2363" s="34">
        <v>892</v>
      </c>
      <c r="D2363" s="144" t="str">
        <f>" - " &amp; 'Máy thi công'!D478</f>
        <v xml:space="preserve"> - Biến thế hàn xoay chiều - công suất: 23 kW</v>
      </c>
      <c r="E2363" s="168" t="str">
        <f>'Máy thi công'!E478</f>
        <v>ca</v>
      </c>
      <c r="F2363" s="60"/>
      <c r="G2363" s="60"/>
      <c r="H2363" s="60"/>
      <c r="I2363" s="60">
        <v>4.16</v>
      </c>
      <c r="J2363" s="60"/>
      <c r="K2363" s="60"/>
      <c r="L2363" s="60">
        <f>ROUND(F2351*I2363,4)</f>
        <v>4.4844999999999997</v>
      </c>
    </row>
    <row r="2364" spans="1:12" x14ac:dyDescent="0.25">
      <c r="A2364" s="168"/>
      <c r="B2364" s="144" t="str">
        <f>'Máy thi công'!B506</f>
        <v>M112.3702</v>
      </c>
      <c r="C2364" s="34">
        <v>874</v>
      </c>
      <c r="D2364" s="144" t="str">
        <f>" - " &amp; 'Máy thi công'!D506</f>
        <v xml:space="preserve"> - Máy mài - công suất: 2,7 kW</v>
      </c>
      <c r="E2364" s="168" t="str">
        <f>'Máy thi công'!E506</f>
        <v>ca</v>
      </c>
      <c r="F2364" s="60"/>
      <c r="G2364" s="60"/>
      <c r="H2364" s="60"/>
      <c r="I2364" s="60">
        <v>1.06</v>
      </c>
      <c r="J2364" s="60"/>
      <c r="K2364" s="60"/>
      <c r="L2364" s="60">
        <f>ROUND(F2351*I2364,4)</f>
        <v>1.1427</v>
      </c>
    </row>
    <row r="2365" spans="1:12" x14ac:dyDescent="0.25">
      <c r="A2365" s="168"/>
      <c r="B2365" s="144" t="str">
        <f>'Máy thi công'!B527</f>
        <v>M0111</v>
      </c>
      <c r="C2365" s="34">
        <v>860</v>
      </c>
      <c r="D2365" s="144" t="str">
        <f>" - " &amp; 'Máy thi công'!D527</f>
        <v xml:space="preserve"> - Máy khác</v>
      </c>
      <c r="E2365" s="168" t="str">
        <f>'Máy thi công'!E527</f>
        <v>%</v>
      </c>
      <c r="F2365" s="60"/>
      <c r="G2365" s="60"/>
      <c r="H2365" s="60"/>
      <c r="I2365" s="60">
        <v>5</v>
      </c>
      <c r="J2365" s="60"/>
      <c r="K2365" s="60"/>
      <c r="L2365" s="60"/>
    </row>
    <row r="2366" spans="1:12" ht="42.75" x14ac:dyDescent="0.25">
      <c r="A2366" s="65">
        <f>'Công trình'!A320</f>
        <v>5</v>
      </c>
      <c r="B2366" s="14" t="str">
        <f>'Công trình'!B320</f>
        <v>CV.0102</v>
      </c>
      <c r="C2366" s="94"/>
      <c r="D2366" s="14" t="str">
        <f>'Công trình'!C320</f>
        <v>Sản xuất cửa van bằng thép không gỉ, chiều rộng cống (B) &lt;= 8m</v>
      </c>
      <c r="E2366" s="46" t="str">
        <f>'Công trình'!D320</f>
        <v>1 tấn sản phẩm</v>
      </c>
      <c r="F2366" s="106">
        <f>'Công trình'!K320</f>
        <v>17.221</v>
      </c>
      <c r="G2366" s="126"/>
      <c r="H2366" s="126"/>
      <c r="I2366" s="126"/>
      <c r="J2366" s="126"/>
      <c r="K2366" s="126"/>
      <c r="L2366" s="126"/>
    </row>
    <row r="2367" spans="1:12" x14ac:dyDescent="0.25">
      <c r="A2367" s="56"/>
      <c r="B2367" s="23"/>
      <c r="C2367" s="88"/>
      <c r="D2367" s="23" t="s">
        <v>479</v>
      </c>
      <c r="E2367" s="56"/>
      <c r="F2367" s="118"/>
      <c r="G2367" s="118"/>
      <c r="H2367" s="118"/>
      <c r="I2367" s="118"/>
      <c r="J2367" s="118"/>
      <c r="K2367" s="118"/>
      <c r="L2367" s="118"/>
    </row>
    <row r="2368" spans="1:12" x14ac:dyDescent="0.25">
      <c r="A2368" s="168"/>
      <c r="B2368" s="144" t="str">
        <f>'Vật liệu'!B958</f>
        <v>V17879</v>
      </c>
      <c r="C2368" s="34">
        <v>825</v>
      </c>
      <c r="D2368" s="144" t="str">
        <f>" - " &amp; 'Vật liệu'!D958</f>
        <v xml:space="preserve"> - Que hàn thép không gỉ</v>
      </c>
      <c r="E2368" s="168" t="str">
        <f>'Vật liệu'!E958</f>
        <v>kg</v>
      </c>
      <c r="F2368" s="60"/>
      <c r="G2368" s="60">
        <v>35.08</v>
      </c>
      <c r="H2368" s="60"/>
      <c r="I2368" s="60"/>
      <c r="J2368" s="60">
        <f>ROUND(F2366*G2368,4)</f>
        <v>604.11270000000002</v>
      </c>
      <c r="K2368" s="60"/>
      <c r="L2368" s="60"/>
    </row>
    <row r="2369" spans="1:12" x14ac:dyDescent="0.25">
      <c r="A2369" s="168"/>
      <c r="B2369" s="144" t="str">
        <f>'Vật liệu'!B955</f>
        <v>V36579</v>
      </c>
      <c r="C2369" s="34">
        <v>826</v>
      </c>
      <c r="D2369" s="144" t="str">
        <f>" - " &amp; 'Vật liệu'!D955</f>
        <v xml:space="preserve"> - Que hàn thép CT3</v>
      </c>
      <c r="E2369" s="168" t="str">
        <f>'Vật liệu'!E955</f>
        <v>kg</v>
      </c>
      <c r="F2369" s="60"/>
      <c r="G2369" s="60">
        <v>2.63</v>
      </c>
      <c r="H2369" s="60"/>
      <c r="I2369" s="60"/>
      <c r="J2369" s="60">
        <f>ROUND(F2366*G2369,4)</f>
        <v>45.291200000000003</v>
      </c>
      <c r="K2369" s="60"/>
      <c r="L2369" s="60"/>
    </row>
    <row r="2370" spans="1:12" x14ac:dyDescent="0.25">
      <c r="A2370" s="168"/>
      <c r="B2370" s="144" t="str">
        <f>'Vật liệu'!B964</f>
        <v>V36581</v>
      </c>
      <c r="C2370" s="34">
        <v>827</v>
      </c>
      <c r="D2370" s="144" t="str">
        <f>" - " &amp; 'Vật liệu'!D964</f>
        <v xml:space="preserve"> - Thép inox các loại</v>
      </c>
      <c r="E2370" s="168" t="str">
        <f>'Vật liệu'!E964</f>
        <v>kg</v>
      </c>
      <c r="F2370" s="60"/>
      <c r="G2370" s="60">
        <v>1050</v>
      </c>
      <c r="H2370" s="60"/>
      <c r="I2370" s="60"/>
      <c r="J2370" s="60">
        <f>ROUND(F2366*G2370,4)</f>
        <v>18082.05</v>
      </c>
      <c r="K2370" s="60"/>
      <c r="L2370" s="60"/>
    </row>
    <row r="2371" spans="1:12" x14ac:dyDescent="0.25">
      <c r="A2371" s="168"/>
      <c r="B2371" s="144" t="str">
        <f>'Vật liệu'!B919</f>
        <v>V00824</v>
      </c>
      <c r="C2371" s="34">
        <v>818</v>
      </c>
      <c r="D2371" s="144" t="str">
        <f>" - " &amp; 'Vật liệu'!D919</f>
        <v xml:space="preserve"> - Đá mài</v>
      </c>
      <c r="E2371" s="168" t="str">
        <f>'Vật liệu'!E919</f>
        <v>viên</v>
      </c>
      <c r="F2371" s="60"/>
      <c r="G2371" s="60">
        <v>2.62</v>
      </c>
      <c r="H2371" s="60"/>
      <c r="I2371" s="60"/>
      <c r="J2371" s="60">
        <f>ROUND(F2366*G2371,4)</f>
        <v>45.119</v>
      </c>
      <c r="K2371" s="60"/>
      <c r="L2371" s="60"/>
    </row>
    <row r="2372" spans="1:12" x14ac:dyDescent="0.25">
      <c r="A2372" s="168"/>
      <c r="B2372" s="144" t="str">
        <f>'Vật liệu'!B973</f>
        <v>V00750</v>
      </c>
      <c r="C2372" s="34">
        <v>813</v>
      </c>
      <c r="D2372" s="144" t="str">
        <f>" - " &amp; 'Vật liệu'!D973</f>
        <v xml:space="preserve"> - Vật liệu khác</v>
      </c>
      <c r="E2372" s="168" t="str">
        <f>'Vật liệu'!E973</f>
        <v>%</v>
      </c>
      <c r="F2372" s="60"/>
      <c r="G2372" s="60">
        <v>1</v>
      </c>
      <c r="H2372" s="60"/>
      <c r="I2372" s="60"/>
      <c r="J2372" s="60"/>
      <c r="K2372" s="60"/>
      <c r="L2372" s="60"/>
    </row>
    <row r="2373" spans="1:12" x14ac:dyDescent="0.25">
      <c r="A2373" s="56"/>
      <c r="B2373" s="23"/>
      <c r="C2373" s="88"/>
      <c r="D2373" s="23" t="s">
        <v>202</v>
      </c>
      <c r="E2373" s="56"/>
      <c r="F2373" s="118"/>
      <c r="G2373" s="118"/>
      <c r="H2373" s="118"/>
      <c r="I2373" s="118"/>
      <c r="J2373" s="118"/>
      <c r="K2373" s="118"/>
      <c r="L2373" s="118"/>
    </row>
    <row r="2374" spans="1:12" x14ac:dyDescent="0.25">
      <c r="A2374" s="168"/>
      <c r="B2374" s="144" t="str">
        <f>'Nhân công'!B240</f>
        <v>N0013</v>
      </c>
      <c r="C2374" s="34">
        <v>835</v>
      </c>
      <c r="D2374" s="144" t="s">
        <v>275</v>
      </c>
      <c r="E2374" s="168" t="str">
        <f>'Nhân công'!G240</f>
        <v>công</v>
      </c>
      <c r="F2374" s="60"/>
      <c r="G2374" s="60"/>
      <c r="H2374" s="60">
        <v>91</v>
      </c>
      <c r="I2374" s="60"/>
      <c r="J2374" s="60"/>
      <c r="K2374" s="60">
        <f>ROUND(F2366*H2374,4)</f>
        <v>1567.1110000000001</v>
      </c>
      <c r="L2374" s="60"/>
    </row>
    <row r="2375" spans="1:12" x14ac:dyDescent="0.25">
      <c r="A2375" s="56"/>
      <c r="B2375" s="23"/>
      <c r="C2375" s="88"/>
      <c r="D2375" s="23" t="s">
        <v>378</v>
      </c>
      <c r="E2375" s="56"/>
      <c r="F2375" s="118"/>
      <c r="G2375" s="118"/>
      <c r="H2375" s="118"/>
      <c r="I2375" s="118"/>
      <c r="J2375" s="118"/>
      <c r="K2375" s="118"/>
      <c r="L2375" s="118"/>
    </row>
    <row r="2376" spans="1:12" x14ac:dyDescent="0.25">
      <c r="A2376" s="168"/>
      <c r="B2376" s="144" t="str">
        <f>'Máy thi công'!B497</f>
        <v>M5554</v>
      </c>
      <c r="C2376" s="34">
        <v>882</v>
      </c>
      <c r="D2376" s="144" t="str">
        <f>" - " &amp; 'Máy thi công'!D497</f>
        <v xml:space="preserve"> - Máy khoan 2,5 KW</v>
      </c>
      <c r="E2376" s="168" t="str">
        <f>'Máy thi công'!E497</f>
        <v>ca</v>
      </c>
      <c r="F2376" s="60"/>
      <c r="G2376" s="60"/>
      <c r="H2376" s="60"/>
      <c r="I2376" s="60">
        <v>0.6</v>
      </c>
      <c r="J2376" s="60"/>
      <c r="K2376" s="60"/>
      <c r="L2376" s="60">
        <f>ROUND(F2366*I2376,4)</f>
        <v>10.332599999999999</v>
      </c>
    </row>
    <row r="2377" spans="1:12" x14ac:dyDescent="0.25">
      <c r="A2377" s="168"/>
      <c r="B2377" s="144" t="str">
        <f>'Máy thi công'!B490</f>
        <v>M1113</v>
      </c>
      <c r="C2377" s="34">
        <v>866</v>
      </c>
      <c r="D2377" s="144" t="str">
        <f>" - " &amp; 'Máy thi công'!D490</f>
        <v xml:space="preserve"> - Máy cắt thép Flaxma</v>
      </c>
      <c r="E2377" s="168" t="str">
        <f>'Máy thi công'!E490</f>
        <v>ca</v>
      </c>
      <c r="F2377" s="60"/>
      <c r="G2377" s="60"/>
      <c r="H2377" s="60"/>
      <c r="I2377" s="60">
        <v>5.6</v>
      </c>
      <c r="J2377" s="60"/>
      <c r="K2377" s="60"/>
      <c r="L2377" s="60">
        <f>ROUND(F2366*I2377,4)</f>
        <v>96.437600000000003</v>
      </c>
    </row>
    <row r="2378" spans="1:12" x14ac:dyDescent="0.25">
      <c r="A2378" s="168"/>
      <c r="B2378" s="144" t="str">
        <f>'Máy thi công'!B499</f>
        <v>M3247</v>
      </c>
      <c r="C2378" s="34">
        <v>878</v>
      </c>
      <c r="D2378" s="144" t="str">
        <f>" - " &amp; 'Máy thi công'!D499</f>
        <v xml:space="preserve"> - Máy khoan 4,5 KW</v>
      </c>
      <c r="E2378" s="168" t="str">
        <f>'Máy thi công'!E499</f>
        <v>ca</v>
      </c>
      <c r="F2378" s="60"/>
      <c r="G2378" s="60"/>
      <c r="H2378" s="60"/>
      <c r="I2378" s="60">
        <v>4.4000000000000004</v>
      </c>
      <c r="J2378" s="60"/>
      <c r="K2378" s="60"/>
      <c r="L2378" s="60">
        <f>ROUND(F2366*I2378,4)</f>
        <v>75.772400000000005</v>
      </c>
    </row>
    <row r="2379" spans="1:12" x14ac:dyDescent="0.25">
      <c r="A2379" s="168"/>
      <c r="B2379" s="144" t="str">
        <f>'Máy thi công'!B488</f>
        <v>M9663</v>
      </c>
      <c r="C2379" s="34">
        <v>903</v>
      </c>
      <c r="D2379" s="144" t="str">
        <f>" - " &amp; 'Máy thi công'!D488</f>
        <v xml:space="preserve"> - Cần trục bánh hơi sức nâng 6T</v>
      </c>
      <c r="E2379" s="168" t="str">
        <f>'Máy thi công'!E488</f>
        <v>ca</v>
      </c>
      <c r="F2379" s="60"/>
      <c r="G2379" s="60"/>
      <c r="H2379" s="60"/>
      <c r="I2379" s="60">
        <v>0.1</v>
      </c>
      <c r="J2379" s="60"/>
      <c r="K2379" s="60"/>
      <c r="L2379" s="60">
        <f>ROUND(F2366*I2379,4)</f>
        <v>1.7221</v>
      </c>
    </row>
    <row r="2380" spans="1:12" x14ac:dyDescent="0.25">
      <c r="A2380" s="168"/>
      <c r="B2380" s="144" t="str">
        <f>'Máy thi công'!B517</f>
        <v>M5560</v>
      </c>
      <c r="C2380" s="34">
        <v>886</v>
      </c>
      <c r="D2380" s="144" t="str">
        <f>" - " &amp; 'Máy thi công'!D517</f>
        <v xml:space="preserve"> - Máy tiện 10 KW</v>
      </c>
      <c r="E2380" s="168" t="str">
        <f>'Máy thi công'!E517</f>
        <v>ca</v>
      </c>
      <c r="F2380" s="60"/>
      <c r="G2380" s="60"/>
      <c r="H2380" s="60"/>
      <c r="I2380" s="60">
        <v>3.1</v>
      </c>
      <c r="J2380" s="60"/>
      <c r="K2380" s="60"/>
      <c r="L2380" s="60">
        <f>ROUND(F2366*I2380,4)</f>
        <v>53.385100000000001</v>
      </c>
    </row>
    <row r="2381" spans="1:12" x14ac:dyDescent="0.25">
      <c r="A2381" s="168"/>
      <c r="B2381" s="144" t="str">
        <f>'Máy thi công'!B492</f>
        <v>M5551</v>
      </c>
      <c r="C2381" s="34">
        <v>880</v>
      </c>
      <c r="D2381" s="144" t="str">
        <f>" - " &amp; 'Máy thi công'!D492</f>
        <v xml:space="preserve"> - Máy cưa 2,7 KW</v>
      </c>
      <c r="E2381" s="168" t="str">
        <f>'Máy thi công'!E492</f>
        <v>ca</v>
      </c>
      <c r="F2381" s="60"/>
      <c r="G2381" s="60"/>
      <c r="H2381" s="60"/>
      <c r="I2381" s="60">
        <v>4.7</v>
      </c>
      <c r="J2381" s="60"/>
      <c r="K2381" s="60"/>
      <c r="L2381" s="60">
        <f>ROUND(F2366*I2381,4)</f>
        <v>80.938699999999997</v>
      </c>
    </row>
    <row r="2382" spans="1:12" x14ac:dyDescent="0.25">
      <c r="A2382" s="168"/>
      <c r="B2382" s="144" t="str">
        <f>'Máy thi công'!B515</f>
        <v>M5559</v>
      </c>
      <c r="C2382" s="34">
        <v>884</v>
      </c>
      <c r="D2382" s="144" t="str">
        <f>" - " &amp; 'Máy thi công'!D515</f>
        <v xml:space="preserve"> - Máy phay bào 7 KW</v>
      </c>
      <c r="E2382" s="168" t="str">
        <f>'Máy thi công'!E515</f>
        <v>ca</v>
      </c>
      <c r="F2382" s="60"/>
      <c r="G2382" s="60"/>
      <c r="H2382" s="60"/>
      <c r="I2382" s="60">
        <v>2.7</v>
      </c>
      <c r="J2382" s="60"/>
      <c r="K2382" s="60"/>
      <c r="L2382" s="60">
        <f>ROUND(F2366*I2382,4)</f>
        <v>46.496699999999997</v>
      </c>
    </row>
    <row r="2383" spans="1:12" x14ac:dyDescent="0.25">
      <c r="A2383" s="168"/>
      <c r="B2383" s="144" t="str">
        <f>'Máy thi công'!B512</f>
        <v>M2378</v>
      </c>
      <c r="C2383" s="34">
        <v>876</v>
      </c>
      <c r="D2383" s="144" t="str">
        <f>" - " &amp; 'Máy thi công'!D512</f>
        <v xml:space="preserve"> - Máy mài 2,7 KW</v>
      </c>
      <c r="E2383" s="168" t="str">
        <f>'Máy thi công'!E512</f>
        <v>ca</v>
      </c>
      <c r="F2383" s="60"/>
      <c r="G2383" s="60"/>
      <c r="H2383" s="60"/>
      <c r="I2383" s="60">
        <v>1.8</v>
      </c>
      <c r="J2383" s="60"/>
      <c r="K2383" s="60"/>
      <c r="L2383" s="60">
        <f>ROUND(F2366*I2383,4)</f>
        <v>30.997800000000002</v>
      </c>
    </row>
    <row r="2384" spans="1:12" x14ac:dyDescent="0.25">
      <c r="A2384" s="168"/>
      <c r="B2384" s="144" t="str">
        <f>'Máy thi công'!B494</f>
        <v>M0087</v>
      </c>
      <c r="C2384" s="34">
        <v>842</v>
      </c>
      <c r="D2384" s="144" t="str">
        <f>" - " &amp; 'Máy thi công'!D494</f>
        <v xml:space="preserve"> - Máy hàn 23kw</v>
      </c>
      <c r="E2384" s="168" t="str">
        <f>'Máy thi công'!E494</f>
        <v>ca</v>
      </c>
      <c r="F2384" s="60"/>
      <c r="G2384" s="60"/>
      <c r="H2384" s="60"/>
      <c r="I2384" s="60">
        <v>7.8</v>
      </c>
      <c r="J2384" s="60"/>
      <c r="K2384" s="60"/>
      <c r="L2384" s="60">
        <f>ROUND(F2366*I2384,4)</f>
        <v>134.32380000000001</v>
      </c>
    </row>
    <row r="2385" spans="1:12" x14ac:dyDescent="0.25">
      <c r="A2385" s="168"/>
      <c r="B2385" s="144" t="str">
        <f>'Máy thi công'!B527</f>
        <v>M0111</v>
      </c>
      <c r="C2385" s="34">
        <v>863</v>
      </c>
      <c r="D2385" s="144" t="str">
        <f>" - " &amp; 'Máy thi công'!D527</f>
        <v xml:space="preserve"> - Máy khác</v>
      </c>
      <c r="E2385" s="168" t="str">
        <f>'Máy thi công'!E527</f>
        <v>%</v>
      </c>
      <c r="F2385" s="60"/>
      <c r="G2385" s="60"/>
      <c r="H2385" s="60"/>
      <c r="I2385" s="60">
        <v>2</v>
      </c>
      <c r="J2385" s="60"/>
      <c r="K2385" s="60"/>
      <c r="L2385" s="60"/>
    </row>
    <row r="2386" spans="1:12" ht="28.5" x14ac:dyDescent="0.25">
      <c r="A2386" s="65">
        <f>'Công trình'!A321</f>
        <v>6</v>
      </c>
      <c r="B2386" s="14" t="str">
        <f>'Công trình'!B321</f>
        <v>CV.0202</v>
      </c>
      <c r="C2386" s="94"/>
      <c r="D2386" s="14" t="str">
        <f>'Công trình'!C321</f>
        <v>Lắp đặt cửa van bằng thép không gỉ, chiều rộng cống (B) &lt;= 8m</v>
      </c>
      <c r="E2386" s="46" t="str">
        <f>'Công trình'!D321</f>
        <v>1 tấn</v>
      </c>
      <c r="F2386" s="106">
        <f>'Công trình'!K321</f>
        <v>17.221</v>
      </c>
      <c r="G2386" s="126"/>
      <c r="H2386" s="126"/>
      <c r="I2386" s="126"/>
      <c r="J2386" s="126"/>
      <c r="K2386" s="126"/>
      <c r="L2386" s="126"/>
    </row>
    <row r="2387" spans="1:12" x14ac:dyDescent="0.25">
      <c r="A2387" s="56"/>
      <c r="B2387" s="23"/>
      <c r="C2387" s="88"/>
      <c r="D2387" s="23" t="s">
        <v>479</v>
      </c>
      <c r="E2387" s="56"/>
      <c r="F2387" s="118"/>
      <c r="G2387" s="118"/>
      <c r="H2387" s="118"/>
      <c r="I2387" s="118"/>
      <c r="J2387" s="118"/>
      <c r="K2387" s="118"/>
      <c r="L2387" s="118"/>
    </row>
    <row r="2388" spans="1:12" x14ac:dyDescent="0.25">
      <c r="A2388" s="168"/>
      <c r="B2388" s="144" t="str">
        <f>'Vật liệu'!B933</f>
        <v>V00255</v>
      </c>
      <c r="C2388" s="34">
        <v>770</v>
      </c>
      <c r="D2388" s="144" t="str">
        <f>" - " &amp; 'Vật liệu'!D933</f>
        <v xml:space="preserve"> - Gas</v>
      </c>
      <c r="E2388" s="168" t="str">
        <f>'Vật liệu'!E933</f>
        <v>kg</v>
      </c>
      <c r="F2388" s="60"/>
      <c r="G2388" s="60">
        <v>0.48099999999999998</v>
      </c>
      <c r="H2388" s="60"/>
      <c r="I2388" s="60"/>
      <c r="J2388" s="60">
        <f>ROUND(F2386*G2388,4)</f>
        <v>8.2833000000000006</v>
      </c>
      <c r="K2388" s="60"/>
      <c r="L2388" s="60"/>
    </row>
    <row r="2389" spans="1:12" x14ac:dyDescent="0.25">
      <c r="A2389" s="168"/>
      <c r="B2389" s="144" t="str">
        <f>'Vật liệu'!B937</f>
        <v>V04270</v>
      </c>
      <c r="C2389" s="34">
        <v>822</v>
      </c>
      <c r="D2389" s="144" t="str">
        <f>" - " &amp; 'Vật liệu'!D937</f>
        <v xml:space="preserve"> - Gỗ ván</v>
      </c>
      <c r="E2389" s="168" t="str">
        <f>'Vật liệu'!E937</f>
        <v>kg</v>
      </c>
      <c r="F2389" s="60"/>
      <c r="G2389" s="60">
        <v>1.4999999999999999E-2</v>
      </c>
      <c r="H2389" s="60"/>
      <c r="I2389" s="60"/>
      <c r="J2389" s="60">
        <f>ROUND(F2386*G2389,4)</f>
        <v>0.25829999999999997</v>
      </c>
      <c r="K2389" s="60"/>
      <c r="L2389" s="60"/>
    </row>
    <row r="2390" spans="1:12" x14ac:dyDescent="0.25">
      <c r="A2390" s="168"/>
      <c r="B2390" s="144" t="str">
        <f>'Vật liệu'!B960</f>
        <v>V00641</v>
      </c>
      <c r="C2390" s="34">
        <v>781</v>
      </c>
      <c r="D2390" s="144" t="str">
        <f>" - " &amp; 'Vật liệu'!D960</f>
        <v xml:space="preserve"> - Thép hình</v>
      </c>
      <c r="E2390" s="168" t="str">
        <f>'Vật liệu'!E960</f>
        <v>kg</v>
      </c>
      <c r="F2390" s="60"/>
      <c r="G2390" s="60">
        <v>28</v>
      </c>
      <c r="H2390" s="60"/>
      <c r="I2390" s="60"/>
      <c r="J2390" s="60">
        <f>ROUND(F2386*G2390,4)</f>
        <v>482.18799999999999</v>
      </c>
      <c r="K2390" s="60"/>
      <c r="L2390" s="60"/>
    </row>
    <row r="2391" spans="1:12" x14ac:dyDescent="0.25">
      <c r="A2391" s="168"/>
      <c r="B2391" s="144" t="str">
        <f>'Vật liệu'!B955</f>
        <v>V36579</v>
      </c>
      <c r="C2391" s="34">
        <v>826</v>
      </c>
      <c r="D2391" s="144" t="str">
        <f>" - " &amp; 'Vật liệu'!D955</f>
        <v xml:space="preserve"> - Que hàn thép CT3</v>
      </c>
      <c r="E2391" s="168" t="str">
        <f>'Vật liệu'!E955</f>
        <v>kg</v>
      </c>
      <c r="F2391" s="60"/>
      <c r="G2391" s="60">
        <v>5.5</v>
      </c>
      <c r="H2391" s="60"/>
      <c r="I2391" s="60"/>
      <c r="J2391" s="60">
        <f>ROUND(F2386*G2391,4)</f>
        <v>94.715500000000006</v>
      </c>
      <c r="K2391" s="60"/>
      <c r="L2391" s="60"/>
    </row>
    <row r="2392" spans="1:12" x14ac:dyDescent="0.25">
      <c r="A2392" s="168"/>
      <c r="B2392" s="144" t="str">
        <f>'Vật liệu'!B946</f>
        <v>V36584</v>
      </c>
      <c r="C2392" s="34">
        <v>828</v>
      </c>
      <c r="D2392" s="144" t="str">
        <f>" - " &amp; 'Vật liệu'!D946</f>
        <v xml:space="preserve"> - Ô xy</v>
      </c>
      <c r="E2392" s="168" t="str">
        <f>'Vật liệu'!E946</f>
        <v>kg</v>
      </c>
      <c r="F2392" s="60"/>
      <c r="G2392" s="60">
        <v>0.35</v>
      </c>
      <c r="H2392" s="60"/>
      <c r="I2392" s="60"/>
      <c r="J2392" s="60">
        <f>ROUND(F2386*G2392,4)</f>
        <v>6.0274000000000001</v>
      </c>
      <c r="K2392" s="60"/>
      <c r="L2392" s="60"/>
    </row>
    <row r="2393" spans="1:12" x14ac:dyDescent="0.25">
      <c r="A2393" s="168"/>
      <c r="B2393" s="144" t="str">
        <f>'Vật liệu'!B973</f>
        <v>V00750</v>
      </c>
      <c r="C2393" s="34">
        <v>814</v>
      </c>
      <c r="D2393" s="144" t="str">
        <f>" - " &amp; 'Vật liệu'!D973</f>
        <v xml:space="preserve"> - Vật liệu khác</v>
      </c>
      <c r="E2393" s="168" t="str">
        <f>'Vật liệu'!E973</f>
        <v>%</v>
      </c>
      <c r="F2393" s="60"/>
      <c r="G2393" s="60">
        <v>5</v>
      </c>
      <c r="H2393" s="60"/>
      <c r="I2393" s="60"/>
      <c r="J2393" s="60"/>
      <c r="K2393" s="60"/>
      <c r="L2393" s="60"/>
    </row>
    <row r="2394" spans="1:12" x14ac:dyDescent="0.25">
      <c r="A2394" s="56"/>
      <c r="B2394" s="23"/>
      <c r="C2394" s="88"/>
      <c r="D2394" s="23" t="s">
        <v>202</v>
      </c>
      <c r="E2394" s="56"/>
      <c r="F2394" s="118"/>
      <c r="G2394" s="118"/>
      <c r="H2394" s="118"/>
      <c r="I2394" s="118"/>
      <c r="J2394" s="118"/>
      <c r="K2394" s="118"/>
      <c r="L2394" s="118"/>
    </row>
    <row r="2395" spans="1:12" x14ac:dyDescent="0.25">
      <c r="A2395" s="168"/>
      <c r="B2395" s="144" t="str">
        <f>'Nhân công'!B240</f>
        <v>N0013</v>
      </c>
      <c r="C2395" s="34">
        <v>835</v>
      </c>
      <c r="D2395" s="144" t="s">
        <v>275</v>
      </c>
      <c r="E2395" s="168" t="str">
        <f>'Nhân công'!G240</f>
        <v>công</v>
      </c>
      <c r="F2395" s="60"/>
      <c r="G2395" s="60"/>
      <c r="H2395" s="60">
        <v>16.02</v>
      </c>
      <c r="I2395" s="60"/>
      <c r="J2395" s="60"/>
      <c r="K2395" s="60">
        <f>ROUND(F2386*H2395,4)</f>
        <v>275.88040000000001</v>
      </c>
      <c r="L2395" s="60"/>
    </row>
    <row r="2396" spans="1:12" x14ac:dyDescent="0.25">
      <c r="A2396" s="56"/>
      <c r="B2396" s="23"/>
      <c r="C2396" s="88"/>
      <c r="D2396" s="23" t="s">
        <v>378</v>
      </c>
      <c r="E2396" s="56"/>
      <c r="F2396" s="118"/>
      <c r="G2396" s="118"/>
      <c r="H2396" s="118"/>
      <c r="I2396" s="118"/>
      <c r="J2396" s="118"/>
      <c r="K2396" s="118"/>
      <c r="L2396" s="118"/>
    </row>
    <row r="2397" spans="1:12" x14ac:dyDescent="0.25">
      <c r="A2397" s="168"/>
      <c r="B2397" s="144" t="str">
        <f>'Máy thi công'!B521</f>
        <v>M5573</v>
      </c>
      <c r="C2397" s="34">
        <v>889</v>
      </c>
      <c r="D2397" s="144" t="str">
        <f>" - " &amp; 'Máy thi công'!D521</f>
        <v xml:space="preserve"> - Palang xích 5T</v>
      </c>
      <c r="E2397" s="168" t="str">
        <f>'Máy thi công'!E521</f>
        <v>ca</v>
      </c>
      <c r="F2397" s="60"/>
      <c r="G2397" s="60"/>
      <c r="H2397" s="60"/>
      <c r="I2397" s="60">
        <v>0.56999999999999995</v>
      </c>
      <c r="J2397" s="60"/>
      <c r="K2397" s="60"/>
      <c r="L2397" s="60">
        <f>ROUND(F2386*I2397,4)</f>
        <v>9.8160000000000007</v>
      </c>
    </row>
    <row r="2398" spans="1:12" x14ac:dyDescent="0.25">
      <c r="A2398" s="168"/>
      <c r="B2398" s="144" t="str">
        <f>'Máy thi công'!B512</f>
        <v>M2378</v>
      </c>
      <c r="C2398" s="34">
        <v>876</v>
      </c>
      <c r="D2398" s="144" t="str">
        <f>" - " &amp; 'Máy thi công'!D512</f>
        <v xml:space="preserve"> - Máy mài 2,7 KW</v>
      </c>
      <c r="E2398" s="168" t="str">
        <f>'Máy thi công'!E512</f>
        <v>ca</v>
      </c>
      <c r="F2398" s="60"/>
      <c r="G2398" s="60"/>
      <c r="H2398" s="60"/>
      <c r="I2398" s="60">
        <v>0.24</v>
      </c>
      <c r="J2398" s="60"/>
      <c r="K2398" s="60"/>
      <c r="L2398" s="60">
        <f>ROUND(F2386*I2398,4)</f>
        <v>4.133</v>
      </c>
    </row>
    <row r="2399" spans="1:12" x14ac:dyDescent="0.25">
      <c r="A2399" s="168"/>
      <c r="B2399" s="144" t="str">
        <f>'Máy thi công'!B494</f>
        <v>M0087</v>
      </c>
      <c r="C2399" s="34">
        <v>842</v>
      </c>
      <c r="D2399" s="144" t="str">
        <f>" - " &amp; 'Máy thi công'!D494</f>
        <v xml:space="preserve"> - Máy hàn 23kw</v>
      </c>
      <c r="E2399" s="168" t="str">
        <f>'Máy thi công'!E494</f>
        <v>ca</v>
      </c>
      <c r="F2399" s="60"/>
      <c r="G2399" s="60"/>
      <c r="H2399" s="60"/>
      <c r="I2399" s="60">
        <v>1.37</v>
      </c>
      <c r="J2399" s="60"/>
      <c r="K2399" s="60"/>
      <c r="L2399" s="60">
        <f>ROUND(F2386*I2399,4)</f>
        <v>23.5928</v>
      </c>
    </row>
    <row r="2400" spans="1:12" x14ac:dyDescent="0.25">
      <c r="A2400" s="168"/>
      <c r="B2400" s="144" t="str">
        <f>'Máy thi công'!B484</f>
        <v>M0021</v>
      </c>
      <c r="C2400" s="34">
        <v>840</v>
      </c>
      <c r="D2400" s="144" t="str">
        <f>" - " &amp; 'Máy thi công'!D484</f>
        <v xml:space="preserve"> - Cần cẩu 50T</v>
      </c>
      <c r="E2400" s="168" t="str">
        <f>'Máy thi công'!E484</f>
        <v>ca</v>
      </c>
      <c r="F2400" s="60"/>
      <c r="G2400" s="60"/>
      <c r="H2400" s="60"/>
      <c r="I2400" s="60">
        <v>0.35</v>
      </c>
      <c r="J2400" s="60"/>
      <c r="K2400" s="60"/>
      <c r="L2400" s="60">
        <f>ROUND(F2386*I2400,4)</f>
        <v>6.0274000000000001</v>
      </c>
    </row>
    <row r="2401" spans="1:12" x14ac:dyDescent="0.25">
      <c r="A2401" s="168"/>
      <c r="B2401" s="144" t="str">
        <f>'Máy thi công'!B523</f>
        <v>M9690</v>
      </c>
      <c r="C2401" s="34">
        <v>904</v>
      </c>
      <c r="D2401" s="144" t="str">
        <f>" - " &amp; 'Máy thi công'!D523</f>
        <v xml:space="preserve"> - Palăng xích sức nâng 15T</v>
      </c>
      <c r="E2401" s="168" t="str">
        <f>'Máy thi công'!E523</f>
        <v>ca</v>
      </c>
      <c r="F2401" s="60"/>
      <c r="G2401" s="60"/>
      <c r="H2401" s="60"/>
      <c r="I2401" s="60">
        <v>0.56999999999999995</v>
      </c>
      <c r="J2401" s="60"/>
      <c r="K2401" s="60"/>
      <c r="L2401" s="60">
        <f>ROUND(F2386*I2401,4)</f>
        <v>9.8160000000000007</v>
      </c>
    </row>
    <row r="2402" spans="1:12" x14ac:dyDescent="0.25">
      <c r="A2402" s="168"/>
      <c r="B2402" s="144" t="str">
        <f>'Máy thi công'!B527</f>
        <v>M0111</v>
      </c>
      <c r="C2402" s="34">
        <v>864</v>
      </c>
      <c r="D2402" s="144" t="str">
        <f>" - " &amp; 'Máy thi công'!D527</f>
        <v xml:space="preserve"> - Máy khác</v>
      </c>
      <c r="E2402" s="168" t="str">
        <f>'Máy thi công'!E527</f>
        <v>%</v>
      </c>
      <c r="F2402" s="60"/>
      <c r="G2402" s="60"/>
      <c r="H2402" s="60"/>
      <c r="I2402" s="60">
        <v>3</v>
      </c>
      <c r="J2402" s="60"/>
      <c r="K2402" s="60"/>
      <c r="L2402" s="60"/>
    </row>
    <row r="2403" spans="1:12" x14ac:dyDescent="0.25">
      <c r="A2403" s="65">
        <f>'Công trình'!A322</f>
        <v>7</v>
      </c>
      <c r="B2403" s="14" t="str">
        <f>'Công trình'!B322</f>
        <v>AI.65411</v>
      </c>
      <c r="C2403" s="94"/>
      <c r="D2403" s="14" t="str">
        <f>'Công trình'!C322</f>
        <v>Lắp đặt kết cấu thép khe van, khe phai</v>
      </c>
      <c r="E2403" s="46" t="str">
        <f>'Công trình'!D322</f>
        <v>tấn</v>
      </c>
      <c r="F2403" s="106">
        <f>'Công trình'!K322</f>
        <v>3.3338000000000001</v>
      </c>
      <c r="G2403" s="126"/>
      <c r="H2403" s="126"/>
      <c r="I2403" s="126"/>
      <c r="J2403" s="126"/>
      <c r="K2403" s="126"/>
      <c r="L2403" s="126"/>
    </row>
    <row r="2404" spans="1:12" x14ac:dyDescent="0.25">
      <c r="A2404" s="56"/>
      <c r="B2404" s="23"/>
      <c r="C2404" s="88"/>
      <c r="D2404" s="23" t="s">
        <v>479</v>
      </c>
      <c r="E2404" s="56"/>
      <c r="F2404" s="118"/>
      <c r="G2404" s="118"/>
      <c r="H2404" s="118"/>
      <c r="I2404" s="118"/>
      <c r="J2404" s="118"/>
      <c r="K2404" s="118"/>
      <c r="L2404" s="118"/>
    </row>
    <row r="2405" spans="1:12" x14ac:dyDescent="0.25">
      <c r="A2405" s="168"/>
      <c r="B2405" s="144" t="str">
        <f>'Vật liệu'!B931</f>
        <v>V00889</v>
      </c>
      <c r="C2405" s="34">
        <v>821</v>
      </c>
      <c r="D2405" s="144" t="str">
        <f>" - " &amp; 'Vật liệu'!D931</f>
        <v xml:space="preserve"> - Dầu bôi</v>
      </c>
      <c r="E2405" s="168" t="str">
        <f>'Vật liệu'!E931</f>
        <v>kg</v>
      </c>
      <c r="F2405" s="60"/>
      <c r="G2405" s="60">
        <v>4.5</v>
      </c>
      <c r="H2405" s="60"/>
      <c r="I2405" s="60"/>
      <c r="J2405" s="60">
        <f>ROUND(F2403*G2405,4)</f>
        <v>15.0021</v>
      </c>
      <c r="K2405" s="60"/>
      <c r="L2405" s="60"/>
    </row>
    <row r="2406" spans="1:12" x14ac:dyDescent="0.25">
      <c r="A2406" s="168"/>
      <c r="B2406" s="144" t="str">
        <f>'Vật liệu'!B939</f>
        <v>V00473</v>
      </c>
      <c r="C2406" s="34">
        <v>773</v>
      </c>
      <c r="D2406" s="144" t="str">
        <f>" - " &amp; 'Vật liệu'!D939</f>
        <v xml:space="preserve"> - Mỡ các loại</v>
      </c>
      <c r="E2406" s="168" t="str">
        <f>'Vật liệu'!E939</f>
        <v>kg</v>
      </c>
      <c r="F2406" s="60"/>
      <c r="G2406" s="60">
        <v>3.5</v>
      </c>
      <c r="H2406" s="60"/>
      <c r="I2406" s="60"/>
      <c r="J2406" s="60">
        <f>ROUND(F2403*G2406,4)</f>
        <v>11.6683</v>
      </c>
      <c r="K2406" s="60"/>
      <c r="L2406" s="60"/>
    </row>
    <row r="2407" spans="1:12" x14ac:dyDescent="0.25">
      <c r="A2407" s="168"/>
      <c r="B2407" s="144" t="str">
        <f>'Vật liệu'!B935</f>
        <v>V00402</v>
      </c>
      <c r="C2407" s="34">
        <v>772</v>
      </c>
      <c r="D2407" s="144" t="str">
        <f>" - " &amp; 'Vật liệu'!D935</f>
        <v xml:space="preserve"> - Gỗ ván</v>
      </c>
      <c r="E2407" s="168" t="str">
        <f>'Vật liệu'!E935</f>
        <v>m3</v>
      </c>
      <c r="F2407" s="60"/>
      <c r="G2407" s="60">
        <v>1.9E-2</v>
      </c>
      <c r="H2407" s="60"/>
      <c r="I2407" s="60"/>
      <c r="J2407" s="60">
        <f>ROUND(F2403*G2407,4)</f>
        <v>6.3299999999999995E-2</v>
      </c>
      <c r="K2407" s="60"/>
      <c r="L2407" s="60"/>
    </row>
    <row r="2408" spans="1:12" x14ac:dyDescent="0.25">
      <c r="A2408" s="168"/>
      <c r="B2408" s="144" t="str">
        <f>'Vật liệu'!B948</f>
        <v>V00515</v>
      </c>
      <c r="C2408" s="34">
        <v>775</v>
      </c>
      <c r="D2408" s="144" t="str">
        <f>" - " &amp; 'Vật liệu'!D948</f>
        <v xml:space="preserve"> - Que hàn</v>
      </c>
      <c r="E2408" s="168" t="str">
        <f>'Vật liệu'!E948</f>
        <v>kg</v>
      </c>
      <c r="F2408" s="60"/>
      <c r="G2408" s="60">
        <v>9.5</v>
      </c>
      <c r="H2408" s="60"/>
      <c r="I2408" s="60"/>
      <c r="J2408" s="60">
        <f>ROUND(F2403*G2408,4)</f>
        <v>31.671099999999999</v>
      </c>
      <c r="K2408" s="60"/>
      <c r="L2408" s="60"/>
    </row>
    <row r="2409" spans="1:12" x14ac:dyDescent="0.25">
      <c r="A2409" s="168"/>
      <c r="B2409" s="144" t="str">
        <f>'Vật liệu'!B969</f>
        <v>V00671</v>
      </c>
      <c r="C2409" s="34">
        <v>783</v>
      </c>
      <c r="D2409" s="144" t="str">
        <f>" - " &amp; 'Vật liệu'!D969</f>
        <v xml:space="preserve"> - Thép tấm</v>
      </c>
      <c r="E2409" s="168" t="str">
        <f>'Vật liệu'!E969</f>
        <v>kg</v>
      </c>
      <c r="F2409" s="60"/>
      <c r="G2409" s="60">
        <v>12.5</v>
      </c>
      <c r="H2409" s="60"/>
      <c r="I2409" s="60"/>
      <c r="J2409" s="60">
        <f>ROUND(F2403*G2409,4)</f>
        <v>41.672499999999999</v>
      </c>
      <c r="K2409" s="60"/>
      <c r="L2409" s="60"/>
    </row>
    <row r="2410" spans="1:12" x14ac:dyDescent="0.25">
      <c r="A2410" s="168"/>
      <c r="B2410" s="144" t="str">
        <f>'Vật liệu'!B919</f>
        <v>V00824</v>
      </c>
      <c r="C2410" s="34">
        <v>818</v>
      </c>
      <c r="D2410" s="144" t="str">
        <f>" - " &amp; 'Vật liệu'!D919</f>
        <v xml:space="preserve"> - Đá mài</v>
      </c>
      <c r="E2410" s="168" t="str">
        <f>'Vật liệu'!E919</f>
        <v>viên</v>
      </c>
      <c r="F2410" s="60"/>
      <c r="G2410" s="60">
        <v>0.35</v>
      </c>
      <c r="H2410" s="60"/>
      <c r="I2410" s="60"/>
      <c r="J2410" s="60">
        <f>ROUND(F2403*G2410,4)</f>
        <v>1.1668000000000001</v>
      </c>
      <c r="K2410" s="60"/>
      <c r="L2410" s="60"/>
    </row>
    <row r="2411" spans="1:12" x14ac:dyDescent="0.25">
      <c r="A2411" s="168"/>
      <c r="B2411" s="144" t="str">
        <f>'Vật liệu'!B973</f>
        <v>V00750</v>
      </c>
      <c r="C2411" s="34">
        <v>793</v>
      </c>
      <c r="D2411" s="144" t="str">
        <f>" - " &amp; 'Vật liệu'!D973</f>
        <v xml:space="preserve"> - Vật liệu khác</v>
      </c>
      <c r="E2411" s="168" t="str">
        <f>'Vật liệu'!E973</f>
        <v>%</v>
      </c>
      <c r="F2411" s="60"/>
      <c r="G2411" s="60">
        <v>2</v>
      </c>
      <c r="H2411" s="60"/>
      <c r="I2411" s="60"/>
      <c r="J2411" s="60"/>
      <c r="K2411" s="60"/>
      <c r="L2411" s="60"/>
    </row>
    <row r="2412" spans="1:12" x14ac:dyDescent="0.25">
      <c r="A2412" s="56"/>
      <c r="B2412" s="23"/>
      <c r="C2412" s="88"/>
      <c r="D2412" s="23" t="s">
        <v>202</v>
      </c>
      <c r="E2412" s="56"/>
      <c r="F2412" s="118"/>
      <c r="G2412" s="118"/>
      <c r="H2412" s="118"/>
      <c r="I2412" s="118"/>
      <c r="J2412" s="118"/>
      <c r="K2412" s="118"/>
      <c r="L2412" s="118"/>
    </row>
    <row r="2413" spans="1:12" x14ac:dyDescent="0.25">
      <c r="A2413" s="168"/>
      <c r="B2413" s="144" t="str">
        <f>'Nhân công'!B240</f>
        <v>N0013</v>
      </c>
      <c r="C2413" s="34">
        <v>835</v>
      </c>
      <c r="D2413" s="144" t="s">
        <v>275</v>
      </c>
      <c r="E2413" s="168" t="str">
        <f>'Nhân công'!G240</f>
        <v>công</v>
      </c>
      <c r="F2413" s="60"/>
      <c r="G2413" s="60"/>
      <c r="H2413" s="60">
        <v>17.5</v>
      </c>
      <c r="I2413" s="60"/>
      <c r="J2413" s="60"/>
      <c r="K2413" s="60">
        <f>ROUND(F2403*H2413,4)</f>
        <v>58.341500000000003</v>
      </c>
      <c r="L2413" s="60"/>
    </row>
    <row r="2414" spans="1:12" x14ac:dyDescent="0.25">
      <c r="A2414" s="56"/>
      <c r="B2414" s="23"/>
      <c r="C2414" s="88"/>
      <c r="D2414" s="23" t="s">
        <v>378</v>
      </c>
      <c r="E2414" s="56"/>
      <c r="F2414" s="118"/>
      <c r="G2414" s="118"/>
      <c r="H2414" s="118"/>
      <c r="I2414" s="118"/>
      <c r="J2414" s="118"/>
      <c r="K2414" s="118"/>
      <c r="L2414" s="118"/>
    </row>
    <row r="2415" spans="1:12" x14ac:dyDescent="0.25">
      <c r="A2415" s="168"/>
      <c r="B2415" s="144" t="str">
        <f>'Máy thi công'!B506</f>
        <v>M112.3702</v>
      </c>
      <c r="C2415" s="34">
        <v>874</v>
      </c>
      <c r="D2415" s="144" t="str">
        <f>" - " &amp; 'Máy thi công'!D506</f>
        <v xml:space="preserve"> - Máy mài - công suất: 2,7 kW</v>
      </c>
      <c r="E2415" s="168" t="str">
        <f>'Máy thi công'!E506</f>
        <v>ca</v>
      </c>
      <c r="F2415" s="60"/>
      <c r="G2415" s="60"/>
      <c r="H2415" s="60"/>
      <c r="I2415" s="60">
        <v>1.38</v>
      </c>
      <c r="J2415" s="60"/>
      <c r="K2415" s="60"/>
      <c r="L2415" s="60">
        <f>ROUND(F2403*I2415,4)</f>
        <v>4.6006</v>
      </c>
    </row>
    <row r="2416" spans="1:12" x14ac:dyDescent="0.25">
      <c r="A2416" s="168"/>
      <c r="B2416" s="144" t="str">
        <f>'Máy thi công'!B486</f>
        <v>M9466</v>
      </c>
      <c r="C2416" s="34">
        <v>895</v>
      </c>
      <c r="D2416" s="144" t="str">
        <f>" - " &amp; 'Máy thi công'!D486</f>
        <v xml:space="preserve"> - Cần trục bánh hơi - sức nâng: 25 t</v>
      </c>
      <c r="E2416" s="168" t="str">
        <f>'Máy thi công'!E486</f>
        <v>ca</v>
      </c>
      <c r="F2416" s="60"/>
      <c r="G2416" s="60"/>
      <c r="H2416" s="60"/>
      <c r="I2416" s="60">
        <v>0.11</v>
      </c>
      <c r="J2416" s="60"/>
      <c r="K2416" s="60"/>
      <c r="L2416" s="60">
        <f>ROUND(F2403*I2416,4)</f>
        <v>0.36670000000000003</v>
      </c>
    </row>
    <row r="2417" spans="1:12" x14ac:dyDescent="0.25">
      <c r="A2417" s="168"/>
      <c r="B2417" s="144" t="str">
        <f>'Máy thi công'!B478</f>
        <v>M9438</v>
      </c>
      <c r="C2417" s="34">
        <v>892</v>
      </c>
      <c r="D2417" s="144" t="str">
        <f>" - " &amp; 'Máy thi công'!D478</f>
        <v xml:space="preserve"> - Biến thế hàn xoay chiều - công suất: 23 kW</v>
      </c>
      <c r="E2417" s="168" t="str">
        <f>'Máy thi công'!E478</f>
        <v>ca</v>
      </c>
      <c r="F2417" s="60"/>
      <c r="G2417" s="60"/>
      <c r="H2417" s="60"/>
      <c r="I2417" s="60">
        <v>2.77</v>
      </c>
      <c r="J2417" s="60"/>
      <c r="K2417" s="60"/>
      <c r="L2417" s="60">
        <f>ROUND(F2403*I2417,4)</f>
        <v>9.2346000000000004</v>
      </c>
    </row>
    <row r="2418" spans="1:12" x14ac:dyDescent="0.25">
      <c r="A2418" s="168"/>
      <c r="B2418" s="144" t="str">
        <f>'Máy thi công'!B519</f>
        <v>M9587</v>
      </c>
      <c r="C2418" s="34">
        <v>901</v>
      </c>
      <c r="D2418" s="144" t="str">
        <f>" - " &amp; 'Máy thi công'!D519</f>
        <v xml:space="preserve"> - Pa lăng xích - sức nâng: 5 t</v>
      </c>
      <c r="E2418" s="168" t="str">
        <f>'Máy thi công'!E519</f>
        <v>ca</v>
      </c>
      <c r="F2418" s="60"/>
      <c r="G2418" s="60"/>
      <c r="H2418" s="60"/>
      <c r="I2418" s="60">
        <v>1.38</v>
      </c>
      <c r="J2418" s="60"/>
      <c r="K2418" s="60"/>
      <c r="L2418" s="60">
        <f>ROUND(F2403*I2418,4)</f>
        <v>4.6006</v>
      </c>
    </row>
    <row r="2419" spans="1:12" x14ac:dyDescent="0.25">
      <c r="A2419" s="168"/>
      <c r="B2419" s="144" t="str">
        <f>'Máy thi công'!B525</f>
        <v>M9632</v>
      </c>
      <c r="C2419" s="34">
        <v>902</v>
      </c>
      <c r="D2419" s="144" t="str">
        <f>" - " &amp; 'Máy thi công'!D525</f>
        <v xml:space="preserve"> - Tời điện - sức kéo: 5,0 t</v>
      </c>
      <c r="E2419" s="168" t="str">
        <f>'Máy thi công'!E525</f>
        <v>ca</v>
      </c>
      <c r="F2419" s="60"/>
      <c r="G2419" s="60"/>
      <c r="H2419" s="60"/>
      <c r="I2419" s="60">
        <v>1.38</v>
      </c>
      <c r="J2419" s="60"/>
      <c r="K2419" s="60"/>
      <c r="L2419" s="60">
        <f>ROUND(F2403*I2419,4)</f>
        <v>4.6006</v>
      </c>
    </row>
    <row r="2420" spans="1:12" x14ac:dyDescent="0.25">
      <c r="A2420" s="57"/>
      <c r="B2420" s="24" t="str">
        <f>'Máy thi công'!B527</f>
        <v>M0111</v>
      </c>
      <c r="C2420" s="89">
        <v>847</v>
      </c>
      <c r="D2420" s="24" t="str">
        <f>" - " &amp; 'Máy thi công'!D527</f>
        <v xml:space="preserve"> - Máy khác</v>
      </c>
      <c r="E2420" s="57" t="str">
        <f>'Máy thi công'!E527</f>
        <v>%</v>
      </c>
      <c r="F2420" s="121"/>
      <c r="G2420" s="121"/>
      <c r="H2420" s="121"/>
      <c r="I2420" s="121">
        <v>2</v>
      </c>
      <c r="J2420" s="121"/>
      <c r="K2420" s="121"/>
      <c r="L2420" s="121"/>
    </row>
    <row r="2421" spans="1:12" ht="18" customHeight="1" x14ac:dyDescent="0.25">
      <c r="A2421" s="2"/>
      <c r="B2421" s="146"/>
      <c r="C2421" s="36"/>
      <c r="D2421" s="146"/>
      <c r="E2421" s="2"/>
      <c r="F2421" s="36"/>
      <c r="G2421" s="36"/>
      <c r="H2421" s="36"/>
      <c r="I2421" s="36"/>
      <c r="J2421" s="36"/>
      <c r="K2421" s="36"/>
      <c r="L2421" s="36"/>
    </row>
  </sheetData>
  <mergeCells count="22">
    <mergeCell ref="A2299:L2299"/>
    <mergeCell ref="A2300:L2300"/>
    <mergeCell ref="A2302:A2303"/>
    <mergeCell ref="B2302:B2303"/>
    <mergeCell ref="C2302:C2303"/>
    <mergeCell ref="D2302:D2303"/>
    <mergeCell ref="F5:F6"/>
    <mergeCell ref="G5:I5"/>
    <mergeCell ref="E2302:E2303"/>
    <mergeCell ref="F2302:F2303"/>
    <mergeCell ref="A1:L1"/>
    <mergeCell ref="A2:L2"/>
    <mergeCell ref="A3:L3"/>
    <mergeCell ref="A5:A6"/>
    <mergeCell ref="B5:B6"/>
    <mergeCell ref="C5:C6"/>
    <mergeCell ref="D5:D6"/>
    <mergeCell ref="E5:E6"/>
    <mergeCell ref="G2302:I2302"/>
    <mergeCell ref="J2302:L2302"/>
    <mergeCell ref="J5:L5"/>
    <mergeCell ref="A2298:L2298"/>
  </mergeCells>
  <pageMargins left="0.7" right="0.7" top="0.75" bottom="0.75" header="0.3" footer="0.3"/>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B982"/>
  <sheetViews>
    <sheetView showZeros="0" workbookViewId="0">
      <selection sqref="A1:AB1"/>
    </sheetView>
  </sheetViews>
  <sheetFormatPr defaultColWidth="9.140625" defaultRowHeight="15" x14ac:dyDescent="0.25"/>
  <cols>
    <col min="1" max="1" width="6.140625" style="143" customWidth="1"/>
    <col min="2" max="2" width="10.85546875" style="143" customWidth="1"/>
    <col min="3" max="3" width="11.140625" style="143" hidden="1" customWidth="1"/>
    <col min="4" max="4" width="42.140625" style="143" customWidth="1"/>
    <col min="5" max="5" width="9.140625" style="143" customWidth="1"/>
    <col min="6" max="6" width="10" style="143" hidden="1" customWidth="1"/>
    <col min="7" max="7" width="16.5703125" style="143" hidden="1" customWidth="1"/>
    <col min="8" max="8" width="13.42578125" style="143" customWidth="1"/>
    <col min="9" max="9" width="14.5703125" style="143" customWidth="1"/>
    <col min="10" max="10" width="14.85546875" style="143" hidden="1" customWidth="1"/>
    <col min="11" max="11" width="14.85546875" style="143" customWidth="1"/>
    <col min="12" max="12" width="15.140625" style="143" hidden="1" customWidth="1"/>
    <col min="13" max="13" width="8.42578125" style="143" hidden="1" customWidth="1"/>
    <col min="14" max="14" width="13" style="143" hidden="1" customWidth="1"/>
    <col min="15" max="15" width="15.42578125" style="143" hidden="1" customWidth="1"/>
    <col min="16" max="16" width="13.140625" style="143" hidden="1" customWidth="1"/>
    <col min="17" max="17" width="14.7109375" style="143" hidden="1" customWidth="1"/>
    <col min="18" max="18" width="12" style="143" hidden="1" customWidth="1"/>
    <col min="19" max="19" width="16.85546875" style="143" hidden="1" customWidth="1"/>
    <col min="20" max="20" width="12.5703125" style="143" hidden="1" customWidth="1"/>
    <col min="21" max="21" width="11.7109375" style="143" hidden="1" customWidth="1"/>
    <col min="22" max="22" width="12.42578125" style="143" hidden="1" customWidth="1"/>
    <col min="23" max="23" width="13.85546875" style="143" hidden="1" customWidth="1"/>
    <col min="24" max="24" width="25.5703125" style="143" hidden="1" customWidth="1"/>
    <col min="25" max="25" width="26" style="143" hidden="1" customWidth="1"/>
    <col min="26" max="27" width="15.42578125" style="143" customWidth="1"/>
    <col min="28" max="28" width="15.7109375" style="143" hidden="1" customWidth="1"/>
    <col min="29" max="16384" width="9.140625" style="143"/>
  </cols>
  <sheetData>
    <row r="1" spans="1:28" ht="22.5" customHeight="1" x14ac:dyDescent="0.25">
      <c r="A1" s="310" t="s">
        <v>159</v>
      </c>
      <c r="B1" s="310"/>
      <c r="C1" s="310"/>
      <c r="D1" s="310"/>
      <c r="E1" s="310"/>
      <c r="F1" s="310"/>
      <c r="G1" s="310"/>
      <c r="H1" s="310"/>
      <c r="I1" s="310"/>
      <c r="J1" s="310"/>
      <c r="K1" s="310"/>
      <c r="L1" s="310"/>
      <c r="M1" s="310"/>
      <c r="N1" s="310"/>
      <c r="O1" s="310"/>
      <c r="P1" s="310"/>
      <c r="Q1" s="310"/>
      <c r="R1" s="310"/>
      <c r="S1" s="310"/>
      <c r="T1" s="310"/>
      <c r="U1" s="310"/>
      <c r="V1" s="310"/>
      <c r="W1" s="310"/>
      <c r="X1" s="310"/>
      <c r="Y1" s="310"/>
      <c r="Z1" s="310"/>
      <c r="AA1" s="310"/>
      <c r="AB1" s="310"/>
    </row>
    <row r="2" spans="1:28" hidden="1" x14ac:dyDescent="0.25">
      <c r="A2" s="312" t="s">
        <v>311</v>
      </c>
      <c r="B2" s="312"/>
      <c r="C2" s="312"/>
      <c r="D2" s="312"/>
      <c r="E2" s="312"/>
      <c r="F2" s="312"/>
      <c r="G2" s="312"/>
      <c r="H2" s="312"/>
      <c r="I2" s="312"/>
      <c r="J2" s="312"/>
      <c r="K2" s="312"/>
      <c r="L2" s="312"/>
      <c r="M2" s="312"/>
      <c r="N2" s="312"/>
      <c r="O2" s="312"/>
      <c r="P2" s="312"/>
      <c r="Q2" s="312"/>
      <c r="R2" s="312"/>
      <c r="S2" s="312"/>
      <c r="T2" s="312"/>
      <c r="U2" s="312"/>
      <c r="V2" s="312"/>
      <c r="W2" s="312"/>
      <c r="X2" s="312"/>
      <c r="Y2" s="312"/>
      <c r="Z2" s="312"/>
      <c r="AA2" s="312"/>
      <c r="AB2" s="312"/>
    </row>
    <row r="3" spans="1:28" ht="19.5" customHeight="1" x14ac:dyDescent="0.25">
      <c r="A3" s="309" t="s">
        <v>421</v>
      </c>
      <c r="B3" s="309"/>
      <c r="C3" s="309"/>
      <c r="D3" s="309"/>
      <c r="E3" s="309"/>
      <c r="F3" s="309"/>
      <c r="G3" s="309"/>
      <c r="H3" s="309"/>
      <c r="I3" s="309"/>
      <c r="J3" s="309"/>
      <c r="K3" s="309"/>
      <c r="L3" s="309"/>
      <c r="M3" s="309"/>
      <c r="N3" s="309"/>
      <c r="O3" s="309"/>
      <c r="P3" s="309"/>
      <c r="Q3" s="309"/>
      <c r="R3" s="309"/>
      <c r="S3" s="309"/>
      <c r="T3" s="309"/>
      <c r="U3" s="309"/>
      <c r="V3" s="309"/>
      <c r="W3" s="309"/>
      <c r="X3" s="309"/>
      <c r="Y3" s="309"/>
      <c r="Z3" s="309"/>
      <c r="AA3" s="309"/>
      <c r="AB3" s="309"/>
    </row>
    <row r="4" spans="1:28" ht="18" customHeight="1" x14ac:dyDescent="0.25">
      <c r="A4" s="311" t="s">
        <v>663</v>
      </c>
      <c r="B4" s="311"/>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row>
    <row r="5" spans="1:28" ht="16.5" customHeight="1" x14ac:dyDescent="0.25">
      <c r="A5" s="2"/>
      <c r="B5" s="146"/>
      <c r="C5" s="36"/>
      <c r="D5" s="146"/>
      <c r="E5" s="2"/>
      <c r="F5" s="146"/>
      <c r="G5" s="146"/>
      <c r="H5" s="36"/>
      <c r="I5" s="36"/>
      <c r="J5" s="36"/>
      <c r="K5" s="36"/>
      <c r="L5" s="36"/>
      <c r="M5" s="36"/>
      <c r="N5" s="36"/>
      <c r="O5" s="36"/>
      <c r="P5" s="36"/>
      <c r="Q5" s="36"/>
      <c r="R5" s="36"/>
      <c r="S5" s="36"/>
      <c r="T5" s="146"/>
      <c r="U5" s="146"/>
      <c r="V5" s="146"/>
      <c r="W5" s="36"/>
      <c r="X5" s="146"/>
      <c r="Y5" s="146"/>
      <c r="Z5" s="313" t="s">
        <v>919</v>
      </c>
      <c r="AA5" s="313"/>
      <c r="AB5" s="313"/>
    </row>
    <row r="6" spans="1:28" ht="16.5" customHeight="1" x14ac:dyDescent="0.25">
      <c r="A6" s="304" t="s">
        <v>761</v>
      </c>
      <c r="B6" s="303" t="s">
        <v>178</v>
      </c>
      <c r="C6" s="304" t="s">
        <v>993</v>
      </c>
      <c r="D6" s="304" t="s">
        <v>850</v>
      </c>
      <c r="E6" s="304" t="s">
        <v>971</v>
      </c>
      <c r="F6" s="304" t="s">
        <v>991</v>
      </c>
      <c r="G6" s="304" t="s">
        <v>277</v>
      </c>
      <c r="H6" s="307" t="s">
        <v>1192</v>
      </c>
      <c r="I6" s="305" t="s">
        <v>944</v>
      </c>
      <c r="J6" s="305" t="s">
        <v>1015</v>
      </c>
      <c r="K6" s="305" t="s">
        <v>731</v>
      </c>
      <c r="L6" s="305" t="s">
        <v>125</v>
      </c>
      <c r="M6" s="304" t="s">
        <v>45</v>
      </c>
      <c r="N6" s="305" t="s">
        <v>138</v>
      </c>
      <c r="O6" s="305" t="s">
        <v>49</v>
      </c>
      <c r="P6" s="305" t="s">
        <v>679</v>
      </c>
      <c r="Q6" s="305" t="s">
        <v>866</v>
      </c>
      <c r="R6" s="305" t="s">
        <v>120</v>
      </c>
      <c r="S6" s="305" t="s">
        <v>913</v>
      </c>
      <c r="T6" s="304" t="s">
        <v>1102</v>
      </c>
      <c r="U6" s="304"/>
      <c r="V6" s="304"/>
      <c r="W6" s="305" t="s">
        <v>239</v>
      </c>
      <c r="X6" s="305" t="s">
        <v>516</v>
      </c>
      <c r="Y6" s="305" t="s">
        <v>1175</v>
      </c>
      <c r="Z6" s="305" t="s">
        <v>401</v>
      </c>
      <c r="AA6" s="305" t="s">
        <v>144</v>
      </c>
      <c r="AB6" s="305" t="s">
        <v>563</v>
      </c>
    </row>
    <row r="7" spans="1:28" ht="16.5" customHeight="1" x14ac:dyDescent="0.25">
      <c r="A7" s="304"/>
      <c r="B7" s="303"/>
      <c r="C7" s="304"/>
      <c r="D7" s="304"/>
      <c r="E7" s="304"/>
      <c r="F7" s="304"/>
      <c r="G7" s="304"/>
      <c r="H7" s="307"/>
      <c r="I7" s="305"/>
      <c r="J7" s="305"/>
      <c r="K7" s="305"/>
      <c r="L7" s="305"/>
      <c r="M7" s="304"/>
      <c r="N7" s="305"/>
      <c r="O7" s="305"/>
      <c r="P7" s="305"/>
      <c r="Q7" s="305"/>
      <c r="R7" s="305"/>
      <c r="S7" s="305"/>
      <c r="T7" s="150" t="s">
        <v>1119</v>
      </c>
      <c r="U7" s="150" t="s">
        <v>403</v>
      </c>
      <c r="V7" s="92" t="s">
        <v>536</v>
      </c>
      <c r="W7" s="305"/>
      <c r="X7" s="305"/>
      <c r="Y7" s="305"/>
      <c r="Z7" s="305"/>
      <c r="AA7" s="305"/>
      <c r="AB7" s="305"/>
    </row>
    <row r="8" spans="1:28" x14ac:dyDescent="0.25">
      <c r="A8" s="65">
        <v>1</v>
      </c>
      <c r="B8" s="154" t="s">
        <v>1059</v>
      </c>
      <c r="C8" s="94">
        <v>421</v>
      </c>
      <c r="D8" s="31" t="s">
        <v>711</v>
      </c>
      <c r="E8" s="65" t="s">
        <v>561</v>
      </c>
      <c r="F8" s="94"/>
      <c r="G8" s="66"/>
      <c r="H8" s="126">
        <f>SUM(H9:H9)</f>
        <v>7.8202999999999996</v>
      </c>
      <c r="I8" s="54">
        <v>100000</v>
      </c>
      <c r="J8" s="54">
        <f>ROUND(H8*I8,0)</f>
        <v>782030</v>
      </c>
      <c r="K8" s="54">
        <f>'Tổng hợp VL,NC,M'!I6</f>
        <v>100000</v>
      </c>
      <c r="L8" s="54">
        <f>ROUND(H8*K8,0)</f>
        <v>782030</v>
      </c>
      <c r="M8" s="94">
        <v>1</v>
      </c>
      <c r="N8" s="54"/>
      <c r="O8" s="54">
        <f>ROUND(H8*N8,0)</f>
        <v>0</v>
      </c>
      <c r="P8" s="54"/>
      <c r="Q8" s="54">
        <f>ROUND(H8*P8,0)</f>
        <v>0</v>
      </c>
      <c r="R8" s="54"/>
      <c r="S8" s="54">
        <f>ROUND(H8*R8,0)</f>
        <v>0</v>
      </c>
      <c r="T8" s="94"/>
      <c r="U8" s="94"/>
      <c r="V8" s="54">
        <f>ROUND((K8+N8+P8+R8)*(U8+T8),0)</f>
        <v>0</v>
      </c>
      <c r="W8" s="54">
        <f>K8+N8+P8+R8+V8</f>
        <v>100000</v>
      </c>
      <c r="X8" s="54">
        <f>K8-I8</f>
        <v>0</v>
      </c>
      <c r="Y8" s="54">
        <f>ROUND(H8*X8,0)</f>
        <v>0</v>
      </c>
      <c r="Z8" s="54">
        <f>W8-I8</f>
        <v>0</v>
      </c>
      <c r="AA8" s="54">
        <f>ROUND(H8*Z8,0)</f>
        <v>0</v>
      </c>
      <c r="AB8" s="54">
        <f>ROUND(H8*W8,0)</f>
        <v>782030</v>
      </c>
    </row>
    <row r="9" spans="1:28" hidden="1" x14ac:dyDescent="0.25">
      <c r="A9" s="168"/>
      <c r="B9" s="133" t="str">
        <f>'Công trình'!B262</f>
        <v>AI.21152</v>
      </c>
      <c r="C9" s="34"/>
      <c r="D9" s="133" t="str">
        <f>'Công trình'!C262</f>
        <v>Sản xuất kết cấu thép lan can cầu đường bộ</v>
      </c>
      <c r="E9" s="168"/>
      <c r="F9" s="20">
        <v>1</v>
      </c>
      <c r="G9" s="169"/>
      <c r="H9" s="45">
        <f>'Hao phí vật tư'!J1993</f>
        <v>7.8202999999999996</v>
      </c>
      <c r="I9" s="166"/>
      <c r="J9" s="156">
        <f>ROUND(H9*I8,2)</f>
        <v>782030</v>
      </c>
      <c r="K9" s="166"/>
      <c r="L9" s="156">
        <f>ROUND(H9*K8,2)</f>
        <v>782030</v>
      </c>
      <c r="M9" s="34"/>
      <c r="N9" s="166"/>
      <c r="O9" s="156">
        <f>ROUND(H9*N8,2)</f>
        <v>0</v>
      </c>
      <c r="P9" s="166"/>
      <c r="Q9" s="156">
        <f>ROUND(H9*P8,2)</f>
        <v>0</v>
      </c>
      <c r="R9" s="166"/>
      <c r="S9" s="156">
        <f>ROUND(H9*R8,2)</f>
        <v>0</v>
      </c>
      <c r="T9" s="34"/>
      <c r="U9" s="34"/>
      <c r="V9" s="166"/>
      <c r="W9" s="166"/>
      <c r="X9" s="166"/>
      <c r="Y9" s="156">
        <f>ROUND(H9*X8,2)</f>
        <v>0</v>
      </c>
      <c r="Z9" s="166"/>
      <c r="AA9" s="156">
        <f>ROUND(H9*Z8,2)</f>
        <v>0</v>
      </c>
      <c r="AB9" s="156">
        <f>ROUND(H9*W8,2)</f>
        <v>782030</v>
      </c>
    </row>
    <row r="10" spans="1:28" x14ac:dyDescent="0.25">
      <c r="A10" s="168">
        <v>2</v>
      </c>
      <c r="B10" s="84" t="s">
        <v>900</v>
      </c>
      <c r="C10" s="34">
        <v>520</v>
      </c>
      <c r="D10" s="144" t="s">
        <v>313</v>
      </c>
      <c r="E10" s="168" t="s">
        <v>1123</v>
      </c>
      <c r="F10" s="34"/>
      <c r="G10" s="169"/>
      <c r="H10" s="60">
        <f>SUM(H11:H11)</f>
        <v>1485.8</v>
      </c>
      <c r="I10" s="166">
        <v>2000</v>
      </c>
      <c r="J10" s="166">
        <f>ROUND(H10*I10,0)</f>
        <v>2971600</v>
      </c>
      <c r="K10" s="166">
        <f>'Tổng hợp VL,NC,M'!I8</f>
        <v>2000</v>
      </c>
      <c r="L10" s="166">
        <f>ROUND(H10*K10,0)</f>
        <v>2971600</v>
      </c>
      <c r="M10" s="34">
        <v>1</v>
      </c>
      <c r="N10" s="166"/>
      <c r="O10" s="166">
        <f>ROUND(H10*N10,0)</f>
        <v>0</v>
      </c>
      <c r="P10" s="166"/>
      <c r="Q10" s="166">
        <f>ROUND(H10*P10,0)</f>
        <v>0</v>
      </c>
      <c r="R10" s="166"/>
      <c r="S10" s="166">
        <f>ROUND(H10*R10,0)</f>
        <v>0</v>
      </c>
      <c r="T10" s="34"/>
      <c r="U10" s="34"/>
      <c r="V10" s="166">
        <f>ROUND((K10+N10+P10+R10)*(U10+T10),0)</f>
        <v>0</v>
      </c>
      <c r="W10" s="166">
        <f>K10+N10+P10+R10+V10</f>
        <v>2000</v>
      </c>
      <c r="X10" s="166">
        <f>K10-I10</f>
        <v>0</v>
      </c>
      <c r="Y10" s="166">
        <f>ROUND(H10*X10,0)</f>
        <v>0</v>
      </c>
      <c r="Z10" s="166">
        <f>W10-I10</f>
        <v>0</v>
      </c>
      <c r="AA10" s="166">
        <f>ROUND(H10*Z10,0)</f>
        <v>0</v>
      </c>
      <c r="AB10" s="166">
        <f>ROUND(H10*W10,0)</f>
        <v>2971600</v>
      </c>
    </row>
    <row r="11" spans="1:28" ht="30" hidden="1" x14ac:dyDescent="0.25">
      <c r="A11" s="168"/>
      <c r="B11" s="133" t="str">
        <f>'Công trình'!B99</f>
        <v>TT</v>
      </c>
      <c r="C11" s="34"/>
      <c r="D11" s="133" t="str">
        <f>'Công trình'!C99</f>
        <v>Đắp đê quây bằng bao tải cát (VD định mức đắp bao tải đất theo QĐ số 4416/QĐ-BGTVT)</v>
      </c>
      <c r="E11" s="168"/>
      <c r="F11" s="20">
        <v>1</v>
      </c>
      <c r="G11" s="169"/>
      <c r="H11" s="45">
        <f>'Hao phí vật tư'!J803</f>
        <v>1485.8</v>
      </c>
      <c r="I11" s="166"/>
      <c r="J11" s="156">
        <f>ROUND(H11*I10,2)</f>
        <v>2971600</v>
      </c>
      <c r="K11" s="166"/>
      <c r="L11" s="156">
        <f>ROUND(H11*K10,2)</f>
        <v>2971600</v>
      </c>
      <c r="M11" s="34"/>
      <c r="N11" s="166"/>
      <c r="O11" s="156">
        <f>ROUND(H11*N10,2)</f>
        <v>0</v>
      </c>
      <c r="P11" s="166"/>
      <c r="Q11" s="156">
        <f>ROUND(H11*P10,2)</f>
        <v>0</v>
      </c>
      <c r="R11" s="166"/>
      <c r="S11" s="156">
        <f>ROUND(H11*R10,2)</f>
        <v>0</v>
      </c>
      <c r="T11" s="34"/>
      <c r="U11" s="34"/>
      <c r="V11" s="166"/>
      <c r="W11" s="166"/>
      <c r="X11" s="166"/>
      <c r="Y11" s="156">
        <f>ROUND(H11*X10,2)</f>
        <v>0</v>
      </c>
      <c r="Z11" s="166"/>
      <c r="AA11" s="156">
        <f>ROUND(H11*Z10,2)</f>
        <v>0</v>
      </c>
      <c r="AB11" s="156">
        <f>ROUND(H11*W10,2)</f>
        <v>2971600</v>
      </c>
    </row>
    <row r="12" spans="1:28" x14ac:dyDescent="0.25">
      <c r="A12" s="168">
        <v>3</v>
      </c>
      <c r="B12" s="84" t="s">
        <v>732</v>
      </c>
      <c r="C12" s="34">
        <v>113</v>
      </c>
      <c r="D12" s="144" t="s">
        <v>1129</v>
      </c>
      <c r="E12" s="168" t="s">
        <v>1123</v>
      </c>
      <c r="F12" s="34"/>
      <c r="G12" s="169"/>
      <c r="H12" s="60">
        <f>SUM(H13:H14)</f>
        <v>2254</v>
      </c>
      <c r="I12" s="166">
        <v>10000</v>
      </c>
      <c r="J12" s="166">
        <f>ROUND(H12*I12,0)</f>
        <v>22540000</v>
      </c>
      <c r="K12" s="166">
        <f>'Tổng hợp VL,NC,M'!I10</f>
        <v>10000</v>
      </c>
      <c r="L12" s="166">
        <f>ROUND(H12*K12,0)</f>
        <v>22540000</v>
      </c>
      <c r="M12" s="34">
        <v>1</v>
      </c>
      <c r="N12" s="166"/>
      <c r="O12" s="166">
        <f>ROUND(H12*N12,0)</f>
        <v>0</v>
      </c>
      <c r="P12" s="166"/>
      <c r="Q12" s="166">
        <f>ROUND(H12*P12,0)</f>
        <v>0</v>
      </c>
      <c r="R12" s="166"/>
      <c r="S12" s="166">
        <f>ROUND(H12*R12,0)</f>
        <v>0</v>
      </c>
      <c r="T12" s="34"/>
      <c r="U12" s="34"/>
      <c r="V12" s="166">
        <f>ROUND((K12+N12+P12+R12)*(U12+T12),0)</f>
        <v>0</v>
      </c>
      <c r="W12" s="166">
        <f>K12+N12+P12+R12+V12</f>
        <v>10000</v>
      </c>
      <c r="X12" s="166">
        <f>K12-I12</f>
        <v>0</v>
      </c>
      <c r="Y12" s="166">
        <f>ROUND(H12*X12,0)</f>
        <v>0</v>
      </c>
      <c r="Z12" s="166">
        <f>W12-I12</f>
        <v>0</v>
      </c>
      <c r="AA12" s="166">
        <f>ROUND(H12*Z12,0)</f>
        <v>0</v>
      </c>
      <c r="AB12" s="166">
        <f>ROUND(H12*W12,0)</f>
        <v>22540000</v>
      </c>
    </row>
    <row r="13" spans="1:28" hidden="1" x14ac:dyDescent="0.25">
      <c r="A13" s="168"/>
      <c r="B13" s="133" t="str">
        <f>'Công trình'!B264</f>
        <v>TT</v>
      </c>
      <c r="C13" s="34"/>
      <c r="D13" s="133" t="str">
        <f>'Công trình'!C264</f>
        <v>Bu long các loại</v>
      </c>
      <c r="E13" s="168"/>
      <c r="F13" s="20">
        <v>1</v>
      </c>
      <c r="G13" s="169"/>
      <c r="H13" s="45">
        <f>'Hao phí vật tư'!J2019</f>
        <v>1750</v>
      </c>
      <c r="I13" s="166"/>
      <c r="J13" s="156">
        <f>ROUND(H13*I12,2)</f>
        <v>17500000</v>
      </c>
      <c r="K13" s="166"/>
      <c r="L13" s="156">
        <f>ROUND(H13*K12,2)</f>
        <v>17500000</v>
      </c>
      <c r="M13" s="34"/>
      <c r="N13" s="166"/>
      <c r="O13" s="156">
        <f>ROUND(H13*N12,2)</f>
        <v>0</v>
      </c>
      <c r="P13" s="166"/>
      <c r="Q13" s="156">
        <f>ROUND(H13*P12,2)</f>
        <v>0</v>
      </c>
      <c r="R13" s="166"/>
      <c r="S13" s="156">
        <f>ROUND(H13*R12,2)</f>
        <v>0</v>
      </c>
      <c r="T13" s="34"/>
      <c r="U13" s="34"/>
      <c r="V13" s="166"/>
      <c r="W13" s="166"/>
      <c r="X13" s="166"/>
      <c r="Y13" s="156">
        <f>ROUND(H13*X12,2)</f>
        <v>0</v>
      </c>
      <c r="Z13" s="166"/>
      <c r="AA13" s="156">
        <f>ROUND(H13*Z12,2)</f>
        <v>0</v>
      </c>
      <c r="AB13" s="156">
        <f>ROUND(H13*W12,2)</f>
        <v>17500000</v>
      </c>
    </row>
    <row r="14" spans="1:28" hidden="1" x14ac:dyDescent="0.25">
      <c r="A14" s="168"/>
      <c r="B14" s="133" t="str">
        <f>'Công trình'!B281</f>
        <v>TT</v>
      </c>
      <c r="C14" s="34"/>
      <c r="D14" s="133" t="str">
        <f>'Công trình'!C281</f>
        <v>Bu long các loại</v>
      </c>
      <c r="E14" s="168"/>
      <c r="F14" s="20">
        <v>1</v>
      </c>
      <c r="G14" s="169"/>
      <c r="H14" s="45">
        <f>'Hao phí vật tư'!J2109</f>
        <v>504</v>
      </c>
      <c r="I14" s="166"/>
      <c r="J14" s="156">
        <f>ROUND(H14*I12,2)</f>
        <v>5040000</v>
      </c>
      <c r="K14" s="166"/>
      <c r="L14" s="156">
        <f>ROUND(H14*K12,2)</f>
        <v>5040000</v>
      </c>
      <c r="M14" s="34"/>
      <c r="N14" s="166"/>
      <c r="O14" s="156">
        <f>ROUND(H14*N12,2)</f>
        <v>0</v>
      </c>
      <c r="P14" s="166"/>
      <c r="Q14" s="156">
        <f>ROUND(H14*P12,2)</f>
        <v>0</v>
      </c>
      <c r="R14" s="166"/>
      <c r="S14" s="156">
        <f>ROUND(H14*R12,2)</f>
        <v>0</v>
      </c>
      <c r="T14" s="34"/>
      <c r="U14" s="34"/>
      <c r="V14" s="166"/>
      <c r="W14" s="166"/>
      <c r="X14" s="166"/>
      <c r="Y14" s="156">
        <f>ROUND(H14*X12,2)</f>
        <v>0</v>
      </c>
      <c r="Z14" s="166"/>
      <c r="AA14" s="156">
        <f>ROUND(H14*Z12,2)</f>
        <v>0</v>
      </c>
      <c r="AB14" s="156">
        <f>ROUND(H14*W12,2)</f>
        <v>5040000</v>
      </c>
    </row>
    <row r="15" spans="1:28" x14ac:dyDescent="0.25">
      <c r="A15" s="168">
        <v>4</v>
      </c>
      <c r="B15" s="84" t="s">
        <v>732</v>
      </c>
      <c r="C15" s="34">
        <v>114</v>
      </c>
      <c r="D15" s="144" t="s">
        <v>1129</v>
      </c>
      <c r="E15" s="168" t="s">
        <v>1123</v>
      </c>
      <c r="F15" s="34"/>
      <c r="G15" s="169"/>
      <c r="H15" s="60">
        <f>SUM(H16:H16)</f>
        <v>31.2</v>
      </c>
      <c r="I15" s="166">
        <v>5000</v>
      </c>
      <c r="J15" s="166">
        <f>ROUND(H15*I15,0)</f>
        <v>156000</v>
      </c>
      <c r="K15" s="166">
        <f>'Tổng hợp VL,NC,M'!I13</f>
        <v>5000</v>
      </c>
      <c r="L15" s="166">
        <f>ROUND(H15*K15,0)</f>
        <v>156000</v>
      </c>
      <c r="M15" s="34">
        <v>1</v>
      </c>
      <c r="N15" s="166"/>
      <c r="O15" s="166">
        <f>ROUND(H15*N15,0)</f>
        <v>0</v>
      </c>
      <c r="P15" s="166"/>
      <c r="Q15" s="166">
        <f>ROUND(H15*P15,0)</f>
        <v>0</v>
      </c>
      <c r="R15" s="166"/>
      <c r="S15" s="166">
        <f>ROUND(H15*R15,0)</f>
        <v>0</v>
      </c>
      <c r="T15" s="34"/>
      <c r="U15" s="34"/>
      <c r="V15" s="166">
        <f>ROUND((K15+N15+P15+R15)*(U15+T15),0)</f>
        <v>0</v>
      </c>
      <c r="W15" s="166">
        <f>K15+N15+P15+R15+V15</f>
        <v>5000</v>
      </c>
      <c r="X15" s="166">
        <f>K15-I15</f>
        <v>0</v>
      </c>
      <c r="Y15" s="166">
        <f>ROUND(H15*X15,0)</f>
        <v>0</v>
      </c>
      <c r="Z15" s="166">
        <f>W15-I15</f>
        <v>0</v>
      </c>
      <c r="AA15" s="166">
        <f>ROUND(H15*Z15,0)</f>
        <v>0</v>
      </c>
      <c r="AB15" s="166">
        <f>ROUND(H15*W15,0)</f>
        <v>156000</v>
      </c>
    </row>
    <row r="16" spans="1:28" hidden="1" x14ac:dyDescent="0.25">
      <c r="A16" s="168"/>
      <c r="B16" s="133" t="str">
        <f>'Công trình'!B275</f>
        <v>AD.34130</v>
      </c>
      <c r="C16" s="34"/>
      <c r="D16" s="133" t="str">
        <f>'Công trình'!C275</f>
        <v>Lắp đặt dải phân cách bằng tôn lượn sóng</v>
      </c>
      <c r="E16" s="168"/>
      <c r="F16" s="20">
        <v>1</v>
      </c>
      <c r="G16" s="169"/>
      <c r="H16" s="45">
        <f>'Hao phí vật tư'!J2086</f>
        <v>31.2</v>
      </c>
      <c r="I16" s="166"/>
      <c r="J16" s="156">
        <f>ROUND(H16*I15,2)</f>
        <v>156000</v>
      </c>
      <c r="K16" s="166"/>
      <c r="L16" s="156">
        <f>ROUND(H16*K15,2)</f>
        <v>156000</v>
      </c>
      <c r="M16" s="34"/>
      <c r="N16" s="166"/>
      <c r="O16" s="156">
        <f>ROUND(H16*N15,2)</f>
        <v>0</v>
      </c>
      <c r="P16" s="166"/>
      <c r="Q16" s="156">
        <f>ROUND(H16*P15,2)</f>
        <v>0</v>
      </c>
      <c r="R16" s="166"/>
      <c r="S16" s="156">
        <f>ROUND(H16*R15,2)</f>
        <v>0</v>
      </c>
      <c r="T16" s="34"/>
      <c r="U16" s="34"/>
      <c r="V16" s="166"/>
      <c r="W16" s="166"/>
      <c r="X16" s="166"/>
      <c r="Y16" s="156">
        <f>ROUND(H16*X15,2)</f>
        <v>0</v>
      </c>
      <c r="Z16" s="166"/>
      <c r="AA16" s="156">
        <f>ROUND(H16*Z15,2)</f>
        <v>0</v>
      </c>
      <c r="AB16" s="156">
        <f>ROUND(H16*W15,2)</f>
        <v>156000</v>
      </c>
    </row>
    <row r="17" spans="1:28" x14ac:dyDescent="0.25">
      <c r="A17" s="168">
        <v>5</v>
      </c>
      <c r="B17" s="84" t="s">
        <v>1050</v>
      </c>
      <c r="C17" s="34">
        <v>119</v>
      </c>
      <c r="D17" s="144" t="s">
        <v>1174</v>
      </c>
      <c r="E17" s="168" t="s">
        <v>1123</v>
      </c>
      <c r="F17" s="34"/>
      <c r="G17" s="169"/>
      <c r="H17" s="60">
        <f>SUM(H18:H19)</f>
        <v>72</v>
      </c>
      <c r="I17" s="166">
        <v>7000</v>
      </c>
      <c r="J17" s="166">
        <f>ROUND(H17*I17,0)</f>
        <v>504000</v>
      </c>
      <c r="K17" s="166">
        <f>'Tổng hợp VL,NC,M'!I15</f>
        <v>7000</v>
      </c>
      <c r="L17" s="166">
        <f>ROUND(H17*K17,0)</f>
        <v>504000</v>
      </c>
      <c r="M17" s="34">
        <v>1</v>
      </c>
      <c r="N17" s="166"/>
      <c r="O17" s="166">
        <f>ROUND(H17*N17,0)</f>
        <v>0</v>
      </c>
      <c r="P17" s="166"/>
      <c r="Q17" s="166">
        <f>ROUND(H17*P17,0)</f>
        <v>0</v>
      </c>
      <c r="R17" s="166"/>
      <c r="S17" s="166">
        <f>ROUND(H17*R17,0)</f>
        <v>0</v>
      </c>
      <c r="T17" s="34"/>
      <c r="U17" s="34"/>
      <c r="V17" s="166">
        <f>ROUND((K17+N17+P17+R17)*(U17+T17),0)</f>
        <v>0</v>
      </c>
      <c r="W17" s="166">
        <f>K17+N17+P17+R17+V17</f>
        <v>7000</v>
      </c>
      <c r="X17" s="166">
        <f>K17-I17</f>
        <v>0</v>
      </c>
      <c r="Y17" s="166">
        <f>ROUND(H17*X17,0)</f>
        <v>0</v>
      </c>
      <c r="Z17" s="166">
        <f>W17-I17</f>
        <v>0</v>
      </c>
      <c r="AA17" s="166">
        <f>ROUND(H17*Z17,0)</f>
        <v>0</v>
      </c>
      <c r="AB17" s="166">
        <f>ROUND(H17*W17,0)</f>
        <v>504000</v>
      </c>
    </row>
    <row r="18" spans="1:28" hidden="1" x14ac:dyDescent="0.25">
      <c r="A18" s="168"/>
      <c r="B18" s="133" t="str">
        <f>'Công trình'!B270</f>
        <v>TT</v>
      </c>
      <c r="C18" s="34"/>
      <c r="D18" s="133" t="str">
        <f>'Công trình'!C270</f>
        <v>Bu lông M14</v>
      </c>
      <c r="E18" s="168"/>
      <c r="F18" s="20">
        <v>1</v>
      </c>
      <c r="G18" s="169"/>
      <c r="H18" s="45">
        <f>'Hao phí vật tư'!J2065</f>
        <v>56</v>
      </c>
      <c r="I18" s="166"/>
      <c r="J18" s="156">
        <f>ROUND(H18*I17,2)</f>
        <v>392000</v>
      </c>
      <c r="K18" s="166"/>
      <c r="L18" s="156">
        <f>ROUND(H18*K17,2)</f>
        <v>392000</v>
      </c>
      <c r="M18" s="34"/>
      <c r="N18" s="166"/>
      <c r="O18" s="156">
        <f>ROUND(H18*N17,2)</f>
        <v>0</v>
      </c>
      <c r="P18" s="166"/>
      <c r="Q18" s="156">
        <f>ROUND(H18*P17,2)</f>
        <v>0</v>
      </c>
      <c r="R18" s="166"/>
      <c r="S18" s="156">
        <f>ROUND(H18*R17,2)</f>
        <v>0</v>
      </c>
      <c r="T18" s="34"/>
      <c r="U18" s="34"/>
      <c r="V18" s="166"/>
      <c r="W18" s="166"/>
      <c r="X18" s="166"/>
      <c r="Y18" s="156">
        <f>ROUND(H18*X17,2)</f>
        <v>0</v>
      </c>
      <c r="Z18" s="166"/>
      <c r="AA18" s="156">
        <f>ROUND(H18*Z17,2)</f>
        <v>0</v>
      </c>
      <c r="AB18" s="156">
        <f>ROUND(H18*W17,2)</f>
        <v>392000</v>
      </c>
    </row>
    <row r="19" spans="1:28" hidden="1" x14ac:dyDescent="0.25">
      <c r="A19" s="168"/>
      <c r="B19" s="133" t="str">
        <f>'Công trình'!B294</f>
        <v>TT</v>
      </c>
      <c r="C19" s="34"/>
      <c r="D19" s="133" t="str">
        <f>'Công trình'!C294</f>
        <v>Bu lông M14</v>
      </c>
      <c r="E19" s="168"/>
      <c r="F19" s="20">
        <v>1</v>
      </c>
      <c r="G19" s="169"/>
      <c r="H19" s="45">
        <f>'Hao phí vật tư'!J2203</f>
        <v>16</v>
      </c>
      <c r="I19" s="166"/>
      <c r="J19" s="156">
        <f>ROUND(H19*I17,2)</f>
        <v>112000</v>
      </c>
      <c r="K19" s="166"/>
      <c r="L19" s="156">
        <f>ROUND(H19*K17,2)</f>
        <v>112000</v>
      </c>
      <c r="M19" s="34"/>
      <c r="N19" s="166"/>
      <c r="O19" s="156">
        <f>ROUND(H19*N17,2)</f>
        <v>0</v>
      </c>
      <c r="P19" s="166"/>
      <c r="Q19" s="156">
        <f>ROUND(H19*P17,2)</f>
        <v>0</v>
      </c>
      <c r="R19" s="166"/>
      <c r="S19" s="156">
        <f>ROUND(H19*R17,2)</f>
        <v>0</v>
      </c>
      <c r="T19" s="34"/>
      <c r="U19" s="34"/>
      <c r="V19" s="166"/>
      <c r="W19" s="166"/>
      <c r="X19" s="166"/>
      <c r="Y19" s="156">
        <f>ROUND(H19*X17,2)</f>
        <v>0</v>
      </c>
      <c r="Z19" s="166"/>
      <c r="AA19" s="156">
        <f>ROUND(H19*Z17,2)</f>
        <v>0</v>
      </c>
      <c r="AB19" s="156">
        <f>ROUND(H19*W17,2)</f>
        <v>112000</v>
      </c>
    </row>
    <row r="20" spans="1:28" x14ac:dyDescent="0.25">
      <c r="A20" s="168">
        <v>6</v>
      </c>
      <c r="B20" s="84" t="s">
        <v>492</v>
      </c>
      <c r="C20" s="34">
        <v>122</v>
      </c>
      <c r="D20" s="144" t="s">
        <v>929</v>
      </c>
      <c r="E20" s="168" t="s">
        <v>1123</v>
      </c>
      <c r="F20" s="34"/>
      <c r="G20" s="169"/>
      <c r="H20" s="60">
        <f>SUM(H21:H29)</f>
        <v>2696.5978</v>
      </c>
      <c r="I20" s="166">
        <v>10000</v>
      </c>
      <c r="J20" s="166">
        <f>ROUND(H20*I20,0)</f>
        <v>26965978</v>
      </c>
      <c r="K20" s="166">
        <f>'Tổng hợp VL,NC,M'!I18</f>
        <v>10000</v>
      </c>
      <c r="L20" s="166">
        <f>ROUND(H20*K20,0)</f>
        <v>26965978</v>
      </c>
      <c r="M20" s="34">
        <v>1</v>
      </c>
      <c r="N20" s="166"/>
      <c r="O20" s="166">
        <f>ROUND(H20*N20,0)</f>
        <v>0</v>
      </c>
      <c r="P20" s="166"/>
      <c r="Q20" s="166">
        <f>ROUND(H20*P20,0)</f>
        <v>0</v>
      </c>
      <c r="R20" s="166"/>
      <c r="S20" s="166">
        <f>ROUND(H20*R20,0)</f>
        <v>0</v>
      </c>
      <c r="T20" s="34"/>
      <c r="U20" s="34"/>
      <c r="V20" s="166">
        <f>ROUND((K20+N20+P20+R20)*(U20+T20),0)</f>
        <v>0</v>
      </c>
      <c r="W20" s="166">
        <f>K20+N20+P20+R20+V20</f>
        <v>10000</v>
      </c>
      <c r="X20" s="166">
        <f>K20-I20</f>
        <v>0</v>
      </c>
      <c r="Y20" s="166">
        <f>ROUND(H20*X20,0)</f>
        <v>0</v>
      </c>
      <c r="Z20" s="166">
        <f>W20-I20</f>
        <v>0</v>
      </c>
      <c r="AA20" s="166">
        <f>ROUND(H20*Z20,0)</f>
        <v>0</v>
      </c>
      <c r="AB20" s="166">
        <f>ROUND(H20*W20,0)</f>
        <v>26965978</v>
      </c>
    </row>
    <row r="21" spans="1:28" ht="30" hidden="1" x14ac:dyDescent="0.25">
      <c r="A21" s="168"/>
      <c r="B21" s="133" t="str">
        <f>'Công trình'!B112</f>
        <v>AI.63311</v>
      </c>
      <c r="C21" s="34"/>
      <c r="D21" s="133" t="str">
        <f>'Công trình'!C112</f>
        <v>Lắp dựng kết cấu thép hệ khung dàn, sàn đạo trên cạn</v>
      </c>
      <c r="E21" s="168"/>
      <c r="F21" s="20">
        <v>1</v>
      </c>
      <c r="G21" s="169"/>
      <c r="H21" s="45">
        <f>'Hao phí vật tư'!J889</f>
        <v>151.572</v>
      </c>
      <c r="I21" s="166"/>
      <c r="J21" s="156">
        <f>ROUND(H21*I20,2)</f>
        <v>1515720</v>
      </c>
      <c r="K21" s="166"/>
      <c r="L21" s="156">
        <f>ROUND(H21*K20,2)</f>
        <v>1515720</v>
      </c>
      <c r="M21" s="34"/>
      <c r="N21" s="166"/>
      <c r="O21" s="156">
        <f>ROUND(H21*N20,2)</f>
        <v>0</v>
      </c>
      <c r="P21" s="166"/>
      <c r="Q21" s="156">
        <f>ROUND(H21*P20,2)</f>
        <v>0</v>
      </c>
      <c r="R21" s="166"/>
      <c r="S21" s="156">
        <f>ROUND(H21*R20,2)</f>
        <v>0</v>
      </c>
      <c r="T21" s="34"/>
      <c r="U21" s="34"/>
      <c r="V21" s="166"/>
      <c r="W21" s="166"/>
      <c r="X21" s="166"/>
      <c r="Y21" s="156">
        <f>ROUND(H21*X20,2)</f>
        <v>0</v>
      </c>
      <c r="Z21" s="166"/>
      <c r="AA21" s="156">
        <f>ROUND(H21*Z20,2)</f>
        <v>0</v>
      </c>
      <c r="AB21" s="156">
        <f>ROUND(H21*W20,2)</f>
        <v>1515720</v>
      </c>
    </row>
    <row r="22" spans="1:28" ht="30" hidden="1" x14ac:dyDescent="0.25">
      <c r="A22" s="168"/>
      <c r="B22" s="133" t="str">
        <f>'Công trình'!B113</f>
        <v>AI.63311</v>
      </c>
      <c r="C22" s="34"/>
      <c r="D22" s="133" t="str">
        <f>'Công trình'!C113</f>
        <v>Tháo dỡ kết cấu thép hệ khung dàn, sàn đạo trên cạn (60% Đg)</v>
      </c>
      <c r="E22" s="168"/>
      <c r="F22" s="20">
        <v>1</v>
      </c>
      <c r="G22" s="169"/>
      <c r="H22" s="45">
        <f>'Hao phí vật tư'!J900</f>
        <v>90.943200000000004</v>
      </c>
      <c r="I22" s="166"/>
      <c r="J22" s="156">
        <f>ROUND(H22*I20,2)</f>
        <v>909432</v>
      </c>
      <c r="K22" s="166"/>
      <c r="L22" s="156">
        <f>ROUND(H22*K20,2)</f>
        <v>909432</v>
      </c>
      <c r="M22" s="34"/>
      <c r="N22" s="166"/>
      <c r="O22" s="156">
        <f>ROUND(H22*N20,2)</f>
        <v>0</v>
      </c>
      <c r="P22" s="166"/>
      <c r="Q22" s="156">
        <f>ROUND(H22*P20,2)</f>
        <v>0</v>
      </c>
      <c r="R22" s="166"/>
      <c r="S22" s="156">
        <f>ROUND(H22*R20,2)</f>
        <v>0</v>
      </c>
      <c r="T22" s="34"/>
      <c r="U22" s="34"/>
      <c r="V22" s="166"/>
      <c r="W22" s="166"/>
      <c r="X22" s="166"/>
      <c r="Y22" s="156">
        <f>ROUND(H22*X20,2)</f>
        <v>0</v>
      </c>
      <c r="Z22" s="166"/>
      <c r="AA22" s="156">
        <f>ROUND(H22*Z20,2)</f>
        <v>0</v>
      </c>
      <c r="AB22" s="156">
        <f>ROUND(H22*W20,2)</f>
        <v>909432</v>
      </c>
    </row>
    <row r="23" spans="1:28" ht="30" hidden="1" x14ac:dyDescent="0.25">
      <c r="A23" s="168"/>
      <c r="B23" s="133" t="str">
        <f>'Công trình'!B123</f>
        <v>AI.63311</v>
      </c>
      <c r="C23" s="34"/>
      <c r="D23" s="133" t="str">
        <f>'Công trình'!C123</f>
        <v>Lắp dựng kết cấu thép hệ khung dàn, sàn đạo trên cạn</v>
      </c>
      <c r="E23" s="168"/>
      <c r="F23" s="20">
        <v>1</v>
      </c>
      <c r="G23" s="169"/>
      <c r="H23" s="45">
        <f>'Hao phí vật tư'!J961</f>
        <v>62.466000000000001</v>
      </c>
      <c r="I23" s="166"/>
      <c r="J23" s="156">
        <f>ROUND(H23*I20,2)</f>
        <v>624660</v>
      </c>
      <c r="K23" s="166"/>
      <c r="L23" s="156">
        <f>ROUND(H23*K20,2)</f>
        <v>624660</v>
      </c>
      <c r="M23" s="34"/>
      <c r="N23" s="166"/>
      <c r="O23" s="156">
        <f>ROUND(H23*N20,2)</f>
        <v>0</v>
      </c>
      <c r="P23" s="166"/>
      <c r="Q23" s="156">
        <f>ROUND(H23*P20,2)</f>
        <v>0</v>
      </c>
      <c r="R23" s="166"/>
      <c r="S23" s="156">
        <f>ROUND(H23*R20,2)</f>
        <v>0</v>
      </c>
      <c r="T23" s="34"/>
      <c r="U23" s="34"/>
      <c r="V23" s="166"/>
      <c r="W23" s="166"/>
      <c r="X23" s="166"/>
      <c r="Y23" s="156">
        <f>ROUND(H23*X20,2)</f>
        <v>0</v>
      </c>
      <c r="Z23" s="166"/>
      <c r="AA23" s="156">
        <f>ROUND(H23*Z20,2)</f>
        <v>0</v>
      </c>
      <c r="AB23" s="156">
        <f>ROUND(H23*W20,2)</f>
        <v>624660</v>
      </c>
    </row>
    <row r="24" spans="1:28" ht="30" hidden="1" x14ac:dyDescent="0.25">
      <c r="A24" s="168"/>
      <c r="B24" s="133" t="str">
        <f>'Công trình'!B124</f>
        <v>AI.63311</v>
      </c>
      <c r="C24" s="34"/>
      <c r="D24" s="133" t="str">
        <f>'Công trình'!C124</f>
        <v>Tháo dỡ kết cấu thép hệ khung dàn, sàn đạo trên cạn (60% Đg)</v>
      </c>
      <c r="E24" s="168"/>
      <c r="F24" s="20">
        <v>1</v>
      </c>
      <c r="G24" s="169"/>
      <c r="H24" s="45">
        <f>'Hao phí vật tư'!J972</f>
        <v>37.479599999999998</v>
      </c>
      <c r="I24" s="166"/>
      <c r="J24" s="156">
        <f>ROUND(H24*I20,2)</f>
        <v>374796</v>
      </c>
      <c r="K24" s="166"/>
      <c r="L24" s="156">
        <f>ROUND(H24*K20,2)</f>
        <v>374796</v>
      </c>
      <c r="M24" s="34"/>
      <c r="N24" s="166"/>
      <c r="O24" s="156">
        <f>ROUND(H24*N20,2)</f>
        <v>0</v>
      </c>
      <c r="P24" s="166"/>
      <c r="Q24" s="156">
        <f>ROUND(H24*P20,2)</f>
        <v>0</v>
      </c>
      <c r="R24" s="166"/>
      <c r="S24" s="156">
        <f>ROUND(H24*R20,2)</f>
        <v>0</v>
      </c>
      <c r="T24" s="34"/>
      <c r="U24" s="34"/>
      <c r="V24" s="166"/>
      <c r="W24" s="166"/>
      <c r="X24" s="166"/>
      <c r="Y24" s="156">
        <f>ROUND(H24*X20,2)</f>
        <v>0</v>
      </c>
      <c r="Z24" s="166"/>
      <c r="AA24" s="156">
        <f>ROUND(H24*Z20,2)</f>
        <v>0</v>
      </c>
      <c r="AB24" s="156">
        <f>ROUND(H24*W20,2)</f>
        <v>374796</v>
      </c>
    </row>
    <row r="25" spans="1:28" ht="30" hidden="1" x14ac:dyDescent="0.25">
      <c r="A25" s="168"/>
      <c r="B25" s="133" t="str">
        <f>'Công trình'!B139</f>
        <v>AI.63311</v>
      </c>
      <c r="C25" s="34"/>
      <c r="D25" s="133" t="str">
        <f>'Công trình'!C139</f>
        <v>Lắp dựng kết cấu thép hệ khung dàn, sàn đạo trên cạn</v>
      </c>
      <c r="E25" s="168"/>
      <c r="F25" s="20">
        <v>1</v>
      </c>
      <c r="G25" s="169"/>
      <c r="H25" s="45">
        <f>'Hao phí vật tư'!J1062</f>
        <v>989.11680000000001</v>
      </c>
      <c r="I25" s="166"/>
      <c r="J25" s="156">
        <f>ROUND(H25*I20,2)</f>
        <v>9891168</v>
      </c>
      <c r="K25" s="166"/>
      <c r="L25" s="156">
        <f>ROUND(H25*K20,2)</f>
        <v>9891168</v>
      </c>
      <c r="M25" s="34"/>
      <c r="N25" s="166"/>
      <c r="O25" s="156">
        <f>ROUND(H25*N20,2)</f>
        <v>0</v>
      </c>
      <c r="P25" s="166"/>
      <c r="Q25" s="156">
        <f>ROUND(H25*P20,2)</f>
        <v>0</v>
      </c>
      <c r="R25" s="166"/>
      <c r="S25" s="156">
        <f>ROUND(H25*R20,2)</f>
        <v>0</v>
      </c>
      <c r="T25" s="34"/>
      <c r="U25" s="34"/>
      <c r="V25" s="166"/>
      <c r="W25" s="166"/>
      <c r="X25" s="166"/>
      <c r="Y25" s="156">
        <f>ROUND(H25*X20,2)</f>
        <v>0</v>
      </c>
      <c r="Z25" s="166"/>
      <c r="AA25" s="156">
        <f>ROUND(H25*Z20,2)</f>
        <v>0</v>
      </c>
      <c r="AB25" s="156">
        <f>ROUND(H25*W20,2)</f>
        <v>9891168</v>
      </c>
    </row>
    <row r="26" spans="1:28" ht="30" hidden="1" x14ac:dyDescent="0.25">
      <c r="A26" s="168"/>
      <c r="B26" s="133" t="str">
        <f>'Công trình'!B140</f>
        <v>AI.63311</v>
      </c>
      <c r="C26" s="34"/>
      <c r="D26" s="133" t="str">
        <f>'Công trình'!C140</f>
        <v>Tháo dỡ kết cấu thép hệ khung dàn, sàn đạo trên cạn (60% Đg)</v>
      </c>
      <c r="E26" s="168"/>
      <c r="F26" s="20">
        <v>1</v>
      </c>
      <c r="G26" s="169"/>
      <c r="H26" s="45">
        <f>'Hao phí vật tư'!J1073</f>
        <v>593.4701</v>
      </c>
      <c r="I26" s="166"/>
      <c r="J26" s="156">
        <f>ROUND(H26*I20,2)</f>
        <v>5934701</v>
      </c>
      <c r="K26" s="166"/>
      <c r="L26" s="156">
        <f>ROUND(H26*K20,2)</f>
        <v>5934701</v>
      </c>
      <c r="M26" s="34"/>
      <c r="N26" s="166"/>
      <c r="O26" s="156">
        <f>ROUND(H26*N20,2)</f>
        <v>0</v>
      </c>
      <c r="P26" s="166"/>
      <c r="Q26" s="156">
        <f>ROUND(H26*P20,2)</f>
        <v>0</v>
      </c>
      <c r="R26" s="166"/>
      <c r="S26" s="156">
        <f>ROUND(H26*R20,2)</f>
        <v>0</v>
      </c>
      <c r="T26" s="34"/>
      <c r="U26" s="34"/>
      <c r="V26" s="166"/>
      <c r="W26" s="166"/>
      <c r="X26" s="166"/>
      <c r="Y26" s="156">
        <f>ROUND(H26*X20,2)</f>
        <v>0</v>
      </c>
      <c r="Z26" s="166"/>
      <c r="AA26" s="156">
        <f>ROUND(H26*Z20,2)</f>
        <v>0</v>
      </c>
      <c r="AB26" s="156">
        <f>ROUND(H26*W20,2)</f>
        <v>5934701</v>
      </c>
    </row>
    <row r="27" spans="1:28" ht="30" hidden="1" x14ac:dyDescent="0.25">
      <c r="A27" s="168"/>
      <c r="B27" s="133" t="str">
        <f>'Công trình'!B160</f>
        <v>AI.63311</v>
      </c>
      <c r="C27" s="34"/>
      <c r="D27" s="133" t="str">
        <f>'Công trình'!C160</f>
        <v>Lắp dựng kết cấu thép hệ khung dàn, sàn đạo trên cạn</v>
      </c>
      <c r="E27" s="168"/>
      <c r="F27" s="20">
        <v>1</v>
      </c>
      <c r="G27" s="169"/>
      <c r="H27" s="45">
        <f>'Hao phí vật tư'!J1211</f>
        <v>482.21879999999999</v>
      </c>
      <c r="I27" s="166"/>
      <c r="J27" s="156">
        <f>ROUND(H27*I20,2)</f>
        <v>4822188</v>
      </c>
      <c r="K27" s="166"/>
      <c r="L27" s="156">
        <f>ROUND(H27*K20,2)</f>
        <v>4822188</v>
      </c>
      <c r="M27" s="34"/>
      <c r="N27" s="166"/>
      <c r="O27" s="156">
        <f>ROUND(H27*N20,2)</f>
        <v>0</v>
      </c>
      <c r="P27" s="166"/>
      <c r="Q27" s="156">
        <f>ROUND(H27*P20,2)</f>
        <v>0</v>
      </c>
      <c r="R27" s="166"/>
      <c r="S27" s="156">
        <f>ROUND(H27*R20,2)</f>
        <v>0</v>
      </c>
      <c r="T27" s="34"/>
      <c r="U27" s="34"/>
      <c r="V27" s="166"/>
      <c r="W27" s="166"/>
      <c r="X27" s="166"/>
      <c r="Y27" s="156">
        <f>ROUND(H27*X20,2)</f>
        <v>0</v>
      </c>
      <c r="Z27" s="166"/>
      <c r="AA27" s="156">
        <f>ROUND(H27*Z20,2)</f>
        <v>0</v>
      </c>
      <c r="AB27" s="156">
        <f>ROUND(H27*W20,2)</f>
        <v>4822188</v>
      </c>
    </row>
    <row r="28" spans="1:28" ht="30" hidden="1" x14ac:dyDescent="0.25">
      <c r="A28" s="168"/>
      <c r="B28" s="133" t="str">
        <f>'Công trình'!B161</f>
        <v>AI.63311</v>
      </c>
      <c r="C28" s="34"/>
      <c r="D28" s="133" t="str">
        <f>'Công trình'!C161</f>
        <v>Tháo dỡ kết cấu thép hệ khung dàn, sàn đạo trên cạn (60% Đg)</v>
      </c>
      <c r="E28" s="168"/>
      <c r="F28" s="20">
        <v>1</v>
      </c>
      <c r="G28" s="169"/>
      <c r="H28" s="45">
        <f>'Hao phí vật tư'!J1222</f>
        <v>289.3313</v>
      </c>
      <c r="I28" s="166"/>
      <c r="J28" s="156">
        <f>ROUND(H28*I20,2)</f>
        <v>2893313</v>
      </c>
      <c r="K28" s="166"/>
      <c r="L28" s="156">
        <f>ROUND(H28*K20,2)</f>
        <v>2893313</v>
      </c>
      <c r="M28" s="34"/>
      <c r="N28" s="166"/>
      <c r="O28" s="156">
        <f>ROUND(H28*N20,2)</f>
        <v>0</v>
      </c>
      <c r="P28" s="166"/>
      <c r="Q28" s="156">
        <f>ROUND(H28*P20,2)</f>
        <v>0</v>
      </c>
      <c r="R28" s="166"/>
      <c r="S28" s="156">
        <f>ROUND(H28*R20,2)</f>
        <v>0</v>
      </c>
      <c r="T28" s="34"/>
      <c r="U28" s="34"/>
      <c r="V28" s="166"/>
      <c r="W28" s="166"/>
      <c r="X28" s="166"/>
      <c r="Y28" s="156">
        <f>ROUND(H28*X20,2)</f>
        <v>0</v>
      </c>
      <c r="Z28" s="166"/>
      <c r="AA28" s="156">
        <f>ROUND(H28*Z20,2)</f>
        <v>0</v>
      </c>
      <c r="AB28" s="156">
        <f>ROUND(H28*W20,2)</f>
        <v>2893313</v>
      </c>
    </row>
    <row r="29" spans="1:28" hidden="1" x14ac:dyDescent="0.25">
      <c r="A29" s="168"/>
      <c r="B29" s="133" t="str">
        <f>'Công trình'!B262</f>
        <v>AI.21152</v>
      </c>
      <c r="C29" s="34"/>
      <c r="D29" s="133" t="str">
        <f>'Công trình'!C262</f>
        <v>Sản xuất kết cấu thép lan can cầu đường bộ</v>
      </c>
      <c r="E29" s="168"/>
      <c r="F29" s="20">
        <v>1</v>
      </c>
      <c r="G29" s="169"/>
      <c r="H29" s="45">
        <f>'Hao phí vật tư'!J1997</f>
        <v>0</v>
      </c>
      <c r="I29" s="166"/>
      <c r="J29" s="156">
        <f>ROUND(H29*I20,2)</f>
        <v>0</v>
      </c>
      <c r="K29" s="166"/>
      <c r="L29" s="156">
        <f>ROUND(H29*K20,2)</f>
        <v>0</v>
      </c>
      <c r="M29" s="34"/>
      <c r="N29" s="166"/>
      <c r="O29" s="156">
        <f>ROUND(H29*N20,2)</f>
        <v>0</v>
      </c>
      <c r="P29" s="166"/>
      <c r="Q29" s="156">
        <f>ROUND(H29*P20,2)</f>
        <v>0</v>
      </c>
      <c r="R29" s="166"/>
      <c r="S29" s="156">
        <f>ROUND(H29*R20,2)</f>
        <v>0</v>
      </c>
      <c r="T29" s="34"/>
      <c r="U29" s="34"/>
      <c r="V29" s="166"/>
      <c r="W29" s="166"/>
      <c r="X29" s="166"/>
      <c r="Y29" s="156">
        <f>ROUND(H29*X20,2)</f>
        <v>0</v>
      </c>
      <c r="Z29" s="166"/>
      <c r="AA29" s="156">
        <f>ROUND(H29*Z20,2)</f>
        <v>0</v>
      </c>
      <c r="AB29" s="156">
        <f>ROUND(H29*W20,2)</f>
        <v>0</v>
      </c>
    </row>
    <row r="30" spans="1:28" x14ac:dyDescent="0.25">
      <c r="A30" s="168">
        <v>7</v>
      </c>
      <c r="B30" s="84" t="s">
        <v>457</v>
      </c>
      <c r="C30" s="34">
        <v>123</v>
      </c>
      <c r="D30" s="144" t="s">
        <v>472</v>
      </c>
      <c r="E30" s="168" t="s">
        <v>1123</v>
      </c>
      <c r="F30" s="34"/>
      <c r="G30" s="169"/>
      <c r="H30" s="60">
        <f>SUM(H31:H31)</f>
        <v>0.88919999999999999</v>
      </c>
      <c r="I30" s="166">
        <v>15000</v>
      </c>
      <c r="J30" s="166">
        <f>ROUND(H30*I30,0)</f>
        <v>13338</v>
      </c>
      <c r="K30" s="166">
        <f>'Tổng hợp VL,NC,M'!I28</f>
        <v>15000</v>
      </c>
      <c r="L30" s="166">
        <f>ROUND(H30*K30,0)</f>
        <v>13338</v>
      </c>
      <c r="M30" s="34">
        <v>1</v>
      </c>
      <c r="N30" s="166"/>
      <c r="O30" s="166">
        <f>ROUND(H30*N30,0)</f>
        <v>0</v>
      </c>
      <c r="P30" s="166"/>
      <c r="Q30" s="166">
        <f>ROUND(H30*P30,0)</f>
        <v>0</v>
      </c>
      <c r="R30" s="166"/>
      <c r="S30" s="166">
        <f>ROUND(H30*R30,0)</f>
        <v>0</v>
      </c>
      <c r="T30" s="34"/>
      <c r="U30" s="34"/>
      <c r="V30" s="166">
        <f>ROUND((K30+N30+P30+R30)*(U30+T30),0)</f>
        <v>0</v>
      </c>
      <c r="W30" s="166">
        <f>K30+N30+P30+R30+V30</f>
        <v>15000</v>
      </c>
      <c r="X30" s="166">
        <f>K30-I30</f>
        <v>0</v>
      </c>
      <c r="Y30" s="166">
        <f>ROUND(H30*X30,0)</f>
        <v>0</v>
      </c>
      <c r="Z30" s="166">
        <f>W30-I30</f>
        <v>0</v>
      </c>
      <c r="AA30" s="166">
        <f>ROUND(H30*Z30,0)</f>
        <v>0</v>
      </c>
      <c r="AB30" s="166">
        <f>ROUND(H30*W30,0)</f>
        <v>13338</v>
      </c>
    </row>
    <row r="31" spans="1:28" hidden="1" x14ac:dyDescent="0.25">
      <c r="A31" s="168"/>
      <c r="B31" s="133" t="str">
        <f>'Công trình'!B148</f>
        <v>AI.61171</v>
      </c>
      <c r="C31" s="34"/>
      <c r="D31" s="133" t="str">
        <f>'Công trình'!C148</f>
        <v>Lắp sàn thang sắt</v>
      </c>
      <c r="E31" s="168"/>
      <c r="F31" s="20">
        <v>1</v>
      </c>
      <c r="G31" s="169"/>
      <c r="H31" s="45">
        <f>'Hao phí vật tư'!J1126</f>
        <v>0.88919999999999999</v>
      </c>
      <c r="I31" s="166"/>
      <c r="J31" s="156">
        <f>ROUND(H31*I30,2)</f>
        <v>13338</v>
      </c>
      <c r="K31" s="166"/>
      <c r="L31" s="156">
        <f>ROUND(H31*K30,2)</f>
        <v>13338</v>
      </c>
      <c r="M31" s="34"/>
      <c r="N31" s="166"/>
      <c r="O31" s="156">
        <f>ROUND(H31*N30,2)</f>
        <v>0</v>
      </c>
      <c r="P31" s="166"/>
      <c r="Q31" s="156">
        <f>ROUND(H31*P30,2)</f>
        <v>0</v>
      </c>
      <c r="R31" s="166"/>
      <c r="S31" s="156">
        <f>ROUND(H31*R30,2)</f>
        <v>0</v>
      </c>
      <c r="T31" s="34"/>
      <c r="U31" s="34"/>
      <c r="V31" s="166"/>
      <c r="W31" s="166"/>
      <c r="X31" s="166"/>
      <c r="Y31" s="156">
        <f>ROUND(H31*X30,2)</f>
        <v>0</v>
      </c>
      <c r="Z31" s="166"/>
      <c r="AA31" s="156">
        <f>ROUND(H31*Z30,2)</f>
        <v>0</v>
      </c>
      <c r="AB31" s="156">
        <f>ROUND(H31*W30,2)</f>
        <v>13338</v>
      </c>
    </row>
    <row r="32" spans="1:28" x14ac:dyDescent="0.25">
      <c r="A32" s="168">
        <v>8</v>
      </c>
      <c r="B32" s="84" t="s">
        <v>791</v>
      </c>
      <c r="C32" s="34">
        <v>452</v>
      </c>
      <c r="D32" s="144" t="s">
        <v>88</v>
      </c>
      <c r="E32" s="168" t="s">
        <v>1123</v>
      </c>
      <c r="F32" s="34"/>
      <c r="G32" s="169"/>
      <c r="H32" s="60">
        <f>SUM(H33:H33)</f>
        <v>8</v>
      </c>
      <c r="I32" s="166">
        <v>25000</v>
      </c>
      <c r="J32" s="166">
        <f>ROUND(H32*I32,0)</f>
        <v>200000</v>
      </c>
      <c r="K32" s="166">
        <f>'Tổng hợp VL,NC,M'!I30</f>
        <v>25000</v>
      </c>
      <c r="L32" s="166">
        <f>ROUND(H32*K32,0)</f>
        <v>200000</v>
      </c>
      <c r="M32" s="34">
        <v>1</v>
      </c>
      <c r="N32" s="166"/>
      <c r="O32" s="166">
        <f>ROUND(H32*N32,0)</f>
        <v>0</v>
      </c>
      <c r="P32" s="166"/>
      <c r="Q32" s="166">
        <f>ROUND(H32*P32,0)</f>
        <v>0</v>
      </c>
      <c r="R32" s="166"/>
      <c r="S32" s="166">
        <f>ROUND(H32*R32,0)</f>
        <v>0</v>
      </c>
      <c r="T32" s="34"/>
      <c r="U32" s="34"/>
      <c r="V32" s="166">
        <f>ROUND((K32+N32+P32+R32)*(U32+T32),0)</f>
        <v>0</v>
      </c>
      <c r="W32" s="166">
        <f>K32+N32+P32+R32+V32</f>
        <v>25000</v>
      </c>
      <c r="X32" s="166">
        <f>K32-I32</f>
        <v>0</v>
      </c>
      <c r="Y32" s="166">
        <f>ROUND(H32*X32,0)</f>
        <v>0</v>
      </c>
      <c r="Z32" s="166">
        <f>W32-I32</f>
        <v>0</v>
      </c>
      <c r="AA32" s="166">
        <f>ROUND(H32*Z32,0)</f>
        <v>0</v>
      </c>
      <c r="AB32" s="166">
        <f>ROUND(H32*W32,0)</f>
        <v>200000</v>
      </c>
    </row>
    <row r="33" spans="1:28" hidden="1" x14ac:dyDescent="0.25">
      <c r="A33" s="168"/>
      <c r="B33" s="133" t="str">
        <f>'Công trình'!B25</f>
        <v>TT</v>
      </c>
      <c r="C33" s="34"/>
      <c r="D33" s="133" t="str">
        <f>'Công trình'!C25</f>
        <v>Bulong D32</v>
      </c>
      <c r="E33" s="168"/>
      <c r="F33" s="20">
        <v>1</v>
      </c>
      <c r="G33" s="169"/>
      <c r="H33" s="45">
        <f>'Hao phí vật tư'!J177</f>
        <v>8</v>
      </c>
      <c r="I33" s="166"/>
      <c r="J33" s="156">
        <f>ROUND(H33*I32,2)</f>
        <v>200000</v>
      </c>
      <c r="K33" s="166"/>
      <c r="L33" s="156">
        <f>ROUND(H33*K32,2)</f>
        <v>200000</v>
      </c>
      <c r="M33" s="34"/>
      <c r="N33" s="166"/>
      <c r="O33" s="156">
        <f>ROUND(H33*N32,2)</f>
        <v>0</v>
      </c>
      <c r="P33" s="166"/>
      <c r="Q33" s="156">
        <f>ROUND(H33*P32,2)</f>
        <v>0</v>
      </c>
      <c r="R33" s="166"/>
      <c r="S33" s="156">
        <f>ROUND(H33*R32,2)</f>
        <v>0</v>
      </c>
      <c r="T33" s="34"/>
      <c r="U33" s="34"/>
      <c r="V33" s="166"/>
      <c r="W33" s="166"/>
      <c r="X33" s="166"/>
      <c r="Y33" s="156">
        <f>ROUND(H33*X32,2)</f>
        <v>0</v>
      </c>
      <c r="Z33" s="166"/>
      <c r="AA33" s="156">
        <f>ROUND(H33*Z32,2)</f>
        <v>0</v>
      </c>
      <c r="AB33" s="156">
        <f>ROUND(H33*W32,2)</f>
        <v>200000</v>
      </c>
    </row>
    <row r="34" spans="1:28" x14ac:dyDescent="0.25">
      <c r="A34" s="168">
        <v>9</v>
      </c>
      <c r="B34" s="84" t="s">
        <v>235</v>
      </c>
      <c r="C34" s="34">
        <v>448</v>
      </c>
      <c r="D34" s="144" t="s">
        <v>68</v>
      </c>
      <c r="E34" s="168" t="s">
        <v>1123</v>
      </c>
      <c r="F34" s="34"/>
      <c r="G34" s="169"/>
      <c r="H34" s="60">
        <f>SUM(H35:H35)</f>
        <v>28</v>
      </c>
      <c r="I34" s="166">
        <v>12000</v>
      </c>
      <c r="J34" s="166">
        <f>ROUND(H34*I34,0)</f>
        <v>336000</v>
      </c>
      <c r="K34" s="166">
        <f>'Tổng hợp VL,NC,M'!I32</f>
        <v>12000</v>
      </c>
      <c r="L34" s="166">
        <f>ROUND(H34*K34,0)</f>
        <v>336000</v>
      </c>
      <c r="M34" s="34">
        <v>1</v>
      </c>
      <c r="N34" s="166"/>
      <c r="O34" s="166">
        <f>ROUND(H34*N34,0)</f>
        <v>0</v>
      </c>
      <c r="P34" s="166"/>
      <c r="Q34" s="166">
        <f>ROUND(H34*P34,0)</f>
        <v>0</v>
      </c>
      <c r="R34" s="166"/>
      <c r="S34" s="166">
        <f>ROUND(H34*R34,0)</f>
        <v>0</v>
      </c>
      <c r="T34" s="34"/>
      <c r="U34" s="34"/>
      <c r="V34" s="166">
        <f>ROUND((K34+N34+P34+R34)*(U34+T34),0)</f>
        <v>0</v>
      </c>
      <c r="W34" s="166">
        <f>K34+N34+P34+R34+V34</f>
        <v>12000</v>
      </c>
      <c r="X34" s="166">
        <f>K34-I34</f>
        <v>0</v>
      </c>
      <c r="Y34" s="166">
        <f>ROUND(H34*X34,0)</f>
        <v>0</v>
      </c>
      <c r="Z34" s="166">
        <f>W34-I34</f>
        <v>0</v>
      </c>
      <c r="AA34" s="166">
        <f>ROUND(H34*Z34,0)</f>
        <v>0</v>
      </c>
      <c r="AB34" s="166">
        <f>ROUND(H34*W34,0)</f>
        <v>336000</v>
      </c>
    </row>
    <row r="35" spans="1:28" hidden="1" x14ac:dyDescent="0.25">
      <c r="A35" s="168"/>
      <c r="B35" s="133" t="str">
        <f>'Công trình'!B40</f>
        <v>TT</v>
      </c>
      <c r="C35" s="34"/>
      <c r="D35" s="133" t="str">
        <f>'Công trình'!C40</f>
        <v>Bulong M10</v>
      </c>
      <c r="E35" s="168"/>
      <c r="F35" s="20">
        <v>1</v>
      </c>
      <c r="G35" s="169"/>
      <c r="H35" s="45">
        <f>'Hao phí vật tư'!J307</f>
        <v>28</v>
      </c>
      <c r="I35" s="166"/>
      <c r="J35" s="156">
        <f>ROUND(H35*I34,2)</f>
        <v>336000</v>
      </c>
      <c r="K35" s="166"/>
      <c r="L35" s="156">
        <f>ROUND(H35*K34,2)</f>
        <v>336000</v>
      </c>
      <c r="M35" s="34"/>
      <c r="N35" s="166"/>
      <c r="O35" s="156">
        <f>ROUND(H35*N34,2)</f>
        <v>0</v>
      </c>
      <c r="P35" s="166"/>
      <c r="Q35" s="156">
        <f>ROUND(H35*P34,2)</f>
        <v>0</v>
      </c>
      <c r="R35" s="166"/>
      <c r="S35" s="156">
        <f>ROUND(H35*R34,2)</f>
        <v>0</v>
      </c>
      <c r="T35" s="34"/>
      <c r="U35" s="34"/>
      <c r="V35" s="166"/>
      <c r="W35" s="166"/>
      <c r="X35" s="166"/>
      <c r="Y35" s="156">
        <f>ROUND(H35*X34,2)</f>
        <v>0</v>
      </c>
      <c r="Z35" s="166"/>
      <c r="AA35" s="156">
        <f>ROUND(H35*Z34,2)</f>
        <v>0</v>
      </c>
      <c r="AB35" s="156">
        <f>ROUND(H35*W34,2)</f>
        <v>336000</v>
      </c>
    </row>
    <row r="36" spans="1:28" x14ac:dyDescent="0.25">
      <c r="A36" s="168">
        <v>10</v>
      </c>
      <c r="B36" s="84" t="s">
        <v>979</v>
      </c>
      <c r="C36" s="34">
        <v>462</v>
      </c>
      <c r="D36" s="144" t="s">
        <v>665</v>
      </c>
      <c r="E36" s="168" t="s">
        <v>143</v>
      </c>
      <c r="F36" s="34"/>
      <c r="G36" s="169"/>
      <c r="H36" s="60">
        <f>SUM(H37:H37)</f>
        <v>116</v>
      </c>
      <c r="I36" s="166">
        <v>15000</v>
      </c>
      <c r="J36" s="166">
        <f>ROUND(H36*I36,0)</f>
        <v>1740000</v>
      </c>
      <c r="K36" s="166">
        <f>'Tổng hợp VL,NC,M'!I34</f>
        <v>15000</v>
      </c>
      <c r="L36" s="166">
        <f>ROUND(H36*K36,0)</f>
        <v>1740000</v>
      </c>
      <c r="M36" s="34">
        <v>1</v>
      </c>
      <c r="N36" s="166"/>
      <c r="O36" s="166">
        <f>ROUND(H36*N36,0)</f>
        <v>0</v>
      </c>
      <c r="P36" s="166"/>
      <c r="Q36" s="166">
        <f>ROUND(H36*P36,0)</f>
        <v>0</v>
      </c>
      <c r="R36" s="166"/>
      <c r="S36" s="166">
        <f>ROUND(H36*R36,0)</f>
        <v>0</v>
      </c>
      <c r="T36" s="34"/>
      <c r="U36" s="34"/>
      <c r="V36" s="166">
        <f>ROUND((K36+N36+P36+R36)*(U36+T36),0)</f>
        <v>0</v>
      </c>
      <c r="W36" s="166">
        <f>K36+N36+P36+R36+V36</f>
        <v>15000</v>
      </c>
      <c r="X36" s="166">
        <f>K36-I36</f>
        <v>0</v>
      </c>
      <c r="Y36" s="166">
        <f>ROUND(H36*X36,0)</f>
        <v>0</v>
      </c>
      <c r="Z36" s="166">
        <f>W36-I36</f>
        <v>0</v>
      </c>
      <c r="AA36" s="166">
        <f>ROUND(H36*Z36,0)</f>
        <v>0</v>
      </c>
      <c r="AB36" s="166">
        <f>ROUND(H36*W36,0)</f>
        <v>1740000</v>
      </c>
    </row>
    <row r="37" spans="1:28" hidden="1" x14ac:dyDescent="0.25">
      <c r="A37" s="168"/>
      <c r="B37" s="133" t="str">
        <f>'Công trình'!B214</f>
        <v>TT</v>
      </c>
      <c r="C37" s="34"/>
      <c r="D37" s="133" t="str">
        <f>'Công trình'!C214</f>
        <v>Bulông M16</v>
      </c>
      <c r="E37" s="168"/>
      <c r="F37" s="20">
        <v>1</v>
      </c>
      <c r="G37" s="169"/>
      <c r="H37" s="45">
        <f>'Hao phí vật tư'!J1623</f>
        <v>116</v>
      </c>
      <c r="I37" s="166"/>
      <c r="J37" s="156">
        <f>ROUND(H37*I36,2)</f>
        <v>1740000</v>
      </c>
      <c r="K37" s="166"/>
      <c r="L37" s="156">
        <f>ROUND(H37*K36,2)</f>
        <v>1740000</v>
      </c>
      <c r="M37" s="34"/>
      <c r="N37" s="166"/>
      <c r="O37" s="156">
        <f>ROUND(H37*N36,2)</f>
        <v>0</v>
      </c>
      <c r="P37" s="166"/>
      <c r="Q37" s="156">
        <f>ROUND(H37*P36,2)</f>
        <v>0</v>
      </c>
      <c r="R37" s="166"/>
      <c r="S37" s="156">
        <f>ROUND(H37*R36,2)</f>
        <v>0</v>
      </c>
      <c r="T37" s="34"/>
      <c r="U37" s="34"/>
      <c r="V37" s="166"/>
      <c r="W37" s="166"/>
      <c r="X37" s="166"/>
      <c r="Y37" s="156">
        <f>ROUND(H37*X36,2)</f>
        <v>0</v>
      </c>
      <c r="Z37" s="166"/>
      <c r="AA37" s="156">
        <f>ROUND(H37*Z36,2)</f>
        <v>0</v>
      </c>
      <c r="AB37" s="156">
        <f>ROUND(H37*W36,2)</f>
        <v>1740000</v>
      </c>
    </row>
    <row r="38" spans="1:28" x14ac:dyDescent="0.25">
      <c r="A38" s="168">
        <v>11</v>
      </c>
      <c r="B38" s="84" t="s">
        <v>447</v>
      </c>
      <c r="C38" s="34">
        <v>453</v>
      </c>
      <c r="D38" s="144" t="s">
        <v>1185</v>
      </c>
      <c r="E38" s="168" t="s">
        <v>1123</v>
      </c>
      <c r="F38" s="34"/>
      <c r="G38" s="169"/>
      <c r="H38" s="60">
        <f>SUM(H39:H39)</f>
        <v>1952</v>
      </c>
      <c r="I38" s="166">
        <v>21000</v>
      </c>
      <c r="J38" s="166">
        <f>ROUND(H38*I38,0)</f>
        <v>40992000</v>
      </c>
      <c r="K38" s="166">
        <f>'Tổng hợp VL,NC,M'!I36</f>
        <v>21000</v>
      </c>
      <c r="L38" s="166">
        <f>ROUND(H38*K38,0)</f>
        <v>40992000</v>
      </c>
      <c r="M38" s="34">
        <v>1</v>
      </c>
      <c r="N38" s="166"/>
      <c r="O38" s="166">
        <f>ROUND(H38*N38,0)</f>
        <v>0</v>
      </c>
      <c r="P38" s="166"/>
      <c r="Q38" s="166">
        <f>ROUND(H38*P38,0)</f>
        <v>0</v>
      </c>
      <c r="R38" s="166"/>
      <c r="S38" s="166">
        <f>ROUND(H38*R38,0)</f>
        <v>0</v>
      </c>
      <c r="T38" s="34"/>
      <c r="U38" s="34"/>
      <c r="V38" s="166">
        <f>ROUND((K38+N38+P38+R38)*(U38+T38),0)</f>
        <v>0</v>
      </c>
      <c r="W38" s="166">
        <f>K38+N38+P38+R38+V38</f>
        <v>21000</v>
      </c>
      <c r="X38" s="166">
        <f>K38-I38</f>
        <v>0</v>
      </c>
      <c r="Y38" s="166">
        <f>ROUND(H38*X38,0)</f>
        <v>0</v>
      </c>
      <c r="Z38" s="166">
        <f>W38-I38</f>
        <v>0</v>
      </c>
      <c r="AA38" s="166">
        <f>ROUND(H38*Z38,0)</f>
        <v>0</v>
      </c>
      <c r="AB38" s="166">
        <f>ROUND(H38*W38,0)</f>
        <v>40992000</v>
      </c>
    </row>
    <row r="39" spans="1:28" hidden="1" x14ac:dyDescent="0.25">
      <c r="A39" s="168"/>
      <c r="B39" s="133" t="str">
        <f>'Công trình'!B141</f>
        <v>TT</v>
      </c>
      <c r="C39" s="34"/>
      <c r="D39" s="133" t="str">
        <f>'Công trình'!C141</f>
        <v>Bu long M22</v>
      </c>
      <c r="E39" s="168"/>
      <c r="F39" s="20">
        <v>1</v>
      </c>
      <c r="G39" s="169"/>
      <c r="H39" s="45">
        <f>'Hao phí vật tư'!J1082</f>
        <v>1952</v>
      </c>
      <c r="I39" s="166"/>
      <c r="J39" s="156">
        <f>ROUND(H39*I38,2)</f>
        <v>40992000</v>
      </c>
      <c r="K39" s="166"/>
      <c r="L39" s="156">
        <f>ROUND(H39*K38,2)</f>
        <v>40992000</v>
      </c>
      <c r="M39" s="34"/>
      <c r="N39" s="166"/>
      <c r="O39" s="156">
        <f>ROUND(H39*N38,2)</f>
        <v>0</v>
      </c>
      <c r="P39" s="166"/>
      <c r="Q39" s="156">
        <f>ROUND(H39*P38,2)</f>
        <v>0</v>
      </c>
      <c r="R39" s="166"/>
      <c r="S39" s="156">
        <f>ROUND(H39*R38,2)</f>
        <v>0</v>
      </c>
      <c r="T39" s="34"/>
      <c r="U39" s="34"/>
      <c r="V39" s="166"/>
      <c r="W39" s="166"/>
      <c r="X39" s="166"/>
      <c r="Y39" s="156">
        <f>ROUND(H39*X38,2)</f>
        <v>0</v>
      </c>
      <c r="Z39" s="166"/>
      <c r="AA39" s="156">
        <f>ROUND(H39*Z38,2)</f>
        <v>0</v>
      </c>
      <c r="AB39" s="156">
        <f>ROUND(H39*W38,2)</f>
        <v>40992000</v>
      </c>
    </row>
    <row r="40" spans="1:28" x14ac:dyDescent="0.25">
      <c r="A40" s="168">
        <v>12</v>
      </c>
      <c r="B40" s="84" t="s">
        <v>211</v>
      </c>
      <c r="C40" s="34">
        <v>132</v>
      </c>
      <c r="D40" s="144" t="s">
        <v>282</v>
      </c>
      <c r="E40" s="168" t="s">
        <v>155</v>
      </c>
      <c r="F40" s="34"/>
      <c r="G40" s="169"/>
      <c r="H40" s="60">
        <f>SUM(H41:H42)</f>
        <v>184.60000000000002</v>
      </c>
      <c r="I40" s="166">
        <v>230000</v>
      </c>
      <c r="J40" s="166">
        <f>ROUND(H40*I40,0)</f>
        <v>42458000</v>
      </c>
      <c r="K40" s="139">
        <f>'Tổng hợp VL,NC,M'!I38</f>
        <v>204882</v>
      </c>
      <c r="L40" s="166">
        <f>ROUND(H40*K40,0)</f>
        <v>37821217</v>
      </c>
      <c r="M40" s="34">
        <v>1</v>
      </c>
      <c r="N40" s="166"/>
      <c r="O40" s="166">
        <f>ROUND(H40*N40,0)</f>
        <v>0</v>
      </c>
      <c r="P40" s="166"/>
      <c r="Q40" s="166">
        <f>ROUND(H40*P40,0)</f>
        <v>0</v>
      </c>
      <c r="R40" s="166"/>
      <c r="S40" s="166">
        <f>ROUND(H40*R40,0)</f>
        <v>0</v>
      </c>
      <c r="T40" s="34"/>
      <c r="U40" s="34"/>
      <c r="V40" s="166">
        <f>ROUND((K40+N40+P40+R40)*(U40+T40),0)</f>
        <v>0</v>
      </c>
      <c r="W40" s="139">
        <f>K40+N40+P40+R40+V40</f>
        <v>204882</v>
      </c>
      <c r="X40" s="166">
        <f>K40-I40</f>
        <v>-25118</v>
      </c>
      <c r="Y40" s="166">
        <f>ROUND(H40*X40,0)</f>
        <v>-4636783</v>
      </c>
      <c r="Z40" s="166">
        <f>W40-I40</f>
        <v>-25118</v>
      </c>
      <c r="AA40" s="166">
        <f>ROUND(H40*Z40,0)</f>
        <v>-4636783</v>
      </c>
      <c r="AB40" s="166">
        <f>ROUND(H40*W40,0)</f>
        <v>37821217</v>
      </c>
    </row>
    <row r="41" spans="1:28" hidden="1" x14ac:dyDescent="0.25">
      <c r="A41" s="168"/>
      <c r="B41" s="133" t="str">
        <f>'Công trình'!B98</f>
        <v>AD.11212</v>
      </c>
      <c r="C41" s="34"/>
      <c r="D41" s="133" t="str">
        <f>'Công trình'!C98</f>
        <v>Cấp phối đá 0x4</v>
      </c>
      <c r="E41" s="168"/>
      <c r="F41" s="20">
        <v>1</v>
      </c>
      <c r="G41" s="169"/>
      <c r="H41" s="45">
        <f>'Hao phí vật tư'!J789</f>
        <v>85.2</v>
      </c>
      <c r="I41" s="166"/>
      <c r="J41" s="156">
        <f>ROUND(H41*I40,2)</f>
        <v>19596000</v>
      </c>
      <c r="K41" s="166"/>
      <c r="L41" s="156">
        <f>ROUND(H41*K40,2)</f>
        <v>17455946.399999999</v>
      </c>
      <c r="M41" s="34"/>
      <c r="N41" s="166"/>
      <c r="O41" s="156">
        <f>ROUND(H41*N40,2)</f>
        <v>0</v>
      </c>
      <c r="P41" s="166"/>
      <c r="Q41" s="156">
        <f>ROUND(H41*P40,2)</f>
        <v>0</v>
      </c>
      <c r="R41" s="166"/>
      <c r="S41" s="156">
        <f>ROUND(H41*R40,2)</f>
        <v>0</v>
      </c>
      <c r="T41" s="34"/>
      <c r="U41" s="34"/>
      <c r="V41" s="166"/>
      <c r="W41" s="166"/>
      <c r="X41" s="166"/>
      <c r="Y41" s="156">
        <f>ROUND(H41*X40,2)</f>
        <v>-2140053.6</v>
      </c>
      <c r="Z41" s="166"/>
      <c r="AA41" s="156">
        <f>ROUND(H41*Z40,2)</f>
        <v>-2140053.6</v>
      </c>
      <c r="AB41" s="156">
        <f>ROUND(H41*W40,2)</f>
        <v>17455946.399999999</v>
      </c>
    </row>
    <row r="42" spans="1:28" hidden="1" x14ac:dyDescent="0.25">
      <c r="A42" s="168"/>
      <c r="B42" s="133" t="str">
        <f>'Công trình'!B93</f>
        <v>AD.11212</v>
      </c>
      <c r="C42" s="34"/>
      <c r="D42" s="133" t="str">
        <f>'Công trình'!C93</f>
        <v>Cấp phối đá 0x4</v>
      </c>
      <c r="E42" s="168"/>
      <c r="F42" s="20">
        <v>1</v>
      </c>
      <c r="G42" s="169"/>
      <c r="H42" s="45">
        <f>'Hao phí vật tư'!J755</f>
        <v>99.4</v>
      </c>
      <c r="I42" s="166"/>
      <c r="J42" s="156">
        <f>ROUND(H42*I40,2)</f>
        <v>22862000</v>
      </c>
      <c r="K42" s="166"/>
      <c r="L42" s="156">
        <f>ROUND(H42*K40,2)</f>
        <v>20365270.800000001</v>
      </c>
      <c r="M42" s="34"/>
      <c r="N42" s="166"/>
      <c r="O42" s="156">
        <f>ROUND(H42*N40,2)</f>
        <v>0</v>
      </c>
      <c r="P42" s="166"/>
      <c r="Q42" s="156">
        <f>ROUND(H42*P40,2)</f>
        <v>0</v>
      </c>
      <c r="R42" s="166"/>
      <c r="S42" s="156">
        <f>ROUND(H42*R40,2)</f>
        <v>0</v>
      </c>
      <c r="T42" s="34"/>
      <c r="U42" s="34"/>
      <c r="V42" s="166"/>
      <c r="W42" s="166"/>
      <c r="X42" s="166"/>
      <c r="Y42" s="156">
        <f>ROUND(H42*X40,2)</f>
        <v>-2496729.2000000002</v>
      </c>
      <c r="Z42" s="166"/>
      <c r="AA42" s="156">
        <f>ROUND(H42*Z40,2)</f>
        <v>-2496729.2000000002</v>
      </c>
      <c r="AB42" s="156">
        <f>ROUND(H42*W40,2)</f>
        <v>20365270.800000001</v>
      </c>
    </row>
    <row r="43" spans="1:28" x14ac:dyDescent="0.25">
      <c r="A43" s="168">
        <v>13</v>
      </c>
      <c r="B43" s="84" t="s">
        <v>901</v>
      </c>
      <c r="C43" s="34">
        <v>454</v>
      </c>
      <c r="D43" s="144" t="s">
        <v>41</v>
      </c>
      <c r="E43" s="168" t="s">
        <v>155</v>
      </c>
      <c r="F43" s="34"/>
      <c r="G43" s="169"/>
      <c r="H43" s="60">
        <f>SUM(H44:H44)</f>
        <v>151.99680000000001</v>
      </c>
      <c r="I43" s="166">
        <v>250000</v>
      </c>
      <c r="J43" s="166">
        <f>ROUND(H43*I43,0)</f>
        <v>37999200</v>
      </c>
      <c r="K43" s="156">
        <f>'Tổng hợp VL,NC,M'!I41</f>
        <v>251458</v>
      </c>
      <c r="L43" s="166">
        <f>ROUND(H43*K43,0)</f>
        <v>38220811</v>
      </c>
      <c r="M43" s="34">
        <v>1</v>
      </c>
      <c r="N43" s="166"/>
      <c r="O43" s="166">
        <f>ROUND(H43*N43,0)</f>
        <v>0</v>
      </c>
      <c r="P43" s="166"/>
      <c r="Q43" s="166">
        <f>ROUND(H43*P43,0)</f>
        <v>0</v>
      </c>
      <c r="R43" s="166"/>
      <c r="S43" s="166">
        <f>ROUND(H43*R43,0)</f>
        <v>0</v>
      </c>
      <c r="T43" s="34"/>
      <c r="U43" s="34"/>
      <c r="V43" s="166">
        <f>ROUND((K43+N43+P43+R43)*(U43+T43),0)</f>
        <v>0</v>
      </c>
      <c r="W43" s="156">
        <f>K43+N43+P43+R43+V43</f>
        <v>251458</v>
      </c>
      <c r="X43" s="166">
        <f>K43-I43</f>
        <v>1458</v>
      </c>
      <c r="Y43" s="166">
        <f>ROUND(H43*X43,0)</f>
        <v>221611</v>
      </c>
      <c r="Z43" s="166">
        <f>W43-I43</f>
        <v>1458</v>
      </c>
      <c r="AA43" s="166">
        <f>ROUND(H43*Z43,0)</f>
        <v>221611</v>
      </c>
      <c r="AB43" s="166">
        <f>ROUND(H43*W43,0)</f>
        <v>38220811</v>
      </c>
    </row>
    <row r="44" spans="1:28" ht="30" hidden="1" x14ac:dyDescent="0.25">
      <c r="A44" s="168"/>
      <c r="B44" s="133" t="str">
        <f>'Công trình'!B241</f>
        <v>AD.11222</v>
      </c>
      <c r="C44" s="34"/>
      <c r="D44" s="133" t="str">
        <f>'Công trình'!C241</f>
        <v>Làm móng lớp trên cấp phối đá dăm, đường làm mới</v>
      </c>
      <c r="E44" s="168"/>
      <c r="F44" s="20">
        <v>1</v>
      </c>
      <c r="G44" s="169"/>
      <c r="H44" s="45">
        <f>'Hao phí vật tư'!J1823</f>
        <v>151.99680000000001</v>
      </c>
      <c r="I44" s="166"/>
      <c r="J44" s="156">
        <f>ROUND(H44*I43,2)</f>
        <v>37999200</v>
      </c>
      <c r="K44" s="166"/>
      <c r="L44" s="156">
        <f>ROUND(H44*K43,2)</f>
        <v>38220811.329999998</v>
      </c>
      <c r="M44" s="34"/>
      <c r="N44" s="166"/>
      <c r="O44" s="156">
        <f>ROUND(H44*N43,2)</f>
        <v>0</v>
      </c>
      <c r="P44" s="166"/>
      <c r="Q44" s="156">
        <f>ROUND(H44*P43,2)</f>
        <v>0</v>
      </c>
      <c r="R44" s="166"/>
      <c r="S44" s="156">
        <f>ROUND(H44*R43,2)</f>
        <v>0</v>
      </c>
      <c r="T44" s="34"/>
      <c r="U44" s="34"/>
      <c r="V44" s="166"/>
      <c r="W44" s="166"/>
      <c r="X44" s="166"/>
      <c r="Y44" s="156">
        <f>ROUND(H44*X43,2)</f>
        <v>221611.33</v>
      </c>
      <c r="Z44" s="166"/>
      <c r="AA44" s="156">
        <f>ROUND(H44*Z43,2)</f>
        <v>221611.33</v>
      </c>
      <c r="AB44" s="156">
        <f>ROUND(H44*W43,2)</f>
        <v>38220811.329999998</v>
      </c>
    </row>
    <row r="45" spans="1:28" x14ac:dyDescent="0.25">
      <c r="A45" s="168">
        <v>14</v>
      </c>
      <c r="B45" s="84" t="s">
        <v>807</v>
      </c>
      <c r="C45" s="34">
        <v>127</v>
      </c>
      <c r="D45" s="144" t="s">
        <v>342</v>
      </c>
      <c r="E45" s="168" t="s">
        <v>155</v>
      </c>
      <c r="F45" s="34"/>
      <c r="G45" s="169"/>
      <c r="H45" s="60">
        <f>SUM(H46:H49)</f>
        <v>2436.6206000000002</v>
      </c>
      <c r="I45" s="166">
        <v>140000</v>
      </c>
      <c r="J45" s="166">
        <f>ROUND(H45*I45,0)</f>
        <v>341126884</v>
      </c>
      <c r="K45" s="156">
        <f>'Tổng hợp VL,NC,M'!I43</f>
        <v>225000</v>
      </c>
      <c r="L45" s="166">
        <f>ROUND(H45*K45,0)</f>
        <v>548239635</v>
      </c>
      <c r="M45" s="34">
        <v>1</v>
      </c>
      <c r="N45" s="166"/>
      <c r="O45" s="166">
        <f>ROUND(H45*N45,0)</f>
        <v>0</v>
      </c>
      <c r="P45" s="166"/>
      <c r="Q45" s="166">
        <f>ROUND(H45*P45,0)</f>
        <v>0</v>
      </c>
      <c r="R45" s="166"/>
      <c r="S45" s="166">
        <f>ROUND(H45*R45,0)</f>
        <v>0</v>
      </c>
      <c r="T45" s="34"/>
      <c r="U45" s="34"/>
      <c r="V45" s="166">
        <f>ROUND((K45+N45+P45+R45)*(U45+T45),0)</f>
        <v>0</v>
      </c>
      <c r="W45" s="156">
        <f>K45+N45+P45+R45+V45</f>
        <v>225000</v>
      </c>
      <c r="X45" s="166">
        <f>K45-I45</f>
        <v>85000</v>
      </c>
      <c r="Y45" s="166">
        <f>ROUND(H45*X45,0)</f>
        <v>207112751</v>
      </c>
      <c r="Z45" s="166">
        <f>W45-I45</f>
        <v>85000</v>
      </c>
      <c r="AA45" s="166">
        <f>ROUND(H45*Z45,0)</f>
        <v>207112751</v>
      </c>
      <c r="AB45" s="166">
        <f>ROUND(H45*W45,0)</f>
        <v>548239635</v>
      </c>
    </row>
    <row r="46" spans="1:28" ht="30" hidden="1" x14ac:dyDescent="0.25">
      <c r="A46" s="168"/>
      <c r="B46" s="133" t="str">
        <f>'Công trình'!B99</f>
        <v>TT</v>
      </c>
      <c r="C46" s="34"/>
      <c r="D46" s="133" t="str">
        <f>'Công trình'!C99</f>
        <v>Đắp đê quây bằng bao tải cát (VD định mức đắp bao tải đất theo QĐ số 4416/QĐ-BGTVT)</v>
      </c>
      <c r="E46" s="168"/>
      <c r="F46" s="20">
        <v>1</v>
      </c>
      <c r="G46" s="169"/>
      <c r="H46" s="45">
        <f>'Hao phí vật tư'!J802</f>
        <v>56.12</v>
      </c>
      <c r="I46" s="166"/>
      <c r="J46" s="156">
        <f>ROUND(H46*I45,2)</f>
        <v>7856800</v>
      </c>
      <c r="K46" s="166"/>
      <c r="L46" s="156">
        <f>ROUND(H46*K45,2)</f>
        <v>12627000</v>
      </c>
      <c r="M46" s="34"/>
      <c r="N46" s="166"/>
      <c r="O46" s="156">
        <f>ROUND(H46*N45,2)</f>
        <v>0</v>
      </c>
      <c r="P46" s="166"/>
      <c r="Q46" s="156">
        <f>ROUND(H46*P45,2)</f>
        <v>0</v>
      </c>
      <c r="R46" s="166"/>
      <c r="S46" s="156">
        <f>ROUND(H46*R45,2)</f>
        <v>0</v>
      </c>
      <c r="T46" s="34"/>
      <c r="U46" s="34"/>
      <c r="V46" s="166"/>
      <c r="W46" s="166"/>
      <c r="X46" s="166"/>
      <c r="Y46" s="156">
        <f>ROUND(H46*X45,2)</f>
        <v>4770200</v>
      </c>
      <c r="Z46" s="166"/>
      <c r="AA46" s="156">
        <f>ROUND(H46*Z45,2)</f>
        <v>4770200</v>
      </c>
      <c r="AB46" s="156">
        <f>ROUND(H46*W45,2)</f>
        <v>12627000</v>
      </c>
    </row>
    <row r="47" spans="1:28" ht="30" hidden="1" x14ac:dyDescent="0.25">
      <c r="A47" s="168"/>
      <c r="B47" s="133" t="str">
        <f>'Công trình'!B100</f>
        <v>AB.66112</v>
      </c>
      <c r="C47" s="34"/>
      <c r="D47" s="133" t="str">
        <f>'Công trình'!C100</f>
        <v>Đắp cát công trình bằng máy đầm 9T, độ chặt K=0,90</v>
      </c>
      <c r="E47" s="168"/>
      <c r="F47" s="20">
        <v>1</v>
      </c>
      <c r="G47" s="169"/>
      <c r="H47" s="45">
        <f>'Hao phí vật tư'!J809</f>
        <v>449.44799999999998</v>
      </c>
      <c r="I47" s="166"/>
      <c r="J47" s="156">
        <f>ROUND(H47*I45,2)</f>
        <v>62922720</v>
      </c>
      <c r="K47" s="166"/>
      <c r="L47" s="156">
        <f>ROUND(H47*K45,2)</f>
        <v>101125800</v>
      </c>
      <c r="M47" s="34"/>
      <c r="N47" s="166"/>
      <c r="O47" s="156">
        <f>ROUND(H47*N45,2)</f>
        <v>0</v>
      </c>
      <c r="P47" s="166"/>
      <c r="Q47" s="156">
        <f>ROUND(H47*P45,2)</f>
        <v>0</v>
      </c>
      <c r="R47" s="166"/>
      <c r="S47" s="156">
        <f>ROUND(H47*R45,2)</f>
        <v>0</v>
      </c>
      <c r="T47" s="34"/>
      <c r="U47" s="34"/>
      <c r="V47" s="166"/>
      <c r="W47" s="166"/>
      <c r="X47" s="166"/>
      <c r="Y47" s="156">
        <f>ROUND(H47*X45,2)</f>
        <v>38203080</v>
      </c>
      <c r="Z47" s="166"/>
      <c r="AA47" s="156">
        <f>ROUND(H47*Z45,2)</f>
        <v>38203080</v>
      </c>
      <c r="AB47" s="156">
        <f>ROUND(H47*W45,2)</f>
        <v>101125800</v>
      </c>
    </row>
    <row r="48" spans="1:28" hidden="1" x14ac:dyDescent="0.25">
      <c r="A48" s="168"/>
      <c r="B48" s="133" t="str">
        <f>'Công trình'!B152</f>
        <v>AB.13411</v>
      </c>
      <c r="C48" s="34"/>
      <c r="D48" s="133" t="str">
        <f>'Công trình'!C152</f>
        <v>Đắp cát nền móng công trình</v>
      </c>
      <c r="E48" s="168"/>
      <c r="F48" s="20">
        <v>1</v>
      </c>
      <c r="G48" s="169"/>
      <c r="H48" s="45">
        <f>'Hao phí vật tư'!J1154</f>
        <v>6.0511999999999997</v>
      </c>
      <c r="I48" s="166"/>
      <c r="J48" s="156">
        <f>ROUND(H48*I45,2)</f>
        <v>847168</v>
      </c>
      <c r="K48" s="166"/>
      <c r="L48" s="156">
        <f>ROUND(H48*K45,2)</f>
        <v>1361520</v>
      </c>
      <c r="M48" s="34"/>
      <c r="N48" s="166"/>
      <c r="O48" s="156">
        <f>ROUND(H48*N45,2)</f>
        <v>0</v>
      </c>
      <c r="P48" s="166"/>
      <c r="Q48" s="156">
        <f>ROUND(H48*P45,2)</f>
        <v>0</v>
      </c>
      <c r="R48" s="166"/>
      <c r="S48" s="156">
        <f>ROUND(H48*R45,2)</f>
        <v>0</v>
      </c>
      <c r="T48" s="34"/>
      <c r="U48" s="34"/>
      <c r="V48" s="166"/>
      <c r="W48" s="166"/>
      <c r="X48" s="166"/>
      <c r="Y48" s="156">
        <f>ROUND(H48*X45,2)</f>
        <v>514352</v>
      </c>
      <c r="Z48" s="166"/>
      <c r="AA48" s="156">
        <f>ROUND(H48*Z45,2)</f>
        <v>514352</v>
      </c>
      <c r="AB48" s="156">
        <f>ROUND(H48*W45,2)</f>
        <v>1361520</v>
      </c>
    </row>
    <row r="49" spans="1:28" ht="30" hidden="1" x14ac:dyDescent="0.25">
      <c r="A49" s="168"/>
      <c r="B49" s="133" t="str">
        <f>'Công trình'!B242</f>
        <v>AB.66114</v>
      </c>
      <c r="C49" s="34"/>
      <c r="D49" s="133" t="str">
        <f>'Công trình'!C242</f>
        <v>Đắp cát công trình bằng máy đầm 9T, độ chặt K=0,98</v>
      </c>
      <c r="E49" s="168"/>
      <c r="F49" s="20">
        <v>1</v>
      </c>
      <c r="G49" s="169"/>
      <c r="H49" s="45">
        <f>'Hao phí vật tư'!J1835</f>
        <v>1925.0014000000001</v>
      </c>
      <c r="I49" s="166"/>
      <c r="J49" s="156">
        <f>ROUND(H49*I45,2)</f>
        <v>269500196</v>
      </c>
      <c r="K49" s="166"/>
      <c r="L49" s="156">
        <f>ROUND(H49*K45,2)</f>
        <v>433125315</v>
      </c>
      <c r="M49" s="34"/>
      <c r="N49" s="166"/>
      <c r="O49" s="156">
        <f>ROUND(H49*N45,2)</f>
        <v>0</v>
      </c>
      <c r="P49" s="166"/>
      <c r="Q49" s="156">
        <f>ROUND(H49*P45,2)</f>
        <v>0</v>
      </c>
      <c r="R49" s="166"/>
      <c r="S49" s="156">
        <f>ROUND(H49*R45,2)</f>
        <v>0</v>
      </c>
      <c r="T49" s="34"/>
      <c r="U49" s="34"/>
      <c r="V49" s="166"/>
      <c r="W49" s="166"/>
      <c r="X49" s="166"/>
      <c r="Y49" s="156">
        <f>ROUND(H49*X45,2)</f>
        <v>163625119</v>
      </c>
      <c r="Z49" s="166"/>
      <c r="AA49" s="156">
        <f>ROUND(H49*Z45,2)</f>
        <v>163625119</v>
      </c>
      <c r="AB49" s="156">
        <f>ROUND(H49*W45,2)</f>
        <v>433125315</v>
      </c>
    </row>
    <row r="50" spans="1:28" x14ac:dyDescent="0.25">
      <c r="A50" s="168">
        <v>15</v>
      </c>
      <c r="B50" s="84" t="s">
        <v>1008</v>
      </c>
      <c r="C50" s="34">
        <v>124</v>
      </c>
      <c r="D50" s="144" t="s">
        <v>802</v>
      </c>
      <c r="E50" s="168" t="s">
        <v>155</v>
      </c>
      <c r="F50" s="34"/>
      <c r="G50" s="169"/>
      <c r="H50" s="60">
        <f>SUM(H51:H51)</f>
        <v>0.29480000000000001</v>
      </c>
      <c r="I50" s="166">
        <v>150000</v>
      </c>
      <c r="J50" s="166">
        <f>ROUND(H50*I50,0)</f>
        <v>44220</v>
      </c>
      <c r="K50" s="156">
        <f>'Tổng hợp VL,NC,M'!I48</f>
        <v>293182</v>
      </c>
      <c r="L50" s="166">
        <f>ROUND(H50*K50,0)</f>
        <v>86430</v>
      </c>
      <c r="M50" s="34">
        <v>1</v>
      </c>
      <c r="N50" s="166"/>
      <c r="O50" s="166">
        <f>ROUND(H50*N50,0)</f>
        <v>0</v>
      </c>
      <c r="P50" s="166"/>
      <c r="Q50" s="166">
        <f>ROUND(H50*P50,0)</f>
        <v>0</v>
      </c>
      <c r="R50" s="166"/>
      <c r="S50" s="166">
        <f>ROUND(H50*R50,0)</f>
        <v>0</v>
      </c>
      <c r="T50" s="34"/>
      <c r="U50" s="34"/>
      <c r="V50" s="166">
        <f>ROUND((K50+N50+P50+R50)*(U50+T50),0)</f>
        <v>0</v>
      </c>
      <c r="W50" s="156">
        <f>K50+N50+P50+R50+V50</f>
        <v>293182</v>
      </c>
      <c r="X50" s="166">
        <f>K50-I50</f>
        <v>143182</v>
      </c>
      <c r="Y50" s="166">
        <f>ROUND(H50*X50,0)</f>
        <v>42210</v>
      </c>
      <c r="Z50" s="166">
        <f>W50-I50</f>
        <v>143182</v>
      </c>
      <c r="AA50" s="166">
        <f>ROUND(H50*Z50,0)</f>
        <v>42210</v>
      </c>
      <c r="AB50" s="166">
        <f>ROUND(H50*W50,0)</f>
        <v>86430</v>
      </c>
    </row>
    <row r="51" spans="1:28" hidden="1" x14ac:dyDescent="0.25">
      <c r="A51" s="168"/>
      <c r="B51" s="133" t="str">
        <f>'Công trình'!B263</f>
        <v>AI.63211</v>
      </c>
      <c r="C51" s="34"/>
      <c r="D51" s="133" t="str">
        <f>'Công trình'!C263</f>
        <v>Lắp dựng lan can sắt, vữa XM mác 75</v>
      </c>
      <c r="E51" s="168"/>
      <c r="F51" s="20">
        <v>1</v>
      </c>
      <c r="G51" s="169"/>
      <c r="H51" s="45">
        <f>'Hao phí vật tư'!J2010</f>
        <v>0.29480000000000001</v>
      </c>
      <c r="I51" s="166"/>
      <c r="J51" s="156">
        <f>ROUND(H51*I50,2)</f>
        <v>44220</v>
      </c>
      <c r="K51" s="166"/>
      <c r="L51" s="156">
        <f>ROUND(H51*K50,2)</f>
        <v>86430.05</v>
      </c>
      <c r="M51" s="34"/>
      <c r="N51" s="166"/>
      <c r="O51" s="156">
        <f>ROUND(H51*N50,2)</f>
        <v>0</v>
      </c>
      <c r="P51" s="166"/>
      <c r="Q51" s="156">
        <f>ROUND(H51*P50,2)</f>
        <v>0</v>
      </c>
      <c r="R51" s="166"/>
      <c r="S51" s="156">
        <f>ROUND(H51*R50,2)</f>
        <v>0</v>
      </c>
      <c r="T51" s="34"/>
      <c r="U51" s="34"/>
      <c r="V51" s="166"/>
      <c r="W51" s="166"/>
      <c r="X51" s="166"/>
      <c r="Y51" s="156">
        <f>ROUND(H51*X50,2)</f>
        <v>42210.05</v>
      </c>
      <c r="Z51" s="166"/>
      <c r="AA51" s="156">
        <f>ROUND(H51*Z50,2)</f>
        <v>42210.05</v>
      </c>
      <c r="AB51" s="156">
        <f>ROUND(H51*W50,2)</f>
        <v>86430.05</v>
      </c>
    </row>
    <row r="52" spans="1:28" x14ac:dyDescent="0.25">
      <c r="A52" s="168">
        <v>16</v>
      </c>
      <c r="B52" s="84" t="s">
        <v>807</v>
      </c>
      <c r="C52" s="34">
        <v>128</v>
      </c>
      <c r="D52" s="144" t="s">
        <v>885</v>
      </c>
      <c r="E52" s="168" t="s">
        <v>155</v>
      </c>
      <c r="F52" s="34"/>
      <c r="G52" s="169"/>
      <c r="H52" s="60">
        <f>SUM(H53:H53)</f>
        <v>46.677199999999999</v>
      </c>
      <c r="I52" s="166">
        <v>140000</v>
      </c>
      <c r="J52" s="166">
        <f>ROUND(H52*I52,0)</f>
        <v>6534808</v>
      </c>
      <c r="K52" s="156">
        <f>'Tổng hợp VL,NC,M'!I50</f>
        <v>420000</v>
      </c>
      <c r="L52" s="166">
        <f>ROUND(H52*K52,0)</f>
        <v>19604424</v>
      </c>
      <c r="M52" s="34">
        <v>1</v>
      </c>
      <c r="N52" s="166"/>
      <c r="O52" s="166">
        <f>ROUND(H52*N52,0)</f>
        <v>0</v>
      </c>
      <c r="P52" s="166"/>
      <c r="Q52" s="166">
        <f>ROUND(H52*P52,0)</f>
        <v>0</v>
      </c>
      <c r="R52" s="166"/>
      <c r="S52" s="166">
        <f>ROUND(H52*R52,0)</f>
        <v>0</v>
      </c>
      <c r="T52" s="34"/>
      <c r="U52" s="34"/>
      <c r="V52" s="166">
        <f>ROUND((K52+N52+P52+R52)*(U52+T52),0)</f>
        <v>0</v>
      </c>
      <c r="W52" s="156">
        <f>K52+N52+P52+R52+V52</f>
        <v>420000</v>
      </c>
      <c r="X52" s="166">
        <f>K52-I52</f>
        <v>280000</v>
      </c>
      <c r="Y52" s="166">
        <f>ROUND(H52*X52,0)</f>
        <v>13069616</v>
      </c>
      <c r="Z52" s="166">
        <f>W52-I52</f>
        <v>280000</v>
      </c>
      <c r="AA52" s="166">
        <f>ROUND(H52*Z52,0)</f>
        <v>13069616</v>
      </c>
      <c r="AB52" s="166">
        <f>ROUND(H52*W52,0)</f>
        <v>19604424</v>
      </c>
    </row>
    <row r="53" spans="1:28" hidden="1" x14ac:dyDescent="0.25">
      <c r="A53" s="168"/>
      <c r="B53" s="133" t="str">
        <f>'Công trình'!B54</f>
        <v>AB.13411</v>
      </c>
      <c r="C53" s="34"/>
      <c r="D53" s="133" t="str">
        <f>'Công trình'!C54</f>
        <v>Đắp cát nền móng công trình</v>
      </c>
      <c r="E53" s="168"/>
      <c r="F53" s="20">
        <v>1</v>
      </c>
      <c r="G53" s="169"/>
      <c r="H53" s="45">
        <f>'Hao phí vật tư'!J395</f>
        <v>46.677199999999999</v>
      </c>
      <c r="I53" s="166"/>
      <c r="J53" s="156">
        <f>ROUND(H53*I52,2)</f>
        <v>6534808</v>
      </c>
      <c r="K53" s="166"/>
      <c r="L53" s="156">
        <f>ROUND(H53*K52,2)</f>
        <v>19604424</v>
      </c>
      <c r="M53" s="34"/>
      <c r="N53" s="166"/>
      <c r="O53" s="156">
        <f>ROUND(H53*N52,2)</f>
        <v>0</v>
      </c>
      <c r="P53" s="166"/>
      <c r="Q53" s="156">
        <f>ROUND(H53*P52,2)</f>
        <v>0</v>
      </c>
      <c r="R53" s="166"/>
      <c r="S53" s="156">
        <f>ROUND(H53*R52,2)</f>
        <v>0</v>
      </c>
      <c r="T53" s="34"/>
      <c r="U53" s="34"/>
      <c r="V53" s="166"/>
      <c r="W53" s="166"/>
      <c r="X53" s="166"/>
      <c r="Y53" s="156">
        <f>ROUND(H53*X52,2)</f>
        <v>13069616</v>
      </c>
      <c r="Z53" s="166"/>
      <c r="AA53" s="156">
        <f>ROUND(H53*Z52,2)</f>
        <v>13069616</v>
      </c>
      <c r="AB53" s="156">
        <f>ROUND(H53*W52,2)</f>
        <v>19604424</v>
      </c>
    </row>
    <row r="54" spans="1:28" x14ac:dyDescent="0.25">
      <c r="A54" s="168">
        <v>17</v>
      </c>
      <c r="B54" s="84" t="s">
        <v>843</v>
      </c>
      <c r="C54" s="34">
        <v>125</v>
      </c>
      <c r="D54" s="144" t="s">
        <v>942</v>
      </c>
      <c r="E54" s="168" t="s">
        <v>155</v>
      </c>
      <c r="F54" s="34"/>
      <c r="G54" s="169"/>
      <c r="H54" s="60">
        <f>SUM(H55:H100)</f>
        <v>932.63239999999985</v>
      </c>
      <c r="I54" s="166">
        <v>220000</v>
      </c>
      <c r="J54" s="166">
        <f>ROUND(H54*I54,0)</f>
        <v>205179128</v>
      </c>
      <c r="K54" s="156">
        <f>'Tổng hợp VL,NC,M'!I52</f>
        <v>420000</v>
      </c>
      <c r="L54" s="166">
        <f>ROUND(H54*K54,0)</f>
        <v>391705608</v>
      </c>
      <c r="M54" s="34">
        <v>1</v>
      </c>
      <c r="N54" s="166"/>
      <c r="O54" s="166">
        <f>ROUND(H54*N54,0)</f>
        <v>0</v>
      </c>
      <c r="P54" s="166"/>
      <c r="Q54" s="166">
        <f>ROUND(H54*P54,0)</f>
        <v>0</v>
      </c>
      <c r="R54" s="166"/>
      <c r="S54" s="166">
        <f>ROUND(H54*R54,0)</f>
        <v>0</v>
      </c>
      <c r="T54" s="34"/>
      <c r="U54" s="34"/>
      <c r="V54" s="166">
        <f>ROUND((K54+N54+P54+R54)*(U54+T54),0)</f>
        <v>0</v>
      </c>
      <c r="W54" s="156">
        <f>K54+N54+P54+R54+V54</f>
        <v>420000</v>
      </c>
      <c r="X54" s="166">
        <f>K54-I54</f>
        <v>200000</v>
      </c>
      <c r="Y54" s="166">
        <f>ROUND(H54*X54,0)</f>
        <v>186526480</v>
      </c>
      <c r="Z54" s="166">
        <f>W54-I54</f>
        <v>200000</v>
      </c>
      <c r="AA54" s="166">
        <f>ROUND(H54*Z54,0)</f>
        <v>186526480</v>
      </c>
      <c r="AB54" s="166">
        <f>ROUND(H54*W54,0)</f>
        <v>391705608</v>
      </c>
    </row>
    <row r="55" spans="1:28" ht="30" hidden="1" x14ac:dyDescent="0.25">
      <c r="A55" s="168"/>
      <c r="B55" s="133" t="str">
        <f>'Công trình'!B18</f>
        <v>AF.12314</v>
      </c>
      <c r="C55" s="34"/>
      <c r="D55" s="133" t="str">
        <f>'Công trình'!C18</f>
        <v>Bê tông xà dầm, giằng nhà đá 1x2, vữa BT mác 250</v>
      </c>
      <c r="E55" s="168"/>
      <c r="F55" s="20">
        <v>1</v>
      </c>
      <c r="G55" s="169"/>
      <c r="H55" s="45">
        <f>'Hao phí vật tư'!J124</f>
        <v>31.556000000000001</v>
      </c>
      <c r="I55" s="166"/>
      <c r="J55" s="156">
        <f>ROUND(H55*I54,2)</f>
        <v>6942320</v>
      </c>
      <c r="K55" s="166"/>
      <c r="L55" s="156">
        <f>ROUND(H55*K54,2)</f>
        <v>13253520</v>
      </c>
      <c r="M55" s="34"/>
      <c r="N55" s="166"/>
      <c r="O55" s="156">
        <f>ROUND(H55*N54,2)</f>
        <v>0</v>
      </c>
      <c r="P55" s="166"/>
      <c r="Q55" s="156">
        <f>ROUND(H55*P54,2)</f>
        <v>0</v>
      </c>
      <c r="R55" s="166"/>
      <c r="S55" s="156">
        <f>ROUND(H55*R54,2)</f>
        <v>0</v>
      </c>
      <c r="T55" s="34"/>
      <c r="U55" s="34"/>
      <c r="V55" s="166"/>
      <c r="W55" s="166"/>
      <c r="X55" s="166"/>
      <c r="Y55" s="156">
        <f>ROUND(H55*X54,2)</f>
        <v>6311200</v>
      </c>
      <c r="Z55" s="166"/>
      <c r="AA55" s="156">
        <f>ROUND(H55*Z54,2)</f>
        <v>6311200</v>
      </c>
      <c r="AB55" s="156">
        <f>ROUND(H55*W54,2)</f>
        <v>13253520</v>
      </c>
    </row>
    <row r="56" spans="1:28" ht="30" hidden="1" x14ac:dyDescent="0.25">
      <c r="A56" s="168"/>
      <c r="B56" s="133" t="str">
        <f>'Công trình'!B30</f>
        <v>AF.12113</v>
      </c>
      <c r="C56" s="34"/>
      <c r="D56" s="133" t="str">
        <f>'Công trình'!C30</f>
        <v>Bê tông tường dày &lt;=45cm, chiều cao &lt;=4m đá 1x2, vữa BT mác 200</v>
      </c>
      <c r="E56" s="168"/>
      <c r="F56" s="20">
        <v>1</v>
      </c>
      <c r="G56" s="169"/>
      <c r="H56" s="45">
        <f>'Hao phí vật tư'!J204</f>
        <v>13.2288</v>
      </c>
      <c r="I56" s="166"/>
      <c r="J56" s="156">
        <f>ROUND(H56*I54,2)</f>
        <v>2910336</v>
      </c>
      <c r="K56" s="166"/>
      <c r="L56" s="156">
        <f>ROUND(H56*K54,2)</f>
        <v>5556096</v>
      </c>
      <c r="M56" s="34"/>
      <c r="N56" s="166"/>
      <c r="O56" s="156">
        <f>ROUND(H56*N54,2)</f>
        <v>0</v>
      </c>
      <c r="P56" s="166"/>
      <c r="Q56" s="156">
        <f>ROUND(H56*P54,2)</f>
        <v>0</v>
      </c>
      <c r="R56" s="166"/>
      <c r="S56" s="156">
        <f>ROUND(H56*R54,2)</f>
        <v>0</v>
      </c>
      <c r="T56" s="34"/>
      <c r="U56" s="34"/>
      <c r="V56" s="166"/>
      <c r="W56" s="166"/>
      <c r="X56" s="166"/>
      <c r="Y56" s="156">
        <f>ROUND(H56*X54,2)</f>
        <v>2645760</v>
      </c>
      <c r="Z56" s="166"/>
      <c r="AA56" s="156">
        <f>ROUND(H56*Z54,2)</f>
        <v>2645760</v>
      </c>
      <c r="AB56" s="156">
        <f>ROUND(H56*W54,2)</f>
        <v>5556096</v>
      </c>
    </row>
    <row r="57" spans="1:28" ht="30" hidden="1" x14ac:dyDescent="0.25">
      <c r="A57" s="168"/>
      <c r="B57" s="133" t="str">
        <f>'Công trình'!B43</f>
        <v>AF.11212</v>
      </c>
      <c r="C57" s="34"/>
      <c r="D57" s="133" t="str">
        <f>'Công trình'!C43</f>
        <v>Bê tông móng rộng &lt;=250cm đá 1x2, vữa BT mác 150</v>
      </c>
      <c r="E57" s="168"/>
      <c r="F57" s="20">
        <v>1</v>
      </c>
      <c r="G57" s="169"/>
      <c r="H57" s="45">
        <f>'Hao phí vật tư'!J322</f>
        <v>3.1399999999999997E-2</v>
      </c>
      <c r="I57" s="166"/>
      <c r="J57" s="156">
        <f>ROUND(H57*I54,2)</f>
        <v>6908</v>
      </c>
      <c r="K57" s="166"/>
      <c r="L57" s="156">
        <f>ROUND(H57*K54,2)</f>
        <v>13188</v>
      </c>
      <c r="M57" s="34"/>
      <c r="N57" s="166"/>
      <c r="O57" s="156">
        <f>ROUND(H57*N54,2)</f>
        <v>0</v>
      </c>
      <c r="P57" s="166"/>
      <c r="Q57" s="156">
        <f>ROUND(H57*P54,2)</f>
        <v>0</v>
      </c>
      <c r="R57" s="166"/>
      <c r="S57" s="156">
        <f>ROUND(H57*R54,2)</f>
        <v>0</v>
      </c>
      <c r="T57" s="34"/>
      <c r="U57" s="34"/>
      <c r="V57" s="166"/>
      <c r="W57" s="166"/>
      <c r="X57" s="166"/>
      <c r="Y57" s="156">
        <f>ROUND(H57*X54,2)</f>
        <v>6280</v>
      </c>
      <c r="Z57" s="166"/>
      <c r="AA57" s="156">
        <f>ROUND(H57*Z54,2)</f>
        <v>6280</v>
      </c>
      <c r="AB57" s="156">
        <f>ROUND(H57*W54,2)</f>
        <v>13188</v>
      </c>
    </row>
    <row r="58" spans="1:28" ht="30" hidden="1" x14ac:dyDescent="0.25">
      <c r="A58" s="168"/>
      <c r="B58" s="133" t="str">
        <f>'Công trình'!B44</f>
        <v>AF.11213</v>
      </c>
      <c r="C58" s="34"/>
      <c r="D58" s="133" t="str">
        <f>'Công trình'!C44</f>
        <v>Bê tông móng rộng &lt;=250cm đá 1x2, vữa BT mác 200</v>
      </c>
      <c r="E58" s="168"/>
      <c r="F58" s="20">
        <v>1</v>
      </c>
      <c r="G58" s="169"/>
      <c r="H58" s="45">
        <f>'Hao phí vật tư'!J334</f>
        <v>0.1011</v>
      </c>
      <c r="I58" s="166"/>
      <c r="J58" s="156">
        <f>ROUND(H58*I54,2)</f>
        <v>22242</v>
      </c>
      <c r="K58" s="166"/>
      <c r="L58" s="156">
        <f>ROUND(H58*K54,2)</f>
        <v>42462</v>
      </c>
      <c r="M58" s="34"/>
      <c r="N58" s="166"/>
      <c r="O58" s="156">
        <f>ROUND(H58*N54,2)</f>
        <v>0</v>
      </c>
      <c r="P58" s="166"/>
      <c r="Q58" s="156">
        <f>ROUND(H58*P54,2)</f>
        <v>0</v>
      </c>
      <c r="R58" s="166"/>
      <c r="S58" s="156">
        <f>ROUND(H58*R54,2)</f>
        <v>0</v>
      </c>
      <c r="T58" s="34"/>
      <c r="U58" s="34"/>
      <c r="V58" s="166"/>
      <c r="W58" s="166"/>
      <c r="X58" s="166"/>
      <c r="Y58" s="156">
        <f>ROUND(H58*X54,2)</f>
        <v>20220</v>
      </c>
      <c r="Z58" s="166"/>
      <c r="AA58" s="156">
        <f>ROUND(H58*Z54,2)</f>
        <v>20220</v>
      </c>
      <c r="AB58" s="156">
        <f>ROUND(H58*W54,2)</f>
        <v>42462</v>
      </c>
    </row>
    <row r="59" spans="1:28" ht="30" hidden="1" x14ac:dyDescent="0.25">
      <c r="A59" s="168"/>
      <c r="B59" s="133" t="str">
        <f>'Công trình'!B52</f>
        <v>AG.11412</v>
      </c>
      <c r="C59" s="34"/>
      <c r="D59" s="133" t="str">
        <f>'Công trình'!C52</f>
        <v>Sản xuất bê tông tấm BT tự chèn đúc sẵn đá 1x2, vữa BT mác 150</v>
      </c>
      <c r="E59" s="168"/>
      <c r="F59" s="20">
        <v>1</v>
      </c>
      <c r="G59" s="169"/>
      <c r="H59" s="45">
        <f>'Hao phí vật tư'!J379</f>
        <v>47.532899999999998</v>
      </c>
      <c r="I59" s="166"/>
      <c r="J59" s="156">
        <f>ROUND(H59*I54,2)</f>
        <v>10457238</v>
      </c>
      <c r="K59" s="166"/>
      <c r="L59" s="156">
        <f>ROUND(H59*K54,2)</f>
        <v>19963818</v>
      </c>
      <c r="M59" s="34"/>
      <c r="N59" s="166"/>
      <c r="O59" s="156">
        <f>ROUND(H59*N54,2)</f>
        <v>0</v>
      </c>
      <c r="P59" s="166"/>
      <c r="Q59" s="156">
        <f>ROUND(H59*P54,2)</f>
        <v>0</v>
      </c>
      <c r="R59" s="166"/>
      <c r="S59" s="156">
        <f>ROUND(H59*R54,2)</f>
        <v>0</v>
      </c>
      <c r="T59" s="34"/>
      <c r="U59" s="34"/>
      <c r="V59" s="166"/>
      <c r="W59" s="166"/>
      <c r="X59" s="166"/>
      <c r="Y59" s="156">
        <f>ROUND(H59*X54,2)</f>
        <v>9506580</v>
      </c>
      <c r="Z59" s="166"/>
      <c r="AA59" s="156">
        <f>ROUND(H59*Z54,2)</f>
        <v>9506580</v>
      </c>
      <c r="AB59" s="156">
        <f>ROUND(H59*W54,2)</f>
        <v>19963818</v>
      </c>
    </row>
    <row r="60" spans="1:28" ht="30" hidden="1" x14ac:dyDescent="0.25">
      <c r="A60" s="168"/>
      <c r="B60" s="133" t="str">
        <f>'Công trình'!B55</f>
        <v>AG.42111</v>
      </c>
      <c r="C60" s="34"/>
      <c r="D60" s="133" t="str">
        <f>'Công trình'!C55</f>
        <v>Lắp các loại cấu kiện BT đúc sẵn bằng thủ công trọng lượng &lt;=50kg, vữa XM mác 100</v>
      </c>
      <c r="E60" s="168"/>
      <c r="F60" s="20">
        <v>1</v>
      </c>
      <c r="G60" s="169"/>
      <c r="H60" s="45">
        <f>'Hao phí vật tư'!J402</f>
        <v>15.940200000000001</v>
      </c>
      <c r="I60" s="166"/>
      <c r="J60" s="156">
        <f>ROUND(H60*I54,2)</f>
        <v>3506844</v>
      </c>
      <c r="K60" s="166"/>
      <c r="L60" s="156">
        <f>ROUND(H60*K54,2)</f>
        <v>6694884</v>
      </c>
      <c r="M60" s="34"/>
      <c r="N60" s="166"/>
      <c r="O60" s="156">
        <f>ROUND(H60*N54,2)</f>
        <v>0</v>
      </c>
      <c r="P60" s="166"/>
      <c r="Q60" s="156">
        <f>ROUND(H60*P54,2)</f>
        <v>0</v>
      </c>
      <c r="R60" s="166"/>
      <c r="S60" s="156">
        <f>ROUND(H60*R54,2)</f>
        <v>0</v>
      </c>
      <c r="T60" s="34"/>
      <c r="U60" s="34"/>
      <c r="V60" s="166"/>
      <c r="W60" s="166"/>
      <c r="X60" s="166"/>
      <c r="Y60" s="156">
        <f>ROUND(H60*X54,2)</f>
        <v>3188040</v>
      </c>
      <c r="Z60" s="166"/>
      <c r="AA60" s="156">
        <f>ROUND(H60*Z54,2)</f>
        <v>3188040</v>
      </c>
      <c r="AB60" s="156">
        <f>ROUND(H60*W54,2)</f>
        <v>6694884</v>
      </c>
    </row>
    <row r="61" spans="1:28" hidden="1" x14ac:dyDescent="0.25">
      <c r="A61" s="168"/>
      <c r="B61" s="133" t="str">
        <f>'Công trình'!B57</f>
        <v>AF.12313</v>
      </c>
      <c r="C61" s="34"/>
      <c r="D61" s="133" t="str">
        <f>'Công trình'!C57</f>
        <v>Bê tông xà dầm, giằng đá 1x2, vữa BT mác 200</v>
      </c>
      <c r="E61" s="168"/>
      <c r="F61" s="20">
        <v>1</v>
      </c>
      <c r="G61" s="169"/>
      <c r="H61" s="45">
        <f>'Hao phí vật tư'!J421</f>
        <v>17.619800000000001</v>
      </c>
      <c r="I61" s="166"/>
      <c r="J61" s="156">
        <f>ROUND(H61*I54,2)</f>
        <v>3876356</v>
      </c>
      <c r="K61" s="166"/>
      <c r="L61" s="156">
        <f>ROUND(H61*K54,2)</f>
        <v>7400316</v>
      </c>
      <c r="M61" s="34"/>
      <c r="N61" s="166"/>
      <c r="O61" s="156">
        <f>ROUND(H61*N54,2)</f>
        <v>0</v>
      </c>
      <c r="P61" s="166"/>
      <c r="Q61" s="156">
        <f>ROUND(H61*P54,2)</f>
        <v>0</v>
      </c>
      <c r="R61" s="166"/>
      <c r="S61" s="156">
        <f>ROUND(H61*R54,2)</f>
        <v>0</v>
      </c>
      <c r="T61" s="34"/>
      <c r="U61" s="34"/>
      <c r="V61" s="166"/>
      <c r="W61" s="166"/>
      <c r="X61" s="166"/>
      <c r="Y61" s="156">
        <f>ROUND(H61*X54,2)</f>
        <v>3523960</v>
      </c>
      <c r="Z61" s="166"/>
      <c r="AA61" s="156">
        <f>ROUND(H61*Z54,2)</f>
        <v>3523960</v>
      </c>
      <c r="AB61" s="156">
        <f>ROUND(H61*W54,2)</f>
        <v>7400316</v>
      </c>
    </row>
    <row r="62" spans="1:28" hidden="1" x14ac:dyDescent="0.25">
      <c r="A62" s="168"/>
      <c r="B62" s="133" t="str">
        <f>'Công trình'!B58</f>
        <v>AK.41124</v>
      </c>
      <c r="C62" s="34"/>
      <c r="D62" s="133" t="str">
        <f>'Công trình'!C58</f>
        <v>Vữa lót M75 dày 3cm</v>
      </c>
      <c r="E62" s="168"/>
      <c r="F62" s="20">
        <v>1</v>
      </c>
      <c r="G62" s="169"/>
      <c r="H62" s="45">
        <f>'Hao phí vật tư'!J434</f>
        <v>3.452</v>
      </c>
      <c r="I62" s="166"/>
      <c r="J62" s="156">
        <f>ROUND(H62*I54,2)</f>
        <v>759440</v>
      </c>
      <c r="K62" s="166"/>
      <c r="L62" s="156">
        <f>ROUND(H62*K54,2)</f>
        <v>1449840</v>
      </c>
      <c r="M62" s="34"/>
      <c r="N62" s="166"/>
      <c r="O62" s="156">
        <f>ROUND(H62*N54,2)</f>
        <v>0</v>
      </c>
      <c r="P62" s="166"/>
      <c r="Q62" s="156">
        <f>ROUND(H62*P54,2)</f>
        <v>0</v>
      </c>
      <c r="R62" s="166"/>
      <c r="S62" s="156">
        <f>ROUND(H62*R54,2)</f>
        <v>0</v>
      </c>
      <c r="T62" s="34"/>
      <c r="U62" s="34"/>
      <c r="V62" s="166"/>
      <c r="W62" s="166"/>
      <c r="X62" s="166"/>
      <c r="Y62" s="156">
        <f>ROUND(H62*X54,2)</f>
        <v>690400</v>
      </c>
      <c r="Z62" s="166"/>
      <c r="AA62" s="156">
        <f>ROUND(H62*Z54,2)</f>
        <v>690400</v>
      </c>
      <c r="AB62" s="156">
        <f>ROUND(H62*W54,2)</f>
        <v>1449840</v>
      </c>
    </row>
    <row r="63" spans="1:28" ht="30" hidden="1" x14ac:dyDescent="0.25">
      <c r="A63" s="168"/>
      <c r="B63" s="133" t="str">
        <f>'Công trình'!B63</f>
        <v>AF.11223</v>
      </c>
      <c r="C63" s="34"/>
      <c r="D63" s="133" t="str">
        <f>'Công trình'!C63</f>
        <v>Bê tông lát mái rộng &gt;250cm đá 1x2, vữa BT mác 200</v>
      </c>
      <c r="E63" s="168"/>
      <c r="F63" s="20">
        <v>1</v>
      </c>
      <c r="G63" s="169"/>
      <c r="H63" s="45">
        <f>'Hao phí vật tư'!J476</f>
        <v>82.369</v>
      </c>
      <c r="I63" s="166"/>
      <c r="J63" s="156">
        <f>ROUND(H63*I54,2)</f>
        <v>18121180</v>
      </c>
      <c r="K63" s="166"/>
      <c r="L63" s="156">
        <f>ROUND(H63*K54,2)</f>
        <v>34594980</v>
      </c>
      <c r="M63" s="34"/>
      <c r="N63" s="166"/>
      <c r="O63" s="156">
        <f>ROUND(H63*N54,2)</f>
        <v>0</v>
      </c>
      <c r="P63" s="166"/>
      <c r="Q63" s="156">
        <f>ROUND(H63*P54,2)</f>
        <v>0</v>
      </c>
      <c r="R63" s="166"/>
      <c r="S63" s="156">
        <f>ROUND(H63*R54,2)</f>
        <v>0</v>
      </c>
      <c r="T63" s="34"/>
      <c r="U63" s="34"/>
      <c r="V63" s="166"/>
      <c r="W63" s="166"/>
      <c r="X63" s="166"/>
      <c r="Y63" s="156">
        <f>ROUND(H63*X54,2)</f>
        <v>16473800</v>
      </c>
      <c r="Z63" s="166"/>
      <c r="AA63" s="156">
        <f>ROUND(H63*Z54,2)</f>
        <v>16473800</v>
      </c>
      <c r="AB63" s="156">
        <f>ROUND(H63*W54,2)</f>
        <v>34594980</v>
      </c>
    </row>
    <row r="64" spans="1:28" hidden="1" x14ac:dyDescent="0.25">
      <c r="A64" s="168"/>
      <c r="B64" s="133" t="str">
        <f>'Công trình'!B64</f>
        <v>AK.41124</v>
      </c>
      <c r="C64" s="34"/>
      <c r="D64" s="133" t="str">
        <f>'Công trình'!C64</f>
        <v>Vữa lót M75 dày 3cm</v>
      </c>
      <c r="E64" s="168"/>
      <c r="F64" s="20">
        <v>1</v>
      </c>
      <c r="G64" s="169"/>
      <c r="H64" s="45">
        <f>'Hao phí vật tư'!J489</f>
        <v>53.79</v>
      </c>
      <c r="I64" s="166"/>
      <c r="J64" s="156">
        <f>ROUND(H64*I54,2)</f>
        <v>11833800</v>
      </c>
      <c r="K64" s="166"/>
      <c r="L64" s="156">
        <f>ROUND(H64*K54,2)</f>
        <v>22591800</v>
      </c>
      <c r="M64" s="34"/>
      <c r="N64" s="166"/>
      <c r="O64" s="156">
        <f>ROUND(H64*N54,2)</f>
        <v>0</v>
      </c>
      <c r="P64" s="166"/>
      <c r="Q64" s="156">
        <f>ROUND(H64*P54,2)</f>
        <v>0</v>
      </c>
      <c r="R64" s="166"/>
      <c r="S64" s="156">
        <f>ROUND(H64*R54,2)</f>
        <v>0</v>
      </c>
      <c r="T64" s="34"/>
      <c r="U64" s="34"/>
      <c r="V64" s="166"/>
      <c r="W64" s="166"/>
      <c r="X64" s="166"/>
      <c r="Y64" s="156">
        <f>ROUND(H64*X54,2)</f>
        <v>10758000</v>
      </c>
      <c r="Z64" s="166"/>
      <c r="AA64" s="156">
        <f>ROUND(H64*Z54,2)</f>
        <v>10758000</v>
      </c>
      <c r="AB64" s="156">
        <f>ROUND(H64*W54,2)</f>
        <v>22591800</v>
      </c>
    </row>
    <row r="65" spans="1:28" ht="30" hidden="1" x14ac:dyDescent="0.25">
      <c r="A65" s="168"/>
      <c r="B65" s="133" t="str">
        <f>'Công trình'!B68</f>
        <v>AG.11125</v>
      </c>
      <c r="C65" s="34"/>
      <c r="D65" s="133" t="str">
        <f>'Công trình'!C68</f>
        <v>Sản xuất bê tông cọc cừ đúc sẵn đá 1x2, vữa BT mác 300</v>
      </c>
      <c r="E65" s="168"/>
      <c r="F65" s="20">
        <v>1</v>
      </c>
      <c r="G65" s="169"/>
      <c r="H65" s="45">
        <f>'Hao phí vật tư'!J507</f>
        <v>33.127099999999999</v>
      </c>
      <c r="I65" s="166"/>
      <c r="J65" s="156">
        <f>ROUND(H65*I54,2)</f>
        <v>7287962</v>
      </c>
      <c r="K65" s="166"/>
      <c r="L65" s="156">
        <f>ROUND(H65*K54,2)</f>
        <v>13913382</v>
      </c>
      <c r="M65" s="34"/>
      <c r="N65" s="166"/>
      <c r="O65" s="156">
        <f>ROUND(H65*N54,2)</f>
        <v>0</v>
      </c>
      <c r="P65" s="166"/>
      <c r="Q65" s="156">
        <f>ROUND(H65*P54,2)</f>
        <v>0</v>
      </c>
      <c r="R65" s="166"/>
      <c r="S65" s="156">
        <f>ROUND(H65*R54,2)</f>
        <v>0</v>
      </c>
      <c r="T65" s="34"/>
      <c r="U65" s="34"/>
      <c r="V65" s="166"/>
      <c r="W65" s="166"/>
      <c r="X65" s="166"/>
      <c r="Y65" s="156">
        <f>ROUND(H65*X54,2)</f>
        <v>6625420</v>
      </c>
      <c r="Z65" s="166"/>
      <c r="AA65" s="156">
        <f>ROUND(H65*Z54,2)</f>
        <v>6625420</v>
      </c>
      <c r="AB65" s="156">
        <f>ROUND(H65*W54,2)</f>
        <v>13913382</v>
      </c>
    </row>
    <row r="66" spans="1:28" ht="30" hidden="1" x14ac:dyDescent="0.25">
      <c r="A66" s="168"/>
      <c r="B66" s="133" t="str">
        <f>'Công trình'!B79</f>
        <v>AG.11125</v>
      </c>
      <c r="C66" s="34"/>
      <c r="D66" s="133" t="str">
        <f>'Công trình'!C79</f>
        <v>Sản xuất bê tông cọc cừ đúc sẵn đá 1x2, vữa BT mác 300</v>
      </c>
      <c r="E66" s="168"/>
      <c r="F66" s="20">
        <v>1</v>
      </c>
      <c r="G66" s="169"/>
      <c r="H66" s="45">
        <f>'Hao phí vật tư'!J623</f>
        <v>12.975300000000001</v>
      </c>
      <c r="I66" s="166"/>
      <c r="J66" s="156">
        <f>ROUND(H66*I54,2)</f>
        <v>2854566</v>
      </c>
      <c r="K66" s="166"/>
      <c r="L66" s="156">
        <f>ROUND(H66*K54,2)</f>
        <v>5449626</v>
      </c>
      <c r="M66" s="34"/>
      <c r="N66" s="166"/>
      <c r="O66" s="156">
        <f>ROUND(H66*N54,2)</f>
        <v>0</v>
      </c>
      <c r="P66" s="166"/>
      <c r="Q66" s="156">
        <f>ROUND(H66*P54,2)</f>
        <v>0</v>
      </c>
      <c r="R66" s="166"/>
      <c r="S66" s="156">
        <f>ROUND(H66*R54,2)</f>
        <v>0</v>
      </c>
      <c r="T66" s="34"/>
      <c r="U66" s="34"/>
      <c r="V66" s="166"/>
      <c r="W66" s="166"/>
      <c r="X66" s="166"/>
      <c r="Y66" s="156">
        <f>ROUND(H66*X54,2)</f>
        <v>2595060</v>
      </c>
      <c r="Z66" s="166"/>
      <c r="AA66" s="156">
        <f>ROUND(H66*Z54,2)</f>
        <v>2595060</v>
      </c>
      <c r="AB66" s="156">
        <f>ROUND(H66*W54,2)</f>
        <v>5449626</v>
      </c>
    </row>
    <row r="67" spans="1:28" hidden="1" x14ac:dyDescent="0.25">
      <c r="A67" s="168"/>
      <c r="B67" s="133" t="str">
        <f>'Công trình'!B92</f>
        <v>AF.11121</v>
      </c>
      <c r="C67" s="34"/>
      <c r="D67" s="133" t="str">
        <f>'Công trình'!C92</f>
        <v>Bê tông M100 đá 4x6</v>
      </c>
      <c r="E67" s="168"/>
      <c r="F67" s="20">
        <v>1</v>
      </c>
      <c r="G67" s="169"/>
      <c r="H67" s="45">
        <f>'Hao phí vật tư'!J745</f>
        <v>54.744500000000002</v>
      </c>
      <c r="I67" s="166"/>
      <c r="J67" s="156">
        <f>ROUND(H67*I54,2)</f>
        <v>12043790</v>
      </c>
      <c r="K67" s="166"/>
      <c r="L67" s="156">
        <f>ROUND(H67*K54,2)</f>
        <v>22992690</v>
      </c>
      <c r="M67" s="34"/>
      <c r="N67" s="166"/>
      <c r="O67" s="156">
        <f>ROUND(H67*N54,2)</f>
        <v>0</v>
      </c>
      <c r="P67" s="166"/>
      <c r="Q67" s="156">
        <f>ROUND(H67*P54,2)</f>
        <v>0</v>
      </c>
      <c r="R67" s="166"/>
      <c r="S67" s="156">
        <f>ROUND(H67*R54,2)</f>
        <v>0</v>
      </c>
      <c r="T67" s="34"/>
      <c r="U67" s="34"/>
      <c r="V67" s="166"/>
      <c r="W67" s="166"/>
      <c r="X67" s="166"/>
      <c r="Y67" s="156">
        <f>ROUND(H67*X54,2)</f>
        <v>10948900</v>
      </c>
      <c r="Z67" s="166"/>
      <c r="AA67" s="156">
        <f>ROUND(H67*Z54,2)</f>
        <v>10948900</v>
      </c>
      <c r="AB67" s="156">
        <f>ROUND(H67*W54,2)</f>
        <v>22992690</v>
      </c>
    </row>
    <row r="68" spans="1:28" ht="30" hidden="1" x14ac:dyDescent="0.25">
      <c r="A68" s="168"/>
      <c r="B68" s="133" t="str">
        <f>'Công trình'!B167</f>
        <v>AG.11413</v>
      </c>
      <c r="C68" s="34"/>
      <c r="D68" s="133" t="str">
        <f>'Công trình'!C167</f>
        <v>Bê tông tấm đan đúc sẵn đá 1x2, vữa BT mác 200</v>
      </c>
      <c r="E68" s="168"/>
      <c r="F68" s="20">
        <v>1</v>
      </c>
      <c r="G68" s="169"/>
      <c r="H68" s="45">
        <f>'Hao phí vật tư'!J1260</f>
        <v>4.3935000000000004</v>
      </c>
      <c r="I68" s="166"/>
      <c r="J68" s="156">
        <f>ROUND(H68*I54,2)</f>
        <v>966570</v>
      </c>
      <c r="K68" s="166"/>
      <c r="L68" s="156">
        <f>ROUND(H68*K54,2)</f>
        <v>1845270</v>
      </c>
      <c r="M68" s="34"/>
      <c r="N68" s="166"/>
      <c r="O68" s="156">
        <f>ROUND(H68*N54,2)</f>
        <v>0</v>
      </c>
      <c r="P68" s="166"/>
      <c r="Q68" s="156">
        <f>ROUND(H68*P54,2)</f>
        <v>0</v>
      </c>
      <c r="R68" s="166"/>
      <c r="S68" s="156">
        <f>ROUND(H68*R54,2)</f>
        <v>0</v>
      </c>
      <c r="T68" s="34"/>
      <c r="U68" s="34"/>
      <c r="V68" s="166"/>
      <c r="W68" s="166"/>
      <c r="X68" s="166"/>
      <c r="Y68" s="156">
        <f>ROUND(H68*X54,2)</f>
        <v>878700</v>
      </c>
      <c r="Z68" s="166"/>
      <c r="AA68" s="156">
        <f>ROUND(H68*Z54,2)</f>
        <v>878700</v>
      </c>
      <c r="AB68" s="156">
        <f>ROUND(H68*W54,2)</f>
        <v>1845270</v>
      </c>
    </row>
    <row r="69" spans="1:28" ht="30" hidden="1" x14ac:dyDescent="0.25">
      <c r="A69" s="168"/>
      <c r="B69" s="133" t="str">
        <f>'Công trình'!B169</f>
        <v>AG.42141</v>
      </c>
      <c r="C69" s="34"/>
      <c r="D69" s="133" t="str">
        <f>'Công trình'!C169</f>
        <v>Lắp các loại cấu kiện BT đúc sẵn bằng thủ công trọng lượng &gt;250kg, vữa XM mác 100</v>
      </c>
      <c r="E69" s="168"/>
      <c r="F69" s="20">
        <v>1</v>
      </c>
      <c r="G69" s="169"/>
      <c r="H69" s="45">
        <f>'Hao phí vật tư'!J1282</f>
        <v>0.67710000000000004</v>
      </c>
      <c r="I69" s="166"/>
      <c r="J69" s="156">
        <f>ROUND(H69*I54,2)</f>
        <v>148962</v>
      </c>
      <c r="K69" s="166"/>
      <c r="L69" s="156">
        <f>ROUND(H69*K54,2)</f>
        <v>284382</v>
      </c>
      <c r="M69" s="34"/>
      <c r="N69" s="166"/>
      <c r="O69" s="156">
        <f>ROUND(H69*N54,2)</f>
        <v>0</v>
      </c>
      <c r="P69" s="166"/>
      <c r="Q69" s="156">
        <f>ROUND(H69*P54,2)</f>
        <v>0</v>
      </c>
      <c r="R69" s="166"/>
      <c r="S69" s="156">
        <f>ROUND(H69*R54,2)</f>
        <v>0</v>
      </c>
      <c r="T69" s="34"/>
      <c r="U69" s="34"/>
      <c r="V69" s="166"/>
      <c r="W69" s="166"/>
      <c r="X69" s="166"/>
      <c r="Y69" s="156">
        <f>ROUND(H69*X54,2)</f>
        <v>135420</v>
      </c>
      <c r="Z69" s="166"/>
      <c r="AA69" s="156">
        <f>ROUND(H69*Z54,2)</f>
        <v>135420</v>
      </c>
      <c r="AB69" s="156">
        <f>ROUND(H69*W54,2)</f>
        <v>284382</v>
      </c>
    </row>
    <row r="70" spans="1:28" ht="30" hidden="1" x14ac:dyDescent="0.25">
      <c r="A70" s="168"/>
      <c r="B70" s="133" t="str">
        <f>'Công trình'!B174</f>
        <v>AF.14115</v>
      </c>
      <c r="C70" s="34"/>
      <c r="D70" s="133" t="str">
        <f>'Công trình'!C174</f>
        <v>Bê tông móng, mố trụ cầu trên cạn đá 1x2, vữa BT mác 300</v>
      </c>
      <c r="E70" s="168"/>
      <c r="F70" s="20">
        <v>1</v>
      </c>
      <c r="G70" s="169"/>
      <c r="H70" s="45">
        <f>'Hao phí vật tư'!J1299</f>
        <v>46.1233</v>
      </c>
      <c r="I70" s="166"/>
      <c r="J70" s="156">
        <f>ROUND(H70*I54,2)</f>
        <v>10147126</v>
      </c>
      <c r="K70" s="166"/>
      <c r="L70" s="156">
        <f>ROUND(H70*K54,2)</f>
        <v>19371786</v>
      </c>
      <c r="M70" s="34"/>
      <c r="N70" s="166"/>
      <c r="O70" s="156">
        <f>ROUND(H70*N54,2)</f>
        <v>0</v>
      </c>
      <c r="P70" s="166"/>
      <c r="Q70" s="156">
        <f>ROUND(H70*P54,2)</f>
        <v>0</v>
      </c>
      <c r="R70" s="166"/>
      <c r="S70" s="156">
        <f>ROUND(H70*R54,2)</f>
        <v>0</v>
      </c>
      <c r="T70" s="34"/>
      <c r="U70" s="34"/>
      <c r="V70" s="166"/>
      <c r="W70" s="166"/>
      <c r="X70" s="166"/>
      <c r="Y70" s="156">
        <f>ROUND(H70*X54,2)</f>
        <v>9224660</v>
      </c>
      <c r="Z70" s="166"/>
      <c r="AA70" s="156">
        <f>ROUND(H70*Z54,2)</f>
        <v>9224660</v>
      </c>
      <c r="AB70" s="156">
        <f>ROUND(H70*W54,2)</f>
        <v>19371786</v>
      </c>
    </row>
    <row r="71" spans="1:28" hidden="1" x14ac:dyDescent="0.25">
      <c r="A71" s="168"/>
      <c r="B71" s="133" t="str">
        <f>'Công trình'!B176</f>
        <v>AK.41125</v>
      </c>
      <c r="C71" s="34"/>
      <c r="D71" s="133" t="str">
        <f>'Công trình'!C176</f>
        <v>Vữa xi măng M100 độ dốc 10%</v>
      </c>
      <c r="E71" s="168"/>
      <c r="F71" s="20">
        <v>1</v>
      </c>
      <c r="G71" s="169"/>
      <c r="H71" s="45">
        <f>'Hao phí vật tư'!J1328</f>
        <v>0.183</v>
      </c>
      <c r="I71" s="166"/>
      <c r="J71" s="156">
        <f>ROUND(H71*I54,2)</f>
        <v>40260</v>
      </c>
      <c r="K71" s="166"/>
      <c r="L71" s="156">
        <f>ROUND(H71*K54,2)</f>
        <v>76860</v>
      </c>
      <c r="M71" s="34"/>
      <c r="N71" s="166"/>
      <c r="O71" s="156">
        <f>ROUND(H71*N54,2)</f>
        <v>0</v>
      </c>
      <c r="P71" s="166"/>
      <c r="Q71" s="156">
        <f>ROUND(H71*P54,2)</f>
        <v>0</v>
      </c>
      <c r="R71" s="166"/>
      <c r="S71" s="156">
        <f>ROUND(H71*R54,2)</f>
        <v>0</v>
      </c>
      <c r="T71" s="34"/>
      <c r="U71" s="34"/>
      <c r="V71" s="166"/>
      <c r="W71" s="166"/>
      <c r="X71" s="166"/>
      <c r="Y71" s="156">
        <f>ROUND(H71*X54,2)</f>
        <v>36600</v>
      </c>
      <c r="Z71" s="166"/>
      <c r="AA71" s="156">
        <f>ROUND(H71*Z54,2)</f>
        <v>36600</v>
      </c>
      <c r="AB71" s="156">
        <f>ROUND(H71*W54,2)</f>
        <v>76860</v>
      </c>
    </row>
    <row r="72" spans="1:28" ht="30" hidden="1" x14ac:dyDescent="0.25">
      <c r="A72" s="168"/>
      <c r="B72" s="133" t="str">
        <f>'Công trình'!B177</f>
        <v>AF.11121</v>
      </c>
      <c r="C72" s="34"/>
      <c r="D72" s="133" t="str">
        <f>'Công trình'!C177</f>
        <v>Bê tông lót móng rộng &gt;250cm đá 4x6, vữa BT mác 100</v>
      </c>
      <c r="E72" s="168"/>
      <c r="F72" s="20">
        <v>1</v>
      </c>
      <c r="G72" s="169"/>
      <c r="H72" s="45">
        <f>'Hao phí vật tư'!J1337</f>
        <v>4.3955000000000002</v>
      </c>
      <c r="I72" s="166"/>
      <c r="J72" s="156">
        <f>ROUND(H72*I54,2)</f>
        <v>967010</v>
      </c>
      <c r="K72" s="166"/>
      <c r="L72" s="156">
        <f>ROUND(H72*K54,2)</f>
        <v>1846110</v>
      </c>
      <c r="M72" s="34"/>
      <c r="N72" s="166"/>
      <c r="O72" s="156">
        <f>ROUND(H72*N54,2)</f>
        <v>0</v>
      </c>
      <c r="P72" s="166"/>
      <c r="Q72" s="156">
        <f>ROUND(H72*P54,2)</f>
        <v>0</v>
      </c>
      <c r="R72" s="166"/>
      <c r="S72" s="156">
        <f>ROUND(H72*R54,2)</f>
        <v>0</v>
      </c>
      <c r="T72" s="34"/>
      <c r="U72" s="34"/>
      <c r="V72" s="166"/>
      <c r="W72" s="166"/>
      <c r="X72" s="166"/>
      <c r="Y72" s="156">
        <f>ROUND(H72*X54,2)</f>
        <v>879100</v>
      </c>
      <c r="Z72" s="166"/>
      <c r="AA72" s="156">
        <f>ROUND(H72*Z54,2)</f>
        <v>879100</v>
      </c>
      <c r="AB72" s="156">
        <f>ROUND(H72*W54,2)</f>
        <v>1846110</v>
      </c>
    </row>
    <row r="73" spans="1:28" ht="30" hidden="1" x14ac:dyDescent="0.25">
      <c r="A73" s="168"/>
      <c r="B73" s="133" t="str">
        <f>'Công trình'!B186</f>
        <v>AF.14115</v>
      </c>
      <c r="C73" s="34"/>
      <c r="D73" s="133" t="str">
        <f>'Công trình'!C186</f>
        <v>Bê tông móng, mố trụ cầu trên cạn đá 1x2, vữa BT mác 300</v>
      </c>
      <c r="E73" s="168"/>
      <c r="F73" s="20">
        <v>1</v>
      </c>
      <c r="G73" s="169"/>
      <c r="H73" s="45">
        <f>'Hao phí vật tư'!J1416</f>
        <v>1.6488</v>
      </c>
      <c r="I73" s="166"/>
      <c r="J73" s="156">
        <f>ROUND(H73*I54,2)</f>
        <v>362736</v>
      </c>
      <c r="K73" s="166"/>
      <c r="L73" s="156">
        <f>ROUND(H73*K54,2)</f>
        <v>692496</v>
      </c>
      <c r="M73" s="34"/>
      <c r="N73" s="166"/>
      <c r="O73" s="156">
        <f>ROUND(H73*N54,2)</f>
        <v>0</v>
      </c>
      <c r="P73" s="166"/>
      <c r="Q73" s="156">
        <f>ROUND(H73*P54,2)</f>
        <v>0</v>
      </c>
      <c r="R73" s="166"/>
      <c r="S73" s="156">
        <f>ROUND(H73*R54,2)</f>
        <v>0</v>
      </c>
      <c r="T73" s="34"/>
      <c r="U73" s="34"/>
      <c r="V73" s="166"/>
      <c r="W73" s="166"/>
      <c r="X73" s="166"/>
      <c r="Y73" s="156">
        <f>ROUND(H73*X54,2)</f>
        <v>329760</v>
      </c>
      <c r="Z73" s="166"/>
      <c r="AA73" s="156">
        <f>ROUND(H73*Z54,2)</f>
        <v>329760</v>
      </c>
      <c r="AB73" s="156">
        <f>ROUND(H73*W54,2)</f>
        <v>692496</v>
      </c>
    </row>
    <row r="74" spans="1:28" hidden="1" x14ac:dyDescent="0.25">
      <c r="A74" s="168"/>
      <c r="B74" s="133" t="str">
        <f>'Công trình'!B187</f>
        <v>AK.41125</v>
      </c>
      <c r="C74" s="34"/>
      <c r="D74" s="133" t="str">
        <f>'Công trình'!C187</f>
        <v>Vữa xi măng dày 3cm, vữa XM mác 100</v>
      </c>
      <c r="E74" s="168"/>
      <c r="F74" s="20">
        <v>1</v>
      </c>
      <c r="G74" s="169"/>
      <c r="H74" s="45">
        <f>'Hao phí vật tư'!J1430</f>
        <v>3.73E-2</v>
      </c>
      <c r="I74" s="166"/>
      <c r="J74" s="156">
        <f>ROUND(H74*I54,2)</f>
        <v>8206</v>
      </c>
      <c r="K74" s="166"/>
      <c r="L74" s="156">
        <f>ROUND(H74*K54,2)</f>
        <v>15666</v>
      </c>
      <c r="M74" s="34"/>
      <c r="N74" s="166"/>
      <c r="O74" s="156">
        <f>ROUND(H74*N54,2)</f>
        <v>0</v>
      </c>
      <c r="P74" s="166"/>
      <c r="Q74" s="156">
        <f>ROUND(H74*P54,2)</f>
        <v>0</v>
      </c>
      <c r="R74" s="166"/>
      <c r="S74" s="156">
        <f>ROUND(H74*R54,2)</f>
        <v>0</v>
      </c>
      <c r="T74" s="34"/>
      <c r="U74" s="34"/>
      <c r="V74" s="166"/>
      <c r="W74" s="166"/>
      <c r="X74" s="166"/>
      <c r="Y74" s="156">
        <f>ROUND(H74*X54,2)</f>
        <v>7460</v>
      </c>
      <c r="Z74" s="166"/>
      <c r="AA74" s="156">
        <f>ROUND(H74*Z54,2)</f>
        <v>7460</v>
      </c>
      <c r="AB74" s="156">
        <f>ROUND(H74*W54,2)</f>
        <v>15666</v>
      </c>
    </row>
    <row r="75" spans="1:28" hidden="1" x14ac:dyDescent="0.25">
      <c r="A75" s="168"/>
      <c r="B75" s="133" t="str">
        <f>'Công trình'!B196</f>
        <v>AF.14315</v>
      </c>
      <c r="C75" s="34"/>
      <c r="D75" s="133" t="str">
        <f>'Công trình'!C196</f>
        <v>Bê tông mặt cầu đá 1x2, vữa BT mác 300</v>
      </c>
      <c r="E75" s="168"/>
      <c r="F75" s="20">
        <v>1</v>
      </c>
      <c r="G75" s="169"/>
      <c r="H75" s="45">
        <f>'Hao phí vật tư'!J1497</f>
        <v>25.603899999999999</v>
      </c>
      <c r="I75" s="166"/>
      <c r="J75" s="156">
        <f>ROUND(H75*I54,2)</f>
        <v>5632858</v>
      </c>
      <c r="K75" s="166"/>
      <c r="L75" s="156">
        <f>ROUND(H75*K54,2)</f>
        <v>10753638</v>
      </c>
      <c r="M75" s="34"/>
      <c r="N75" s="166"/>
      <c r="O75" s="156">
        <f>ROUND(H75*N54,2)</f>
        <v>0</v>
      </c>
      <c r="P75" s="166"/>
      <c r="Q75" s="156">
        <f>ROUND(H75*P54,2)</f>
        <v>0</v>
      </c>
      <c r="R75" s="166"/>
      <c r="S75" s="156">
        <f>ROUND(H75*R54,2)</f>
        <v>0</v>
      </c>
      <c r="T75" s="34"/>
      <c r="U75" s="34"/>
      <c r="V75" s="166"/>
      <c r="W75" s="166"/>
      <c r="X75" s="166"/>
      <c r="Y75" s="156">
        <f>ROUND(H75*X54,2)</f>
        <v>5120780</v>
      </c>
      <c r="Z75" s="166"/>
      <c r="AA75" s="156">
        <f>ROUND(H75*Z54,2)</f>
        <v>5120780</v>
      </c>
      <c r="AB75" s="156">
        <f>ROUND(H75*W54,2)</f>
        <v>10753638</v>
      </c>
    </row>
    <row r="76" spans="1:28" hidden="1" x14ac:dyDescent="0.25">
      <c r="A76" s="168"/>
      <c r="B76" s="133" t="str">
        <f>'Công trình'!B197</f>
        <v>AF.15225</v>
      </c>
      <c r="C76" s="34"/>
      <c r="D76" s="133" t="str">
        <f>'Công trình'!C197</f>
        <v>Bê tông dầm cầu đá 1x2, vữa BT mác 300</v>
      </c>
      <c r="E76" s="168"/>
      <c r="F76" s="20">
        <v>1</v>
      </c>
      <c r="G76" s="169"/>
      <c r="H76" s="45">
        <f>'Hao phí vật tư'!J1511</f>
        <v>1.4379999999999999</v>
      </c>
      <c r="I76" s="166"/>
      <c r="J76" s="156">
        <f>ROUND(H76*I54,2)</f>
        <v>316360</v>
      </c>
      <c r="K76" s="166"/>
      <c r="L76" s="156">
        <f>ROUND(H76*K54,2)</f>
        <v>603960</v>
      </c>
      <c r="M76" s="34"/>
      <c r="N76" s="166"/>
      <c r="O76" s="156">
        <f>ROUND(H76*N54,2)</f>
        <v>0</v>
      </c>
      <c r="P76" s="166"/>
      <c r="Q76" s="156">
        <f>ROUND(H76*P54,2)</f>
        <v>0</v>
      </c>
      <c r="R76" s="166"/>
      <c r="S76" s="156">
        <f>ROUND(H76*R54,2)</f>
        <v>0</v>
      </c>
      <c r="T76" s="34"/>
      <c r="U76" s="34"/>
      <c r="V76" s="166"/>
      <c r="W76" s="166"/>
      <c r="X76" s="166"/>
      <c r="Y76" s="156">
        <f>ROUND(H76*X54,2)</f>
        <v>287600</v>
      </c>
      <c r="Z76" s="166"/>
      <c r="AA76" s="156">
        <f>ROUND(H76*Z54,2)</f>
        <v>287600</v>
      </c>
      <c r="AB76" s="156">
        <f>ROUND(H76*W54,2)</f>
        <v>603960</v>
      </c>
    </row>
    <row r="77" spans="1:28" hidden="1" x14ac:dyDescent="0.25">
      <c r="A77" s="168"/>
      <c r="B77" s="133" t="str">
        <f>'Công trình'!B217</f>
        <v>AF.11215</v>
      </c>
      <c r="C77" s="34"/>
      <c r="D77" s="133" t="str">
        <f>'Công trình'!C217</f>
        <v>BT M300 đổ sau có phụ gia</v>
      </c>
      <c r="E77" s="168"/>
      <c r="F77" s="20">
        <v>1</v>
      </c>
      <c r="G77" s="169"/>
      <c r="H77" s="45">
        <f>'Hao phí vật tư'!J1633</f>
        <v>0.54210000000000003</v>
      </c>
      <c r="I77" s="166"/>
      <c r="J77" s="156">
        <f>ROUND(H77*I54,2)</f>
        <v>119262</v>
      </c>
      <c r="K77" s="166"/>
      <c r="L77" s="156">
        <f>ROUND(H77*K54,2)</f>
        <v>227682</v>
      </c>
      <c r="M77" s="34"/>
      <c r="N77" s="166"/>
      <c r="O77" s="156">
        <f>ROUND(H77*N54,2)</f>
        <v>0</v>
      </c>
      <c r="P77" s="166"/>
      <c r="Q77" s="156">
        <f>ROUND(H77*P54,2)</f>
        <v>0</v>
      </c>
      <c r="R77" s="166"/>
      <c r="S77" s="156">
        <f>ROUND(H77*R54,2)</f>
        <v>0</v>
      </c>
      <c r="T77" s="34"/>
      <c r="U77" s="34"/>
      <c r="V77" s="166"/>
      <c r="W77" s="166"/>
      <c r="X77" s="166"/>
      <c r="Y77" s="156">
        <f>ROUND(H77*X54,2)</f>
        <v>108420</v>
      </c>
      <c r="Z77" s="166"/>
      <c r="AA77" s="156">
        <f>ROUND(H77*Z54,2)</f>
        <v>108420</v>
      </c>
      <c r="AB77" s="156">
        <f>ROUND(H77*W54,2)</f>
        <v>227682</v>
      </c>
    </row>
    <row r="78" spans="1:28" ht="30" hidden="1" x14ac:dyDescent="0.25">
      <c r="A78" s="168"/>
      <c r="B78" s="133" t="str">
        <f>'Công trình'!B225</f>
        <v>AG.11125</v>
      </c>
      <c r="C78" s="34"/>
      <c r="D78" s="133" t="str">
        <f>'Công trình'!C225</f>
        <v>Sản xuất bê tông cọc cừ đúc sẵn đá 1x2, vữa BT mác 300</v>
      </c>
      <c r="E78" s="168"/>
      <c r="F78" s="20">
        <v>1</v>
      </c>
      <c r="G78" s="169"/>
      <c r="H78" s="45">
        <f>'Hao phí vật tư'!J1683</f>
        <v>35.803800000000003</v>
      </c>
      <c r="I78" s="166"/>
      <c r="J78" s="156">
        <f>ROUND(H78*I54,2)</f>
        <v>7876836</v>
      </c>
      <c r="K78" s="166"/>
      <c r="L78" s="156">
        <f>ROUND(H78*K54,2)</f>
        <v>15037596</v>
      </c>
      <c r="M78" s="34"/>
      <c r="N78" s="166"/>
      <c r="O78" s="156">
        <f>ROUND(H78*N54,2)</f>
        <v>0</v>
      </c>
      <c r="P78" s="166"/>
      <c r="Q78" s="156">
        <f>ROUND(H78*P54,2)</f>
        <v>0</v>
      </c>
      <c r="R78" s="166"/>
      <c r="S78" s="156">
        <f>ROUND(H78*R54,2)</f>
        <v>0</v>
      </c>
      <c r="T78" s="34"/>
      <c r="U78" s="34"/>
      <c r="V78" s="166"/>
      <c r="W78" s="166"/>
      <c r="X78" s="166"/>
      <c r="Y78" s="156">
        <f>ROUND(H78*X54,2)</f>
        <v>7160760</v>
      </c>
      <c r="Z78" s="166"/>
      <c r="AA78" s="156">
        <f>ROUND(H78*Z54,2)</f>
        <v>7160760</v>
      </c>
      <c r="AB78" s="156">
        <f>ROUND(H78*W54,2)</f>
        <v>15037596</v>
      </c>
    </row>
    <row r="79" spans="1:28" ht="30" hidden="1" x14ac:dyDescent="0.25">
      <c r="A79" s="168"/>
      <c r="B79" s="133" t="str">
        <f>'Công trình'!B247</f>
        <v>AF.12313</v>
      </c>
      <c r="C79" s="34"/>
      <c r="D79" s="133" t="str">
        <f>'Công trình'!C247</f>
        <v>Bê tông dầm chặn chân, đá 1x2, vữa BT mác 200</v>
      </c>
      <c r="E79" s="168"/>
      <c r="F79" s="20">
        <v>1</v>
      </c>
      <c r="G79" s="169"/>
      <c r="H79" s="45">
        <f>'Hao phí vật tư'!J1866</f>
        <v>9.0145999999999997</v>
      </c>
      <c r="I79" s="166"/>
      <c r="J79" s="156">
        <f>ROUND(H79*I54,2)</f>
        <v>1983212</v>
      </c>
      <c r="K79" s="166"/>
      <c r="L79" s="156">
        <f>ROUND(H79*K54,2)</f>
        <v>3786132</v>
      </c>
      <c r="M79" s="34"/>
      <c r="N79" s="166"/>
      <c r="O79" s="156">
        <f>ROUND(H79*N54,2)</f>
        <v>0</v>
      </c>
      <c r="P79" s="166"/>
      <c r="Q79" s="156">
        <f>ROUND(H79*P54,2)</f>
        <v>0</v>
      </c>
      <c r="R79" s="166"/>
      <c r="S79" s="156">
        <f>ROUND(H79*R54,2)</f>
        <v>0</v>
      </c>
      <c r="T79" s="34"/>
      <c r="U79" s="34"/>
      <c r="V79" s="166"/>
      <c r="W79" s="166"/>
      <c r="X79" s="166"/>
      <c r="Y79" s="156">
        <f>ROUND(H79*X54,2)</f>
        <v>1802920</v>
      </c>
      <c r="Z79" s="166"/>
      <c r="AA79" s="156">
        <f>ROUND(H79*Z54,2)</f>
        <v>1802920</v>
      </c>
      <c r="AB79" s="156">
        <f>ROUND(H79*W54,2)</f>
        <v>3786132</v>
      </c>
    </row>
    <row r="80" spans="1:28" hidden="1" x14ac:dyDescent="0.25">
      <c r="A80" s="168"/>
      <c r="B80" s="133" t="str">
        <f>'Công trình'!B248</f>
        <v>AK.41124</v>
      </c>
      <c r="C80" s="34"/>
      <c r="D80" s="133" t="str">
        <f>'Công trình'!C248</f>
        <v>Vữa lót M75-3cm</v>
      </c>
      <c r="E80" s="168"/>
      <c r="F80" s="20">
        <v>1</v>
      </c>
      <c r="G80" s="169"/>
      <c r="H80" s="45">
        <f>'Hao phí vật tư'!J1879</f>
        <v>2.8258999999999999</v>
      </c>
      <c r="I80" s="166"/>
      <c r="J80" s="156">
        <f>ROUND(H80*I54,2)</f>
        <v>621698</v>
      </c>
      <c r="K80" s="166"/>
      <c r="L80" s="156">
        <f>ROUND(H80*K54,2)</f>
        <v>1186878</v>
      </c>
      <c r="M80" s="34"/>
      <c r="N80" s="166"/>
      <c r="O80" s="156">
        <f>ROUND(H80*N54,2)</f>
        <v>0</v>
      </c>
      <c r="P80" s="166"/>
      <c r="Q80" s="156">
        <f>ROUND(H80*P54,2)</f>
        <v>0</v>
      </c>
      <c r="R80" s="166"/>
      <c r="S80" s="156">
        <f>ROUND(H80*R54,2)</f>
        <v>0</v>
      </c>
      <c r="T80" s="34"/>
      <c r="U80" s="34"/>
      <c r="V80" s="166"/>
      <c r="W80" s="166"/>
      <c r="X80" s="166"/>
      <c r="Y80" s="156">
        <f>ROUND(H80*X54,2)</f>
        <v>565180</v>
      </c>
      <c r="Z80" s="166"/>
      <c r="AA80" s="156">
        <f>ROUND(H80*Z54,2)</f>
        <v>565180</v>
      </c>
      <c r="AB80" s="156">
        <f>ROUND(H80*W54,2)</f>
        <v>1186878</v>
      </c>
    </row>
    <row r="81" spans="1:28" ht="30" hidden="1" x14ac:dyDescent="0.25">
      <c r="A81" s="168"/>
      <c r="B81" s="133" t="str">
        <f>'Công trình'!B250</f>
        <v>AG.11413</v>
      </c>
      <c r="C81" s="34"/>
      <c r="D81" s="133" t="str">
        <f>'Công trình'!C250</f>
        <v>Sản xuất bê tông lục giác, đá 1x2, vữa BT mác 200</v>
      </c>
      <c r="E81" s="168"/>
      <c r="F81" s="20">
        <v>1</v>
      </c>
      <c r="G81" s="169"/>
      <c r="H81" s="45">
        <f>'Hao phí vật tư'!J1901</f>
        <v>36.259</v>
      </c>
      <c r="I81" s="166"/>
      <c r="J81" s="156">
        <f>ROUND(H81*I54,2)</f>
        <v>7976980</v>
      </c>
      <c r="K81" s="166"/>
      <c r="L81" s="156">
        <f>ROUND(H81*K54,2)</f>
        <v>15228780</v>
      </c>
      <c r="M81" s="34"/>
      <c r="N81" s="166"/>
      <c r="O81" s="156">
        <f>ROUND(H81*N54,2)</f>
        <v>0</v>
      </c>
      <c r="P81" s="166"/>
      <c r="Q81" s="156">
        <f>ROUND(H81*P54,2)</f>
        <v>0</v>
      </c>
      <c r="R81" s="166"/>
      <c r="S81" s="156">
        <f>ROUND(H81*R54,2)</f>
        <v>0</v>
      </c>
      <c r="T81" s="34"/>
      <c r="U81" s="34"/>
      <c r="V81" s="166"/>
      <c r="W81" s="166"/>
      <c r="X81" s="166"/>
      <c r="Y81" s="156">
        <f>ROUND(H81*X54,2)</f>
        <v>7251800</v>
      </c>
      <c r="Z81" s="166"/>
      <c r="AA81" s="156">
        <f>ROUND(H81*Z54,2)</f>
        <v>7251800</v>
      </c>
      <c r="AB81" s="156">
        <f>ROUND(H81*W54,2)</f>
        <v>15228780</v>
      </c>
    </row>
    <row r="82" spans="1:28" ht="30" hidden="1" x14ac:dyDescent="0.25">
      <c r="A82" s="168"/>
      <c r="B82" s="133" t="str">
        <f>'Công trình'!B255</f>
        <v>AF.14325</v>
      </c>
      <c r="C82" s="34"/>
      <c r="D82" s="133" t="str">
        <f>'Công trình'!C255</f>
        <v>Bê tông lan can, gờ chắn đá 1x2, vữa BT mác 300</v>
      </c>
      <c r="E82" s="168"/>
      <c r="F82" s="20">
        <v>1</v>
      </c>
      <c r="G82" s="169"/>
      <c r="H82" s="45">
        <f>'Hao phí vật tư'!J1937</f>
        <v>10.037800000000001</v>
      </c>
      <c r="I82" s="166"/>
      <c r="J82" s="156">
        <f>ROUND(H82*I54,2)</f>
        <v>2208316</v>
      </c>
      <c r="K82" s="166"/>
      <c r="L82" s="156">
        <f>ROUND(H82*K54,2)</f>
        <v>4215876</v>
      </c>
      <c r="M82" s="34"/>
      <c r="N82" s="166"/>
      <c r="O82" s="156">
        <f>ROUND(H82*N54,2)</f>
        <v>0</v>
      </c>
      <c r="P82" s="166"/>
      <c r="Q82" s="156">
        <f>ROUND(H82*P54,2)</f>
        <v>0</v>
      </c>
      <c r="R82" s="166"/>
      <c r="S82" s="156">
        <f>ROUND(H82*R54,2)</f>
        <v>0</v>
      </c>
      <c r="T82" s="34"/>
      <c r="U82" s="34"/>
      <c r="V82" s="166"/>
      <c r="W82" s="166"/>
      <c r="X82" s="166"/>
      <c r="Y82" s="156">
        <f>ROUND(H82*X54,2)</f>
        <v>2007560</v>
      </c>
      <c r="Z82" s="166"/>
      <c r="AA82" s="156">
        <f>ROUND(H82*Z54,2)</f>
        <v>2007560</v>
      </c>
      <c r="AB82" s="156">
        <f>ROUND(H82*W54,2)</f>
        <v>4215876</v>
      </c>
    </row>
    <row r="83" spans="1:28" ht="30" hidden="1" x14ac:dyDescent="0.25">
      <c r="A83" s="168"/>
      <c r="B83" s="133" t="str">
        <f>'Công trình'!B267</f>
        <v>AF.11212</v>
      </c>
      <c r="C83" s="34"/>
      <c r="D83" s="133" t="str">
        <f>'Công trình'!C267</f>
        <v>Bê tông móng rộng &lt;=250cm đá 1x2, vữa BT mác 150</v>
      </c>
      <c r="E83" s="168"/>
      <c r="F83" s="20">
        <v>1</v>
      </c>
      <c r="G83" s="169"/>
      <c r="H83" s="45">
        <f>'Hao phí vật tư'!J2032</f>
        <v>1.7775000000000001</v>
      </c>
      <c r="I83" s="166"/>
      <c r="J83" s="156">
        <f>ROUND(H83*I54,2)</f>
        <v>391050</v>
      </c>
      <c r="K83" s="166"/>
      <c r="L83" s="156">
        <f>ROUND(H83*K54,2)</f>
        <v>746550</v>
      </c>
      <c r="M83" s="34"/>
      <c r="N83" s="166"/>
      <c r="O83" s="156">
        <f>ROUND(H83*N54,2)</f>
        <v>0</v>
      </c>
      <c r="P83" s="166"/>
      <c r="Q83" s="156">
        <f>ROUND(H83*P54,2)</f>
        <v>0</v>
      </c>
      <c r="R83" s="166"/>
      <c r="S83" s="156">
        <f>ROUND(H83*R54,2)</f>
        <v>0</v>
      </c>
      <c r="T83" s="34"/>
      <c r="U83" s="34"/>
      <c r="V83" s="166"/>
      <c r="W83" s="166"/>
      <c r="X83" s="166"/>
      <c r="Y83" s="156">
        <f>ROUND(H83*X54,2)</f>
        <v>355500</v>
      </c>
      <c r="Z83" s="166"/>
      <c r="AA83" s="156">
        <f>ROUND(H83*Z54,2)</f>
        <v>355500</v>
      </c>
      <c r="AB83" s="156">
        <f>ROUND(H83*W54,2)</f>
        <v>746550</v>
      </c>
    </row>
    <row r="84" spans="1:28" ht="30" hidden="1" x14ac:dyDescent="0.25">
      <c r="A84" s="168"/>
      <c r="B84" s="133" t="str">
        <f>'Công trình'!B284</f>
        <v>AF.11213</v>
      </c>
      <c r="C84" s="34"/>
      <c r="D84" s="133" t="str">
        <f>'Công trình'!C284</f>
        <v>Bê tông móng rộng &lt;=250cm đá 1x2, vữa BT mác 200</v>
      </c>
      <c r="E84" s="168"/>
      <c r="F84" s="20">
        <v>1</v>
      </c>
      <c r="G84" s="169"/>
      <c r="H84" s="45">
        <f>'Hao phí vật tư'!J2123</f>
        <v>3.9615999999999998</v>
      </c>
      <c r="I84" s="166"/>
      <c r="J84" s="156">
        <f>ROUND(H84*I54,2)</f>
        <v>871552</v>
      </c>
      <c r="K84" s="166"/>
      <c r="L84" s="156">
        <f>ROUND(H84*K54,2)</f>
        <v>1663872</v>
      </c>
      <c r="M84" s="34"/>
      <c r="N84" s="166"/>
      <c r="O84" s="156">
        <f>ROUND(H84*N54,2)</f>
        <v>0</v>
      </c>
      <c r="P84" s="166"/>
      <c r="Q84" s="156">
        <f>ROUND(H84*P54,2)</f>
        <v>0</v>
      </c>
      <c r="R84" s="166"/>
      <c r="S84" s="156">
        <f>ROUND(H84*R54,2)</f>
        <v>0</v>
      </c>
      <c r="T84" s="34"/>
      <c r="U84" s="34"/>
      <c r="V84" s="166"/>
      <c r="W84" s="166"/>
      <c r="X84" s="166"/>
      <c r="Y84" s="156">
        <f>ROUND(H84*X54,2)</f>
        <v>792320</v>
      </c>
      <c r="Z84" s="166"/>
      <c r="AA84" s="156">
        <f>ROUND(H84*Z54,2)</f>
        <v>792320</v>
      </c>
      <c r="AB84" s="156">
        <f>ROUND(H84*W54,2)</f>
        <v>1663872</v>
      </c>
    </row>
    <row r="85" spans="1:28" ht="30" hidden="1" x14ac:dyDescent="0.25">
      <c r="A85" s="168"/>
      <c r="B85" s="133" t="str">
        <f>'Công trình'!B285</f>
        <v>AF.11212</v>
      </c>
      <c r="C85" s="34"/>
      <c r="D85" s="133" t="str">
        <f>'Công trình'!C285</f>
        <v>Bê tông móng rộng &lt;=250cm đá 1x2, vữa BT mác 150</v>
      </c>
      <c r="E85" s="168"/>
      <c r="F85" s="20">
        <v>1</v>
      </c>
      <c r="G85" s="169"/>
      <c r="H85" s="45">
        <f>'Hao phí vật tư'!J2135</f>
        <v>0.7319</v>
      </c>
      <c r="I85" s="166"/>
      <c r="J85" s="156">
        <f>ROUND(H85*I54,2)</f>
        <v>161018</v>
      </c>
      <c r="K85" s="166"/>
      <c r="L85" s="156">
        <f>ROUND(H85*K54,2)</f>
        <v>307398</v>
      </c>
      <c r="M85" s="34"/>
      <c r="N85" s="166"/>
      <c r="O85" s="156">
        <f>ROUND(H85*N54,2)</f>
        <v>0</v>
      </c>
      <c r="P85" s="166"/>
      <c r="Q85" s="156">
        <f>ROUND(H85*P54,2)</f>
        <v>0</v>
      </c>
      <c r="R85" s="166"/>
      <c r="S85" s="156">
        <f>ROUND(H85*R54,2)</f>
        <v>0</v>
      </c>
      <c r="T85" s="34"/>
      <c r="U85" s="34"/>
      <c r="V85" s="166"/>
      <c r="W85" s="166"/>
      <c r="X85" s="166"/>
      <c r="Y85" s="156">
        <f>ROUND(H85*X54,2)</f>
        <v>146380</v>
      </c>
      <c r="Z85" s="166"/>
      <c r="AA85" s="156">
        <f>ROUND(H85*Z54,2)</f>
        <v>146380</v>
      </c>
      <c r="AB85" s="156">
        <f>ROUND(H85*W54,2)</f>
        <v>307398</v>
      </c>
    </row>
    <row r="86" spans="1:28" hidden="1" x14ac:dyDescent="0.25">
      <c r="A86" s="168"/>
      <c r="B86" s="133" t="str">
        <f>'Công trình'!B286</f>
        <v>AK.41124</v>
      </c>
      <c r="C86" s="34"/>
      <c r="D86" s="133" t="str">
        <f>'Công trình'!C286</f>
        <v>Vữa lót M75 dày 3cm</v>
      </c>
      <c r="E86" s="168"/>
      <c r="F86" s="20">
        <v>1</v>
      </c>
      <c r="G86" s="169"/>
      <c r="H86" s="45">
        <f>'Hao phí vật tư'!J2147</f>
        <v>0.4491</v>
      </c>
      <c r="I86" s="166"/>
      <c r="J86" s="156">
        <f>ROUND(H86*I54,2)</f>
        <v>98802</v>
      </c>
      <c r="K86" s="166"/>
      <c r="L86" s="156">
        <f>ROUND(H86*K54,2)</f>
        <v>188622</v>
      </c>
      <c r="M86" s="34"/>
      <c r="N86" s="166"/>
      <c r="O86" s="156">
        <f>ROUND(H86*N54,2)</f>
        <v>0</v>
      </c>
      <c r="P86" s="166"/>
      <c r="Q86" s="156">
        <f>ROUND(H86*P54,2)</f>
        <v>0</v>
      </c>
      <c r="R86" s="166"/>
      <c r="S86" s="156">
        <f>ROUND(H86*R54,2)</f>
        <v>0</v>
      </c>
      <c r="T86" s="34"/>
      <c r="U86" s="34"/>
      <c r="V86" s="166"/>
      <c r="W86" s="166"/>
      <c r="X86" s="166"/>
      <c r="Y86" s="156">
        <f>ROUND(H86*X54,2)</f>
        <v>89820</v>
      </c>
      <c r="Z86" s="166"/>
      <c r="AA86" s="156">
        <f>ROUND(H86*Z54,2)</f>
        <v>89820</v>
      </c>
      <c r="AB86" s="156">
        <f>ROUND(H86*W54,2)</f>
        <v>188622</v>
      </c>
    </row>
    <row r="87" spans="1:28" ht="30" hidden="1" x14ac:dyDescent="0.25">
      <c r="A87" s="168"/>
      <c r="B87" s="133" t="str">
        <f>'Công trình'!B252</f>
        <v>AG.42111</v>
      </c>
      <c r="C87" s="34"/>
      <c r="D87" s="133" t="str">
        <f>'Công trình'!C252</f>
        <v>Lắp các loại cấu kiện BT đúc sẵn bằng thủ công trọng lượng &lt;=50kg, vữa XM mác 100</v>
      </c>
      <c r="E87" s="168"/>
      <c r="F87" s="20">
        <v>1</v>
      </c>
      <c r="G87" s="169"/>
      <c r="H87" s="45">
        <f>'Hao phí vật tư'!J1923</f>
        <v>22.994399999999999</v>
      </c>
      <c r="I87" s="166"/>
      <c r="J87" s="156">
        <f>ROUND(H87*I54,2)</f>
        <v>5058768</v>
      </c>
      <c r="K87" s="166"/>
      <c r="L87" s="156">
        <f>ROUND(H87*K54,2)</f>
        <v>9657648</v>
      </c>
      <c r="M87" s="34"/>
      <c r="N87" s="166"/>
      <c r="O87" s="156">
        <f>ROUND(H87*N54,2)</f>
        <v>0</v>
      </c>
      <c r="P87" s="166"/>
      <c r="Q87" s="156">
        <f>ROUND(H87*P54,2)</f>
        <v>0</v>
      </c>
      <c r="R87" s="166"/>
      <c r="S87" s="156">
        <f>ROUND(H87*R54,2)</f>
        <v>0</v>
      </c>
      <c r="T87" s="34"/>
      <c r="U87" s="34"/>
      <c r="V87" s="166"/>
      <c r="W87" s="166"/>
      <c r="X87" s="166"/>
      <c r="Y87" s="156">
        <f>ROUND(H87*X54,2)</f>
        <v>4598880</v>
      </c>
      <c r="Z87" s="166"/>
      <c r="AA87" s="156">
        <f>ROUND(H87*Z54,2)</f>
        <v>4598880</v>
      </c>
      <c r="AB87" s="156">
        <f>ROUND(H87*W54,2)</f>
        <v>9657648</v>
      </c>
    </row>
    <row r="88" spans="1:28" hidden="1" x14ac:dyDescent="0.25">
      <c r="A88" s="168"/>
      <c r="B88" s="133" t="str">
        <f>'Công trình'!B265</f>
        <v>AK.41115</v>
      </c>
      <c r="C88" s="34"/>
      <c r="D88" s="133" t="str">
        <f>'Công trình'!C265</f>
        <v>Vữa xi măng M100</v>
      </c>
      <c r="E88" s="168"/>
      <c r="F88" s="20">
        <v>1</v>
      </c>
      <c r="G88" s="169"/>
      <c r="H88" s="45">
        <f>'Hao phí vật tư'!J2023</f>
        <v>0.44479999999999997</v>
      </c>
      <c r="I88" s="166"/>
      <c r="J88" s="156">
        <f>ROUND(H88*I54,2)</f>
        <v>97856</v>
      </c>
      <c r="K88" s="166"/>
      <c r="L88" s="156">
        <f>ROUND(H88*K54,2)</f>
        <v>186816</v>
      </c>
      <c r="M88" s="34"/>
      <c r="N88" s="166"/>
      <c r="O88" s="156">
        <f>ROUND(H88*N54,2)</f>
        <v>0</v>
      </c>
      <c r="P88" s="166"/>
      <c r="Q88" s="156">
        <f>ROUND(H88*P54,2)</f>
        <v>0</v>
      </c>
      <c r="R88" s="166"/>
      <c r="S88" s="156">
        <f>ROUND(H88*R54,2)</f>
        <v>0</v>
      </c>
      <c r="T88" s="34"/>
      <c r="U88" s="34"/>
      <c r="V88" s="166"/>
      <c r="W88" s="166"/>
      <c r="X88" s="166"/>
      <c r="Y88" s="156">
        <f>ROUND(H88*X54,2)</f>
        <v>88960</v>
      </c>
      <c r="Z88" s="166"/>
      <c r="AA88" s="156">
        <f>ROUND(H88*Z54,2)</f>
        <v>88960</v>
      </c>
      <c r="AB88" s="156">
        <f>ROUND(H88*W54,2)</f>
        <v>186816</v>
      </c>
    </row>
    <row r="89" spans="1:28" ht="30" hidden="1" x14ac:dyDescent="0.25">
      <c r="A89" s="168"/>
      <c r="B89" s="133" t="str">
        <f>'Công trình'!B295</f>
        <v>AF.11213</v>
      </c>
      <c r="C89" s="34"/>
      <c r="D89" s="133" t="str">
        <f>'Công trình'!C295</f>
        <v>Bê tông móng rộng &lt;=250cm đá 1x2, vữa BT mác 200</v>
      </c>
      <c r="E89" s="168"/>
      <c r="F89" s="20">
        <v>1</v>
      </c>
      <c r="G89" s="169"/>
      <c r="H89" s="45">
        <f>'Hao phí vật tư'!J2207</f>
        <v>8.5900000000000004E-2</v>
      </c>
      <c r="I89" s="166"/>
      <c r="J89" s="156">
        <f>ROUND(H89*I54,2)</f>
        <v>18898</v>
      </c>
      <c r="K89" s="166"/>
      <c r="L89" s="156">
        <f>ROUND(H89*K54,2)</f>
        <v>36078</v>
      </c>
      <c r="M89" s="34"/>
      <c r="N89" s="166"/>
      <c r="O89" s="156">
        <f>ROUND(H89*N54,2)</f>
        <v>0</v>
      </c>
      <c r="P89" s="166"/>
      <c r="Q89" s="156">
        <f>ROUND(H89*P54,2)</f>
        <v>0</v>
      </c>
      <c r="R89" s="166"/>
      <c r="S89" s="156">
        <f>ROUND(H89*R54,2)</f>
        <v>0</v>
      </c>
      <c r="T89" s="34"/>
      <c r="U89" s="34"/>
      <c r="V89" s="166"/>
      <c r="W89" s="166"/>
      <c r="X89" s="166"/>
      <c r="Y89" s="156">
        <f>ROUND(H89*X54,2)</f>
        <v>17180</v>
      </c>
      <c r="Z89" s="166"/>
      <c r="AA89" s="156">
        <f>ROUND(H89*Z54,2)</f>
        <v>17180</v>
      </c>
      <c r="AB89" s="156">
        <f>ROUND(H89*W54,2)</f>
        <v>36078</v>
      </c>
    </row>
    <row r="90" spans="1:28" ht="30" hidden="1" x14ac:dyDescent="0.25">
      <c r="A90" s="168"/>
      <c r="B90" s="133" t="str">
        <f>'Công trình'!B296</f>
        <v>AF.11212</v>
      </c>
      <c r="C90" s="34"/>
      <c r="D90" s="133" t="str">
        <f>'Công trình'!C296</f>
        <v>Bê tông móng rộng &lt;=250cm đá 1x2, vữa BT mác 150</v>
      </c>
      <c r="E90" s="168"/>
      <c r="F90" s="20">
        <v>1</v>
      </c>
      <c r="G90" s="169"/>
      <c r="H90" s="45">
        <f>'Hao phí vật tư'!J2219</f>
        <v>3.1399999999999997E-2</v>
      </c>
      <c r="I90" s="166"/>
      <c r="J90" s="156">
        <f>ROUND(H90*I54,2)</f>
        <v>6908</v>
      </c>
      <c r="K90" s="166"/>
      <c r="L90" s="156">
        <f>ROUND(H90*K54,2)</f>
        <v>13188</v>
      </c>
      <c r="M90" s="34"/>
      <c r="N90" s="166"/>
      <c r="O90" s="156">
        <f>ROUND(H90*N54,2)</f>
        <v>0</v>
      </c>
      <c r="P90" s="166"/>
      <c r="Q90" s="156">
        <f>ROUND(H90*P54,2)</f>
        <v>0</v>
      </c>
      <c r="R90" s="166"/>
      <c r="S90" s="156">
        <f>ROUND(H90*R54,2)</f>
        <v>0</v>
      </c>
      <c r="T90" s="34"/>
      <c r="U90" s="34"/>
      <c r="V90" s="166"/>
      <c r="W90" s="166"/>
      <c r="X90" s="166"/>
      <c r="Y90" s="156">
        <f>ROUND(H90*X54,2)</f>
        <v>6280</v>
      </c>
      <c r="Z90" s="166"/>
      <c r="AA90" s="156">
        <f>ROUND(H90*Z54,2)</f>
        <v>6280</v>
      </c>
      <c r="AB90" s="156">
        <f>ROUND(H90*W54,2)</f>
        <v>13188</v>
      </c>
    </row>
    <row r="91" spans="1:28" ht="30" hidden="1" x14ac:dyDescent="0.25">
      <c r="A91" s="168"/>
      <c r="B91" s="133" t="str">
        <f>'Công trình'!B300</f>
        <v>AG.11113</v>
      </c>
      <c r="C91" s="34"/>
      <c r="D91" s="133" t="str">
        <f>'Công trình'!C300</f>
        <v>Sản xuất bê tông cọc, cột đúc sẵn đá 1x2, vữa BT mác 200</v>
      </c>
      <c r="E91" s="168"/>
      <c r="F91" s="20">
        <v>1</v>
      </c>
      <c r="G91" s="169"/>
      <c r="H91" s="45">
        <f>'Hao phí vật tư'!J2241</f>
        <v>0.45040000000000002</v>
      </c>
      <c r="I91" s="166"/>
      <c r="J91" s="156">
        <f>ROUND(H91*I54,2)</f>
        <v>99088</v>
      </c>
      <c r="K91" s="166"/>
      <c r="L91" s="156">
        <f>ROUND(H91*K54,2)</f>
        <v>189168</v>
      </c>
      <c r="M91" s="34"/>
      <c r="N91" s="166"/>
      <c r="O91" s="156">
        <f>ROUND(H91*N54,2)</f>
        <v>0</v>
      </c>
      <c r="P91" s="166"/>
      <c r="Q91" s="156">
        <f>ROUND(H91*P54,2)</f>
        <v>0</v>
      </c>
      <c r="R91" s="166"/>
      <c r="S91" s="156">
        <f>ROUND(H91*R54,2)</f>
        <v>0</v>
      </c>
      <c r="T91" s="34"/>
      <c r="U91" s="34"/>
      <c r="V91" s="166"/>
      <c r="W91" s="166"/>
      <c r="X91" s="166"/>
      <c r="Y91" s="156">
        <f>ROUND(H91*X54,2)</f>
        <v>90080</v>
      </c>
      <c r="Z91" s="166"/>
      <c r="AA91" s="156">
        <f>ROUND(H91*Z54,2)</f>
        <v>90080</v>
      </c>
      <c r="AB91" s="156">
        <f>ROUND(H91*W54,2)</f>
        <v>189168</v>
      </c>
    </row>
    <row r="92" spans="1:28" ht="30" hidden="1" x14ac:dyDescent="0.25">
      <c r="A92" s="168"/>
      <c r="B92" s="133" t="str">
        <f>'Công trình'!B301</f>
        <v>AF.11212</v>
      </c>
      <c r="C92" s="34"/>
      <c r="D92" s="133" t="str">
        <f>'Công trình'!C301</f>
        <v>Bê tông móng rộng &lt;=250cm đá 1x2, vữa BT mác 150</v>
      </c>
      <c r="E92" s="168"/>
      <c r="F92" s="20">
        <v>1</v>
      </c>
      <c r="G92" s="169"/>
      <c r="H92" s="45">
        <f>'Hao phí vật tư'!J2254</f>
        <v>0.75280000000000002</v>
      </c>
      <c r="I92" s="166"/>
      <c r="J92" s="156">
        <f>ROUND(H92*I54,2)</f>
        <v>165616</v>
      </c>
      <c r="K92" s="166"/>
      <c r="L92" s="156">
        <f>ROUND(H92*K54,2)</f>
        <v>316176</v>
      </c>
      <c r="M92" s="34"/>
      <c r="N92" s="166"/>
      <c r="O92" s="156">
        <f>ROUND(H92*N54,2)</f>
        <v>0</v>
      </c>
      <c r="P92" s="166"/>
      <c r="Q92" s="156">
        <f>ROUND(H92*P54,2)</f>
        <v>0</v>
      </c>
      <c r="R92" s="166"/>
      <c r="S92" s="156">
        <f>ROUND(H92*R54,2)</f>
        <v>0</v>
      </c>
      <c r="T92" s="34"/>
      <c r="U92" s="34"/>
      <c r="V92" s="166"/>
      <c r="W92" s="166"/>
      <c r="X92" s="166"/>
      <c r="Y92" s="156">
        <f>ROUND(H92*X54,2)</f>
        <v>150560</v>
      </c>
      <c r="Z92" s="166"/>
      <c r="AA92" s="156">
        <f>ROUND(H92*Z54,2)</f>
        <v>150560</v>
      </c>
      <c r="AB92" s="156">
        <f>ROUND(H92*W54,2)</f>
        <v>316176</v>
      </c>
    </row>
    <row r="93" spans="1:28" ht="30" hidden="1" x14ac:dyDescent="0.25">
      <c r="A93" s="168"/>
      <c r="B93" s="133" t="str">
        <f>'Công trình'!B303</f>
        <v>AG.42111</v>
      </c>
      <c r="C93" s="34"/>
      <c r="D93" s="133" t="str">
        <f>'Công trình'!C303</f>
        <v>Lắp các loại cấu kiện BT đúc sẵn bằng thủ công trọng lượng &lt;=50kg, vữa XM mác 100</v>
      </c>
      <c r="E93" s="168"/>
      <c r="F93" s="20">
        <v>1</v>
      </c>
      <c r="G93" s="169"/>
      <c r="H93" s="45">
        <f>'Hao phí vật tư'!J2274</f>
        <v>0.13200000000000001</v>
      </c>
      <c r="I93" s="166"/>
      <c r="J93" s="156">
        <f>ROUND(H93*I54,2)</f>
        <v>29040</v>
      </c>
      <c r="K93" s="166"/>
      <c r="L93" s="156">
        <f>ROUND(H93*K54,2)</f>
        <v>55440</v>
      </c>
      <c r="M93" s="34"/>
      <c r="N93" s="166"/>
      <c r="O93" s="156">
        <f>ROUND(H93*N54,2)</f>
        <v>0</v>
      </c>
      <c r="P93" s="166"/>
      <c r="Q93" s="156">
        <f>ROUND(H93*P54,2)</f>
        <v>0</v>
      </c>
      <c r="R93" s="166"/>
      <c r="S93" s="156">
        <f>ROUND(H93*R54,2)</f>
        <v>0</v>
      </c>
      <c r="T93" s="34"/>
      <c r="U93" s="34"/>
      <c r="V93" s="166"/>
      <c r="W93" s="166"/>
      <c r="X93" s="166"/>
      <c r="Y93" s="156">
        <f>ROUND(H93*X54,2)</f>
        <v>26400</v>
      </c>
      <c r="Z93" s="166"/>
      <c r="AA93" s="156">
        <f>ROUND(H93*Z54,2)</f>
        <v>26400</v>
      </c>
      <c r="AB93" s="156">
        <f>ROUND(H93*W54,2)</f>
        <v>55440</v>
      </c>
    </row>
    <row r="94" spans="1:28" ht="30" hidden="1" x14ac:dyDescent="0.25">
      <c r="A94" s="168"/>
      <c r="B94" s="133" t="str">
        <f>'Công trình'!B7</f>
        <v>AF.11224</v>
      </c>
      <c r="C94" s="34"/>
      <c r="D94" s="133" t="str">
        <f>'Công trình'!C7</f>
        <v>Bê tông móng rộng &gt;250cm đá 1x2, vữa BT mác 250</v>
      </c>
      <c r="E94" s="168"/>
      <c r="F94" s="20">
        <v>1</v>
      </c>
      <c r="G94" s="169"/>
      <c r="H94" s="45">
        <f>'Hao phí vật tư'!J12</f>
        <v>80.017099999999999</v>
      </c>
      <c r="I94" s="166"/>
      <c r="J94" s="156">
        <f>ROUND(H94*I54,2)</f>
        <v>17603762</v>
      </c>
      <c r="K94" s="166"/>
      <c r="L94" s="156">
        <f>ROUND(H94*K54,2)</f>
        <v>33607182</v>
      </c>
      <c r="M94" s="34"/>
      <c r="N94" s="166"/>
      <c r="O94" s="156">
        <f>ROUND(H94*N54,2)</f>
        <v>0</v>
      </c>
      <c r="P94" s="166"/>
      <c r="Q94" s="156">
        <f>ROUND(H94*P54,2)</f>
        <v>0</v>
      </c>
      <c r="R94" s="166"/>
      <c r="S94" s="156">
        <f>ROUND(H94*R54,2)</f>
        <v>0</v>
      </c>
      <c r="T94" s="34"/>
      <c r="U94" s="34"/>
      <c r="V94" s="166"/>
      <c r="W94" s="166"/>
      <c r="X94" s="166"/>
      <c r="Y94" s="156">
        <f>ROUND(H94*X54,2)</f>
        <v>16003420</v>
      </c>
      <c r="Z94" s="166"/>
      <c r="AA94" s="156">
        <f>ROUND(H94*Z54,2)</f>
        <v>16003420</v>
      </c>
      <c r="AB94" s="156">
        <f>ROUND(H94*W54,2)</f>
        <v>33607182</v>
      </c>
    </row>
    <row r="95" spans="1:28" ht="30" hidden="1" x14ac:dyDescent="0.25">
      <c r="A95" s="168"/>
      <c r="B95" s="133" t="str">
        <f>'Công trình'!B8</f>
        <v>AF.12144</v>
      </c>
      <c r="C95" s="34"/>
      <c r="D95" s="133" t="str">
        <f>'Công trình'!C8</f>
        <v>Bê tông tường dày &gt;45cm, chiều cao &lt;=16m đá 1x2, vữa BT mác 250</v>
      </c>
      <c r="E95" s="168"/>
      <c r="F95" s="20">
        <v>1</v>
      </c>
      <c r="G95" s="169"/>
      <c r="H95" s="45">
        <f>'Hao phí vật tư'!J27</f>
        <v>78.230199999999996</v>
      </c>
      <c r="I95" s="166"/>
      <c r="J95" s="156">
        <f>ROUND(H95*I54,2)</f>
        <v>17210644</v>
      </c>
      <c r="K95" s="166"/>
      <c r="L95" s="156">
        <f>ROUND(H95*K54,2)</f>
        <v>32856684</v>
      </c>
      <c r="M95" s="34"/>
      <c r="N95" s="166"/>
      <c r="O95" s="156">
        <f>ROUND(H95*N54,2)</f>
        <v>0</v>
      </c>
      <c r="P95" s="166"/>
      <c r="Q95" s="156">
        <f>ROUND(H95*P54,2)</f>
        <v>0</v>
      </c>
      <c r="R95" s="166"/>
      <c r="S95" s="156">
        <f>ROUND(H95*R54,2)</f>
        <v>0</v>
      </c>
      <c r="T95" s="34"/>
      <c r="U95" s="34"/>
      <c r="V95" s="166"/>
      <c r="W95" s="166"/>
      <c r="X95" s="166"/>
      <c r="Y95" s="156">
        <f>ROUND(H95*X54,2)</f>
        <v>15646040</v>
      </c>
      <c r="Z95" s="166"/>
      <c r="AA95" s="156">
        <f>ROUND(H95*Z54,2)</f>
        <v>15646040</v>
      </c>
      <c r="AB95" s="156">
        <f>ROUND(H95*W54,2)</f>
        <v>32856684</v>
      </c>
    </row>
    <row r="96" spans="1:28" hidden="1" x14ac:dyDescent="0.25">
      <c r="A96" s="168"/>
      <c r="B96" s="133" t="str">
        <f>'Công trình'!B198</f>
        <v>TT</v>
      </c>
      <c r="C96" s="34"/>
      <c r="D96" s="133" t="str">
        <f>'Công trình'!C198</f>
        <v>Vữa xi măng dày 7cm, vữa XM mác 400</v>
      </c>
      <c r="E96" s="168"/>
      <c r="F96" s="20">
        <v>1</v>
      </c>
      <c r="G96" s="169"/>
      <c r="H96" s="45">
        <f>'Hao phí vật tư'!J1526</f>
        <v>20.815799999999999</v>
      </c>
      <c r="I96" s="166"/>
      <c r="J96" s="156">
        <f>ROUND(H96*I54,2)</f>
        <v>4579476</v>
      </c>
      <c r="K96" s="166"/>
      <c r="L96" s="156">
        <f>ROUND(H96*K54,2)</f>
        <v>8742636</v>
      </c>
      <c r="M96" s="34"/>
      <c r="N96" s="166"/>
      <c r="O96" s="156">
        <f>ROUND(H96*N54,2)</f>
        <v>0</v>
      </c>
      <c r="P96" s="166"/>
      <c r="Q96" s="156">
        <f>ROUND(H96*P54,2)</f>
        <v>0</v>
      </c>
      <c r="R96" s="166"/>
      <c r="S96" s="156">
        <f>ROUND(H96*R54,2)</f>
        <v>0</v>
      </c>
      <c r="T96" s="34"/>
      <c r="U96" s="34"/>
      <c r="V96" s="166"/>
      <c r="W96" s="166"/>
      <c r="X96" s="166"/>
      <c r="Y96" s="156">
        <f>ROUND(H96*X54,2)</f>
        <v>4163160</v>
      </c>
      <c r="Z96" s="166"/>
      <c r="AA96" s="156">
        <f>ROUND(H96*Z54,2)</f>
        <v>4163160</v>
      </c>
      <c r="AB96" s="156">
        <f>ROUND(H96*W54,2)</f>
        <v>8742636</v>
      </c>
    </row>
    <row r="97" spans="1:28" hidden="1" x14ac:dyDescent="0.25">
      <c r="A97" s="168"/>
      <c r="B97" s="133" t="str">
        <f>'Công trình'!B175</f>
        <v>AF.11225</v>
      </c>
      <c r="C97" s="34"/>
      <c r="D97" s="133" t="str">
        <f>'Công trình'!C175</f>
        <v>Bê tông bản dẫn đá 1x2, vữa BT mác 300</v>
      </c>
      <c r="E97" s="168"/>
      <c r="F97" s="20">
        <v>1</v>
      </c>
      <c r="G97" s="169"/>
      <c r="H97" s="45">
        <f>'Hao phí vật tư'!J1315</f>
        <v>8.4312000000000005</v>
      </c>
      <c r="I97" s="166"/>
      <c r="J97" s="156">
        <f>ROUND(H97*I54,2)</f>
        <v>1854864</v>
      </c>
      <c r="K97" s="166"/>
      <c r="L97" s="156">
        <f>ROUND(H97*K54,2)</f>
        <v>3541104</v>
      </c>
      <c r="M97" s="34"/>
      <c r="N97" s="166"/>
      <c r="O97" s="156">
        <f>ROUND(H97*N54,2)</f>
        <v>0</v>
      </c>
      <c r="P97" s="166"/>
      <c r="Q97" s="156">
        <f>ROUND(H97*P54,2)</f>
        <v>0</v>
      </c>
      <c r="R97" s="166"/>
      <c r="S97" s="156">
        <f>ROUND(H97*R54,2)</f>
        <v>0</v>
      </c>
      <c r="T97" s="34"/>
      <c r="U97" s="34"/>
      <c r="V97" s="166"/>
      <c r="W97" s="166"/>
      <c r="X97" s="166"/>
      <c r="Y97" s="156">
        <f>ROUND(H97*X54,2)</f>
        <v>1686240</v>
      </c>
      <c r="Z97" s="166"/>
      <c r="AA97" s="156">
        <f>ROUND(H97*Z54,2)</f>
        <v>1686240</v>
      </c>
      <c r="AB97" s="156">
        <f>ROUND(H97*W54,2)</f>
        <v>3541104</v>
      </c>
    </row>
    <row r="98" spans="1:28" hidden="1" x14ac:dyDescent="0.25">
      <c r="A98" s="168"/>
      <c r="B98" s="133" t="str">
        <f>'Công trình'!B9</f>
        <v>AF.11333</v>
      </c>
      <c r="C98" s="34"/>
      <c r="D98" s="133" t="str">
        <f>'Công trình'!C9</f>
        <v>Bê tông bịt đáy đá 4x6, vữa BT mác 200</v>
      </c>
      <c r="E98" s="168"/>
      <c r="F98" s="20">
        <v>1</v>
      </c>
      <c r="G98" s="169"/>
      <c r="H98" s="45">
        <f>'Hao phí vật tư'!J41</f>
        <v>133.63999999999999</v>
      </c>
      <c r="I98" s="166"/>
      <c r="J98" s="156">
        <f>ROUND(H98*I54,2)</f>
        <v>29400800</v>
      </c>
      <c r="K98" s="166"/>
      <c r="L98" s="156">
        <f>ROUND(H98*K54,2)</f>
        <v>56128800</v>
      </c>
      <c r="M98" s="34"/>
      <c r="N98" s="166"/>
      <c r="O98" s="156">
        <f>ROUND(H98*N54,2)</f>
        <v>0</v>
      </c>
      <c r="P98" s="166"/>
      <c r="Q98" s="156">
        <f>ROUND(H98*P54,2)</f>
        <v>0</v>
      </c>
      <c r="R98" s="166"/>
      <c r="S98" s="156">
        <f>ROUND(H98*R54,2)</f>
        <v>0</v>
      </c>
      <c r="T98" s="34"/>
      <c r="U98" s="34"/>
      <c r="V98" s="166"/>
      <c r="W98" s="166"/>
      <c r="X98" s="166"/>
      <c r="Y98" s="156">
        <f>ROUND(H98*X54,2)</f>
        <v>26728000</v>
      </c>
      <c r="Z98" s="166"/>
      <c r="AA98" s="156">
        <f>ROUND(H98*Z54,2)</f>
        <v>26728000</v>
      </c>
      <c r="AB98" s="156">
        <f>ROUND(H98*W54,2)</f>
        <v>56128800</v>
      </c>
    </row>
    <row r="99" spans="1:28" ht="30" hidden="1" x14ac:dyDescent="0.25">
      <c r="A99" s="168"/>
      <c r="B99" s="133" t="str">
        <f>'Công trình'!B10</f>
        <v>AF.11121</v>
      </c>
      <c r="C99" s="34"/>
      <c r="D99" s="133" t="str">
        <f>'Công trình'!C10</f>
        <v>Bê tông lót móng rộng &gt;250cm đá 4x6, vữa BT mác 100</v>
      </c>
      <c r="E99" s="168"/>
      <c r="F99" s="20">
        <v>1</v>
      </c>
      <c r="G99" s="169"/>
      <c r="H99" s="45">
        <f>'Hao phí vật tư'!J53</f>
        <v>29.0199</v>
      </c>
      <c r="I99" s="166"/>
      <c r="J99" s="156">
        <f>ROUND(H99*I54,2)</f>
        <v>6384378</v>
      </c>
      <c r="K99" s="166"/>
      <c r="L99" s="156">
        <f>ROUND(H99*K54,2)</f>
        <v>12188358</v>
      </c>
      <c r="M99" s="34"/>
      <c r="N99" s="166"/>
      <c r="O99" s="156">
        <f>ROUND(H99*N54,2)</f>
        <v>0</v>
      </c>
      <c r="P99" s="166"/>
      <c r="Q99" s="156">
        <f>ROUND(H99*P54,2)</f>
        <v>0</v>
      </c>
      <c r="R99" s="166"/>
      <c r="S99" s="156">
        <f>ROUND(H99*R54,2)</f>
        <v>0</v>
      </c>
      <c r="T99" s="34"/>
      <c r="U99" s="34"/>
      <c r="V99" s="166"/>
      <c r="W99" s="166"/>
      <c r="X99" s="166"/>
      <c r="Y99" s="156">
        <f>ROUND(H99*X54,2)</f>
        <v>5803980</v>
      </c>
      <c r="Z99" s="166"/>
      <c r="AA99" s="156">
        <f>ROUND(H99*Z54,2)</f>
        <v>5803980</v>
      </c>
      <c r="AB99" s="156">
        <f>ROUND(H99*W54,2)</f>
        <v>12188358</v>
      </c>
    </row>
    <row r="100" spans="1:28" hidden="1" x14ac:dyDescent="0.25">
      <c r="A100" s="168"/>
      <c r="B100" s="133" t="str">
        <f>'Công trình'!B34</f>
        <v>AF.12313</v>
      </c>
      <c r="C100" s="34"/>
      <c r="D100" s="133" t="str">
        <f>'Công trình'!C34</f>
        <v>Bê tông dầm, giằng đá 1x2, vữa BT mác 200</v>
      </c>
      <c r="E100" s="168"/>
      <c r="F100" s="20">
        <v>1</v>
      </c>
      <c r="G100" s="169"/>
      <c r="H100" s="45">
        <f>'Hao phí vật tư'!J248</f>
        <v>5.2146999999999997</v>
      </c>
      <c r="I100" s="166"/>
      <c r="J100" s="156">
        <f>ROUND(H100*I54,2)</f>
        <v>1147234</v>
      </c>
      <c r="K100" s="166"/>
      <c r="L100" s="156">
        <f>ROUND(H100*K54,2)</f>
        <v>2190174</v>
      </c>
      <c r="M100" s="34"/>
      <c r="N100" s="166"/>
      <c r="O100" s="156">
        <f>ROUND(H100*N54,2)</f>
        <v>0</v>
      </c>
      <c r="P100" s="166"/>
      <c r="Q100" s="156">
        <f>ROUND(H100*P54,2)</f>
        <v>0</v>
      </c>
      <c r="R100" s="166"/>
      <c r="S100" s="156">
        <f>ROUND(H100*R54,2)</f>
        <v>0</v>
      </c>
      <c r="T100" s="34"/>
      <c r="U100" s="34"/>
      <c r="V100" s="166"/>
      <c r="W100" s="166"/>
      <c r="X100" s="166"/>
      <c r="Y100" s="156">
        <f>ROUND(H100*X54,2)</f>
        <v>1042940</v>
      </c>
      <c r="Z100" s="166"/>
      <c r="AA100" s="156">
        <f>ROUND(H100*Z54,2)</f>
        <v>1042940</v>
      </c>
      <c r="AB100" s="156">
        <f>ROUND(H100*W54,2)</f>
        <v>2190174</v>
      </c>
    </row>
    <row r="101" spans="1:28" x14ac:dyDescent="0.25">
      <c r="A101" s="168">
        <v>18</v>
      </c>
      <c r="B101" s="84" t="s">
        <v>1055</v>
      </c>
      <c r="C101" s="34">
        <v>129</v>
      </c>
      <c r="D101" s="144" t="s">
        <v>834</v>
      </c>
      <c r="E101" s="168" t="s">
        <v>72</v>
      </c>
      <c r="F101" s="34"/>
      <c r="G101" s="169"/>
      <c r="H101" s="60">
        <f>SUM(H102:H106)</f>
        <v>293.70830000000001</v>
      </c>
      <c r="I101" s="166">
        <v>13000</v>
      </c>
      <c r="J101" s="166">
        <f>ROUND(H101*I101,0)</f>
        <v>3818208</v>
      </c>
      <c r="K101" s="156">
        <f>'Tổng hợp VL,NC,M'!I99</f>
        <v>18182</v>
      </c>
      <c r="L101" s="166">
        <f>ROUND(H101*K101,0)</f>
        <v>5340204</v>
      </c>
      <c r="M101" s="34">
        <v>1</v>
      </c>
      <c r="N101" s="166"/>
      <c r="O101" s="166">
        <f>ROUND(H101*N101,0)</f>
        <v>0</v>
      </c>
      <c r="P101" s="166"/>
      <c r="Q101" s="166">
        <f>ROUND(H101*P101,0)</f>
        <v>0</v>
      </c>
      <c r="R101" s="166"/>
      <c r="S101" s="166">
        <f>ROUND(H101*R101,0)</f>
        <v>0</v>
      </c>
      <c r="T101" s="34"/>
      <c r="U101" s="34"/>
      <c r="V101" s="166">
        <f>ROUND((K101+N101+P101+R101)*(U101+T101),0)</f>
        <v>0</v>
      </c>
      <c r="W101" s="156">
        <f>K101+N101+P101+R101+V101</f>
        <v>18182</v>
      </c>
      <c r="X101" s="166">
        <f>K101-I101</f>
        <v>5182</v>
      </c>
      <c r="Y101" s="166">
        <f>ROUND(H101*X101,0)</f>
        <v>1521996</v>
      </c>
      <c r="Z101" s="166">
        <f>W101-I101</f>
        <v>5182</v>
      </c>
      <c r="AA101" s="166">
        <f>ROUND(H101*Z101,0)</f>
        <v>1521996</v>
      </c>
      <c r="AB101" s="166">
        <f>ROUND(H101*W101,0)</f>
        <v>5340204</v>
      </c>
    </row>
    <row r="102" spans="1:28" ht="30" hidden="1" x14ac:dyDescent="0.25">
      <c r="A102" s="168"/>
      <c r="B102" s="133" t="str">
        <f>'Công trình'!B42</f>
        <v>AC.11121</v>
      </c>
      <c r="C102" s="34"/>
      <c r="D102" s="133" t="str">
        <f>'Công trình'!C42</f>
        <v>Đóng cọc tràm chiều dài cọc ngập đất &gt;2,5m đất cấp I</v>
      </c>
      <c r="E102" s="168"/>
      <c r="F102" s="20">
        <v>1</v>
      </c>
      <c r="G102" s="169"/>
      <c r="H102" s="45">
        <f>'Hao phí vật tư'!J315</f>
        <v>0.44550000000000001</v>
      </c>
      <c r="I102" s="166"/>
      <c r="J102" s="156">
        <f>ROUND(H102*I101,2)</f>
        <v>5791.5</v>
      </c>
      <c r="K102" s="166"/>
      <c r="L102" s="156">
        <f>ROUND(H102*K101,2)</f>
        <v>8100.08</v>
      </c>
      <c r="M102" s="34"/>
      <c r="N102" s="166"/>
      <c r="O102" s="156">
        <f>ROUND(H102*N101,2)</f>
        <v>0</v>
      </c>
      <c r="P102" s="166"/>
      <c r="Q102" s="156">
        <f>ROUND(H102*P101,2)</f>
        <v>0</v>
      </c>
      <c r="R102" s="166"/>
      <c r="S102" s="156">
        <f>ROUND(H102*R101,2)</f>
        <v>0</v>
      </c>
      <c r="T102" s="34"/>
      <c r="U102" s="34"/>
      <c r="V102" s="166"/>
      <c r="W102" s="166"/>
      <c r="X102" s="166"/>
      <c r="Y102" s="156">
        <f>ROUND(H102*X101,2)</f>
        <v>2308.58</v>
      </c>
      <c r="Z102" s="166"/>
      <c r="AA102" s="156">
        <f>ROUND(H102*Z101,2)</f>
        <v>2308.58</v>
      </c>
      <c r="AB102" s="156">
        <f>ROUND(H102*W101,2)</f>
        <v>8100.08</v>
      </c>
    </row>
    <row r="103" spans="1:28" ht="30" hidden="1" x14ac:dyDescent="0.25">
      <c r="A103" s="168"/>
      <c r="B103" s="133" t="str">
        <f>'Công trình'!B50</f>
        <v>AC.11121</v>
      </c>
      <c r="C103" s="34"/>
      <c r="D103" s="133" t="str">
        <f>'Công trình'!C50</f>
        <v>Đóng cọc tràm chiều dài cọc ngập đất &gt;2,5m đất cấp I</v>
      </c>
      <c r="E103" s="168"/>
      <c r="F103" s="20">
        <v>1</v>
      </c>
      <c r="G103" s="169"/>
      <c r="H103" s="45">
        <f>'Hao phí vật tư'!J372</f>
        <v>220.74529999999999</v>
      </c>
      <c r="I103" s="166"/>
      <c r="J103" s="156">
        <f>ROUND(H103*I101,2)</f>
        <v>2869688.9</v>
      </c>
      <c r="K103" s="166"/>
      <c r="L103" s="156">
        <f>ROUND(H103*K101,2)</f>
        <v>4013591.04</v>
      </c>
      <c r="M103" s="34"/>
      <c r="N103" s="166"/>
      <c r="O103" s="156">
        <f>ROUND(H103*N101,2)</f>
        <v>0</v>
      </c>
      <c r="P103" s="166"/>
      <c r="Q103" s="156">
        <f>ROUND(H103*P101,2)</f>
        <v>0</v>
      </c>
      <c r="R103" s="166"/>
      <c r="S103" s="156">
        <f>ROUND(H103*R101,2)</f>
        <v>0</v>
      </c>
      <c r="T103" s="34"/>
      <c r="U103" s="34"/>
      <c r="V103" s="166"/>
      <c r="W103" s="166"/>
      <c r="X103" s="166"/>
      <c r="Y103" s="156">
        <f>ROUND(H103*X101,2)</f>
        <v>1143902.1399999999</v>
      </c>
      <c r="Z103" s="166"/>
      <c r="AA103" s="156">
        <f>ROUND(H103*Z101,2)</f>
        <v>1143902.1399999999</v>
      </c>
      <c r="AB103" s="156">
        <f>ROUND(H103*W101,2)</f>
        <v>4013591.04</v>
      </c>
    </row>
    <row r="104" spans="1:28" ht="30" hidden="1" x14ac:dyDescent="0.25">
      <c r="A104" s="168"/>
      <c r="B104" s="133" t="str">
        <f>'Công trình'!B96</f>
        <v>AC.11121</v>
      </c>
      <c r="C104" s="34"/>
      <c r="D104" s="133" t="str">
        <f>'Công trình'!C96</f>
        <v>Đóng cọc tràm chiều dài cọc ngập đất &gt;2,5m đất cấp I</v>
      </c>
      <c r="E104" s="168"/>
      <c r="F104" s="20">
        <v>1</v>
      </c>
      <c r="G104" s="169"/>
      <c r="H104" s="45">
        <f>'Hao phí vật tư'!J777</f>
        <v>35.64</v>
      </c>
      <c r="I104" s="166"/>
      <c r="J104" s="156">
        <f>ROUND(H104*I101,2)</f>
        <v>463320</v>
      </c>
      <c r="K104" s="166"/>
      <c r="L104" s="156">
        <f>ROUND(H104*K101,2)</f>
        <v>648006.48</v>
      </c>
      <c r="M104" s="34"/>
      <c r="N104" s="166"/>
      <c r="O104" s="156">
        <f>ROUND(H104*N101,2)</f>
        <v>0</v>
      </c>
      <c r="P104" s="166"/>
      <c r="Q104" s="156">
        <f>ROUND(H104*P101,2)</f>
        <v>0</v>
      </c>
      <c r="R104" s="166"/>
      <c r="S104" s="156">
        <f>ROUND(H104*R101,2)</f>
        <v>0</v>
      </c>
      <c r="T104" s="34"/>
      <c r="U104" s="34"/>
      <c r="V104" s="166"/>
      <c r="W104" s="166"/>
      <c r="X104" s="166"/>
      <c r="Y104" s="156">
        <f>ROUND(H104*X101,2)</f>
        <v>184686.48</v>
      </c>
      <c r="Z104" s="166"/>
      <c r="AA104" s="156">
        <f>ROUND(H104*Z101,2)</f>
        <v>184686.48</v>
      </c>
      <c r="AB104" s="156">
        <f>ROUND(H104*W101,2)</f>
        <v>648006.48</v>
      </c>
    </row>
    <row r="105" spans="1:28" ht="30" hidden="1" x14ac:dyDescent="0.25">
      <c r="A105" s="168"/>
      <c r="B105" s="133" t="str">
        <f>'Công trình'!B149</f>
        <v>AC.11121</v>
      </c>
      <c r="C105" s="34"/>
      <c r="D105" s="133" t="str">
        <f>'Công trình'!C149</f>
        <v>Đóng cọc tràm chiều dài cọc ngập đất &gt;2,5m đất cấp I</v>
      </c>
      <c r="E105" s="168"/>
      <c r="F105" s="20">
        <v>1</v>
      </c>
      <c r="G105" s="169"/>
      <c r="H105" s="45">
        <f>'Hao phí vật tư'!J1137</f>
        <v>34.897500000000001</v>
      </c>
      <c r="I105" s="166"/>
      <c r="J105" s="156">
        <f>ROUND(H105*I101,2)</f>
        <v>453667.5</v>
      </c>
      <c r="K105" s="166"/>
      <c r="L105" s="156">
        <f>ROUND(H105*K101,2)</f>
        <v>634506.35</v>
      </c>
      <c r="M105" s="34"/>
      <c r="N105" s="166"/>
      <c r="O105" s="156">
        <f>ROUND(H105*N101,2)</f>
        <v>0</v>
      </c>
      <c r="P105" s="166"/>
      <c r="Q105" s="156">
        <f>ROUND(H105*P101,2)</f>
        <v>0</v>
      </c>
      <c r="R105" s="166"/>
      <c r="S105" s="156">
        <f>ROUND(H105*R101,2)</f>
        <v>0</v>
      </c>
      <c r="T105" s="34"/>
      <c r="U105" s="34"/>
      <c r="V105" s="166"/>
      <c r="W105" s="166"/>
      <c r="X105" s="166"/>
      <c r="Y105" s="156">
        <f>ROUND(H105*X101,2)</f>
        <v>180838.85</v>
      </c>
      <c r="Z105" s="166"/>
      <c r="AA105" s="156">
        <f>ROUND(H105*Z101,2)</f>
        <v>180838.85</v>
      </c>
      <c r="AB105" s="156">
        <f>ROUND(H105*W101,2)</f>
        <v>634506.35</v>
      </c>
    </row>
    <row r="106" spans="1:28" ht="30" hidden="1" x14ac:dyDescent="0.25">
      <c r="A106" s="168"/>
      <c r="B106" s="133" t="str">
        <f>'Công trình'!B271</f>
        <v>AC.11121</v>
      </c>
      <c r="C106" s="34"/>
      <c r="D106" s="133" t="str">
        <f>'Công trình'!C271</f>
        <v>Đóng cọc tràm chiều dài cọc ngập đất &gt;2,5m đất cấp I</v>
      </c>
      <c r="E106" s="168"/>
      <c r="F106" s="20">
        <v>1</v>
      </c>
      <c r="G106" s="169"/>
      <c r="H106" s="45">
        <f>'Hao phí vật tư'!J2070</f>
        <v>1.98</v>
      </c>
      <c r="I106" s="166"/>
      <c r="J106" s="156">
        <f>ROUND(H106*I101,2)</f>
        <v>25740</v>
      </c>
      <c r="K106" s="166"/>
      <c r="L106" s="156">
        <f>ROUND(H106*K101,2)</f>
        <v>36000.36</v>
      </c>
      <c r="M106" s="34"/>
      <c r="N106" s="166"/>
      <c r="O106" s="156">
        <f>ROUND(H106*N101,2)</f>
        <v>0</v>
      </c>
      <c r="P106" s="166"/>
      <c r="Q106" s="156">
        <f>ROUND(H106*P101,2)</f>
        <v>0</v>
      </c>
      <c r="R106" s="166"/>
      <c r="S106" s="156">
        <f>ROUND(H106*R101,2)</f>
        <v>0</v>
      </c>
      <c r="T106" s="34"/>
      <c r="U106" s="34"/>
      <c r="V106" s="166"/>
      <c r="W106" s="166"/>
      <c r="X106" s="166"/>
      <c r="Y106" s="156">
        <f>ROUND(H106*X101,2)</f>
        <v>10260.36</v>
      </c>
      <c r="Z106" s="166"/>
      <c r="AA106" s="156">
        <f>ROUND(H106*Z101,2)</f>
        <v>10260.36</v>
      </c>
      <c r="AB106" s="156">
        <f>ROUND(H106*W101,2)</f>
        <v>36000.36</v>
      </c>
    </row>
    <row r="107" spans="1:28" x14ac:dyDescent="0.25">
      <c r="A107" s="168">
        <v>19</v>
      </c>
      <c r="B107" s="84" t="s">
        <v>1176</v>
      </c>
      <c r="C107" s="34">
        <v>524</v>
      </c>
      <c r="D107" s="144" t="s">
        <v>641</v>
      </c>
      <c r="E107" s="168" t="s">
        <v>1123</v>
      </c>
      <c r="F107" s="34"/>
      <c r="G107" s="169"/>
      <c r="H107" s="60">
        <f>SUM(H108:H108)</f>
        <v>4</v>
      </c>
      <c r="I107" s="166">
        <v>12000</v>
      </c>
      <c r="J107" s="166">
        <f>ROUND(H107*I107,0)</f>
        <v>48000</v>
      </c>
      <c r="K107" s="166">
        <f>'Tổng hợp VL,NC,M'!I105</f>
        <v>12000</v>
      </c>
      <c r="L107" s="166">
        <f>ROUND(H107*K107,0)</f>
        <v>48000</v>
      </c>
      <c r="M107" s="34">
        <v>1</v>
      </c>
      <c r="N107" s="166"/>
      <c r="O107" s="166">
        <f>ROUND(H107*N107,0)</f>
        <v>0</v>
      </c>
      <c r="P107" s="166"/>
      <c r="Q107" s="166">
        <f>ROUND(H107*P107,0)</f>
        <v>0</v>
      </c>
      <c r="R107" s="166"/>
      <c r="S107" s="166">
        <f>ROUND(H107*R107,0)</f>
        <v>0</v>
      </c>
      <c r="T107" s="34"/>
      <c r="U107" s="34"/>
      <c r="V107" s="166">
        <f>ROUND((K107+N107+P107+R107)*(U107+T107),0)</f>
        <v>0</v>
      </c>
      <c r="W107" s="166">
        <f>K107+N107+P107+R107+V107</f>
        <v>12000</v>
      </c>
      <c r="X107" s="166">
        <f>K107-I107</f>
        <v>0</v>
      </c>
      <c r="Y107" s="166">
        <f>ROUND(H107*X107,0)</f>
        <v>0</v>
      </c>
      <c r="Z107" s="166">
        <f>W107-I107</f>
        <v>0</v>
      </c>
      <c r="AA107" s="166">
        <f>ROUND(H107*Z107,0)</f>
        <v>0</v>
      </c>
      <c r="AB107" s="166">
        <f>ROUND(H107*W107,0)</f>
        <v>48000</v>
      </c>
    </row>
    <row r="108" spans="1:28" hidden="1" x14ac:dyDescent="0.25">
      <c r="A108" s="168"/>
      <c r="B108" s="133" t="str">
        <f>'Công trình'!B293</f>
        <v>TT</v>
      </c>
      <c r="C108" s="34"/>
      <c r="D108" s="133" t="str">
        <f>'Công trình'!C293</f>
        <v>Chụp nhựa chắn nước</v>
      </c>
      <c r="E108" s="168"/>
      <c r="F108" s="20">
        <v>1</v>
      </c>
      <c r="G108" s="169"/>
      <c r="H108" s="45">
        <f>'Hao phí vật tư'!J2200</f>
        <v>4</v>
      </c>
      <c r="I108" s="166"/>
      <c r="J108" s="156">
        <f>ROUND(H108*I107,2)</f>
        <v>48000</v>
      </c>
      <c r="K108" s="166"/>
      <c r="L108" s="156">
        <f>ROUND(H108*K107,2)</f>
        <v>48000</v>
      </c>
      <c r="M108" s="34"/>
      <c r="N108" s="166"/>
      <c r="O108" s="156">
        <f>ROUND(H108*N107,2)</f>
        <v>0</v>
      </c>
      <c r="P108" s="166"/>
      <c r="Q108" s="156">
        <f>ROUND(H108*P107,2)</f>
        <v>0</v>
      </c>
      <c r="R108" s="166"/>
      <c r="S108" s="156">
        <f>ROUND(H108*R107,2)</f>
        <v>0</v>
      </c>
      <c r="T108" s="34"/>
      <c r="U108" s="34"/>
      <c r="V108" s="166"/>
      <c r="W108" s="166"/>
      <c r="X108" s="166"/>
      <c r="Y108" s="156">
        <f>ROUND(H108*X107,2)</f>
        <v>0</v>
      </c>
      <c r="Z108" s="166"/>
      <c r="AA108" s="156">
        <f>ROUND(H108*Z107,2)</f>
        <v>0</v>
      </c>
      <c r="AB108" s="156">
        <f>ROUND(H108*W107,2)</f>
        <v>48000</v>
      </c>
    </row>
    <row r="109" spans="1:28" x14ac:dyDescent="0.25">
      <c r="A109" s="168">
        <v>20</v>
      </c>
      <c r="B109" s="84" t="s">
        <v>388</v>
      </c>
      <c r="C109" s="34">
        <v>456</v>
      </c>
      <c r="D109" s="144" t="s">
        <v>1112</v>
      </c>
      <c r="E109" s="168" t="s">
        <v>113</v>
      </c>
      <c r="F109" s="34"/>
      <c r="G109" s="169"/>
      <c r="H109" s="60">
        <f>SUM(H110:H110)</f>
        <v>0</v>
      </c>
      <c r="I109" s="166">
        <v>439950</v>
      </c>
      <c r="J109" s="166">
        <f>ROUND(H109*I109,0)</f>
        <v>0</v>
      </c>
      <c r="K109" s="166">
        <f>'Tổng hợp VL,NC,M'!I107</f>
        <v>439950</v>
      </c>
      <c r="L109" s="166">
        <f>ROUND(H109*K109,0)</f>
        <v>0</v>
      </c>
      <c r="M109" s="34">
        <v>1</v>
      </c>
      <c r="N109" s="166"/>
      <c r="O109" s="166">
        <f>ROUND(H109*N109,0)</f>
        <v>0</v>
      </c>
      <c r="P109" s="166"/>
      <c r="Q109" s="166">
        <f>ROUND(H109*P109,0)</f>
        <v>0</v>
      </c>
      <c r="R109" s="166"/>
      <c r="S109" s="166">
        <f>ROUND(H109*R109,0)</f>
        <v>0</v>
      </c>
      <c r="T109" s="34"/>
      <c r="U109" s="34"/>
      <c r="V109" s="166">
        <f>ROUND((K109+N109+P109+R109)*(U109+T109),0)</f>
        <v>0</v>
      </c>
      <c r="W109" s="166">
        <f>K109+N109+P109+R109+V109</f>
        <v>439950</v>
      </c>
      <c r="X109" s="166">
        <f>K109-I109</f>
        <v>0</v>
      </c>
      <c r="Y109" s="166">
        <f>ROUND(H109*X109,0)</f>
        <v>0</v>
      </c>
      <c r="Z109" s="166">
        <f>W109-I109</f>
        <v>0</v>
      </c>
      <c r="AA109" s="166">
        <f>ROUND(H109*Z109,0)</f>
        <v>0</v>
      </c>
      <c r="AB109" s="166">
        <f>ROUND(H109*W109,0)</f>
        <v>0</v>
      </c>
    </row>
    <row r="110" spans="1:28" ht="30" hidden="1" x14ac:dyDescent="0.25">
      <c r="A110" s="168"/>
      <c r="B110" s="133" t="str">
        <f>'Công trình'!B86</f>
        <v>AC.17111</v>
      </c>
      <c r="C110" s="34"/>
      <c r="D110" s="133" t="str">
        <f>'Công trình'!C86</f>
        <v>Đóng cọc BTCT 30x30 chiều dài &lt;=24m trên mặt nước bằng tàu đóng cọc búa 1,8T</v>
      </c>
      <c r="E110" s="168"/>
      <c r="F110" s="20">
        <v>1</v>
      </c>
      <c r="G110" s="169"/>
      <c r="H110" s="45">
        <f>'Hao phí vật tư'!J706</f>
        <v>0</v>
      </c>
      <c r="I110" s="166"/>
      <c r="J110" s="156">
        <f>ROUND(H110*I109,2)</f>
        <v>0</v>
      </c>
      <c r="K110" s="166"/>
      <c r="L110" s="156">
        <f>ROUND(H110*K109,2)</f>
        <v>0</v>
      </c>
      <c r="M110" s="34"/>
      <c r="N110" s="166"/>
      <c r="O110" s="156">
        <f>ROUND(H110*N109,2)</f>
        <v>0</v>
      </c>
      <c r="P110" s="166"/>
      <c r="Q110" s="156">
        <f>ROUND(H110*P109,2)</f>
        <v>0</v>
      </c>
      <c r="R110" s="166"/>
      <c r="S110" s="156">
        <f>ROUND(H110*R109,2)</f>
        <v>0</v>
      </c>
      <c r="T110" s="34"/>
      <c r="U110" s="34"/>
      <c r="V110" s="166"/>
      <c r="W110" s="166"/>
      <c r="X110" s="166"/>
      <c r="Y110" s="156">
        <f>ROUND(H110*X109,2)</f>
        <v>0</v>
      </c>
      <c r="Z110" s="166"/>
      <c r="AA110" s="156">
        <f>ROUND(H110*Z109,2)</f>
        <v>0</v>
      </c>
      <c r="AB110" s="156">
        <f>ROUND(H110*W109,2)</f>
        <v>0</v>
      </c>
    </row>
    <row r="111" spans="1:28" x14ac:dyDescent="0.25">
      <c r="A111" s="168">
        <v>21</v>
      </c>
      <c r="B111" s="84" t="s">
        <v>792</v>
      </c>
      <c r="C111" s="34">
        <v>457</v>
      </c>
      <c r="D111" s="144" t="s">
        <v>1022</v>
      </c>
      <c r="E111" s="168" t="s">
        <v>113</v>
      </c>
      <c r="F111" s="34"/>
      <c r="G111" s="169"/>
      <c r="H111" s="60">
        <f>SUM(H112:H116)</f>
        <v>0</v>
      </c>
      <c r="I111" s="166">
        <v>594300</v>
      </c>
      <c r="J111" s="166">
        <f>ROUND(H111*I111,0)</f>
        <v>0</v>
      </c>
      <c r="K111" s="166">
        <f>'Tổng hợp VL,NC,M'!I109</f>
        <v>594300</v>
      </c>
      <c r="L111" s="166">
        <f>ROUND(H111*K111,0)</f>
        <v>0</v>
      </c>
      <c r="M111" s="34">
        <v>1</v>
      </c>
      <c r="N111" s="166"/>
      <c r="O111" s="166">
        <f>ROUND(H111*N111,0)</f>
        <v>0</v>
      </c>
      <c r="P111" s="166"/>
      <c r="Q111" s="166">
        <f>ROUND(H111*P111,0)</f>
        <v>0</v>
      </c>
      <c r="R111" s="166"/>
      <c r="S111" s="166">
        <f>ROUND(H111*R111,0)</f>
        <v>0</v>
      </c>
      <c r="T111" s="34"/>
      <c r="U111" s="34"/>
      <c r="V111" s="166">
        <f>ROUND((K111+N111+P111+R111)*(U111+T111),0)</f>
        <v>0</v>
      </c>
      <c r="W111" s="166">
        <f>K111+N111+P111+R111+V111</f>
        <v>594300</v>
      </c>
      <c r="X111" s="166">
        <f>K111-I111</f>
        <v>0</v>
      </c>
      <c r="Y111" s="166">
        <f>ROUND(H111*X111,0)</f>
        <v>0</v>
      </c>
      <c r="Z111" s="166">
        <f>W111-I111</f>
        <v>0</v>
      </c>
      <c r="AA111" s="166">
        <f>ROUND(H111*Z111,0)</f>
        <v>0</v>
      </c>
      <c r="AB111" s="166">
        <f>ROUND(H111*W111,0)</f>
        <v>0</v>
      </c>
    </row>
    <row r="112" spans="1:28" ht="30" hidden="1" x14ac:dyDescent="0.25">
      <c r="A112" s="168"/>
      <c r="B112" s="133" t="str">
        <f>'Công trình'!B75</f>
        <v>AC.17112</v>
      </c>
      <c r="C112" s="34"/>
      <c r="D112" s="133" t="str">
        <f>'Công trình'!C75</f>
        <v>Đóng cọc BTCT 35x35 chiều dài &lt;=24m trên mặt nước bằng tàu đóng cọc búa 1,8T</v>
      </c>
      <c r="E112" s="168"/>
      <c r="F112" s="20">
        <v>1</v>
      </c>
      <c r="G112" s="169"/>
      <c r="H112" s="45">
        <f>'Hao phí vật tư'!J590</f>
        <v>0</v>
      </c>
      <c r="I112" s="166"/>
      <c r="J112" s="156">
        <f>ROUND(H112*I111,2)</f>
        <v>0</v>
      </c>
      <c r="K112" s="166"/>
      <c r="L112" s="156">
        <f>ROUND(H112*K111,2)</f>
        <v>0</v>
      </c>
      <c r="M112" s="34"/>
      <c r="N112" s="166"/>
      <c r="O112" s="156">
        <f>ROUND(H112*N111,2)</f>
        <v>0</v>
      </c>
      <c r="P112" s="166"/>
      <c r="Q112" s="156">
        <f>ROUND(H112*P111,2)</f>
        <v>0</v>
      </c>
      <c r="R112" s="166"/>
      <c r="S112" s="156">
        <f>ROUND(H112*R111,2)</f>
        <v>0</v>
      </c>
      <c r="T112" s="34"/>
      <c r="U112" s="34"/>
      <c r="V112" s="166"/>
      <c r="W112" s="166"/>
      <c r="X112" s="166"/>
      <c r="Y112" s="156">
        <f>ROUND(H112*X111,2)</f>
        <v>0</v>
      </c>
      <c r="Z112" s="166"/>
      <c r="AA112" s="156">
        <f>ROUND(H112*Z111,2)</f>
        <v>0</v>
      </c>
      <c r="AB112" s="156">
        <f>ROUND(H112*W111,2)</f>
        <v>0</v>
      </c>
    </row>
    <row r="113" spans="1:28" ht="30" hidden="1" x14ac:dyDescent="0.25">
      <c r="A113" s="168"/>
      <c r="B113" s="133" t="str">
        <f>'Công trình'!B107</f>
        <v>AC.17112</v>
      </c>
      <c r="C113" s="34"/>
      <c r="D113" s="133" t="str">
        <f>'Công trình'!C107</f>
        <v>Đóng cọc âm BTCT 35x35 chiều dài &lt;=24m trên mặt nước bằng tàu đóng cọc búa 1,8T</v>
      </c>
      <c r="E113" s="168"/>
      <c r="F113" s="20">
        <v>1</v>
      </c>
      <c r="G113" s="169"/>
      <c r="H113" s="45">
        <f>'Hao phí vật tư'!J853</f>
        <v>0</v>
      </c>
      <c r="I113" s="166"/>
      <c r="J113" s="156">
        <f>ROUND(H113*I111,2)</f>
        <v>0</v>
      </c>
      <c r="K113" s="166"/>
      <c r="L113" s="156">
        <f>ROUND(H113*K111,2)</f>
        <v>0</v>
      </c>
      <c r="M113" s="34"/>
      <c r="N113" s="166"/>
      <c r="O113" s="156">
        <f>ROUND(H113*N111,2)</f>
        <v>0</v>
      </c>
      <c r="P113" s="166"/>
      <c r="Q113" s="156">
        <f>ROUND(H113*P111,2)</f>
        <v>0</v>
      </c>
      <c r="R113" s="166"/>
      <c r="S113" s="156">
        <f>ROUND(H113*R111,2)</f>
        <v>0</v>
      </c>
      <c r="T113" s="34"/>
      <c r="U113" s="34"/>
      <c r="V113" s="166"/>
      <c r="W113" s="166"/>
      <c r="X113" s="166"/>
      <c r="Y113" s="156">
        <f>ROUND(H113*X111,2)</f>
        <v>0</v>
      </c>
      <c r="Z113" s="166"/>
      <c r="AA113" s="156">
        <f>ROUND(H113*Z111,2)</f>
        <v>0</v>
      </c>
      <c r="AB113" s="156">
        <f>ROUND(H113*W111,2)</f>
        <v>0</v>
      </c>
    </row>
    <row r="114" spans="1:28" ht="30" hidden="1" x14ac:dyDescent="0.25">
      <c r="A114" s="168"/>
      <c r="B114" s="133" t="str">
        <f>'Công trình'!B232</f>
        <v>AC.14114</v>
      </c>
      <c r="C114" s="34"/>
      <c r="D114" s="133" t="str">
        <f>'Công trình'!C232</f>
        <v>Đóng cọc BTCT 35x35 chiều dài &lt;=24m trên mặt đất, trọng lượng đầu búa 1,8T, đất cấp I</v>
      </c>
      <c r="E114" s="168"/>
      <c r="F114" s="20">
        <v>1</v>
      </c>
      <c r="G114" s="169"/>
      <c r="H114" s="45">
        <f>'Hao phí vật tư'!J1766</f>
        <v>0</v>
      </c>
      <c r="I114" s="166"/>
      <c r="J114" s="156">
        <f>ROUND(H114*I111,2)</f>
        <v>0</v>
      </c>
      <c r="K114" s="166"/>
      <c r="L114" s="156">
        <f>ROUND(H114*K111,2)</f>
        <v>0</v>
      </c>
      <c r="M114" s="34"/>
      <c r="N114" s="166"/>
      <c r="O114" s="156">
        <f>ROUND(H114*N111,2)</f>
        <v>0</v>
      </c>
      <c r="P114" s="166"/>
      <c r="Q114" s="156">
        <f>ROUND(H114*P111,2)</f>
        <v>0</v>
      </c>
      <c r="R114" s="166"/>
      <c r="S114" s="156">
        <f>ROUND(H114*R111,2)</f>
        <v>0</v>
      </c>
      <c r="T114" s="34"/>
      <c r="U114" s="34"/>
      <c r="V114" s="166"/>
      <c r="W114" s="166"/>
      <c r="X114" s="166"/>
      <c r="Y114" s="156">
        <f>ROUND(H114*X111,2)</f>
        <v>0</v>
      </c>
      <c r="Z114" s="166"/>
      <c r="AA114" s="156">
        <f>ROUND(H114*Z111,2)</f>
        <v>0</v>
      </c>
      <c r="AB114" s="156">
        <f>ROUND(H114*W111,2)</f>
        <v>0</v>
      </c>
    </row>
    <row r="115" spans="1:28" ht="45" hidden="1" x14ac:dyDescent="0.25">
      <c r="A115" s="168"/>
      <c r="B115" s="133" t="str">
        <f>'Công trình'!B233</f>
        <v>AC.14114</v>
      </c>
      <c r="C115" s="34"/>
      <c r="D115" s="133" t="str">
        <f>'Công trình'!C233</f>
        <v>Đóng cọc xiên BTCT 35x35 chiều dài &lt;=24m trên mặt đất, trọng lượng đầu búa 1,8T, đất cấp I (HS NC, MTC x 1,22)</v>
      </c>
      <c r="E115" s="168"/>
      <c r="F115" s="20">
        <v>1</v>
      </c>
      <c r="G115" s="169"/>
      <c r="H115" s="45">
        <f>'Hao phí vật tư'!J1775</f>
        <v>0</v>
      </c>
      <c r="I115" s="166"/>
      <c r="J115" s="156">
        <f>ROUND(H115*I111,2)</f>
        <v>0</v>
      </c>
      <c r="K115" s="166"/>
      <c r="L115" s="156">
        <f>ROUND(H115*K111,2)</f>
        <v>0</v>
      </c>
      <c r="M115" s="34"/>
      <c r="N115" s="166"/>
      <c r="O115" s="156">
        <f>ROUND(H115*N111,2)</f>
        <v>0</v>
      </c>
      <c r="P115" s="166"/>
      <c r="Q115" s="156">
        <f>ROUND(H115*P111,2)</f>
        <v>0</v>
      </c>
      <c r="R115" s="166"/>
      <c r="S115" s="156">
        <f>ROUND(H115*R111,2)</f>
        <v>0</v>
      </c>
      <c r="T115" s="34"/>
      <c r="U115" s="34"/>
      <c r="V115" s="166"/>
      <c r="W115" s="166"/>
      <c r="X115" s="166"/>
      <c r="Y115" s="156">
        <f>ROUND(H115*X111,2)</f>
        <v>0</v>
      </c>
      <c r="Z115" s="166"/>
      <c r="AA115" s="156">
        <f>ROUND(H115*Z111,2)</f>
        <v>0</v>
      </c>
      <c r="AB115" s="156">
        <f>ROUND(H115*W111,2)</f>
        <v>0</v>
      </c>
    </row>
    <row r="116" spans="1:28" ht="30" hidden="1" x14ac:dyDescent="0.25">
      <c r="A116" s="168"/>
      <c r="B116" s="133" t="str">
        <f>'Công trình'!B236</f>
        <v>AC.14114</v>
      </c>
      <c r="C116" s="34"/>
      <c r="D116" s="133" t="str">
        <f>'Công trình'!C236</f>
        <v>Đóng cọc âm chiều dài &lt;=24m trên mặt đất, trọng lượng đầu búa 1,8T, đất cấp I</v>
      </c>
      <c r="E116" s="168"/>
      <c r="F116" s="20">
        <v>1</v>
      </c>
      <c r="G116" s="169"/>
      <c r="H116" s="45">
        <f>'Hao phí vật tư'!J1804</f>
        <v>0</v>
      </c>
      <c r="I116" s="166"/>
      <c r="J116" s="156">
        <f>ROUND(H116*I111,2)</f>
        <v>0</v>
      </c>
      <c r="K116" s="166"/>
      <c r="L116" s="156">
        <f>ROUND(H116*K111,2)</f>
        <v>0</v>
      </c>
      <c r="M116" s="34"/>
      <c r="N116" s="166"/>
      <c r="O116" s="156">
        <f>ROUND(H116*N111,2)</f>
        <v>0</v>
      </c>
      <c r="P116" s="166"/>
      <c r="Q116" s="156">
        <f>ROUND(H116*P111,2)</f>
        <v>0</v>
      </c>
      <c r="R116" s="166"/>
      <c r="S116" s="156">
        <f>ROUND(H116*R111,2)</f>
        <v>0</v>
      </c>
      <c r="T116" s="34"/>
      <c r="U116" s="34"/>
      <c r="V116" s="166"/>
      <c r="W116" s="166"/>
      <c r="X116" s="166"/>
      <c r="Y116" s="156">
        <f>ROUND(H116*X111,2)</f>
        <v>0</v>
      </c>
      <c r="Z116" s="166"/>
      <c r="AA116" s="156">
        <f>ROUND(H116*Z111,2)</f>
        <v>0</v>
      </c>
      <c r="AB116" s="156">
        <f>ROUND(H116*W111,2)</f>
        <v>0</v>
      </c>
    </row>
    <row r="117" spans="1:28" x14ac:dyDescent="0.25">
      <c r="A117" s="168">
        <v>22</v>
      </c>
      <c r="B117" s="84" t="s">
        <v>29</v>
      </c>
      <c r="C117" s="34">
        <v>430</v>
      </c>
      <c r="D117" s="144" t="s">
        <v>918</v>
      </c>
      <c r="E117" s="168" t="s">
        <v>113</v>
      </c>
      <c r="F117" s="34"/>
      <c r="G117" s="169"/>
      <c r="H117" s="60">
        <f>SUM(H118:H123)</f>
        <v>17.740000000000002</v>
      </c>
      <c r="I117" s="166">
        <v>842975</v>
      </c>
      <c r="J117" s="166">
        <f>ROUND(H117*I117,0)</f>
        <v>14954377</v>
      </c>
      <c r="K117" s="156">
        <f>'Tổng hợp VL,NC,M'!I115</f>
        <v>1830000</v>
      </c>
      <c r="L117" s="166">
        <f>ROUND(H117*K117,0)</f>
        <v>32464200</v>
      </c>
      <c r="M117" s="34">
        <v>1</v>
      </c>
      <c r="N117" s="166"/>
      <c r="O117" s="166">
        <f>ROUND(H117*N117,0)</f>
        <v>0</v>
      </c>
      <c r="P117" s="166"/>
      <c r="Q117" s="166">
        <f>ROUND(H117*P117,0)</f>
        <v>0</v>
      </c>
      <c r="R117" s="166"/>
      <c r="S117" s="166">
        <f>ROUND(H117*R117,0)</f>
        <v>0</v>
      </c>
      <c r="T117" s="34"/>
      <c r="U117" s="34"/>
      <c r="V117" s="166">
        <f>ROUND((K117+N117+P117+R117)*(U117+T117),0)</f>
        <v>0</v>
      </c>
      <c r="W117" s="156">
        <f>K117+N117+P117+R117+V117</f>
        <v>1830000</v>
      </c>
      <c r="X117" s="166">
        <f>K117-I117</f>
        <v>987025</v>
      </c>
      <c r="Y117" s="166">
        <f>ROUND(H117*X117,0)</f>
        <v>17509824</v>
      </c>
      <c r="Z117" s="166">
        <f>W117-I117</f>
        <v>987025</v>
      </c>
      <c r="AA117" s="166">
        <f>ROUND(H117*Z117,0)</f>
        <v>17509824</v>
      </c>
      <c r="AB117" s="166">
        <f>ROUND(H117*W117,0)</f>
        <v>32464200</v>
      </c>
    </row>
    <row r="118" spans="1:28" ht="30" hidden="1" x14ac:dyDescent="0.25">
      <c r="A118" s="168"/>
      <c r="B118" s="133" t="str">
        <f>'Công trình'!B114</f>
        <v>AC.22522</v>
      </c>
      <c r="C118" s="34"/>
      <c r="D118" s="133" t="str">
        <f>'Công trình'!C114</f>
        <v>Đóng cọc thép hình H300 trên mặt đất, chiều dài cọc &gt;10m, đất cấp II, phần ngập đất</v>
      </c>
      <c r="E118" s="168"/>
      <c r="F118" s="20">
        <v>1</v>
      </c>
      <c r="G118" s="169"/>
      <c r="H118" s="45">
        <f>'Hao phí vật tư'!J909</f>
        <v>0</v>
      </c>
      <c r="I118" s="166"/>
      <c r="J118" s="156">
        <f>ROUND(H118*I117,2)</f>
        <v>0</v>
      </c>
      <c r="K118" s="166"/>
      <c r="L118" s="156">
        <f>ROUND(H118*K117,2)</f>
        <v>0</v>
      </c>
      <c r="M118" s="34"/>
      <c r="N118" s="166"/>
      <c r="O118" s="156">
        <f>ROUND(H118*N117,2)</f>
        <v>0</v>
      </c>
      <c r="P118" s="166"/>
      <c r="Q118" s="156">
        <f>ROUND(H118*P117,2)</f>
        <v>0</v>
      </c>
      <c r="R118" s="166"/>
      <c r="S118" s="156">
        <f>ROUND(H118*R117,2)</f>
        <v>0</v>
      </c>
      <c r="T118" s="34"/>
      <c r="U118" s="34"/>
      <c r="V118" s="166"/>
      <c r="W118" s="166"/>
      <c r="X118" s="166"/>
      <c r="Y118" s="156">
        <f>ROUND(H118*X117,2)</f>
        <v>0</v>
      </c>
      <c r="Z118" s="166"/>
      <c r="AA118" s="156">
        <f>ROUND(H118*Z117,2)</f>
        <v>0</v>
      </c>
      <c r="AB118" s="156">
        <f>ROUND(H118*W117,2)</f>
        <v>0</v>
      </c>
    </row>
    <row r="119" spans="1:28" ht="45" hidden="1" x14ac:dyDescent="0.25">
      <c r="A119" s="168"/>
      <c r="B119" s="133" t="str">
        <f>'Công trình'!B115</f>
        <v>AC.22522</v>
      </c>
      <c r="C119" s="34"/>
      <c r="D119" s="133" t="str">
        <f>'Công trình'!C115</f>
        <v>Đóng cọc thép hình H300 trên mặt đất, chiều dài cọc &gt;10m, đất cấp II, phần không ngập đất (NC, MTC * 0,75)</v>
      </c>
      <c r="E119" s="168"/>
      <c r="F119" s="20">
        <v>1</v>
      </c>
      <c r="G119" s="169"/>
      <c r="H119" s="45">
        <f>'Hao phí vật tư'!J918</f>
        <v>0</v>
      </c>
      <c r="I119" s="166"/>
      <c r="J119" s="156">
        <f>ROUND(H119*I117,2)</f>
        <v>0</v>
      </c>
      <c r="K119" s="166"/>
      <c r="L119" s="156">
        <f>ROUND(H119*K117,2)</f>
        <v>0</v>
      </c>
      <c r="M119" s="34"/>
      <c r="N119" s="166"/>
      <c r="O119" s="156">
        <f>ROUND(H119*N117,2)</f>
        <v>0</v>
      </c>
      <c r="P119" s="166"/>
      <c r="Q119" s="156">
        <f>ROUND(H119*P117,2)</f>
        <v>0</v>
      </c>
      <c r="R119" s="166"/>
      <c r="S119" s="156">
        <f>ROUND(H119*R117,2)</f>
        <v>0</v>
      </c>
      <c r="T119" s="34"/>
      <c r="U119" s="34"/>
      <c r="V119" s="166"/>
      <c r="W119" s="166"/>
      <c r="X119" s="166"/>
      <c r="Y119" s="156">
        <f>ROUND(H119*X117,2)</f>
        <v>0</v>
      </c>
      <c r="Z119" s="166"/>
      <c r="AA119" s="156">
        <f>ROUND(H119*Z117,2)</f>
        <v>0</v>
      </c>
      <c r="AB119" s="156">
        <f>ROUND(H119*W117,2)</f>
        <v>0</v>
      </c>
    </row>
    <row r="120" spans="1:28" ht="30" hidden="1" x14ac:dyDescent="0.25">
      <c r="A120" s="168"/>
      <c r="B120" s="133" t="str">
        <f>'Công trình'!B125</f>
        <v>AC.22522</v>
      </c>
      <c r="C120" s="34"/>
      <c r="D120" s="133" t="str">
        <f>'Công trình'!C125</f>
        <v>Đóng cọc thép hình H300 trên mặt đất, chiều dài cọc &gt;10m, đất cấp II, phần ngập đất</v>
      </c>
      <c r="E120" s="168"/>
      <c r="F120" s="20">
        <v>1</v>
      </c>
      <c r="G120" s="169"/>
      <c r="H120" s="45">
        <f>'Hao phí vật tư'!J981</f>
        <v>0</v>
      </c>
      <c r="I120" s="166"/>
      <c r="J120" s="156">
        <f>ROUND(H120*I117,2)</f>
        <v>0</v>
      </c>
      <c r="K120" s="166"/>
      <c r="L120" s="156">
        <f>ROUND(H120*K117,2)</f>
        <v>0</v>
      </c>
      <c r="M120" s="34"/>
      <c r="N120" s="166"/>
      <c r="O120" s="156">
        <f>ROUND(H120*N117,2)</f>
        <v>0</v>
      </c>
      <c r="P120" s="166"/>
      <c r="Q120" s="156">
        <f>ROUND(H120*P117,2)</f>
        <v>0</v>
      </c>
      <c r="R120" s="166"/>
      <c r="S120" s="156">
        <f>ROUND(H120*R117,2)</f>
        <v>0</v>
      </c>
      <c r="T120" s="34"/>
      <c r="U120" s="34"/>
      <c r="V120" s="166"/>
      <c r="W120" s="166"/>
      <c r="X120" s="166"/>
      <c r="Y120" s="156">
        <f>ROUND(H120*X117,2)</f>
        <v>0</v>
      </c>
      <c r="Z120" s="166"/>
      <c r="AA120" s="156">
        <f>ROUND(H120*Z117,2)</f>
        <v>0</v>
      </c>
      <c r="AB120" s="156">
        <f>ROUND(H120*W117,2)</f>
        <v>0</v>
      </c>
    </row>
    <row r="121" spans="1:28" ht="45" hidden="1" x14ac:dyDescent="0.25">
      <c r="A121" s="168"/>
      <c r="B121" s="133" t="str">
        <f>'Công trình'!B126</f>
        <v>AC.22522</v>
      </c>
      <c r="C121" s="34"/>
      <c r="D121" s="133" t="str">
        <f>'Công trình'!C126</f>
        <v>Đóng cọc thép hình H300 trên mặt đất, chiều dài cọc &gt;10m, đất cấp II, phần không ngập đất (NC, MTC * 0,75)</v>
      </c>
      <c r="E121" s="168"/>
      <c r="F121" s="20">
        <v>1</v>
      </c>
      <c r="G121" s="169"/>
      <c r="H121" s="45">
        <f>'Hao phí vật tư'!J990</f>
        <v>0</v>
      </c>
      <c r="I121" s="166"/>
      <c r="J121" s="156">
        <f>ROUND(H121*I117,2)</f>
        <v>0</v>
      </c>
      <c r="K121" s="166"/>
      <c r="L121" s="156">
        <f>ROUND(H121*K117,2)</f>
        <v>0</v>
      </c>
      <c r="M121" s="34"/>
      <c r="N121" s="166"/>
      <c r="O121" s="156">
        <f>ROUND(H121*N117,2)</f>
        <v>0</v>
      </c>
      <c r="P121" s="166"/>
      <c r="Q121" s="156">
        <f>ROUND(H121*P117,2)</f>
        <v>0</v>
      </c>
      <c r="R121" s="166"/>
      <c r="S121" s="156">
        <f>ROUND(H121*R117,2)</f>
        <v>0</v>
      </c>
      <c r="T121" s="34"/>
      <c r="U121" s="34"/>
      <c r="V121" s="166"/>
      <c r="W121" s="166"/>
      <c r="X121" s="166"/>
      <c r="Y121" s="156">
        <f>ROUND(H121*X117,2)</f>
        <v>0</v>
      </c>
      <c r="Z121" s="166"/>
      <c r="AA121" s="156">
        <f>ROUND(H121*Z117,2)</f>
        <v>0</v>
      </c>
      <c r="AB121" s="156">
        <f>ROUND(H121*W117,2)</f>
        <v>0</v>
      </c>
    </row>
    <row r="122" spans="1:28" ht="30" hidden="1" x14ac:dyDescent="0.25">
      <c r="A122" s="168"/>
      <c r="B122" s="133" t="str">
        <f>'Công trình'!B116</f>
        <v>TT</v>
      </c>
      <c r="C122" s="34"/>
      <c r="D122" s="133" t="str">
        <f>'Công trình'!C116</f>
        <v>Khấu hao cọc thép hình (Thi công trong vòng 3 tháng và 1 lần đóng nhổ)</v>
      </c>
      <c r="E122" s="168"/>
      <c r="F122" s="20">
        <v>1</v>
      </c>
      <c r="G122" s="169"/>
      <c r="H122" s="45">
        <f>'Hao phí vật tư'!J927</f>
        <v>10.46</v>
      </c>
      <c r="I122" s="166"/>
      <c r="J122" s="156">
        <f>ROUND(H122*I117,2)</f>
        <v>8817518.5</v>
      </c>
      <c r="K122" s="166"/>
      <c r="L122" s="156">
        <f>ROUND(H122*K117,2)</f>
        <v>19141800</v>
      </c>
      <c r="M122" s="34"/>
      <c r="N122" s="166"/>
      <c r="O122" s="156">
        <f>ROUND(H122*N117,2)</f>
        <v>0</v>
      </c>
      <c r="P122" s="166"/>
      <c r="Q122" s="156">
        <f>ROUND(H122*P117,2)</f>
        <v>0</v>
      </c>
      <c r="R122" s="166"/>
      <c r="S122" s="156">
        <f>ROUND(H122*R117,2)</f>
        <v>0</v>
      </c>
      <c r="T122" s="34"/>
      <c r="U122" s="34"/>
      <c r="V122" s="166"/>
      <c r="W122" s="166"/>
      <c r="X122" s="166"/>
      <c r="Y122" s="156">
        <f>ROUND(H122*X117,2)</f>
        <v>10324281.5</v>
      </c>
      <c r="Z122" s="166"/>
      <c r="AA122" s="156">
        <f>ROUND(H122*Z117,2)</f>
        <v>10324281.5</v>
      </c>
      <c r="AB122" s="156">
        <f>ROUND(H122*W117,2)</f>
        <v>19141800</v>
      </c>
    </row>
    <row r="123" spans="1:28" ht="30" hidden="1" x14ac:dyDescent="0.25">
      <c r="A123" s="168"/>
      <c r="B123" s="133" t="str">
        <f>'Công trình'!B127</f>
        <v>TT</v>
      </c>
      <c r="C123" s="34"/>
      <c r="D123" s="133" t="str">
        <f>'Công trình'!C127</f>
        <v>Khấu hao cọc thép hình (Thi công trong vòng 3 tháng và 1 lần đóng nhổ)</v>
      </c>
      <c r="E123" s="168"/>
      <c r="F123" s="20">
        <v>1</v>
      </c>
      <c r="G123" s="169"/>
      <c r="H123" s="45">
        <f>'Hao phí vật tư'!J999</f>
        <v>7.28</v>
      </c>
      <c r="I123" s="166"/>
      <c r="J123" s="156">
        <f>ROUND(H123*I117,2)</f>
        <v>6136858</v>
      </c>
      <c r="K123" s="166"/>
      <c r="L123" s="156">
        <f>ROUND(H123*K117,2)</f>
        <v>13322400</v>
      </c>
      <c r="M123" s="34"/>
      <c r="N123" s="166"/>
      <c r="O123" s="156">
        <f>ROUND(H123*N117,2)</f>
        <v>0</v>
      </c>
      <c r="P123" s="166"/>
      <c r="Q123" s="156">
        <f>ROUND(H123*P117,2)</f>
        <v>0</v>
      </c>
      <c r="R123" s="166"/>
      <c r="S123" s="156">
        <f>ROUND(H123*R117,2)</f>
        <v>0</v>
      </c>
      <c r="T123" s="34"/>
      <c r="U123" s="34"/>
      <c r="V123" s="166"/>
      <c r="W123" s="166"/>
      <c r="X123" s="166"/>
      <c r="Y123" s="156">
        <f>ROUND(H123*X117,2)</f>
        <v>7185542</v>
      </c>
      <c r="Z123" s="166"/>
      <c r="AA123" s="156">
        <f>ROUND(H123*Z117,2)</f>
        <v>7185542</v>
      </c>
      <c r="AB123" s="156">
        <f>ROUND(H123*W117,2)</f>
        <v>13322400</v>
      </c>
    </row>
    <row r="124" spans="1:28" x14ac:dyDescent="0.25">
      <c r="A124" s="168">
        <v>23</v>
      </c>
      <c r="B124" s="84" t="s">
        <v>686</v>
      </c>
      <c r="C124" s="34">
        <v>466</v>
      </c>
      <c r="D124" s="144" t="s">
        <v>7</v>
      </c>
      <c r="E124" s="168" t="s">
        <v>113</v>
      </c>
      <c r="F124" s="34"/>
      <c r="G124" s="169"/>
      <c r="H124" s="60">
        <f>SUM(H125:H129)</f>
        <v>18690.525000000001</v>
      </c>
      <c r="I124" s="166">
        <v>4000</v>
      </c>
      <c r="J124" s="166">
        <f>ROUND(H124*I124,0)</f>
        <v>74762100</v>
      </c>
      <c r="K124" s="156">
        <f>'Tổng hợp VL,NC,M'!I122</f>
        <v>6364</v>
      </c>
      <c r="L124" s="166">
        <f>ROUND(H124*K124,0)</f>
        <v>118946501</v>
      </c>
      <c r="M124" s="34">
        <v>1</v>
      </c>
      <c r="N124" s="166"/>
      <c r="O124" s="166">
        <f>ROUND(H124*N124,0)</f>
        <v>0</v>
      </c>
      <c r="P124" s="166"/>
      <c r="Q124" s="166">
        <f>ROUND(H124*P124,0)</f>
        <v>0</v>
      </c>
      <c r="R124" s="166"/>
      <c r="S124" s="166">
        <f>ROUND(H124*R124,0)</f>
        <v>0</v>
      </c>
      <c r="T124" s="34"/>
      <c r="U124" s="34"/>
      <c r="V124" s="166">
        <f>ROUND((K124+N124+P124+R124)*(U124+T124),0)</f>
        <v>0</v>
      </c>
      <c r="W124" s="156">
        <f>K124+N124+P124+R124+V124</f>
        <v>6364</v>
      </c>
      <c r="X124" s="166">
        <f>K124-I124</f>
        <v>2364</v>
      </c>
      <c r="Y124" s="166">
        <f>ROUND(H124*X124,0)</f>
        <v>44184401</v>
      </c>
      <c r="Z124" s="166">
        <f>W124-I124</f>
        <v>2364</v>
      </c>
      <c r="AA124" s="166">
        <f>ROUND(H124*Z124,0)</f>
        <v>44184401</v>
      </c>
      <c r="AB124" s="166">
        <f>ROUND(H124*W124,0)</f>
        <v>118946501</v>
      </c>
    </row>
    <row r="125" spans="1:28" ht="30" hidden="1" x14ac:dyDescent="0.25">
      <c r="A125" s="168"/>
      <c r="B125" s="133" t="str">
        <f>'Công trình'!B42</f>
        <v>AC.11121</v>
      </c>
      <c r="C125" s="34"/>
      <c r="D125" s="133" t="str">
        <f>'Công trình'!C42</f>
        <v>Đóng cọc tràm chiều dài cọc ngập đất &gt;2,5m đất cấp I</v>
      </c>
      <c r="E125" s="168"/>
      <c r="F125" s="20">
        <v>1</v>
      </c>
      <c r="G125" s="169"/>
      <c r="H125" s="45">
        <f>'Hao phí vật tư'!J314</f>
        <v>28.35</v>
      </c>
      <c r="I125" s="166"/>
      <c r="J125" s="156">
        <f>ROUND(H125*I124,2)</f>
        <v>113400</v>
      </c>
      <c r="K125" s="166"/>
      <c r="L125" s="156">
        <f>ROUND(H125*K124,2)</f>
        <v>180419.4</v>
      </c>
      <c r="M125" s="34"/>
      <c r="N125" s="166"/>
      <c r="O125" s="156">
        <f>ROUND(H125*N124,2)</f>
        <v>0</v>
      </c>
      <c r="P125" s="166"/>
      <c r="Q125" s="156">
        <f>ROUND(H125*P124,2)</f>
        <v>0</v>
      </c>
      <c r="R125" s="166"/>
      <c r="S125" s="156">
        <f>ROUND(H125*R124,2)</f>
        <v>0</v>
      </c>
      <c r="T125" s="34"/>
      <c r="U125" s="34"/>
      <c r="V125" s="166"/>
      <c r="W125" s="166"/>
      <c r="X125" s="166"/>
      <c r="Y125" s="156">
        <f>ROUND(H125*X124,2)</f>
        <v>67019.399999999994</v>
      </c>
      <c r="Z125" s="166"/>
      <c r="AA125" s="156">
        <f>ROUND(H125*Z124,2)</f>
        <v>67019.399999999994</v>
      </c>
      <c r="AB125" s="156">
        <f>ROUND(H125*W124,2)</f>
        <v>180419.4</v>
      </c>
    </row>
    <row r="126" spans="1:28" ht="30" hidden="1" x14ac:dyDescent="0.25">
      <c r="A126" s="168"/>
      <c r="B126" s="133" t="str">
        <f>'Công trình'!B50</f>
        <v>AC.11121</v>
      </c>
      <c r="C126" s="34"/>
      <c r="D126" s="133" t="str">
        <f>'Công trình'!C50</f>
        <v>Đóng cọc tràm chiều dài cọc ngập đất &gt;2,5m đất cấp I</v>
      </c>
      <c r="E126" s="168"/>
      <c r="F126" s="20">
        <v>1</v>
      </c>
      <c r="G126" s="169"/>
      <c r="H126" s="45">
        <f>'Hao phí vật tư'!J371</f>
        <v>14047.424999999999</v>
      </c>
      <c r="I126" s="166"/>
      <c r="J126" s="156">
        <f>ROUND(H126*I124,2)</f>
        <v>56189700</v>
      </c>
      <c r="K126" s="166"/>
      <c r="L126" s="156">
        <f>ROUND(H126*K124,2)</f>
        <v>89397812.700000003</v>
      </c>
      <c r="M126" s="34"/>
      <c r="N126" s="166"/>
      <c r="O126" s="156">
        <f>ROUND(H126*N124,2)</f>
        <v>0</v>
      </c>
      <c r="P126" s="166"/>
      <c r="Q126" s="156">
        <f>ROUND(H126*P124,2)</f>
        <v>0</v>
      </c>
      <c r="R126" s="166"/>
      <c r="S126" s="156">
        <f>ROUND(H126*R124,2)</f>
        <v>0</v>
      </c>
      <c r="T126" s="34"/>
      <c r="U126" s="34"/>
      <c r="V126" s="166"/>
      <c r="W126" s="166"/>
      <c r="X126" s="166"/>
      <c r="Y126" s="156">
        <f>ROUND(H126*X124,2)</f>
        <v>33208112.699999999</v>
      </c>
      <c r="Z126" s="166"/>
      <c r="AA126" s="156">
        <f>ROUND(H126*Z124,2)</f>
        <v>33208112.699999999</v>
      </c>
      <c r="AB126" s="156">
        <f>ROUND(H126*W124,2)</f>
        <v>89397812.700000003</v>
      </c>
    </row>
    <row r="127" spans="1:28" ht="30" hidden="1" x14ac:dyDescent="0.25">
      <c r="A127" s="168"/>
      <c r="B127" s="133" t="str">
        <f>'Công trình'!B96</f>
        <v>AC.11121</v>
      </c>
      <c r="C127" s="34"/>
      <c r="D127" s="133" t="str">
        <f>'Công trình'!C96</f>
        <v>Đóng cọc tràm chiều dài cọc ngập đất &gt;2,5m đất cấp I</v>
      </c>
      <c r="E127" s="168"/>
      <c r="F127" s="20">
        <v>1</v>
      </c>
      <c r="G127" s="169"/>
      <c r="H127" s="45">
        <f>'Hao phí vật tư'!J776</f>
        <v>2268</v>
      </c>
      <c r="I127" s="166"/>
      <c r="J127" s="156">
        <f>ROUND(H127*I124,2)</f>
        <v>9072000</v>
      </c>
      <c r="K127" s="166"/>
      <c r="L127" s="156">
        <f>ROUND(H127*K124,2)</f>
        <v>14433552</v>
      </c>
      <c r="M127" s="34"/>
      <c r="N127" s="166"/>
      <c r="O127" s="156">
        <f>ROUND(H127*N124,2)</f>
        <v>0</v>
      </c>
      <c r="P127" s="166"/>
      <c r="Q127" s="156">
        <f>ROUND(H127*P124,2)</f>
        <v>0</v>
      </c>
      <c r="R127" s="166"/>
      <c r="S127" s="156">
        <f>ROUND(H127*R124,2)</f>
        <v>0</v>
      </c>
      <c r="T127" s="34"/>
      <c r="U127" s="34"/>
      <c r="V127" s="166"/>
      <c r="W127" s="166"/>
      <c r="X127" s="166"/>
      <c r="Y127" s="156">
        <f>ROUND(H127*X124,2)</f>
        <v>5361552</v>
      </c>
      <c r="Z127" s="166"/>
      <c r="AA127" s="156">
        <f>ROUND(H127*Z124,2)</f>
        <v>5361552</v>
      </c>
      <c r="AB127" s="156">
        <f>ROUND(H127*W124,2)</f>
        <v>14433552</v>
      </c>
    </row>
    <row r="128" spans="1:28" ht="30" hidden="1" x14ac:dyDescent="0.25">
      <c r="A128" s="168"/>
      <c r="B128" s="133" t="str">
        <f>'Công trình'!B149</f>
        <v>AC.11121</v>
      </c>
      <c r="C128" s="34"/>
      <c r="D128" s="133" t="str">
        <f>'Công trình'!C149</f>
        <v>Đóng cọc tràm chiều dài cọc ngập đất &gt;2,5m đất cấp I</v>
      </c>
      <c r="E128" s="168"/>
      <c r="F128" s="20">
        <v>1</v>
      </c>
      <c r="G128" s="169"/>
      <c r="H128" s="45">
        <f>'Hao phí vật tư'!J1136</f>
        <v>2220.75</v>
      </c>
      <c r="I128" s="166"/>
      <c r="J128" s="156">
        <f>ROUND(H128*I124,2)</f>
        <v>8883000</v>
      </c>
      <c r="K128" s="166"/>
      <c r="L128" s="156">
        <f>ROUND(H128*K124,2)</f>
        <v>14132853</v>
      </c>
      <c r="M128" s="34"/>
      <c r="N128" s="166"/>
      <c r="O128" s="156">
        <f>ROUND(H128*N124,2)</f>
        <v>0</v>
      </c>
      <c r="P128" s="166"/>
      <c r="Q128" s="156">
        <f>ROUND(H128*P124,2)</f>
        <v>0</v>
      </c>
      <c r="R128" s="166"/>
      <c r="S128" s="156">
        <f>ROUND(H128*R124,2)</f>
        <v>0</v>
      </c>
      <c r="T128" s="34"/>
      <c r="U128" s="34"/>
      <c r="V128" s="166"/>
      <c r="W128" s="166"/>
      <c r="X128" s="166"/>
      <c r="Y128" s="156">
        <f>ROUND(H128*X124,2)</f>
        <v>5249853</v>
      </c>
      <c r="Z128" s="166"/>
      <c r="AA128" s="156">
        <f>ROUND(H128*Z124,2)</f>
        <v>5249853</v>
      </c>
      <c r="AB128" s="156">
        <f>ROUND(H128*W124,2)</f>
        <v>14132853</v>
      </c>
    </row>
    <row r="129" spans="1:28" ht="30" hidden="1" x14ac:dyDescent="0.25">
      <c r="A129" s="168"/>
      <c r="B129" s="133" t="str">
        <f>'Công trình'!B271</f>
        <v>AC.11121</v>
      </c>
      <c r="C129" s="34"/>
      <c r="D129" s="133" t="str">
        <f>'Công trình'!C271</f>
        <v>Đóng cọc tràm chiều dài cọc ngập đất &gt;2,5m đất cấp I</v>
      </c>
      <c r="E129" s="168"/>
      <c r="F129" s="20">
        <v>1</v>
      </c>
      <c r="G129" s="169"/>
      <c r="H129" s="45">
        <f>'Hao phí vật tư'!J2069</f>
        <v>126</v>
      </c>
      <c r="I129" s="166"/>
      <c r="J129" s="156">
        <f>ROUND(H129*I124,2)</f>
        <v>504000</v>
      </c>
      <c r="K129" s="166"/>
      <c r="L129" s="156">
        <f>ROUND(H129*K124,2)</f>
        <v>801864</v>
      </c>
      <c r="M129" s="34"/>
      <c r="N129" s="166"/>
      <c r="O129" s="156">
        <f>ROUND(H129*N124,2)</f>
        <v>0</v>
      </c>
      <c r="P129" s="166"/>
      <c r="Q129" s="156">
        <f>ROUND(H129*P124,2)</f>
        <v>0</v>
      </c>
      <c r="R129" s="166"/>
      <c r="S129" s="156">
        <f>ROUND(H129*R124,2)</f>
        <v>0</v>
      </c>
      <c r="T129" s="34"/>
      <c r="U129" s="34"/>
      <c r="V129" s="166"/>
      <c r="W129" s="166"/>
      <c r="X129" s="166"/>
      <c r="Y129" s="156">
        <f>ROUND(H129*X124,2)</f>
        <v>297864</v>
      </c>
      <c r="Z129" s="166"/>
      <c r="AA129" s="156">
        <f>ROUND(H129*Z124,2)</f>
        <v>297864</v>
      </c>
      <c r="AB129" s="156">
        <f>ROUND(H129*W124,2)</f>
        <v>801864</v>
      </c>
    </row>
    <row r="130" spans="1:28" x14ac:dyDescent="0.25">
      <c r="A130" s="168">
        <v>24</v>
      </c>
      <c r="B130" s="84" t="s">
        <v>298</v>
      </c>
      <c r="C130" s="34">
        <v>499</v>
      </c>
      <c r="D130" s="144" t="s">
        <v>889</v>
      </c>
      <c r="E130" s="168" t="s">
        <v>1123</v>
      </c>
      <c r="F130" s="34"/>
      <c r="G130" s="169"/>
      <c r="H130" s="60">
        <f>SUM(H131:H131)</f>
        <v>56</v>
      </c>
      <c r="I130" s="166">
        <v>1080378</v>
      </c>
      <c r="J130" s="166">
        <f>ROUND(H130*I130,0)</f>
        <v>60501168</v>
      </c>
      <c r="K130" s="166">
        <f>'Tổng hợp VL,NC,M'!I128</f>
        <v>1080378</v>
      </c>
      <c r="L130" s="166">
        <f>ROUND(H130*K130,0)</f>
        <v>60501168</v>
      </c>
      <c r="M130" s="34">
        <v>1</v>
      </c>
      <c r="N130" s="166"/>
      <c r="O130" s="166">
        <f>ROUND(H130*N130,0)</f>
        <v>0</v>
      </c>
      <c r="P130" s="166"/>
      <c r="Q130" s="166">
        <f>ROUND(H130*P130,0)</f>
        <v>0</v>
      </c>
      <c r="R130" s="166"/>
      <c r="S130" s="166">
        <f>ROUND(H130*R130,0)</f>
        <v>0</v>
      </c>
      <c r="T130" s="34"/>
      <c r="U130" s="34"/>
      <c r="V130" s="166">
        <f>ROUND((K130+N130+P130+R130)*(U130+T130),0)</f>
        <v>0</v>
      </c>
      <c r="W130" s="166">
        <f>K130+N130+P130+R130+V130</f>
        <v>1080378</v>
      </c>
      <c r="X130" s="166">
        <f>K130-I130</f>
        <v>0</v>
      </c>
      <c r="Y130" s="166">
        <f>ROUND(H130*X130,0)</f>
        <v>0</v>
      </c>
      <c r="Z130" s="166">
        <f>W130-I130</f>
        <v>0</v>
      </c>
      <c r="AA130" s="166">
        <f>ROUND(H130*Z130,0)</f>
        <v>0</v>
      </c>
      <c r="AB130" s="166">
        <f>ROUND(H130*W130,0)</f>
        <v>60501168</v>
      </c>
    </row>
    <row r="131" spans="1:28" hidden="1" x14ac:dyDescent="0.25">
      <c r="A131" s="168"/>
      <c r="B131" s="133" t="str">
        <f>'Công trình'!B278</f>
        <v>TT</v>
      </c>
      <c r="C131" s="34"/>
      <c r="D131" s="133" t="str">
        <f>'Công trình'!C278</f>
        <v>Cột U(160x160x5x1750)mm</v>
      </c>
      <c r="E131" s="168"/>
      <c r="F131" s="20">
        <v>1</v>
      </c>
      <c r="G131" s="169"/>
      <c r="H131" s="45">
        <f>'Hao phí vật tư'!J2100</f>
        <v>56</v>
      </c>
      <c r="I131" s="166"/>
      <c r="J131" s="156">
        <f>ROUND(H131*I130,2)</f>
        <v>60501168</v>
      </c>
      <c r="K131" s="166"/>
      <c r="L131" s="156">
        <f>ROUND(H131*K130,2)</f>
        <v>60501168</v>
      </c>
      <c r="M131" s="34"/>
      <c r="N131" s="166"/>
      <c r="O131" s="156">
        <f>ROUND(H131*N130,2)</f>
        <v>0</v>
      </c>
      <c r="P131" s="166"/>
      <c r="Q131" s="156">
        <f>ROUND(H131*P130,2)</f>
        <v>0</v>
      </c>
      <c r="R131" s="166"/>
      <c r="S131" s="156">
        <f>ROUND(H131*R130,2)</f>
        <v>0</v>
      </c>
      <c r="T131" s="34"/>
      <c r="U131" s="34"/>
      <c r="V131" s="166"/>
      <c r="W131" s="166"/>
      <c r="X131" s="166"/>
      <c r="Y131" s="156">
        <f>ROUND(H131*X130,2)</f>
        <v>0</v>
      </c>
      <c r="Z131" s="166"/>
      <c r="AA131" s="156">
        <f>ROUND(H131*Z130,2)</f>
        <v>0</v>
      </c>
      <c r="AB131" s="156">
        <f>ROUND(H131*W130,2)</f>
        <v>60501168</v>
      </c>
    </row>
    <row r="132" spans="1:28" x14ac:dyDescent="0.25">
      <c r="A132" s="168">
        <v>25</v>
      </c>
      <c r="B132" s="84" t="s">
        <v>50</v>
      </c>
      <c r="C132" s="34">
        <v>443</v>
      </c>
      <c r="D132" s="144" t="s">
        <v>99</v>
      </c>
      <c r="E132" s="168" t="s">
        <v>113</v>
      </c>
      <c r="F132" s="34"/>
      <c r="G132" s="169"/>
      <c r="H132" s="60">
        <f>SUM(H133:H133)</f>
        <v>327.60000000000002</v>
      </c>
      <c r="I132" s="166">
        <v>35065</v>
      </c>
      <c r="J132" s="166">
        <f>ROUND(H132*I132,0)</f>
        <v>11487294</v>
      </c>
      <c r="K132" s="166">
        <f>'Tổng hợp VL,NC,M'!I130</f>
        <v>35065</v>
      </c>
      <c r="L132" s="166">
        <f>ROUND(H132*K132,0)</f>
        <v>11487294</v>
      </c>
      <c r="M132" s="34">
        <v>1</v>
      </c>
      <c r="N132" s="166"/>
      <c r="O132" s="166">
        <f>ROUND(H132*N132,0)</f>
        <v>0</v>
      </c>
      <c r="P132" s="166"/>
      <c r="Q132" s="166">
        <f>ROUND(H132*P132,0)</f>
        <v>0</v>
      </c>
      <c r="R132" s="166"/>
      <c r="S132" s="166">
        <f>ROUND(H132*R132,0)</f>
        <v>0</v>
      </c>
      <c r="T132" s="34"/>
      <c r="U132" s="34"/>
      <c r="V132" s="166">
        <f>ROUND((K132+N132+P132+R132)*(U132+T132),0)</f>
        <v>0</v>
      </c>
      <c r="W132" s="166">
        <f>K132+N132+P132+R132+V132</f>
        <v>35065</v>
      </c>
      <c r="X132" s="166">
        <f>K132-I132</f>
        <v>0</v>
      </c>
      <c r="Y132" s="166">
        <f>ROUND(H132*X132,0)</f>
        <v>0</v>
      </c>
      <c r="Z132" s="166">
        <f>W132-I132</f>
        <v>0</v>
      </c>
      <c r="AA132" s="166">
        <f>ROUND(H132*Z132,0)</f>
        <v>0</v>
      </c>
      <c r="AB132" s="166">
        <f>ROUND(H132*W132,0)</f>
        <v>11487294</v>
      </c>
    </row>
    <row r="133" spans="1:28" ht="30" hidden="1" x14ac:dyDescent="0.25">
      <c r="A133" s="168"/>
      <c r="B133" s="133" t="str">
        <f>'Công trình'!B95</f>
        <v>KH.0102</v>
      </c>
      <c r="C133" s="34"/>
      <c r="D133" s="133" t="str">
        <f>'Công trình'!C95</f>
        <v>Đóng cừ dừa bằng máy đào (TT theo MHĐM KH.0102  định mức 1751)</v>
      </c>
      <c r="E133" s="168"/>
      <c r="F133" s="20">
        <v>1</v>
      </c>
      <c r="G133" s="169"/>
      <c r="H133" s="45">
        <f>'Hao phí vật tư'!J768</f>
        <v>327.60000000000002</v>
      </c>
      <c r="I133" s="166"/>
      <c r="J133" s="156">
        <f>ROUND(H133*I132,2)</f>
        <v>11487294</v>
      </c>
      <c r="K133" s="166"/>
      <c r="L133" s="156">
        <f>ROUND(H133*K132,2)</f>
        <v>11487294</v>
      </c>
      <c r="M133" s="34"/>
      <c r="N133" s="166"/>
      <c r="O133" s="156">
        <f>ROUND(H133*N132,2)</f>
        <v>0</v>
      </c>
      <c r="P133" s="166"/>
      <c r="Q133" s="156">
        <f>ROUND(H133*P132,2)</f>
        <v>0</v>
      </c>
      <c r="R133" s="166"/>
      <c r="S133" s="156">
        <f>ROUND(H133*R132,2)</f>
        <v>0</v>
      </c>
      <c r="T133" s="34"/>
      <c r="U133" s="34"/>
      <c r="V133" s="166"/>
      <c r="W133" s="166"/>
      <c r="X133" s="166"/>
      <c r="Y133" s="156">
        <f>ROUND(H133*X132,2)</f>
        <v>0</v>
      </c>
      <c r="Z133" s="166"/>
      <c r="AA133" s="156">
        <f>ROUND(H133*Z132,2)</f>
        <v>0</v>
      </c>
      <c r="AB133" s="156">
        <f>ROUND(H133*W132,2)</f>
        <v>11487294</v>
      </c>
    </row>
    <row r="134" spans="1:28" x14ac:dyDescent="0.25">
      <c r="A134" s="168">
        <v>26</v>
      </c>
      <c r="B134" s="84" t="s">
        <v>1177</v>
      </c>
      <c r="C134" s="34">
        <v>435</v>
      </c>
      <c r="D134" s="144" t="s">
        <v>1116</v>
      </c>
      <c r="E134" s="168" t="s">
        <v>113</v>
      </c>
      <c r="F134" s="34"/>
      <c r="G134" s="169"/>
      <c r="H134" s="60">
        <f>SUM(H135:H137)</f>
        <v>223.34</v>
      </c>
      <c r="I134" s="166">
        <v>842975</v>
      </c>
      <c r="J134" s="166">
        <f>ROUND(H134*I134,0)</f>
        <v>188270037</v>
      </c>
      <c r="K134" s="156">
        <f>'Tổng hợp VL,NC,M'!I132</f>
        <v>1162133</v>
      </c>
      <c r="L134" s="166">
        <f>ROUND(H134*K134,0)</f>
        <v>259550784</v>
      </c>
      <c r="M134" s="34">
        <v>1</v>
      </c>
      <c r="N134" s="166"/>
      <c r="O134" s="166">
        <f>ROUND(H134*N134,0)</f>
        <v>0</v>
      </c>
      <c r="P134" s="166"/>
      <c r="Q134" s="166">
        <f>ROUND(H134*P134,0)</f>
        <v>0</v>
      </c>
      <c r="R134" s="166"/>
      <c r="S134" s="166">
        <f>ROUND(H134*R134,0)</f>
        <v>0</v>
      </c>
      <c r="T134" s="34"/>
      <c r="U134" s="34"/>
      <c r="V134" s="166">
        <f>ROUND((K134+N134+P134+R134)*(U134+T134),0)</f>
        <v>0</v>
      </c>
      <c r="W134" s="156">
        <f>K134+N134+P134+R134+V134</f>
        <v>1162133</v>
      </c>
      <c r="X134" s="166">
        <f>K134-I134</f>
        <v>319158</v>
      </c>
      <c r="Y134" s="166">
        <f>ROUND(H134*X134,0)</f>
        <v>71280748</v>
      </c>
      <c r="Z134" s="166">
        <f>W134-I134</f>
        <v>319158</v>
      </c>
      <c r="AA134" s="166">
        <f>ROUND(H134*Z134,0)</f>
        <v>71280748</v>
      </c>
      <c r="AB134" s="166">
        <f>ROUND(H134*W134,0)</f>
        <v>259550784</v>
      </c>
    </row>
    <row r="135" spans="1:28" ht="30" hidden="1" x14ac:dyDescent="0.25">
      <c r="A135" s="168"/>
      <c r="B135" s="133" t="str">
        <f>'Công trình'!B131</f>
        <v>AC.22112</v>
      </c>
      <c r="C135" s="34"/>
      <c r="D135" s="133" t="str">
        <f>'Công trình'!C131</f>
        <v>Đóng cừ Larsen IV trên mặt đất chiều dài cọc &lt;=12m đất cấp II, ngập đất 15,5m</v>
      </c>
      <c r="E135" s="168"/>
      <c r="F135" s="20">
        <v>1</v>
      </c>
      <c r="G135" s="169"/>
      <c r="H135" s="45">
        <f>'Hao phí vật tư'!J1009</f>
        <v>0</v>
      </c>
      <c r="I135" s="166"/>
      <c r="J135" s="156">
        <f>ROUND(H135*I134,2)</f>
        <v>0</v>
      </c>
      <c r="K135" s="166"/>
      <c r="L135" s="156">
        <f>ROUND(H135*K134,2)</f>
        <v>0</v>
      </c>
      <c r="M135" s="34"/>
      <c r="N135" s="166"/>
      <c r="O135" s="156">
        <f>ROUND(H135*N134,2)</f>
        <v>0</v>
      </c>
      <c r="P135" s="166"/>
      <c r="Q135" s="156">
        <f>ROUND(H135*P134,2)</f>
        <v>0</v>
      </c>
      <c r="R135" s="166"/>
      <c r="S135" s="156">
        <f>ROUND(H135*R134,2)</f>
        <v>0</v>
      </c>
      <c r="T135" s="34"/>
      <c r="U135" s="34"/>
      <c r="V135" s="166"/>
      <c r="W135" s="166"/>
      <c r="X135" s="166"/>
      <c r="Y135" s="156">
        <f>ROUND(H135*X134,2)</f>
        <v>0</v>
      </c>
      <c r="Z135" s="166"/>
      <c r="AA135" s="156">
        <f>ROUND(H135*Z134,2)</f>
        <v>0</v>
      </c>
      <c r="AB135" s="156">
        <f>ROUND(H135*W134,2)</f>
        <v>0</v>
      </c>
    </row>
    <row r="136" spans="1:28" ht="45" hidden="1" x14ac:dyDescent="0.25">
      <c r="A136" s="168"/>
      <c r="B136" s="133" t="str">
        <f>'Công trình'!B132</f>
        <v>AC.22112</v>
      </c>
      <c r="C136" s="34"/>
      <c r="D136" s="133" t="str">
        <f>'Công trình'!C132</f>
        <v>Đóng cừ Larsen IV trên mặt đất chiều dài cọc &lt;=12m đất cấp II, không ngập đất (NC, MTC * 0,75)</v>
      </c>
      <c r="E136" s="168"/>
      <c r="F136" s="20">
        <v>1</v>
      </c>
      <c r="G136" s="169"/>
      <c r="H136" s="45">
        <f>'Hao phí vật tư'!J1018</f>
        <v>0</v>
      </c>
      <c r="I136" s="166"/>
      <c r="J136" s="156">
        <f>ROUND(H136*I134,2)</f>
        <v>0</v>
      </c>
      <c r="K136" s="166"/>
      <c r="L136" s="156">
        <f>ROUND(H136*K134,2)</f>
        <v>0</v>
      </c>
      <c r="M136" s="34"/>
      <c r="N136" s="166"/>
      <c r="O136" s="156">
        <f>ROUND(H136*N134,2)</f>
        <v>0</v>
      </c>
      <c r="P136" s="166"/>
      <c r="Q136" s="156">
        <f>ROUND(H136*P134,2)</f>
        <v>0</v>
      </c>
      <c r="R136" s="166"/>
      <c r="S136" s="156">
        <f>ROUND(H136*R134,2)</f>
        <v>0</v>
      </c>
      <c r="T136" s="34"/>
      <c r="U136" s="34"/>
      <c r="V136" s="166"/>
      <c r="W136" s="166"/>
      <c r="X136" s="166"/>
      <c r="Y136" s="156">
        <f>ROUND(H136*X134,2)</f>
        <v>0</v>
      </c>
      <c r="Z136" s="166"/>
      <c r="AA136" s="156">
        <f>ROUND(H136*Z134,2)</f>
        <v>0</v>
      </c>
      <c r="AB136" s="156">
        <f>ROUND(H136*W134,2)</f>
        <v>0</v>
      </c>
    </row>
    <row r="137" spans="1:28" ht="30" hidden="1" x14ac:dyDescent="0.25">
      <c r="A137" s="168"/>
      <c r="B137" s="133" t="str">
        <f>'Công trình'!B133</f>
        <v>TT</v>
      </c>
      <c r="C137" s="34"/>
      <c r="D137" s="133" t="str">
        <f>'Công trình'!C133</f>
        <v>Khấu hao cừ Larsen (Thi công trong vòng 3 tháng và 1 lần đóng nhổ)</v>
      </c>
      <c r="E137" s="168"/>
      <c r="F137" s="20">
        <v>1</v>
      </c>
      <c r="G137" s="169"/>
      <c r="H137" s="45">
        <f>'Hao phí vật tư'!J1027</f>
        <v>223.34</v>
      </c>
      <c r="I137" s="166"/>
      <c r="J137" s="156">
        <f>ROUND(H137*I134,2)</f>
        <v>188270036.5</v>
      </c>
      <c r="K137" s="166"/>
      <c r="L137" s="156">
        <f>ROUND(H137*K134,2)</f>
        <v>259550784.22</v>
      </c>
      <c r="M137" s="34"/>
      <c r="N137" s="166"/>
      <c r="O137" s="156">
        <f>ROUND(H137*N134,2)</f>
        <v>0</v>
      </c>
      <c r="P137" s="166"/>
      <c r="Q137" s="156">
        <f>ROUND(H137*P134,2)</f>
        <v>0</v>
      </c>
      <c r="R137" s="166"/>
      <c r="S137" s="156">
        <f>ROUND(H137*R134,2)</f>
        <v>0</v>
      </c>
      <c r="T137" s="34"/>
      <c r="U137" s="34"/>
      <c r="V137" s="166"/>
      <c r="W137" s="166"/>
      <c r="X137" s="166"/>
      <c r="Y137" s="156">
        <f>ROUND(H137*X134,2)</f>
        <v>71280747.719999999</v>
      </c>
      <c r="Z137" s="166"/>
      <c r="AA137" s="156">
        <f>ROUND(H137*Z134,2)</f>
        <v>71280747.719999999</v>
      </c>
      <c r="AB137" s="156">
        <f>ROUND(H137*W134,2)</f>
        <v>259550784.22</v>
      </c>
    </row>
    <row r="138" spans="1:28" x14ac:dyDescent="0.25">
      <c r="A138" s="168">
        <v>27</v>
      </c>
      <c r="B138" s="84" t="s">
        <v>1118</v>
      </c>
      <c r="C138" s="34">
        <v>130</v>
      </c>
      <c r="D138" s="144" t="s">
        <v>811</v>
      </c>
      <c r="E138" s="168" t="s">
        <v>1123</v>
      </c>
      <c r="F138" s="34"/>
      <c r="G138" s="169"/>
      <c r="H138" s="60">
        <f>SUM(H139:H139)</f>
        <v>6.5124000000000004</v>
      </c>
      <c r="I138" s="166">
        <v>5000</v>
      </c>
      <c r="J138" s="166">
        <f>ROUND(H138*I138,0)</f>
        <v>32562</v>
      </c>
      <c r="K138" s="166">
        <f>'Tổng hợp VL,NC,M'!I136</f>
        <v>5000</v>
      </c>
      <c r="L138" s="166">
        <f>ROUND(H138*K138,0)</f>
        <v>32562</v>
      </c>
      <c r="M138" s="34">
        <v>1</v>
      </c>
      <c r="N138" s="166"/>
      <c r="O138" s="166">
        <f>ROUND(H138*N138,0)</f>
        <v>0</v>
      </c>
      <c r="P138" s="166"/>
      <c r="Q138" s="166">
        <f>ROUND(H138*P138,0)</f>
        <v>0</v>
      </c>
      <c r="R138" s="166"/>
      <c r="S138" s="166">
        <f>ROUND(H138*R138,0)</f>
        <v>0</v>
      </c>
      <c r="T138" s="34"/>
      <c r="U138" s="34"/>
      <c r="V138" s="166">
        <f>ROUND((K138+N138+P138+R138)*(U138+T138),0)</f>
        <v>0</v>
      </c>
      <c r="W138" s="166">
        <f>K138+N138+P138+R138+V138</f>
        <v>5000</v>
      </c>
      <c r="X138" s="166">
        <f>K138-I138</f>
        <v>0</v>
      </c>
      <c r="Y138" s="166">
        <f>ROUND(H138*X138,0)</f>
        <v>0</v>
      </c>
      <c r="Z138" s="166">
        <f>W138-I138</f>
        <v>0</v>
      </c>
      <c r="AA138" s="166">
        <f>ROUND(H138*Z138,0)</f>
        <v>0</v>
      </c>
      <c r="AB138" s="166">
        <f>ROUND(H138*W138,0)</f>
        <v>32562</v>
      </c>
    </row>
    <row r="139" spans="1:28" ht="60" hidden="1" x14ac:dyDescent="0.25">
      <c r="A139" s="168"/>
      <c r="B139" s="133" t="str">
        <f>'Công trình'!B26</f>
        <v>AC.12412</v>
      </c>
      <c r="C139" s="34"/>
      <c r="D139" s="133" t="str">
        <f>'Công trình'!C26</f>
        <v>Đóng cọc cừ máng bê tông dự ứng lực trên cạn bằng búa rung kết hợp tách mũi nước áp lực SW600A, chiều cao máng cọc 60-84cm, L=18M</v>
      </c>
      <c r="E139" s="168"/>
      <c r="F139" s="20">
        <v>1</v>
      </c>
      <c r="G139" s="169"/>
      <c r="H139" s="45">
        <f>'Hao phí vật tư'!J181</f>
        <v>6.5124000000000004</v>
      </c>
      <c r="I139" s="166"/>
      <c r="J139" s="156">
        <f>ROUND(H139*I138,2)</f>
        <v>32562</v>
      </c>
      <c r="K139" s="166"/>
      <c r="L139" s="156">
        <f>ROUND(H139*K138,2)</f>
        <v>32562</v>
      </c>
      <c r="M139" s="34"/>
      <c r="N139" s="166"/>
      <c r="O139" s="156">
        <f>ROUND(H139*N138,2)</f>
        <v>0</v>
      </c>
      <c r="P139" s="166"/>
      <c r="Q139" s="156">
        <f>ROUND(H139*P138,2)</f>
        <v>0</v>
      </c>
      <c r="R139" s="166"/>
      <c r="S139" s="156">
        <f>ROUND(H139*R138,2)</f>
        <v>0</v>
      </c>
      <c r="T139" s="34"/>
      <c r="U139" s="34"/>
      <c r="V139" s="166"/>
      <c r="W139" s="166"/>
      <c r="X139" s="166"/>
      <c r="Y139" s="156">
        <f>ROUND(H139*X138,2)</f>
        <v>0</v>
      </c>
      <c r="Z139" s="166"/>
      <c r="AA139" s="156">
        <f>ROUND(H139*Z138,2)</f>
        <v>0</v>
      </c>
      <c r="AB139" s="156">
        <f>ROUND(H139*W138,2)</f>
        <v>32562</v>
      </c>
    </row>
    <row r="140" spans="1:28" x14ac:dyDescent="0.25">
      <c r="A140" s="168">
        <v>28</v>
      </c>
      <c r="B140" s="84" t="s">
        <v>160</v>
      </c>
      <c r="C140" s="34">
        <v>476</v>
      </c>
      <c r="D140" s="144" t="s">
        <v>841</v>
      </c>
      <c r="E140" s="168" t="s">
        <v>927</v>
      </c>
      <c r="F140" s="34"/>
      <c r="G140" s="169"/>
      <c r="H140" s="60">
        <f>SUM(H141:H141)</f>
        <v>20</v>
      </c>
      <c r="I140" s="166">
        <v>61000</v>
      </c>
      <c r="J140" s="166">
        <f>ROUND(H140*I140,0)</f>
        <v>1220000</v>
      </c>
      <c r="K140" s="166">
        <f>'Tổng hợp VL,NC,M'!I138</f>
        <v>61000</v>
      </c>
      <c r="L140" s="166">
        <f>ROUND(H140*K140,0)</f>
        <v>1220000</v>
      </c>
      <c r="M140" s="34">
        <v>1</v>
      </c>
      <c r="N140" s="166"/>
      <c r="O140" s="166">
        <f>ROUND(H140*N140,0)</f>
        <v>0</v>
      </c>
      <c r="P140" s="166"/>
      <c r="Q140" s="166">
        <f>ROUND(H140*P140,0)</f>
        <v>0</v>
      </c>
      <c r="R140" s="166"/>
      <c r="S140" s="166">
        <f>ROUND(H140*R140,0)</f>
        <v>0</v>
      </c>
      <c r="T140" s="34"/>
      <c r="U140" s="34"/>
      <c r="V140" s="166">
        <f>ROUND((K140+N140+P140+R140)*(U140+T140),0)</f>
        <v>0</v>
      </c>
      <c r="W140" s="166">
        <f>K140+N140+P140+R140+V140</f>
        <v>61000</v>
      </c>
      <c r="X140" s="166">
        <f>K140-I140</f>
        <v>0</v>
      </c>
      <c r="Y140" s="166">
        <f>ROUND(H140*X140,0)</f>
        <v>0</v>
      </c>
      <c r="Z140" s="166">
        <f>W140-I140</f>
        <v>0</v>
      </c>
      <c r="AA140" s="166">
        <f>ROUND(H140*Z140,0)</f>
        <v>0</v>
      </c>
      <c r="AB140" s="166">
        <f>ROUND(H140*W140,0)</f>
        <v>1220000</v>
      </c>
    </row>
    <row r="141" spans="1:28" hidden="1" x14ac:dyDescent="0.25">
      <c r="A141" s="168"/>
      <c r="B141" s="133" t="str">
        <f>'Công trình'!B260</f>
        <v>BB.26119</v>
      </c>
      <c r="C141" s="34"/>
      <c r="D141" s="133" t="str">
        <f>'Công trình'!C260</f>
        <v>Cút nối 90 độ thép mạ kẽm</v>
      </c>
      <c r="E141" s="168"/>
      <c r="F141" s="20">
        <v>1</v>
      </c>
      <c r="G141" s="169"/>
      <c r="H141" s="45">
        <f>'Hao phí vật tư'!J1986</f>
        <v>20</v>
      </c>
      <c r="I141" s="166"/>
      <c r="J141" s="156">
        <f>ROUND(H141*I140,2)</f>
        <v>1220000</v>
      </c>
      <c r="K141" s="166"/>
      <c r="L141" s="156">
        <f>ROUND(H141*K140,2)</f>
        <v>1220000</v>
      </c>
      <c r="M141" s="34"/>
      <c r="N141" s="166"/>
      <c r="O141" s="156">
        <f>ROUND(H141*N140,2)</f>
        <v>0</v>
      </c>
      <c r="P141" s="166"/>
      <c r="Q141" s="156">
        <f>ROUND(H141*P140,2)</f>
        <v>0</v>
      </c>
      <c r="R141" s="166"/>
      <c r="S141" s="156">
        <f>ROUND(H141*R140,2)</f>
        <v>0</v>
      </c>
      <c r="T141" s="34"/>
      <c r="U141" s="34"/>
      <c r="V141" s="166"/>
      <c r="W141" s="166"/>
      <c r="X141" s="166"/>
      <c r="Y141" s="156">
        <f>ROUND(H141*X140,2)</f>
        <v>0</v>
      </c>
      <c r="Z141" s="166"/>
      <c r="AA141" s="156">
        <f>ROUND(H141*Z140,2)</f>
        <v>0</v>
      </c>
      <c r="AB141" s="156">
        <f>ROUND(H141*W140,2)</f>
        <v>1220000</v>
      </c>
    </row>
    <row r="142" spans="1:28" x14ac:dyDescent="0.25">
      <c r="A142" s="168">
        <v>29</v>
      </c>
      <c r="B142" s="84" t="s">
        <v>733</v>
      </c>
      <c r="C142" s="34">
        <v>416</v>
      </c>
      <c r="D142" s="144" t="s">
        <v>393</v>
      </c>
      <c r="E142" s="168" t="s">
        <v>155</v>
      </c>
      <c r="F142" s="34"/>
      <c r="G142" s="169"/>
      <c r="H142" s="60">
        <f>SUM(H143:H171)</f>
        <v>1048.6644000000003</v>
      </c>
      <c r="I142" s="166">
        <v>300000</v>
      </c>
      <c r="J142" s="166">
        <f>ROUND(H142*I142,0)</f>
        <v>314599320</v>
      </c>
      <c r="K142" s="156">
        <f>'Tổng hợp VL,NC,M'!I140</f>
        <v>360886</v>
      </c>
      <c r="L142" s="166">
        <f>ROUND(H142*K142,0)</f>
        <v>378448301</v>
      </c>
      <c r="M142" s="34">
        <v>1</v>
      </c>
      <c r="N142" s="166"/>
      <c r="O142" s="166">
        <f>ROUND(H142*N142,0)</f>
        <v>0</v>
      </c>
      <c r="P142" s="166"/>
      <c r="Q142" s="166">
        <f>ROUND(H142*P142,0)</f>
        <v>0</v>
      </c>
      <c r="R142" s="166"/>
      <c r="S142" s="166">
        <f>ROUND(H142*R142,0)</f>
        <v>0</v>
      </c>
      <c r="T142" s="34"/>
      <c r="U142" s="34"/>
      <c r="V142" s="166">
        <f>ROUND((K142+N142+P142+R142)*(U142+T142),0)</f>
        <v>0</v>
      </c>
      <c r="W142" s="156">
        <f>K142+N142+P142+R142+V142</f>
        <v>360886</v>
      </c>
      <c r="X142" s="166">
        <f>K142-I142</f>
        <v>60886</v>
      </c>
      <c r="Y142" s="166">
        <f>ROUND(H142*X142,0)</f>
        <v>63848981</v>
      </c>
      <c r="Z142" s="166">
        <f>W142-I142</f>
        <v>60886</v>
      </c>
      <c r="AA142" s="166">
        <f>ROUND(H142*Z142,0)</f>
        <v>63848981</v>
      </c>
      <c r="AB142" s="166">
        <f>ROUND(H142*W142,0)</f>
        <v>378448301</v>
      </c>
    </row>
    <row r="143" spans="1:28" ht="30" hidden="1" x14ac:dyDescent="0.25">
      <c r="A143" s="168"/>
      <c r="B143" s="133" t="str">
        <f>'Công trình'!B18</f>
        <v>AF.12314</v>
      </c>
      <c r="C143" s="34"/>
      <c r="D143" s="133" t="str">
        <f>'Công trình'!C18</f>
        <v>Bê tông xà dầm, giằng nhà đá 1x2, vữa BT mác 250</v>
      </c>
      <c r="E143" s="168"/>
      <c r="F143" s="20">
        <v>1</v>
      </c>
      <c r="G143" s="169"/>
      <c r="H143" s="45">
        <f>'Hao phí vật tư'!J125</f>
        <v>58.523400000000002</v>
      </c>
      <c r="I143" s="166"/>
      <c r="J143" s="156">
        <f>ROUND(H143*I142,2)</f>
        <v>17557020</v>
      </c>
      <c r="K143" s="166"/>
      <c r="L143" s="156">
        <f>ROUND(H143*K142,2)</f>
        <v>21120275.73</v>
      </c>
      <c r="M143" s="34"/>
      <c r="N143" s="166"/>
      <c r="O143" s="156">
        <f>ROUND(H143*N142,2)</f>
        <v>0</v>
      </c>
      <c r="P143" s="166"/>
      <c r="Q143" s="156">
        <f>ROUND(H143*P142,2)</f>
        <v>0</v>
      </c>
      <c r="R143" s="166"/>
      <c r="S143" s="156">
        <f>ROUND(H143*R142,2)</f>
        <v>0</v>
      </c>
      <c r="T143" s="34"/>
      <c r="U143" s="34"/>
      <c r="V143" s="166"/>
      <c r="W143" s="166"/>
      <c r="X143" s="166"/>
      <c r="Y143" s="156">
        <f>ROUND(H143*X142,2)</f>
        <v>3563255.73</v>
      </c>
      <c r="Z143" s="166"/>
      <c r="AA143" s="156">
        <f>ROUND(H143*Z142,2)</f>
        <v>3563255.73</v>
      </c>
      <c r="AB143" s="156">
        <f>ROUND(H143*W142,2)</f>
        <v>21120275.73</v>
      </c>
    </row>
    <row r="144" spans="1:28" ht="30" hidden="1" x14ac:dyDescent="0.25">
      <c r="A144" s="168"/>
      <c r="B144" s="133" t="str">
        <f>'Công trình'!B30</f>
        <v>AF.12113</v>
      </c>
      <c r="C144" s="34"/>
      <c r="D144" s="133" t="str">
        <f>'Công trình'!C30</f>
        <v>Bê tông tường dày &lt;=45cm, chiều cao &lt;=4m đá 1x2, vữa BT mác 200</v>
      </c>
      <c r="E144" s="168"/>
      <c r="F144" s="20">
        <v>1</v>
      </c>
      <c r="G144" s="169"/>
      <c r="H144" s="45">
        <f>'Hao phí vật tư'!J205</f>
        <v>23.9102</v>
      </c>
      <c r="I144" s="166"/>
      <c r="J144" s="156">
        <f>ROUND(H144*I142,2)</f>
        <v>7173060</v>
      </c>
      <c r="K144" s="166"/>
      <c r="L144" s="156">
        <f>ROUND(H144*K142,2)</f>
        <v>8628856.4399999995</v>
      </c>
      <c r="M144" s="34"/>
      <c r="N144" s="166"/>
      <c r="O144" s="156">
        <f>ROUND(H144*N142,2)</f>
        <v>0</v>
      </c>
      <c r="P144" s="166"/>
      <c r="Q144" s="156">
        <f>ROUND(H144*P142,2)</f>
        <v>0</v>
      </c>
      <c r="R144" s="166"/>
      <c r="S144" s="156">
        <f>ROUND(H144*R142,2)</f>
        <v>0</v>
      </c>
      <c r="T144" s="34"/>
      <c r="U144" s="34"/>
      <c r="V144" s="166"/>
      <c r="W144" s="166"/>
      <c r="X144" s="166"/>
      <c r="Y144" s="156">
        <f>ROUND(H144*X142,2)</f>
        <v>1455796.44</v>
      </c>
      <c r="Z144" s="166"/>
      <c r="AA144" s="156">
        <f>ROUND(H144*Z142,2)</f>
        <v>1455796.44</v>
      </c>
      <c r="AB144" s="156">
        <f>ROUND(H144*W142,2)</f>
        <v>8628856.4399999995</v>
      </c>
    </row>
    <row r="145" spans="1:28" ht="30" hidden="1" x14ac:dyDescent="0.25">
      <c r="A145" s="168"/>
      <c r="B145" s="133" t="str">
        <f>'Công trình'!B43</f>
        <v>AF.11212</v>
      </c>
      <c r="C145" s="34"/>
      <c r="D145" s="133" t="str">
        <f>'Công trình'!C43</f>
        <v>Bê tông móng rộng &lt;=250cm đá 1x2, vữa BT mác 150</v>
      </c>
      <c r="E145" s="168"/>
      <c r="F145" s="20">
        <v>1</v>
      </c>
      <c r="G145" s="169"/>
      <c r="H145" s="45">
        <f>'Hao phí vật tư'!J323</f>
        <v>5.5500000000000001E-2</v>
      </c>
      <c r="I145" s="166"/>
      <c r="J145" s="156">
        <f>ROUND(H145*I142,2)</f>
        <v>16650</v>
      </c>
      <c r="K145" s="166"/>
      <c r="L145" s="156">
        <f>ROUND(H145*K142,2)</f>
        <v>20029.169999999998</v>
      </c>
      <c r="M145" s="34"/>
      <c r="N145" s="166"/>
      <c r="O145" s="156">
        <f>ROUND(H145*N142,2)</f>
        <v>0</v>
      </c>
      <c r="P145" s="166"/>
      <c r="Q145" s="156">
        <f>ROUND(H145*P142,2)</f>
        <v>0</v>
      </c>
      <c r="R145" s="166"/>
      <c r="S145" s="156">
        <f>ROUND(H145*R142,2)</f>
        <v>0</v>
      </c>
      <c r="T145" s="34"/>
      <c r="U145" s="34"/>
      <c r="V145" s="166"/>
      <c r="W145" s="166"/>
      <c r="X145" s="166"/>
      <c r="Y145" s="156">
        <f>ROUND(H145*X142,2)</f>
        <v>3379.17</v>
      </c>
      <c r="Z145" s="166"/>
      <c r="AA145" s="156">
        <f>ROUND(H145*Z142,2)</f>
        <v>3379.17</v>
      </c>
      <c r="AB145" s="156">
        <f>ROUND(H145*W142,2)</f>
        <v>20029.169999999998</v>
      </c>
    </row>
    <row r="146" spans="1:28" ht="30" hidden="1" x14ac:dyDescent="0.25">
      <c r="A146" s="168"/>
      <c r="B146" s="133" t="str">
        <f>'Công trình'!B44</f>
        <v>AF.11213</v>
      </c>
      <c r="C146" s="34"/>
      <c r="D146" s="133" t="str">
        <f>'Công trình'!C44</f>
        <v>Bê tông móng rộng &lt;=250cm đá 1x2, vữa BT mác 200</v>
      </c>
      <c r="E146" s="168"/>
      <c r="F146" s="20">
        <v>1</v>
      </c>
      <c r="G146" s="169"/>
      <c r="H146" s="45">
        <f>'Hao phí vật tư'!J335</f>
        <v>0.1827</v>
      </c>
      <c r="I146" s="166"/>
      <c r="J146" s="156">
        <f>ROUND(H146*I142,2)</f>
        <v>54810</v>
      </c>
      <c r="K146" s="166"/>
      <c r="L146" s="156">
        <f>ROUND(H146*K142,2)</f>
        <v>65933.87</v>
      </c>
      <c r="M146" s="34"/>
      <c r="N146" s="166"/>
      <c r="O146" s="156">
        <f>ROUND(H146*N142,2)</f>
        <v>0</v>
      </c>
      <c r="P146" s="166"/>
      <c r="Q146" s="156">
        <f>ROUND(H146*P142,2)</f>
        <v>0</v>
      </c>
      <c r="R146" s="166"/>
      <c r="S146" s="156">
        <f>ROUND(H146*R142,2)</f>
        <v>0</v>
      </c>
      <c r="T146" s="34"/>
      <c r="U146" s="34"/>
      <c r="V146" s="166"/>
      <c r="W146" s="166"/>
      <c r="X146" s="166"/>
      <c r="Y146" s="156">
        <f>ROUND(H146*X142,2)</f>
        <v>11123.87</v>
      </c>
      <c r="Z146" s="166"/>
      <c r="AA146" s="156">
        <f>ROUND(H146*Z142,2)</f>
        <v>11123.87</v>
      </c>
      <c r="AB146" s="156">
        <f>ROUND(H146*W142,2)</f>
        <v>65933.87</v>
      </c>
    </row>
    <row r="147" spans="1:28" ht="30" hidden="1" x14ac:dyDescent="0.25">
      <c r="A147" s="168"/>
      <c r="B147" s="133" t="str">
        <f>'Công trình'!B52</f>
        <v>AG.11412</v>
      </c>
      <c r="C147" s="34"/>
      <c r="D147" s="133" t="str">
        <f>'Công trình'!C52</f>
        <v>Sản xuất bê tông tấm BT tự chèn đúc sẵn đá 1x2, vữa BT mác 150</v>
      </c>
      <c r="E147" s="168"/>
      <c r="F147" s="20">
        <v>1</v>
      </c>
      <c r="G147" s="169"/>
      <c r="H147" s="45">
        <f>'Hao phí vật tư'!J380</f>
        <v>84.149000000000001</v>
      </c>
      <c r="I147" s="166"/>
      <c r="J147" s="156">
        <f>ROUND(H147*I142,2)</f>
        <v>25244700</v>
      </c>
      <c r="K147" s="166"/>
      <c r="L147" s="156">
        <f>ROUND(H147*K142,2)</f>
        <v>30368196.010000002</v>
      </c>
      <c r="M147" s="34"/>
      <c r="N147" s="166"/>
      <c r="O147" s="156">
        <f>ROUND(H147*N142,2)</f>
        <v>0</v>
      </c>
      <c r="P147" s="166"/>
      <c r="Q147" s="156">
        <f>ROUND(H147*P142,2)</f>
        <v>0</v>
      </c>
      <c r="R147" s="166"/>
      <c r="S147" s="156">
        <f>ROUND(H147*R142,2)</f>
        <v>0</v>
      </c>
      <c r="T147" s="34"/>
      <c r="U147" s="34"/>
      <c r="V147" s="166"/>
      <c r="W147" s="166"/>
      <c r="X147" s="166"/>
      <c r="Y147" s="156">
        <f>ROUND(H147*X142,2)</f>
        <v>5123496.01</v>
      </c>
      <c r="Z147" s="166"/>
      <c r="AA147" s="156">
        <f>ROUND(H147*Z142,2)</f>
        <v>5123496.01</v>
      </c>
      <c r="AB147" s="156">
        <f>ROUND(H147*W142,2)</f>
        <v>30368196.010000002</v>
      </c>
    </row>
    <row r="148" spans="1:28" hidden="1" x14ac:dyDescent="0.25">
      <c r="A148" s="168"/>
      <c r="B148" s="133" t="str">
        <f>'Công trình'!B57</f>
        <v>AF.12313</v>
      </c>
      <c r="C148" s="34"/>
      <c r="D148" s="133" t="str">
        <f>'Công trình'!C57</f>
        <v>Bê tông xà dầm, giằng đá 1x2, vữa BT mác 200</v>
      </c>
      <c r="E148" s="168"/>
      <c r="F148" s="20">
        <v>1</v>
      </c>
      <c r="G148" s="169"/>
      <c r="H148" s="45">
        <f>'Hao phí vật tư'!J422</f>
        <v>31.846800000000002</v>
      </c>
      <c r="I148" s="166"/>
      <c r="J148" s="156">
        <f>ROUND(H148*I142,2)</f>
        <v>9554040</v>
      </c>
      <c r="K148" s="166"/>
      <c r="L148" s="156">
        <f>ROUND(H148*K142,2)</f>
        <v>11493064.26</v>
      </c>
      <c r="M148" s="34"/>
      <c r="N148" s="166"/>
      <c r="O148" s="156">
        <f>ROUND(H148*N142,2)</f>
        <v>0</v>
      </c>
      <c r="P148" s="166"/>
      <c r="Q148" s="156">
        <f>ROUND(H148*P142,2)</f>
        <v>0</v>
      </c>
      <c r="R148" s="166"/>
      <c r="S148" s="156">
        <f>ROUND(H148*R142,2)</f>
        <v>0</v>
      </c>
      <c r="T148" s="34"/>
      <c r="U148" s="34"/>
      <c r="V148" s="166"/>
      <c r="W148" s="166"/>
      <c r="X148" s="166"/>
      <c r="Y148" s="156">
        <f>ROUND(H148*X142,2)</f>
        <v>1939024.26</v>
      </c>
      <c r="Z148" s="166"/>
      <c r="AA148" s="156">
        <f>ROUND(H148*Z142,2)</f>
        <v>1939024.26</v>
      </c>
      <c r="AB148" s="156">
        <f>ROUND(H148*W142,2)</f>
        <v>11493064.26</v>
      </c>
    </row>
    <row r="149" spans="1:28" ht="30" hidden="1" x14ac:dyDescent="0.25">
      <c r="A149" s="168"/>
      <c r="B149" s="133" t="str">
        <f>'Công trình'!B63</f>
        <v>AF.11223</v>
      </c>
      <c r="C149" s="34"/>
      <c r="D149" s="133" t="str">
        <f>'Công trình'!C63</f>
        <v>Bê tông lát mái rộng &gt;250cm đá 1x2, vữa BT mác 200</v>
      </c>
      <c r="E149" s="168"/>
      <c r="F149" s="20">
        <v>1</v>
      </c>
      <c r="G149" s="169"/>
      <c r="H149" s="45">
        <f>'Hao phí vật tư'!J477</f>
        <v>148.87700000000001</v>
      </c>
      <c r="I149" s="166"/>
      <c r="J149" s="156">
        <f>ROUND(H149*I142,2)</f>
        <v>44663100</v>
      </c>
      <c r="K149" s="166"/>
      <c r="L149" s="156">
        <f>ROUND(H149*K142,2)</f>
        <v>53727625.020000003</v>
      </c>
      <c r="M149" s="34"/>
      <c r="N149" s="166"/>
      <c r="O149" s="156">
        <f>ROUND(H149*N142,2)</f>
        <v>0</v>
      </c>
      <c r="P149" s="166"/>
      <c r="Q149" s="156">
        <f>ROUND(H149*P142,2)</f>
        <v>0</v>
      </c>
      <c r="R149" s="166"/>
      <c r="S149" s="156">
        <f>ROUND(H149*R142,2)</f>
        <v>0</v>
      </c>
      <c r="T149" s="34"/>
      <c r="U149" s="34"/>
      <c r="V149" s="166"/>
      <c r="W149" s="166"/>
      <c r="X149" s="166"/>
      <c r="Y149" s="156">
        <f>ROUND(H149*X142,2)</f>
        <v>9064525.0199999996</v>
      </c>
      <c r="Z149" s="166"/>
      <c r="AA149" s="156">
        <f>ROUND(H149*Z142,2)</f>
        <v>9064525.0199999996</v>
      </c>
      <c r="AB149" s="156">
        <f>ROUND(H149*W142,2)</f>
        <v>53727625.020000003</v>
      </c>
    </row>
    <row r="150" spans="1:28" ht="30" hidden="1" x14ac:dyDescent="0.25">
      <c r="A150" s="168"/>
      <c r="B150" s="133" t="str">
        <f>'Công trình'!B68</f>
        <v>AG.11125</v>
      </c>
      <c r="C150" s="34"/>
      <c r="D150" s="133" t="str">
        <f>'Công trình'!C68</f>
        <v>Sản xuất bê tông cọc cừ đúc sẵn đá 1x2, vữa BT mác 300</v>
      </c>
      <c r="E150" s="168"/>
      <c r="F150" s="20">
        <v>1</v>
      </c>
      <c r="G150" s="169"/>
      <c r="H150" s="45">
        <f>'Hao phí vật tư'!J508</f>
        <v>63.204999999999998</v>
      </c>
      <c r="I150" s="166"/>
      <c r="J150" s="156">
        <f>ROUND(H150*I142,2)</f>
        <v>18961500</v>
      </c>
      <c r="K150" s="166"/>
      <c r="L150" s="156">
        <f>ROUND(H150*K142,2)</f>
        <v>22809799.629999999</v>
      </c>
      <c r="M150" s="34"/>
      <c r="N150" s="166"/>
      <c r="O150" s="156">
        <f>ROUND(H150*N142,2)</f>
        <v>0</v>
      </c>
      <c r="P150" s="166"/>
      <c r="Q150" s="156">
        <f>ROUND(H150*P142,2)</f>
        <v>0</v>
      </c>
      <c r="R150" s="166"/>
      <c r="S150" s="156">
        <f>ROUND(H150*R142,2)</f>
        <v>0</v>
      </c>
      <c r="T150" s="34"/>
      <c r="U150" s="34"/>
      <c r="V150" s="166"/>
      <c r="W150" s="166"/>
      <c r="X150" s="166"/>
      <c r="Y150" s="156">
        <f>ROUND(H150*X142,2)</f>
        <v>3848299.63</v>
      </c>
      <c r="Z150" s="166"/>
      <c r="AA150" s="156">
        <f>ROUND(H150*Z142,2)</f>
        <v>3848299.63</v>
      </c>
      <c r="AB150" s="156">
        <f>ROUND(H150*W142,2)</f>
        <v>22809799.629999999</v>
      </c>
    </row>
    <row r="151" spans="1:28" ht="30" hidden="1" x14ac:dyDescent="0.25">
      <c r="A151" s="168"/>
      <c r="B151" s="133" t="str">
        <f>'Công trình'!B79</f>
        <v>AG.11125</v>
      </c>
      <c r="C151" s="34"/>
      <c r="D151" s="133" t="str">
        <f>'Công trình'!C79</f>
        <v>Sản xuất bê tông cọc cừ đúc sẵn đá 1x2, vữa BT mác 300</v>
      </c>
      <c r="E151" s="168"/>
      <c r="F151" s="20">
        <v>1</v>
      </c>
      <c r="G151" s="169"/>
      <c r="H151" s="45">
        <f>'Hao phí vật tư'!J624</f>
        <v>24.7562</v>
      </c>
      <c r="I151" s="166"/>
      <c r="J151" s="156">
        <f>ROUND(H151*I142,2)</f>
        <v>7426860</v>
      </c>
      <c r="K151" s="166"/>
      <c r="L151" s="156">
        <f>ROUND(H151*K142,2)</f>
        <v>8934165.9900000002</v>
      </c>
      <c r="M151" s="34"/>
      <c r="N151" s="166"/>
      <c r="O151" s="156">
        <f>ROUND(H151*N142,2)</f>
        <v>0</v>
      </c>
      <c r="P151" s="166"/>
      <c r="Q151" s="156">
        <f>ROUND(H151*P142,2)</f>
        <v>0</v>
      </c>
      <c r="R151" s="166"/>
      <c r="S151" s="156">
        <f>ROUND(H151*R142,2)</f>
        <v>0</v>
      </c>
      <c r="T151" s="34"/>
      <c r="U151" s="34"/>
      <c r="V151" s="166"/>
      <c r="W151" s="166"/>
      <c r="X151" s="166"/>
      <c r="Y151" s="156">
        <f>ROUND(H151*X142,2)</f>
        <v>1507305.99</v>
      </c>
      <c r="Z151" s="166"/>
      <c r="AA151" s="156">
        <f>ROUND(H151*Z142,2)</f>
        <v>1507305.99</v>
      </c>
      <c r="AB151" s="156">
        <f>ROUND(H151*W142,2)</f>
        <v>8934165.9900000002</v>
      </c>
    </row>
    <row r="152" spans="1:28" ht="30" hidden="1" x14ac:dyDescent="0.25">
      <c r="A152" s="168"/>
      <c r="B152" s="133" t="str">
        <f>'Công trình'!B151</f>
        <v>TT</v>
      </c>
      <c r="C152" s="34"/>
      <c r="D152" s="133" t="str">
        <f>'Công trình'!C151</f>
        <v>Làm tầng lọc đá dăm 1x2 (Tính theo QĐ65/2003/029)</v>
      </c>
      <c r="E152" s="168"/>
      <c r="F152" s="20">
        <v>1</v>
      </c>
      <c r="G152" s="169"/>
      <c r="H152" s="45">
        <f>'Hao phí vật tư'!J1149</f>
        <v>9.0646000000000004</v>
      </c>
      <c r="I152" s="166"/>
      <c r="J152" s="156">
        <f>ROUND(H152*I142,2)</f>
        <v>2719380</v>
      </c>
      <c r="K152" s="166"/>
      <c r="L152" s="156">
        <f>ROUND(H152*K142,2)</f>
        <v>3271287.24</v>
      </c>
      <c r="M152" s="34"/>
      <c r="N152" s="166"/>
      <c r="O152" s="156">
        <f>ROUND(H152*N142,2)</f>
        <v>0</v>
      </c>
      <c r="P152" s="166"/>
      <c r="Q152" s="156">
        <f>ROUND(H152*P142,2)</f>
        <v>0</v>
      </c>
      <c r="R152" s="166"/>
      <c r="S152" s="156">
        <f>ROUND(H152*R142,2)</f>
        <v>0</v>
      </c>
      <c r="T152" s="34"/>
      <c r="U152" s="34"/>
      <c r="V152" s="166"/>
      <c r="W152" s="166"/>
      <c r="X152" s="166"/>
      <c r="Y152" s="156">
        <f>ROUND(H152*X142,2)</f>
        <v>551907.24</v>
      </c>
      <c r="Z152" s="166"/>
      <c r="AA152" s="156">
        <f>ROUND(H152*Z142,2)</f>
        <v>551907.24</v>
      </c>
      <c r="AB152" s="156">
        <f>ROUND(H152*W142,2)</f>
        <v>3271287.24</v>
      </c>
    </row>
    <row r="153" spans="1:28" ht="30" hidden="1" x14ac:dyDescent="0.25">
      <c r="A153" s="168"/>
      <c r="B153" s="133" t="str">
        <f>'Công trình'!B167</f>
        <v>AG.11413</v>
      </c>
      <c r="C153" s="34"/>
      <c r="D153" s="133" t="str">
        <f>'Công trình'!C167</f>
        <v>Bê tông tấm đan đúc sẵn đá 1x2, vữa BT mác 200</v>
      </c>
      <c r="E153" s="168"/>
      <c r="F153" s="20">
        <v>1</v>
      </c>
      <c r="G153" s="169"/>
      <c r="H153" s="45">
        <f>'Hao phí vật tư'!J1261</f>
        <v>7.9405999999999999</v>
      </c>
      <c r="I153" s="166"/>
      <c r="J153" s="156">
        <f>ROUND(H153*I142,2)</f>
        <v>2382180</v>
      </c>
      <c r="K153" s="166"/>
      <c r="L153" s="156">
        <f>ROUND(H153*K142,2)</f>
        <v>2865651.37</v>
      </c>
      <c r="M153" s="34"/>
      <c r="N153" s="166"/>
      <c r="O153" s="156">
        <f>ROUND(H153*N142,2)</f>
        <v>0</v>
      </c>
      <c r="P153" s="166"/>
      <c r="Q153" s="156">
        <f>ROUND(H153*P142,2)</f>
        <v>0</v>
      </c>
      <c r="R153" s="166"/>
      <c r="S153" s="156">
        <f>ROUND(H153*R142,2)</f>
        <v>0</v>
      </c>
      <c r="T153" s="34"/>
      <c r="U153" s="34"/>
      <c r="V153" s="166"/>
      <c r="W153" s="166"/>
      <c r="X153" s="166"/>
      <c r="Y153" s="156">
        <f>ROUND(H153*X142,2)</f>
        <v>483471.37</v>
      </c>
      <c r="Z153" s="166"/>
      <c r="AA153" s="156">
        <f>ROUND(H153*Z142,2)</f>
        <v>483471.37</v>
      </c>
      <c r="AB153" s="156">
        <f>ROUND(H153*W142,2)</f>
        <v>2865651.37</v>
      </c>
    </row>
    <row r="154" spans="1:28" ht="30" hidden="1" x14ac:dyDescent="0.25">
      <c r="A154" s="168"/>
      <c r="B154" s="133" t="str">
        <f>'Công trình'!B174</f>
        <v>AF.14115</v>
      </c>
      <c r="C154" s="34"/>
      <c r="D154" s="133" t="str">
        <f>'Công trình'!C174</f>
        <v>Bê tông móng, mố trụ cầu trên cạn đá 1x2, vữa BT mác 300</v>
      </c>
      <c r="E154" s="168"/>
      <c r="F154" s="20">
        <v>1</v>
      </c>
      <c r="G154" s="169"/>
      <c r="H154" s="45">
        <f>'Hao phí vật tư'!J1300</f>
        <v>88.012500000000003</v>
      </c>
      <c r="I154" s="166"/>
      <c r="J154" s="156">
        <f>ROUND(H154*I142,2)</f>
        <v>26403750</v>
      </c>
      <c r="K154" s="166"/>
      <c r="L154" s="156">
        <f>ROUND(H154*K142,2)</f>
        <v>31762479.079999998</v>
      </c>
      <c r="M154" s="34"/>
      <c r="N154" s="166"/>
      <c r="O154" s="156">
        <f>ROUND(H154*N142,2)</f>
        <v>0</v>
      </c>
      <c r="P154" s="166"/>
      <c r="Q154" s="156">
        <f>ROUND(H154*P142,2)</f>
        <v>0</v>
      </c>
      <c r="R154" s="166"/>
      <c r="S154" s="156">
        <f>ROUND(H154*R142,2)</f>
        <v>0</v>
      </c>
      <c r="T154" s="34"/>
      <c r="U154" s="34"/>
      <c r="V154" s="166"/>
      <c r="W154" s="166"/>
      <c r="X154" s="166"/>
      <c r="Y154" s="156">
        <f>ROUND(H154*X142,2)</f>
        <v>5358729.08</v>
      </c>
      <c r="Z154" s="166"/>
      <c r="AA154" s="156">
        <f>ROUND(H154*Z142,2)</f>
        <v>5358729.08</v>
      </c>
      <c r="AB154" s="156">
        <f>ROUND(H154*W142,2)</f>
        <v>31762479.079999998</v>
      </c>
    </row>
    <row r="155" spans="1:28" ht="30" hidden="1" x14ac:dyDescent="0.25">
      <c r="A155" s="168"/>
      <c r="B155" s="133" t="str">
        <f>'Công trình'!B186</f>
        <v>AF.14115</v>
      </c>
      <c r="C155" s="34"/>
      <c r="D155" s="133" t="str">
        <f>'Công trình'!C186</f>
        <v>Bê tông móng, mố trụ cầu trên cạn đá 1x2, vữa BT mác 300</v>
      </c>
      <c r="E155" s="168"/>
      <c r="F155" s="20">
        <v>1</v>
      </c>
      <c r="G155" s="169"/>
      <c r="H155" s="45">
        <f>'Hao phí vật tư'!J1417</f>
        <v>3.1461999999999999</v>
      </c>
      <c r="I155" s="166"/>
      <c r="J155" s="156">
        <f>ROUND(H155*I142,2)</f>
        <v>943860</v>
      </c>
      <c r="K155" s="166"/>
      <c r="L155" s="156">
        <f>ROUND(H155*K142,2)</f>
        <v>1135419.53</v>
      </c>
      <c r="M155" s="34"/>
      <c r="N155" s="166"/>
      <c r="O155" s="156">
        <f>ROUND(H155*N142,2)</f>
        <v>0</v>
      </c>
      <c r="P155" s="166"/>
      <c r="Q155" s="156">
        <f>ROUND(H155*P142,2)</f>
        <v>0</v>
      </c>
      <c r="R155" s="166"/>
      <c r="S155" s="156">
        <f>ROUND(H155*R142,2)</f>
        <v>0</v>
      </c>
      <c r="T155" s="34"/>
      <c r="U155" s="34"/>
      <c r="V155" s="166"/>
      <c r="W155" s="166"/>
      <c r="X155" s="166"/>
      <c r="Y155" s="156">
        <f>ROUND(H155*X142,2)</f>
        <v>191559.53</v>
      </c>
      <c r="Z155" s="166"/>
      <c r="AA155" s="156">
        <f>ROUND(H155*Z142,2)</f>
        <v>191559.53</v>
      </c>
      <c r="AB155" s="156">
        <f>ROUND(H155*W142,2)</f>
        <v>1135419.53</v>
      </c>
    </row>
    <row r="156" spans="1:28" hidden="1" x14ac:dyDescent="0.25">
      <c r="A156" s="168"/>
      <c r="B156" s="133" t="str">
        <f>'Công trình'!B197</f>
        <v>AF.15225</v>
      </c>
      <c r="C156" s="34"/>
      <c r="D156" s="133" t="str">
        <f>'Công trình'!C197</f>
        <v>Bê tông dầm cầu đá 1x2, vữa BT mác 300</v>
      </c>
      <c r="E156" s="168"/>
      <c r="F156" s="20">
        <v>1</v>
      </c>
      <c r="G156" s="169"/>
      <c r="H156" s="45">
        <f>'Hao phí vật tư'!J1512</f>
        <v>2.7440000000000002</v>
      </c>
      <c r="I156" s="166"/>
      <c r="J156" s="156">
        <f>ROUND(H156*I142,2)</f>
        <v>823200</v>
      </c>
      <c r="K156" s="166"/>
      <c r="L156" s="156">
        <f>ROUND(H156*K142,2)</f>
        <v>990271.18</v>
      </c>
      <c r="M156" s="34"/>
      <c r="N156" s="166"/>
      <c r="O156" s="156">
        <f>ROUND(H156*N142,2)</f>
        <v>0</v>
      </c>
      <c r="P156" s="166"/>
      <c r="Q156" s="156">
        <f>ROUND(H156*P142,2)</f>
        <v>0</v>
      </c>
      <c r="R156" s="166"/>
      <c r="S156" s="156">
        <f>ROUND(H156*R142,2)</f>
        <v>0</v>
      </c>
      <c r="T156" s="34"/>
      <c r="U156" s="34"/>
      <c r="V156" s="166"/>
      <c r="W156" s="166"/>
      <c r="X156" s="166"/>
      <c r="Y156" s="156">
        <f>ROUND(H156*X142,2)</f>
        <v>167071.18</v>
      </c>
      <c r="Z156" s="166"/>
      <c r="AA156" s="156">
        <f>ROUND(H156*Z142,2)</f>
        <v>167071.18</v>
      </c>
      <c r="AB156" s="156">
        <f>ROUND(H156*W142,2)</f>
        <v>990271.18</v>
      </c>
    </row>
    <row r="157" spans="1:28" ht="30" hidden="1" x14ac:dyDescent="0.25">
      <c r="A157" s="168"/>
      <c r="B157" s="133" t="str">
        <f>'Công trình'!B225</f>
        <v>AG.11125</v>
      </c>
      <c r="C157" s="34"/>
      <c r="D157" s="133" t="str">
        <f>'Công trình'!C225</f>
        <v>Sản xuất bê tông cọc cừ đúc sẵn đá 1x2, vữa BT mác 300</v>
      </c>
      <c r="E157" s="168"/>
      <c r="F157" s="20">
        <v>1</v>
      </c>
      <c r="G157" s="169"/>
      <c r="H157" s="45">
        <f>'Hao phí vật tư'!J1684</f>
        <v>68.311999999999998</v>
      </c>
      <c r="I157" s="166"/>
      <c r="J157" s="156">
        <f>ROUND(H157*I142,2)</f>
        <v>20493600</v>
      </c>
      <c r="K157" s="166"/>
      <c r="L157" s="156">
        <f>ROUND(H157*K142,2)</f>
        <v>24652844.43</v>
      </c>
      <c r="M157" s="34"/>
      <c r="N157" s="166"/>
      <c r="O157" s="156">
        <f>ROUND(H157*N142,2)</f>
        <v>0</v>
      </c>
      <c r="P157" s="166"/>
      <c r="Q157" s="156">
        <f>ROUND(H157*P142,2)</f>
        <v>0</v>
      </c>
      <c r="R157" s="166"/>
      <c r="S157" s="156">
        <f>ROUND(H157*R142,2)</f>
        <v>0</v>
      </c>
      <c r="T157" s="34"/>
      <c r="U157" s="34"/>
      <c r="V157" s="166"/>
      <c r="W157" s="166"/>
      <c r="X157" s="166"/>
      <c r="Y157" s="156">
        <f>ROUND(H157*X142,2)</f>
        <v>4159244.43</v>
      </c>
      <c r="Z157" s="166"/>
      <c r="AA157" s="156">
        <f>ROUND(H157*Z142,2)</f>
        <v>4159244.43</v>
      </c>
      <c r="AB157" s="156">
        <f>ROUND(H157*W142,2)</f>
        <v>24652844.43</v>
      </c>
    </row>
    <row r="158" spans="1:28" ht="30" hidden="1" x14ac:dyDescent="0.25">
      <c r="A158" s="168"/>
      <c r="B158" s="133" t="str">
        <f>'Công trình'!B247</f>
        <v>AF.12313</v>
      </c>
      <c r="C158" s="34"/>
      <c r="D158" s="133" t="str">
        <f>'Công trình'!C247</f>
        <v>Bê tông dầm chặn chân, đá 1x2, vữa BT mác 200</v>
      </c>
      <c r="E158" s="168"/>
      <c r="F158" s="20">
        <v>1</v>
      </c>
      <c r="G158" s="169"/>
      <c r="H158" s="45">
        <f>'Hao phí vật tư'!J1867</f>
        <v>16.293299999999999</v>
      </c>
      <c r="I158" s="166"/>
      <c r="J158" s="156">
        <f>ROUND(H158*I142,2)</f>
        <v>4887990</v>
      </c>
      <c r="K158" s="166"/>
      <c r="L158" s="156">
        <f>ROUND(H158*K142,2)</f>
        <v>5880023.8600000003</v>
      </c>
      <c r="M158" s="34"/>
      <c r="N158" s="166"/>
      <c r="O158" s="156">
        <f>ROUND(H158*N142,2)</f>
        <v>0</v>
      </c>
      <c r="P158" s="166"/>
      <c r="Q158" s="156">
        <f>ROUND(H158*P142,2)</f>
        <v>0</v>
      </c>
      <c r="R158" s="166"/>
      <c r="S158" s="156">
        <f>ROUND(H158*R142,2)</f>
        <v>0</v>
      </c>
      <c r="T158" s="34"/>
      <c r="U158" s="34"/>
      <c r="V158" s="166"/>
      <c r="W158" s="166"/>
      <c r="X158" s="166"/>
      <c r="Y158" s="156">
        <f>ROUND(H158*X142,2)</f>
        <v>992033.86</v>
      </c>
      <c r="Z158" s="166"/>
      <c r="AA158" s="156">
        <f>ROUND(H158*Z142,2)</f>
        <v>992033.86</v>
      </c>
      <c r="AB158" s="156">
        <f>ROUND(H158*W142,2)</f>
        <v>5880023.8600000003</v>
      </c>
    </row>
    <row r="159" spans="1:28" ht="30" hidden="1" x14ac:dyDescent="0.25">
      <c r="A159" s="168"/>
      <c r="B159" s="133" t="str">
        <f>'Công trình'!B250</f>
        <v>AG.11413</v>
      </c>
      <c r="C159" s="34"/>
      <c r="D159" s="133" t="str">
        <f>'Công trình'!C250</f>
        <v>Sản xuất bê tông lục giác, đá 1x2, vữa BT mác 200</v>
      </c>
      <c r="E159" s="168"/>
      <c r="F159" s="20">
        <v>1</v>
      </c>
      <c r="G159" s="169"/>
      <c r="H159" s="45">
        <f>'Hao phí vật tư'!J1902</f>
        <v>65.532799999999995</v>
      </c>
      <c r="I159" s="166"/>
      <c r="J159" s="156">
        <f>ROUND(H159*I142,2)</f>
        <v>19659840</v>
      </c>
      <c r="K159" s="166"/>
      <c r="L159" s="156">
        <f>ROUND(H159*K142,2)</f>
        <v>23649870.059999999</v>
      </c>
      <c r="M159" s="34"/>
      <c r="N159" s="166"/>
      <c r="O159" s="156">
        <f>ROUND(H159*N142,2)</f>
        <v>0</v>
      </c>
      <c r="P159" s="166"/>
      <c r="Q159" s="156">
        <f>ROUND(H159*P142,2)</f>
        <v>0</v>
      </c>
      <c r="R159" s="166"/>
      <c r="S159" s="156">
        <f>ROUND(H159*R142,2)</f>
        <v>0</v>
      </c>
      <c r="T159" s="34"/>
      <c r="U159" s="34"/>
      <c r="V159" s="166"/>
      <c r="W159" s="166"/>
      <c r="X159" s="166"/>
      <c r="Y159" s="156">
        <f>ROUND(H159*X142,2)</f>
        <v>3990030.06</v>
      </c>
      <c r="Z159" s="166"/>
      <c r="AA159" s="156">
        <f>ROUND(H159*Z142,2)</f>
        <v>3990030.06</v>
      </c>
      <c r="AB159" s="156">
        <f>ROUND(H159*W142,2)</f>
        <v>23649870.059999999</v>
      </c>
    </row>
    <row r="160" spans="1:28" ht="30" hidden="1" x14ac:dyDescent="0.25">
      <c r="A160" s="168"/>
      <c r="B160" s="133" t="str">
        <f>'Công trình'!B255</f>
        <v>AF.14325</v>
      </c>
      <c r="C160" s="34"/>
      <c r="D160" s="133" t="str">
        <f>'Công trình'!C255</f>
        <v>Bê tông lan can, gờ chắn đá 1x2, vữa BT mác 300</v>
      </c>
      <c r="E160" s="168"/>
      <c r="F160" s="20">
        <v>1</v>
      </c>
      <c r="G160" s="169"/>
      <c r="H160" s="45">
        <f>'Hao phí vật tư'!J1938</f>
        <v>19.1541</v>
      </c>
      <c r="I160" s="166"/>
      <c r="J160" s="156">
        <f>ROUND(H160*I142,2)</f>
        <v>5746230</v>
      </c>
      <c r="K160" s="166"/>
      <c r="L160" s="156">
        <f>ROUND(H160*K142,2)</f>
        <v>6912446.5300000003</v>
      </c>
      <c r="M160" s="34"/>
      <c r="N160" s="166"/>
      <c r="O160" s="156">
        <f>ROUND(H160*N142,2)</f>
        <v>0</v>
      </c>
      <c r="P160" s="166"/>
      <c r="Q160" s="156">
        <f>ROUND(H160*P142,2)</f>
        <v>0</v>
      </c>
      <c r="R160" s="166"/>
      <c r="S160" s="156">
        <f>ROUND(H160*R142,2)</f>
        <v>0</v>
      </c>
      <c r="T160" s="34"/>
      <c r="U160" s="34"/>
      <c r="V160" s="166"/>
      <c r="W160" s="166"/>
      <c r="X160" s="166"/>
      <c r="Y160" s="156">
        <f>ROUND(H160*X142,2)</f>
        <v>1166216.53</v>
      </c>
      <c r="Z160" s="166"/>
      <c r="AA160" s="156">
        <f>ROUND(H160*Z142,2)</f>
        <v>1166216.53</v>
      </c>
      <c r="AB160" s="156">
        <f>ROUND(H160*W142,2)</f>
        <v>6912446.5300000003</v>
      </c>
    </row>
    <row r="161" spans="1:28" ht="30" hidden="1" x14ac:dyDescent="0.25">
      <c r="A161" s="168"/>
      <c r="B161" s="133" t="str">
        <f>'Công trình'!B267</f>
        <v>AF.11212</v>
      </c>
      <c r="C161" s="34"/>
      <c r="D161" s="133" t="str">
        <f>'Công trình'!C267</f>
        <v>Bê tông móng rộng &lt;=250cm đá 1x2, vữa BT mác 150</v>
      </c>
      <c r="E161" s="168"/>
      <c r="F161" s="20">
        <v>1</v>
      </c>
      <c r="G161" s="169"/>
      <c r="H161" s="45">
        <f>'Hao phí vật tư'!J2033</f>
        <v>3.1469999999999998</v>
      </c>
      <c r="I161" s="166"/>
      <c r="J161" s="156">
        <f>ROUND(H161*I142,2)</f>
        <v>944100</v>
      </c>
      <c r="K161" s="166"/>
      <c r="L161" s="156">
        <f>ROUND(H161*K142,2)</f>
        <v>1135708.24</v>
      </c>
      <c r="M161" s="34"/>
      <c r="N161" s="166"/>
      <c r="O161" s="156">
        <f>ROUND(H161*N142,2)</f>
        <v>0</v>
      </c>
      <c r="P161" s="166"/>
      <c r="Q161" s="156">
        <f>ROUND(H161*P142,2)</f>
        <v>0</v>
      </c>
      <c r="R161" s="166"/>
      <c r="S161" s="156">
        <f>ROUND(H161*R142,2)</f>
        <v>0</v>
      </c>
      <c r="T161" s="34"/>
      <c r="U161" s="34"/>
      <c r="V161" s="166"/>
      <c r="W161" s="166"/>
      <c r="X161" s="166"/>
      <c r="Y161" s="156">
        <f>ROUND(H161*X142,2)</f>
        <v>191608.24</v>
      </c>
      <c r="Z161" s="166"/>
      <c r="AA161" s="156">
        <f>ROUND(H161*Z142,2)</f>
        <v>191608.24</v>
      </c>
      <c r="AB161" s="156">
        <f>ROUND(H161*W142,2)</f>
        <v>1135708.24</v>
      </c>
    </row>
    <row r="162" spans="1:28" ht="30" hidden="1" x14ac:dyDescent="0.25">
      <c r="A162" s="168"/>
      <c r="B162" s="133" t="str">
        <f>'Công trình'!B284</f>
        <v>AF.11213</v>
      </c>
      <c r="C162" s="34"/>
      <c r="D162" s="133" t="str">
        <f>'Công trình'!C284</f>
        <v>Bê tông móng rộng &lt;=250cm đá 1x2, vữa BT mác 200</v>
      </c>
      <c r="E162" s="168"/>
      <c r="F162" s="20">
        <v>1</v>
      </c>
      <c r="G162" s="169"/>
      <c r="H162" s="45">
        <f>'Hao phí vật tư'!J2124</f>
        <v>7.1603000000000003</v>
      </c>
      <c r="I162" s="166"/>
      <c r="J162" s="156">
        <f>ROUND(H162*I142,2)</f>
        <v>2148090</v>
      </c>
      <c r="K162" s="166"/>
      <c r="L162" s="156">
        <f>ROUND(H162*K142,2)</f>
        <v>2584052.0299999998</v>
      </c>
      <c r="M162" s="34"/>
      <c r="N162" s="166"/>
      <c r="O162" s="156">
        <f>ROUND(H162*N142,2)</f>
        <v>0</v>
      </c>
      <c r="P162" s="166"/>
      <c r="Q162" s="156">
        <f>ROUND(H162*P142,2)</f>
        <v>0</v>
      </c>
      <c r="R162" s="166"/>
      <c r="S162" s="156">
        <f>ROUND(H162*R142,2)</f>
        <v>0</v>
      </c>
      <c r="T162" s="34"/>
      <c r="U162" s="34"/>
      <c r="V162" s="166"/>
      <c r="W162" s="166"/>
      <c r="X162" s="166"/>
      <c r="Y162" s="156">
        <f>ROUND(H162*X142,2)</f>
        <v>435962.03</v>
      </c>
      <c r="Z162" s="166"/>
      <c r="AA162" s="156">
        <f>ROUND(H162*Z142,2)</f>
        <v>435962.03</v>
      </c>
      <c r="AB162" s="156">
        <f>ROUND(H162*W142,2)</f>
        <v>2584052.0299999998</v>
      </c>
    </row>
    <row r="163" spans="1:28" ht="30" hidden="1" x14ac:dyDescent="0.25">
      <c r="A163" s="168"/>
      <c r="B163" s="133" t="str">
        <f>'Công trình'!B285</f>
        <v>AF.11212</v>
      </c>
      <c r="C163" s="34"/>
      <c r="D163" s="133" t="str">
        <f>'Công trình'!C285</f>
        <v>Bê tông móng rộng &lt;=250cm đá 1x2, vữa BT mác 150</v>
      </c>
      <c r="E163" s="168"/>
      <c r="F163" s="20">
        <v>1</v>
      </c>
      <c r="G163" s="169"/>
      <c r="H163" s="45">
        <f>'Hao phí vật tư'!J2136</f>
        <v>1.2958000000000001</v>
      </c>
      <c r="I163" s="166"/>
      <c r="J163" s="156">
        <f>ROUND(H163*I142,2)</f>
        <v>388740</v>
      </c>
      <c r="K163" s="166"/>
      <c r="L163" s="156">
        <f>ROUND(H163*K142,2)</f>
        <v>467636.08</v>
      </c>
      <c r="M163" s="34"/>
      <c r="N163" s="166"/>
      <c r="O163" s="156">
        <f>ROUND(H163*N142,2)</f>
        <v>0</v>
      </c>
      <c r="P163" s="166"/>
      <c r="Q163" s="156">
        <f>ROUND(H163*P142,2)</f>
        <v>0</v>
      </c>
      <c r="R163" s="166"/>
      <c r="S163" s="156">
        <f>ROUND(H163*R142,2)</f>
        <v>0</v>
      </c>
      <c r="T163" s="34"/>
      <c r="U163" s="34"/>
      <c r="V163" s="166"/>
      <c r="W163" s="166"/>
      <c r="X163" s="166"/>
      <c r="Y163" s="156">
        <f>ROUND(H163*X142,2)</f>
        <v>78896.08</v>
      </c>
      <c r="Z163" s="166"/>
      <c r="AA163" s="156">
        <f>ROUND(H163*Z142,2)</f>
        <v>78896.08</v>
      </c>
      <c r="AB163" s="156">
        <f>ROUND(H163*W142,2)</f>
        <v>467636.08</v>
      </c>
    </row>
    <row r="164" spans="1:28" ht="30" hidden="1" x14ac:dyDescent="0.25">
      <c r="A164" s="168"/>
      <c r="B164" s="133" t="str">
        <f>'Công trình'!B295</f>
        <v>AF.11213</v>
      </c>
      <c r="C164" s="34"/>
      <c r="D164" s="133" t="str">
        <f>'Công trình'!C295</f>
        <v>Bê tông móng rộng &lt;=250cm đá 1x2, vữa BT mác 200</v>
      </c>
      <c r="E164" s="168"/>
      <c r="F164" s="20">
        <v>1</v>
      </c>
      <c r="G164" s="169"/>
      <c r="H164" s="45">
        <f>'Hao phí vật tư'!J2208</f>
        <v>0.15529999999999999</v>
      </c>
      <c r="I164" s="166"/>
      <c r="J164" s="156">
        <f>ROUND(H164*I142,2)</f>
        <v>46590</v>
      </c>
      <c r="K164" s="166"/>
      <c r="L164" s="156">
        <f>ROUND(H164*K142,2)</f>
        <v>56045.599999999999</v>
      </c>
      <c r="M164" s="34"/>
      <c r="N164" s="166"/>
      <c r="O164" s="156">
        <f>ROUND(H164*N142,2)</f>
        <v>0</v>
      </c>
      <c r="P164" s="166"/>
      <c r="Q164" s="156">
        <f>ROUND(H164*P142,2)</f>
        <v>0</v>
      </c>
      <c r="R164" s="166"/>
      <c r="S164" s="156">
        <f>ROUND(H164*R142,2)</f>
        <v>0</v>
      </c>
      <c r="T164" s="34"/>
      <c r="U164" s="34"/>
      <c r="V164" s="166"/>
      <c r="W164" s="166"/>
      <c r="X164" s="166"/>
      <c r="Y164" s="156">
        <f>ROUND(H164*X142,2)</f>
        <v>9455.6</v>
      </c>
      <c r="Z164" s="166"/>
      <c r="AA164" s="156">
        <f>ROUND(H164*Z142,2)</f>
        <v>9455.6</v>
      </c>
      <c r="AB164" s="156">
        <f>ROUND(H164*W142,2)</f>
        <v>56045.599999999999</v>
      </c>
    </row>
    <row r="165" spans="1:28" ht="30" hidden="1" x14ac:dyDescent="0.25">
      <c r="A165" s="168"/>
      <c r="B165" s="133" t="str">
        <f>'Công trình'!B296</f>
        <v>AF.11212</v>
      </c>
      <c r="C165" s="34"/>
      <c r="D165" s="133" t="str">
        <f>'Công trình'!C296</f>
        <v>Bê tông móng rộng &lt;=250cm đá 1x2, vữa BT mác 150</v>
      </c>
      <c r="E165" s="168"/>
      <c r="F165" s="20">
        <v>1</v>
      </c>
      <c r="G165" s="169"/>
      <c r="H165" s="45">
        <f>'Hao phí vật tư'!J2220</f>
        <v>5.5500000000000001E-2</v>
      </c>
      <c r="I165" s="166"/>
      <c r="J165" s="156">
        <f>ROUND(H165*I142,2)</f>
        <v>16650</v>
      </c>
      <c r="K165" s="166"/>
      <c r="L165" s="156">
        <f>ROUND(H165*K142,2)</f>
        <v>20029.169999999998</v>
      </c>
      <c r="M165" s="34"/>
      <c r="N165" s="166"/>
      <c r="O165" s="156">
        <f>ROUND(H165*N142,2)</f>
        <v>0</v>
      </c>
      <c r="P165" s="166"/>
      <c r="Q165" s="156">
        <f>ROUND(H165*P142,2)</f>
        <v>0</v>
      </c>
      <c r="R165" s="166"/>
      <c r="S165" s="156">
        <f>ROUND(H165*R142,2)</f>
        <v>0</v>
      </c>
      <c r="T165" s="34"/>
      <c r="U165" s="34"/>
      <c r="V165" s="166"/>
      <c r="W165" s="166"/>
      <c r="X165" s="166"/>
      <c r="Y165" s="156">
        <f>ROUND(H165*X142,2)</f>
        <v>3379.17</v>
      </c>
      <c r="Z165" s="166"/>
      <c r="AA165" s="156">
        <f>ROUND(H165*Z142,2)</f>
        <v>3379.17</v>
      </c>
      <c r="AB165" s="156">
        <f>ROUND(H165*W142,2)</f>
        <v>20029.169999999998</v>
      </c>
    </row>
    <row r="166" spans="1:28" ht="30" hidden="1" x14ac:dyDescent="0.25">
      <c r="A166" s="168"/>
      <c r="B166" s="133" t="str">
        <f>'Công trình'!B300</f>
        <v>AG.11113</v>
      </c>
      <c r="C166" s="34"/>
      <c r="D166" s="133" t="str">
        <f>'Công trình'!C300</f>
        <v>Sản xuất bê tông cọc, cột đúc sẵn đá 1x2, vữa BT mác 200</v>
      </c>
      <c r="E166" s="168"/>
      <c r="F166" s="20">
        <v>1</v>
      </c>
      <c r="G166" s="169"/>
      <c r="H166" s="45">
        <f>'Hao phí vật tư'!J2242</f>
        <v>0.81399999999999995</v>
      </c>
      <c r="I166" s="166"/>
      <c r="J166" s="156">
        <f>ROUND(H166*I142,2)</f>
        <v>244200</v>
      </c>
      <c r="K166" s="166"/>
      <c r="L166" s="156">
        <f>ROUND(H166*K142,2)</f>
        <v>293761.2</v>
      </c>
      <c r="M166" s="34"/>
      <c r="N166" s="166"/>
      <c r="O166" s="156">
        <f>ROUND(H166*N142,2)</f>
        <v>0</v>
      </c>
      <c r="P166" s="166"/>
      <c r="Q166" s="156">
        <f>ROUND(H166*P142,2)</f>
        <v>0</v>
      </c>
      <c r="R166" s="166"/>
      <c r="S166" s="156">
        <f>ROUND(H166*R142,2)</f>
        <v>0</v>
      </c>
      <c r="T166" s="34"/>
      <c r="U166" s="34"/>
      <c r="V166" s="166"/>
      <c r="W166" s="166"/>
      <c r="X166" s="166"/>
      <c r="Y166" s="156">
        <f>ROUND(H166*X142,2)</f>
        <v>49561.2</v>
      </c>
      <c r="Z166" s="166"/>
      <c r="AA166" s="156">
        <f>ROUND(H166*Z142,2)</f>
        <v>49561.2</v>
      </c>
      <c r="AB166" s="156">
        <f>ROUND(H166*W142,2)</f>
        <v>293761.2</v>
      </c>
    </row>
    <row r="167" spans="1:28" ht="30" hidden="1" x14ac:dyDescent="0.25">
      <c r="A167" s="168"/>
      <c r="B167" s="133" t="str">
        <f>'Công trình'!B301</f>
        <v>AF.11212</v>
      </c>
      <c r="C167" s="34"/>
      <c r="D167" s="133" t="str">
        <f>'Công trình'!C301</f>
        <v>Bê tông móng rộng &lt;=250cm đá 1x2, vữa BT mác 150</v>
      </c>
      <c r="E167" s="168"/>
      <c r="F167" s="20">
        <v>1</v>
      </c>
      <c r="G167" s="169"/>
      <c r="H167" s="45">
        <f>'Hao phí vật tư'!J2255</f>
        <v>1.3329</v>
      </c>
      <c r="I167" s="166"/>
      <c r="J167" s="156">
        <f>ROUND(H167*I142,2)</f>
        <v>399870</v>
      </c>
      <c r="K167" s="166"/>
      <c r="L167" s="156">
        <f>ROUND(H167*K142,2)</f>
        <v>481024.95</v>
      </c>
      <c r="M167" s="34"/>
      <c r="N167" s="166"/>
      <c r="O167" s="156">
        <f>ROUND(H167*N142,2)</f>
        <v>0</v>
      </c>
      <c r="P167" s="166"/>
      <c r="Q167" s="156">
        <f>ROUND(H167*P142,2)</f>
        <v>0</v>
      </c>
      <c r="R167" s="166"/>
      <c r="S167" s="156">
        <f>ROUND(H167*R142,2)</f>
        <v>0</v>
      </c>
      <c r="T167" s="34"/>
      <c r="U167" s="34"/>
      <c r="V167" s="166"/>
      <c r="W167" s="166"/>
      <c r="X167" s="166"/>
      <c r="Y167" s="156">
        <f>ROUND(H167*X142,2)</f>
        <v>81154.95</v>
      </c>
      <c r="Z167" s="166"/>
      <c r="AA167" s="156">
        <f>ROUND(H167*Z142,2)</f>
        <v>81154.95</v>
      </c>
      <c r="AB167" s="156">
        <f>ROUND(H167*W142,2)</f>
        <v>481024.95</v>
      </c>
    </row>
    <row r="168" spans="1:28" ht="30" hidden="1" x14ac:dyDescent="0.25">
      <c r="A168" s="168"/>
      <c r="B168" s="133" t="str">
        <f>'Công trình'!B7</f>
        <v>AF.11224</v>
      </c>
      <c r="C168" s="34"/>
      <c r="D168" s="133" t="str">
        <f>'Công trình'!C7</f>
        <v>Bê tông móng rộng &gt;250cm đá 1x2, vữa BT mác 250</v>
      </c>
      <c r="E168" s="168"/>
      <c r="F168" s="20">
        <v>1</v>
      </c>
      <c r="G168" s="169"/>
      <c r="H168" s="45">
        <f>'Hao phí vật tư'!J13</f>
        <v>148.399</v>
      </c>
      <c r="I168" s="166"/>
      <c r="J168" s="156">
        <f>ROUND(H168*I142,2)</f>
        <v>44519700</v>
      </c>
      <c r="K168" s="166"/>
      <c r="L168" s="156">
        <f>ROUND(H168*K142,2)</f>
        <v>53555121.509999998</v>
      </c>
      <c r="M168" s="34"/>
      <c r="N168" s="166"/>
      <c r="O168" s="156">
        <f>ROUND(H168*N142,2)</f>
        <v>0</v>
      </c>
      <c r="P168" s="166"/>
      <c r="Q168" s="156">
        <f>ROUND(H168*P142,2)</f>
        <v>0</v>
      </c>
      <c r="R168" s="166"/>
      <c r="S168" s="156">
        <f>ROUND(H168*R142,2)</f>
        <v>0</v>
      </c>
      <c r="T168" s="34"/>
      <c r="U168" s="34"/>
      <c r="V168" s="166"/>
      <c r="W168" s="166"/>
      <c r="X168" s="166"/>
      <c r="Y168" s="156">
        <f>ROUND(H168*X142,2)</f>
        <v>9035421.5099999998</v>
      </c>
      <c r="Z168" s="166"/>
      <c r="AA168" s="156">
        <f>ROUND(H168*Z142,2)</f>
        <v>9035421.5099999998</v>
      </c>
      <c r="AB168" s="156">
        <f>ROUND(H168*W142,2)</f>
        <v>53555121.509999998</v>
      </c>
    </row>
    <row r="169" spans="1:28" ht="30" hidden="1" x14ac:dyDescent="0.25">
      <c r="A169" s="168"/>
      <c r="B169" s="133" t="str">
        <f>'Công trình'!B8</f>
        <v>AF.12144</v>
      </c>
      <c r="C169" s="34"/>
      <c r="D169" s="133" t="str">
        <f>'Công trình'!C8</f>
        <v>Bê tông tường dày &gt;45cm, chiều cao &lt;=16m đá 1x2, vữa BT mác 250</v>
      </c>
      <c r="E169" s="168"/>
      <c r="F169" s="20">
        <v>1</v>
      </c>
      <c r="G169" s="169"/>
      <c r="H169" s="45">
        <f>'Hao phí vật tư'!J28</f>
        <v>145.08500000000001</v>
      </c>
      <c r="I169" s="166"/>
      <c r="J169" s="156">
        <f>ROUND(H169*I142,2)</f>
        <v>43525500</v>
      </c>
      <c r="K169" s="166"/>
      <c r="L169" s="156">
        <f>ROUND(H169*K142,2)</f>
        <v>52359145.310000002</v>
      </c>
      <c r="M169" s="34"/>
      <c r="N169" s="166"/>
      <c r="O169" s="156">
        <f>ROUND(H169*N142,2)</f>
        <v>0</v>
      </c>
      <c r="P169" s="166"/>
      <c r="Q169" s="156">
        <f>ROUND(H169*P142,2)</f>
        <v>0</v>
      </c>
      <c r="R169" s="166"/>
      <c r="S169" s="156">
        <f>ROUND(H169*R142,2)</f>
        <v>0</v>
      </c>
      <c r="T169" s="34"/>
      <c r="U169" s="34"/>
      <c r="V169" s="166"/>
      <c r="W169" s="166"/>
      <c r="X169" s="166"/>
      <c r="Y169" s="156">
        <f>ROUND(H169*X142,2)</f>
        <v>8833645.3100000005</v>
      </c>
      <c r="Z169" s="166"/>
      <c r="AA169" s="156">
        <f>ROUND(H169*Z142,2)</f>
        <v>8833645.3100000005</v>
      </c>
      <c r="AB169" s="156">
        <f>ROUND(H169*W142,2)</f>
        <v>52359145.310000002</v>
      </c>
    </row>
    <row r="170" spans="1:28" hidden="1" x14ac:dyDescent="0.25">
      <c r="A170" s="168"/>
      <c r="B170" s="133" t="str">
        <f>'Công trình'!B175</f>
        <v>AF.11225</v>
      </c>
      <c r="C170" s="34"/>
      <c r="D170" s="133" t="str">
        <f>'Công trình'!C175</f>
        <v>Bê tông bản dẫn đá 1x2, vữa BT mác 300</v>
      </c>
      <c r="E170" s="168"/>
      <c r="F170" s="20">
        <v>1</v>
      </c>
      <c r="G170" s="169"/>
      <c r="H170" s="45">
        <f>'Hao phí vật tư'!J1316</f>
        <v>16.0884</v>
      </c>
      <c r="I170" s="166"/>
      <c r="J170" s="156">
        <f>ROUND(H170*I142,2)</f>
        <v>4826520</v>
      </c>
      <c r="K170" s="166"/>
      <c r="L170" s="156">
        <f>ROUND(H170*K142,2)</f>
        <v>5806078.3200000003</v>
      </c>
      <c r="M170" s="34"/>
      <c r="N170" s="166"/>
      <c r="O170" s="156">
        <f>ROUND(H170*N142,2)</f>
        <v>0</v>
      </c>
      <c r="P170" s="166"/>
      <c r="Q170" s="156">
        <f>ROUND(H170*P142,2)</f>
        <v>0</v>
      </c>
      <c r="R170" s="166"/>
      <c r="S170" s="156">
        <f>ROUND(H170*R142,2)</f>
        <v>0</v>
      </c>
      <c r="T170" s="34"/>
      <c r="U170" s="34"/>
      <c r="V170" s="166"/>
      <c r="W170" s="166"/>
      <c r="X170" s="166"/>
      <c r="Y170" s="156">
        <f>ROUND(H170*X142,2)</f>
        <v>979558.32</v>
      </c>
      <c r="Z170" s="166"/>
      <c r="AA170" s="156">
        <f>ROUND(H170*Z142,2)</f>
        <v>979558.32</v>
      </c>
      <c r="AB170" s="156">
        <f>ROUND(H170*W142,2)</f>
        <v>5806078.3200000003</v>
      </c>
    </row>
    <row r="171" spans="1:28" hidden="1" x14ac:dyDescent="0.25">
      <c r="A171" s="168"/>
      <c r="B171" s="133" t="str">
        <f>'Công trình'!B34</f>
        <v>AF.12313</v>
      </c>
      <c r="C171" s="34"/>
      <c r="D171" s="133" t="str">
        <f>'Công trình'!C34</f>
        <v>Bê tông dầm, giằng đá 1x2, vữa BT mác 200</v>
      </c>
      <c r="E171" s="168"/>
      <c r="F171" s="20">
        <v>1</v>
      </c>
      <c r="G171" s="169"/>
      <c r="H171" s="45">
        <f>'Hao phí vật tư'!J249</f>
        <v>9.4253</v>
      </c>
      <c r="I171" s="166"/>
      <c r="J171" s="156">
        <f>ROUND(H171*I142,2)</f>
        <v>2827590</v>
      </c>
      <c r="K171" s="166"/>
      <c r="L171" s="156">
        <f>ROUND(H171*K142,2)</f>
        <v>3401458.82</v>
      </c>
      <c r="M171" s="34"/>
      <c r="N171" s="166"/>
      <c r="O171" s="156">
        <f>ROUND(H171*N142,2)</f>
        <v>0</v>
      </c>
      <c r="P171" s="166"/>
      <c r="Q171" s="156">
        <f>ROUND(H171*P142,2)</f>
        <v>0</v>
      </c>
      <c r="R171" s="166"/>
      <c r="S171" s="156">
        <f>ROUND(H171*R142,2)</f>
        <v>0</v>
      </c>
      <c r="T171" s="34"/>
      <c r="U171" s="34"/>
      <c r="V171" s="166"/>
      <c r="W171" s="166"/>
      <c r="X171" s="166"/>
      <c r="Y171" s="156">
        <f>ROUND(H171*X142,2)</f>
        <v>573868.81999999995</v>
      </c>
      <c r="Z171" s="166"/>
      <c r="AA171" s="156">
        <f>ROUND(H171*Z142,2)</f>
        <v>573868.81999999995</v>
      </c>
      <c r="AB171" s="156">
        <f>ROUND(H171*W142,2)</f>
        <v>3401458.82</v>
      </c>
    </row>
    <row r="172" spans="1:28" x14ac:dyDescent="0.25">
      <c r="A172" s="168">
        <v>30</v>
      </c>
      <c r="B172" s="84" t="s">
        <v>634</v>
      </c>
      <c r="C172" s="34">
        <v>419</v>
      </c>
      <c r="D172" s="144" t="s">
        <v>1108</v>
      </c>
      <c r="E172" s="168" t="s">
        <v>155</v>
      </c>
      <c r="F172" s="34"/>
      <c r="G172" s="169"/>
      <c r="H172" s="60">
        <f>SUM(H173:H176)</f>
        <v>394.99810000000002</v>
      </c>
      <c r="I172" s="166">
        <v>260000</v>
      </c>
      <c r="J172" s="166">
        <f>ROUND(H172*I172,0)</f>
        <v>102699506</v>
      </c>
      <c r="K172" s="156">
        <f>'Tổng hợp VL,NC,M'!I170</f>
        <v>310636</v>
      </c>
      <c r="L172" s="166">
        <f>ROUND(H172*K172,0)</f>
        <v>122700630</v>
      </c>
      <c r="M172" s="34">
        <v>1</v>
      </c>
      <c r="N172" s="166"/>
      <c r="O172" s="166">
        <f>ROUND(H172*N172,0)</f>
        <v>0</v>
      </c>
      <c r="P172" s="166"/>
      <c r="Q172" s="166">
        <f>ROUND(H172*P172,0)</f>
        <v>0</v>
      </c>
      <c r="R172" s="166"/>
      <c r="S172" s="166">
        <f>ROUND(H172*R172,0)</f>
        <v>0</v>
      </c>
      <c r="T172" s="34"/>
      <c r="U172" s="34"/>
      <c r="V172" s="166">
        <f>ROUND((K172+N172+P172+R172)*(U172+T172),0)</f>
        <v>0</v>
      </c>
      <c r="W172" s="156">
        <f>K172+N172+P172+R172+V172</f>
        <v>310636</v>
      </c>
      <c r="X172" s="166">
        <f>K172-I172</f>
        <v>50636</v>
      </c>
      <c r="Y172" s="166">
        <f>ROUND(H172*X172,0)</f>
        <v>20001124</v>
      </c>
      <c r="Z172" s="166">
        <f>W172-I172</f>
        <v>50636</v>
      </c>
      <c r="AA172" s="166">
        <f>ROUND(H172*Z172,0)</f>
        <v>20001124</v>
      </c>
      <c r="AB172" s="166">
        <f>ROUND(H172*W172,0)</f>
        <v>122700630</v>
      </c>
    </row>
    <row r="173" spans="1:28" hidden="1" x14ac:dyDescent="0.25">
      <c r="A173" s="168"/>
      <c r="B173" s="133" t="str">
        <f>'Công trình'!B92</f>
        <v>AF.11121</v>
      </c>
      <c r="C173" s="34"/>
      <c r="D173" s="133" t="str">
        <f>'Công trình'!C92</f>
        <v>Bê tông M100 đá 4x6</v>
      </c>
      <c r="E173" s="168"/>
      <c r="F173" s="20">
        <v>1</v>
      </c>
      <c r="G173" s="169"/>
      <c r="H173" s="45">
        <f>'Hao phí vật tư'!J746</f>
        <v>96.438900000000004</v>
      </c>
      <c r="I173" s="166"/>
      <c r="J173" s="156">
        <f>ROUND(H173*I172,2)</f>
        <v>25074114</v>
      </c>
      <c r="K173" s="166"/>
      <c r="L173" s="156">
        <f>ROUND(H173*K172,2)</f>
        <v>29957394.140000001</v>
      </c>
      <c r="M173" s="34"/>
      <c r="N173" s="166"/>
      <c r="O173" s="156">
        <f>ROUND(H173*N172,2)</f>
        <v>0</v>
      </c>
      <c r="P173" s="166"/>
      <c r="Q173" s="156">
        <f>ROUND(H173*P172,2)</f>
        <v>0</v>
      </c>
      <c r="R173" s="166"/>
      <c r="S173" s="156">
        <f>ROUND(H173*R172,2)</f>
        <v>0</v>
      </c>
      <c r="T173" s="34"/>
      <c r="U173" s="34"/>
      <c r="V173" s="166"/>
      <c r="W173" s="166"/>
      <c r="X173" s="166"/>
      <c r="Y173" s="156">
        <f>ROUND(H173*X172,2)</f>
        <v>4883280.1399999997</v>
      </c>
      <c r="Z173" s="166"/>
      <c r="AA173" s="156">
        <f>ROUND(H173*Z172,2)</f>
        <v>4883280.1399999997</v>
      </c>
      <c r="AB173" s="156">
        <f>ROUND(H173*W172,2)</f>
        <v>29957394.140000001</v>
      </c>
    </row>
    <row r="174" spans="1:28" ht="30" hidden="1" x14ac:dyDescent="0.25">
      <c r="A174" s="168"/>
      <c r="B174" s="133" t="str">
        <f>'Công trình'!B177</f>
        <v>AF.11121</v>
      </c>
      <c r="C174" s="34"/>
      <c r="D174" s="133" t="str">
        <f>'Công trình'!C177</f>
        <v>Bê tông lót móng rộng &gt;250cm đá 4x6, vữa BT mác 100</v>
      </c>
      <c r="E174" s="168"/>
      <c r="F174" s="20">
        <v>1</v>
      </c>
      <c r="G174" s="169"/>
      <c r="H174" s="45">
        <f>'Hao phí vật tư'!J1338</f>
        <v>7.7431999999999999</v>
      </c>
      <c r="I174" s="166"/>
      <c r="J174" s="156">
        <f>ROUND(H174*I172,2)</f>
        <v>2013232</v>
      </c>
      <c r="K174" s="166"/>
      <c r="L174" s="156">
        <f>ROUND(H174*K172,2)</f>
        <v>2405316.6800000002</v>
      </c>
      <c r="M174" s="34"/>
      <c r="N174" s="166"/>
      <c r="O174" s="156">
        <f>ROUND(H174*N172,2)</f>
        <v>0</v>
      </c>
      <c r="P174" s="166"/>
      <c r="Q174" s="156">
        <f>ROUND(H174*P172,2)</f>
        <v>0</v>
      </c>
      <c r="R174" s="166"/>
      <c r="S174" s="156">
        <f>ROUND(H174*R172,2)</f>
        <v>0</v>
      </c>
      <c r="T174" s="34"/>
      <c r="U174" s="34"/>
      <c r="V174" s="166"/>
      <c r="W174" s="166"/>
      <c r="X174" s="166"/>
      <c r="Y174" s="156">
        <f>ROUND(H174*X172,2)</f>
        <v>392084.68</v>
      </c>
      <c r="Z174" s="166"/>
      <c r="AA174" s="156">
        <f>ROUND(H174*Z172,2)</f>
        <v>392084.68</v>
      </c>
      <c r="AB174" s="156">
        <f>ROUND(H174*W172,2)</f>
        <v>2405316.6800000002</v>
      </c>
    </row>
    <row r="175" spans="1:28" hidden="1" x14ac:dyDescent="0.25">
      <c r="A175" s="168"/>
      <c r="B175" s="133" t="str">
        <f>'Công trình'!B9</f>
        <v>AF.11333</v>
      </c>
      <c r="C175" s="34"/>
      <c r="D175" s="133" t="str">
        <f>'Công trình'!C9</f>
        <v>Bê tông bịt đáy đá 4x6, vữa BT mác 200</v>
      </c>
      <c r="E175" s="168"/>
      <c r="F175" s="20">
        <v>1</v>
      </c>
      <c r="G175" s="169"/>
      <c r="H175" s="45">
        <f>'Hao phí vật tư'!J42</f>
        <v>239.69399999999999</v>
      </c>
      <c r="I175" s="166"/>
      <c r="J175" s="156">
        <f>ROUND(H175*I172,2)</f>
        <v>62320440</v>
      </c>
      <c r="K175" s="166"/>
      <c r="L175" s="156">
        <f>ROUND(H175*K172,2)</f>
        <v>74457585.379999995</v>
      </c>
      <c r="M175" s="34"/>
      <c r="N175" s="166"/>
      <c r="O175" s="156">
        <f>ROUND(H175*N172,2)</f>
        <v>0</v>
      </c>
      <c r="P175" s="166"/>
      <c r="Q175" s="156">
        <f>ROUND(H175*P172,2)</f>
        <v>0</v>
      </c>
      <c r="R175" s="166"/>
      <c r="S175" s="156">
        <f>ROUND(H175*R172,2)</f>
        <v>0</v>
      </c>
      <c r="T175" s="34"/>
      <c r="U175" s="34"/>
      <c r="V175" s="166"/>
      <c r="W175" s="166"/>
      <c r="X175" s="166"/>
      <c r="Y175" s="156">
        <f>ROUND(H175*X172,2)</f>
        <v>12137145.380000001</v>
      </c>
      <c r="Z175" s="166"/>
      <c r="AA175" s="156">
        <f>ROUND(H175*Z172,2)</f>
        <v>12137145.380000001</v>
      </c>
      <c r="AB175" s="156">
        <f>ROUND(H175*W172,2)</f>
        <v>74457585.379999995</v>
      </c>
    </row>
    <row r="176" spans="1:28" ht="30" hidden="1" x14ac:dyDescent="0.25">
      <c r="A176" s="168"/>
      <c r="B176" s="133" t="str">
        <f>'Công trình'!B10</f>
        <v>AF.11121</v>
      </c>
      <c r="C176" s="34"/>
      <c r="D176" s="133" t="str">
        <f>'Công trình'!C10</f>
        <v>Bê tông lót móng rộng &gt;250cm đá 4x6, vữa BT mác 100</v>
      </c>
      <c r="E176" s="168"/>
      <c r="F176" s="20">
        <v>1</v>
      </c>
      <c r="G176" s="169"/>
      <c r="H176" s="45">
        <f>'Hao phí vật tư'!J54</f>
        <v>51.122</v>
      </c>
      <c r="I176" s="166"/>
      <c r="J176" s="156">
        <f>ROUND(H176*I172,2)</f>
        <v>13291720</v>
      </c>
      <c r="K176" s="166"/>
      <c r="L176" s="156">
        <f>ROUND(H176*K172,2)</f>
        <v>15880333.59</v>
      </c>
      <c r="M176" s="34"/>
      <c r="N176" s="166"/>
      <c r="O176" s="156">
        <f>ROUND(H176*N172,2)</f>
        <v>0</v>
      </c>
      <c r="P176" s="166"/>
      <c r="Q176" s="156">
        <f>ROUND(H176*P172,2)</f>
        <v>0</v>
      </c>
      <c r="R176" s="166"/>
      <c r="S176" s="156">
        <f>ROUND(H176*R172,2)</f>
        <v>0</v>
      </c>
      <c r="T176" s="34"/>
      <c r="U176" s="34"/>
      <c r="V176" s="166"/>
      <c r="W176" s="166"/>
      <c r="X176" s="166"/>
      <c r="Y176" s="156">
        <f>ROUND(H176*X172,2)</f>
        <v>2588613.59</v>
      </c>
      <c r="Z176" s="166"/>
      <c r="AA176" s="156">
        <f>ROUND(H176*Z172,2)</f>
        <v>2588613.59</v>
      </c>
      <c r="AB176" s="156">
        <f>ROUND(H176*W172,2)</f>
        <v>15880333.59</v>
      </c>
    </row>
    <row r="177" spans="1:28" x14ac:dyDescent="0.25">
      <c r="A177" s="168">
        <v>31</v>
      </c>
      <c r="B177" s="84" t="s">
        <v>531</v>
      </c>
      <c r="C177" s="34">
        <v>446</v>
      </c>
      <c r="D177" s="144" t="s">
        <v>222</v>
      </c>
      <c r="E177" s="168" t="s">
        <v>155</v>
      </c>
      <c r="F177" s="34"/>
      <c r="G177" s="169"/>
      <c r="H177" s="60">
        <f>SUM(H178:H178)</f>
        <v>0</v>
      </c>
      <c r="I177" s="166">
        <v>240000</v>
      </c>
      <c r="J177" s="166">
        <f>ROUND(H177*I177,0)</f>
        <v>0</v>
      </c>
      <c r="K177" s="166">
        <f>'Tổng hợp VL,NC,M'!I175</f>
        <v>240000</v>
      </c>
      <c r="L177" s="166">
        <f>ROUND(H177*K177,0)</f>
        <v>0</v>
      </c>
      <c r="M177" s="34">
        <v>1</v>
      </c>
      <c r="N177" s="166"/>
      <c r="O177" s="166">
        <f>ROUND(H177*N177,0)</f>
        <v>0</v>
      </c>
      <c r="P177" s="166"/>
      <c r="Q177" s="166">
        <f>ROUND(H177*P177,0)</f>
        <v>0</v>
      </c>
      <c r="R177" s="166"/>
      <c r="S177" s="166">
        <f>ROUND(H177*R177,0)</f>
        <v>0</v>
      </c>
      <c r="T177" s="34"/>
      <c r="U177" s="34"/>
      <c r="V177" s="166">
        <f>ROUND((K177+N177+P177+R177)*(U177+T177),0)</f>
        <v>0</v>
      </c>
      <c r="W177" s="166">
        <f>K177+N177+P177+R177+V177</f>
        <v>240000</v>
      </c>
      <c r="X177" s="166">
        <f>K177-I177</f>
        <v>0</v>
      </c>
      <c r="Y177" s="166">
        <f>ROUND(H177*X177,0)</f>
        <v>0</v>
      </c>
      <c r="Z177" s="166">
        <f>W177-I177</f>
        <v>0</v>
      </c>
      <c r="AA177" s="166">
        <f>ROUND(H177*Z177,0)</f>
        <v>0</v>
      </c>
      <c r="AB177" s="166">
        <f>ROUND(H177*W177,0)</f>
        <v>0</v>
      </c>
    </row>
    <row r="178" spans="1:28" hidden="1" x14ac:dyDescent="0.25">
      <c r="A178" s="168"/>
      <c r="B178" s="133" t="str">
        <f>'Công trình'!B198</f>
        <v>TT</v>
      </c>
      <c r="C178" s="34"/>
      <c r="D178" s="133" t="str">
        <f>'Công trình'!C198</f>
        <v>Vữa xi măng dày 7cm, vữa XM mác 400</v>
      </c>
      <c r="E178" s="168"/>
      <c r="F178" s="20">
        <v>1</v>
      </c>
      <c r="G178" s="169"/>
      <c r="H178" s="45">
        <f>'Hao phí vật tư'!J1527</f>
        <v>0</v>
      </c>
      <c r="I178" s="166"/>
      <c r="J178" s="156">
        <f>ROUND(H178*I177,2)</f>
        <v>0</v>
      </c>
      <c r="K178" s="166"/>
      <c r="L178" s="156">
        <f>ROUND(H178*K177,2)</f>
        <v>0</v>
      </c>
      <c r="M178" s="34"/>
      <c r="N178" s="166"/>
      <c r="O178" s="156">
        <f>ROUND(H178*N177,2)</f>
        <v>0</v>
      </c>
      <c r="P178" s="166"/>
      <c r="Q178" s="156">
        <f>ROUND(H178*P177,2)</f>
        <v>0</v>
      </c>
      <c r="R178" s="166"/>
      <c r="S178" s="156">
        <f>ROUND(H178*R177,2)</f>
        <v>0</v>
      </c>
      <c r="T178" s="34"/>
      <c r="U178" s="34"/>
      <c r="V178" s="166"/>
      <c r="W178" s="166"/>
      <c r="X178" s="166"/>
      <c r="Y178" s="156">
        <f>ROUND(H178*X177,2)</f>
        <v>0</v>
      </c>
      <c r="Z178" s="166"/>
      <c r="AA178" s="156">
        <f>ROUND(H178*Z177,2)</f>
        <v>0</v>
      </c>
      <c r="AB178" s="156">
        <f>ROUND(H178*W177,2)</f>
        <v>0</v>
      </c>
    </row>
    <row r="179" spans="1:28" x14ac:dyDescent="0.25">
      <c r="A179" s="168">
        <v>32</v>
      </c>
      <c r="B179" s="84" t="s">
        <v>1075</v>
      </c>
      <c r="C179" s="34">
        <v>404</v>
      </c>
      <c r="D179" s="144" t="s">
        <v>386</v>
      </c>
      <c r="E179" s="168" t="s">
        <v>155</v>
      </c>
      <c r="F179" s="34"/>
      <c r="G179" s="169"/>
      <c r="H179" s="60">
        <f>SUM(H180:H181)</f>
        <v>50.789299999999997</v>
      </c>
      <c r="I179" s="166">
        <v>300000</v>
      </c>
      <c r="J179" s="166">
        <f>ROUND(H179*I179,0)</f>
        <v>15236790</v>
      </c>
      <c r="K179" s="156">
        <f>'Tổng hợp VL,NC,M'!I177</f>
        <v>360886</v>
      </c>
      <c r="L179" s="166">
        <f>ROUND(H179*K179,0)</f>
        <v>18329147</v>
      </c>
      <c r="M179" s="34">
        <v>1</v>
      </c>
      <c r="N179" s="166"/>
      <c r="O179" s="166">
        <f>ROUND(H179*N179,0)</f>
        <v>0</v>
      </c>
      <c r="P179" s="166"/>
      <c r="Q179" s="166">
        <f>ROUND(H179*P179,0)</f>
        <v>0</v>
      </c>
      <c r="R179" s="166"/>
      <c r="S179" s="166">
        <f>ROUND(H179*R179,0)</f>
        <v>0</v>
      </c>
      <c r="T179" s="34"/>
      <c r="U179" s="34"/>
      <c r="V179" s="166">
        <f>ROUND((K179+N179+P179+R179)*(U179+T179),0)</f>
        <v>0</v>
      </c>
      <c r="W179" s="156">
        <f>K179+N179+P179+R179+V179</f>
        <v>360886</v>
      </c>
      <c r="X179" s="166">
        <f>K179-I179</f>
        <v>60886</v>
      </c>
      <c r="Y179" s="166">
        <f>ROUND(H179*X179,0)</f>
        <v>3092357</v>
      </c>
      <c r="Z179" s="166">
        <f>W179-I179</f>
        <v>60886</v>
      </c>
      <c r="AA179" s="166">
        <f>ROUND(H179*Z179,0)</f>
        <v>3092357</v>
      </c>
      <c r="AB179" s="166">
        <f>ROUND(H179*W179,0)</f>
        <v>18329147</v>
      </c>
    </row>
    <row r="180" spans="1:28" hidden="1" x14ac:dyDescent="0.25">
      <c r="A180" s="168"/>
      <c r="B180" s="133" t="str">
        <f>'Công trình'!B196</f>
        <v>AF.14315</v>
      </c>
      <c r="C180" s="34"/>
      <c r="D180" s="133" t="str">
        <f>'Công trình'!C196</f>
        <v>Bê tông mặt cầu đá 1x2, vữa BT mác 300</v>
      </c>
      <c r="E180" s="168"/>
      <c r="F180" s="20">
        <v>1</v>
      </c>
      <c r="G180" s="169"/>
      <c r="H180" s="45">
        <f>'Hao phí vật tư'!J1498</f>
        <v>49.880099999999999</v>
      </c>
      <c r="I180" s="166"/>
      <c r="J180" s="156">
        <f>ROUND(H180*I179,2)</f>
        <v>14964030</v>
      </c>
      <c r="K180" s="166"/>
      <c r="L180" s="156">
        <f>ROUND(H180*K179,2)</f>
        <v>18001029.77</v>
      </c>
      <c r="M180" s="34"/>
      <c r="N180" s="166"/>
      <c r="O180" s="156">
        <f>ROUND(H180*N179,2)</f>
        <v>0</v>
      </c>
      <c r="P180" s="166"/>
      <c r="Q180" s="156">
        <f>ROUND(H180*P179,2)</f>
        <v>0</v>
      </c>
      <c r="R180" s="166"/>
      <c r="S180" s="156">
        <f>ROUND(H180*R179,2)</f>
        <v>0</v>
      </c>
      <c r="T180" s="34"/>
      <c r="U180" s="34"/>
      <c r="V180" s="166"/>
      <c r="W180" s="166"/>
      <c r="X180" s="166"/>
      <c r="Y180" s="156">
        <f>ROUND(H180*X179,2)</f>
        <v>3036999.77</v>
      </c>
      <c r="Z180" s="166"/>
      <c r="AA180" s="156">
        <f>ROUND(H180*Z179,2)</f>
        <v>3036999.77</v>
      </c>
      <c r="AB180" s="156">
        <f>ROUND(H180*W179,2)</f>
        <v>18001029.77</v>
      </c>
    </row>
    <row r="181" spans="1:28" hidden="1" x14ac:dyDescent="0.25">
      <c r="A181" s="168"/>
      <c r="B181" s="133" t="str">
        <f>'Công trình'!B217</f>
        <v>AF.11215</v>
      </c>
      <c r="C181" s="34"/>
      <c r="D181" s="133" t="str">
        <f>'Công trình'!C217</f>
        <v>BT M300 đổ sau có phụ gia</v>
      </c>
      <c r="E181" s="168"/>
      <c r="F181" s="20">
        <v>1</v>
      </c>
      <c r="G181" s="169"/>
      <c r="H181" s="45">
        <f>'Hao phí vật tư'!J1634</f>
        <v>0.90920000000000001</v>
      </c>
      <c r="I181" s="166"/>
      <c r="J181" s="156">
        <f>ROUND(H181*I179,2)</f>
        <v>272760</v>
      </c>
      <c r="K181" s="166"/>
      <c r="L181" s="156">
        <f>ROUND(H181*K179,2)</f>
        <v>328117.55</v>
      </c>
      <c r="M181" s="34"/>
      <c r="N181" s="166"/>
      <c r="O181" s="156">
        <f>ROUND(H181*N179,2)</f>
        <v>0</v>
      </c>
      <c r="P181" s="166"/>
      <c r="Q181" s="156">
        <f>ROUND(H181*P179,2)</f>
        <v>0</v>
      </c>
      <c r="R181" s="166"/>
      <c r="S181" s="156">
        <f>ROUND(H181*R179,2)</f>
        <v>0</v>
      </c>
      <c r="T181" s="34"/>
      <c r="U181" s="34"/>
      <c r="V181" s="166"/>
      <c r="W181" s="166"/>
      <c r="X181" s="166"/>
      <c r="Y181" s="156">
        <f>ROUND(H181*X179,2)</f>
        <v>55357.55</v>
      </c>
      <c r="Z181" s="166"/>
      <c r="AA181" s="156">
        <f>ROUND(H181*Z179,2)</f>
        <v>55357.55</v>
      </c>
      <c r="AB181" s="156">
        <f>ROUND(H181*W179,2)</f>
        <v>328117.55</v>
      </c>
    </row>
    <row r="182" spans="1:28" x14ac:dyDescent="0.25">
      <c r="A182" s="168">
        <v>33</v>
      </c>
      <c r="B182" s="84" t="s">
        <v>255</v>
      </c>
      <c r="C182" s="34">
        <v>470</v>
      </c>
      <c r="D182" s="144" t="s">
        <v>902</v>
      </c>
      <c r="E182" s="168" t="s">
        <v>155</v>
      </c>
      <c r="F182" s="34"/>
      <c r="G182" s="169"/>
      <c r="H182" s="60">
        <f>SUM(H183:H185)</f>
        <v>899.52609999999993</v>
      </c>
      <c r="I182" s="166">
        <v>260000</v>
      </c>
      <c r="J182" s="166">
        <f>ROUND(H182*I182,0)</f>
        <v>233876786</v>
      </c>
      <c r="K182" s="156">
        <f>'Tổng hợp VL,NC,M'!I180</f>
        <v>438545</v>
      </c>
      <c r="L182" s="166">
        <f>ROUND(H182*K182,0)</f>
        <v>394482674</v>
      </c>
      <c r="M182" s="34">
        <v>1</v>
      </c>
      <c r="N182" s="166"/>
      <c r="O182" s="166">
        <f>ROUND(H182*N182,0)</f>
        <v>0</v>
      </c>
      <c r="P182" s="166"/>
      <c r="Q182" s="166">
        <f>ROUND(H182*P182,0)</f>
        <v>0</v>
      </c>
      <c r="R182" s="166"/>
      <c r="S182" s="166">
        <f>ROUND(H182*R182,0)</f>
        <v>0</v>
      </c>
      <c r="T182" s="34"/>
      <c r="U182" s="34"/>
      <c r="V182" s="166">
        <f>ROUND((K182+N182+P182+R182)*(U182+T182),0)</f>
        <v>0</v>
      </c>
      <c r="W182" s="156">
        <f>K182+N182+P182+R182+V182</f>
        <v>438545</v>
      </c>
      <c r="X182" s="166">
        <f>K182-I182</f>
        <v>178545</v>
      </c>
      <c r="Y182" s="166">
        <f>ROUND(H182*X182,0)</f>
        <v>160605888</v>
      </c>
      <c r="Z182" s="166">
        <f>W182-I182</f>
        <v>178545</v>
      </c>
      <c r="AA182" s="166">
        <f>ROUND(H182*Z182,0)</f>
        <v>160605888</v>
      </c>
      <c r="AB182" s="166">
        <f>ROUND(H182*W182,0)</f>
        <v>394482674</v>
      </c>
    </row>
    <row r="183" spans="1:28" hidden="1" x14ac:dyDescent="0.25">
      <c r="A183" s="168"/>
      <c r="B183" s="133" t="str">
        <f>'Công trình'!B47</f>
        <v>035.41</v>
      </c>
      <c r="C183" s="34"/>
      <c r="D183" s="133" t="str">
        <f>'Công trình'!C47</f>
        <v>Thả rọ thép đá hộc, loai rọ 2x1x0.5 trên cạn</v>
      </c>
      <c r="E183" s="168"/>
      <c r="F183" s="20">
        <v>1</v>
      </c>
      <c r="G183" s="169"/>
      <c r="H183" s="45">
        <f>'Hao phí vật tư'!J352</f>
        <v>220</v>
      </c>
      <c r="I183" s="166"/>
      <c r="J183" s="156">
        <f>ROUND(H183*I182,2)</f>
        <v>57200000</v>
      </c>
      <c r="K183" s="166"/>
      <c r="L183" s="156">
        <f>ROUND(H183*K182,2)</f>
        <v>96479900</v>
      </c>
      <c r="M183" s="34"/>
      <c r="N183" s="166"/>
      <c r="O183" s="156">
        <f>ROUND(H183*N182,2)</f>
        <v>0</v>
      </c>
      <c r="P183" s="166"/>
      <c r="Q183" s="156">
        <f>ROUND(H183*P182,2)</f>
        <v>0</v>
      </c>
      <c r="R183" s="166"/>
      <c r="S183" s="156">
        <f>ROUND(H183*R182,2)</f>
        <v>0</v>
      </c>
      <c r="T183" s="34"/>
      <c r="U183" s="34"/>
      <c r="V183" s="166"/>
      <c r="W183" s="166"/>
      <c r="X183" s="166"/>
      <c r="Y183" s="156">
        <f>ROUND(H183*X182,2)</f>
        <v>39279900</v>
      </c>
      <c r="Z183" s="166"/>
      <c r="AA183" s="156">
        <f>ROUND(H183*Z182,2)</f>
        <v>39279900</v>
      </c>
      <c r="AB183" s="156">
        <f>ROUND(H183*W182,2)</f>
        <v>96479900</v>
      </c>
    </row>
    <row r="184" spans="1:28" hidden="1" x14ac:dyDescent="0.25">
      <c r="A184" s="168"/>
      <c r="B184" s="133" t="str">
        <f>'Công trình'!B48</f>
        <v>035.41</v>
      </c>
      <c r="C184" s="34"/>
      <c r="D184" s="133" t="str">
        <f>'Công trình'!C48</f>
        <v>Thả rọ thép đá hộc, loai rọ 2x1x0.3 trên cạn</v>
      </c>
      <c r="E184" s="168"/>
      <c r="F184" s="20">
        <v>1</v>
      </c>
      <c r="G184" s="169"/>
      <c r="H184" s="45">
        <f>'Hao phí vật tư'!J358</f>
        <v>653.12609999999995</v>
      </c>
      <c r="I184" s="166"/>
      <c r="J184" s="156">
        <f>ROUND(H184*I182,2)</f>
        <v>169812786</v>
      </c>
      <c r="K184" s="166"/>
      <c r="L184" s="156">
        <f>ROUND(H184*K182,2)</f>
        <v>286425185.51999998</v>
      </c>
      <c r="M184" s="34"/>
      <c r="N184" s="166"/>
      <c r="O184" s="156">
        <f>ROUND(H184*N182,2)</f>
        <v>0</v>
      </c>
      <c r="P184" s="166"/>
      <c r="Q184" s="156">
        <f>ROUND(H184*P182,2)</f>
        <v>0</v>
      </c>
      <c r="R184" s="166"/>
      <c r="S184" s="156">
        <f>ROUND(H184*R182,2)</f>
        <v>0</v>
      </c>
      <c r="T184" s="34"/>
      <c r="U184" s="34"/>
      <c r="V184" s="166"/>
      <c r="W184" s="166"/>
      <c r="X184" s="166"/>
      <c r="Y184" s="156">
        <f>ROUND(H184*X182,2)</f>
        <v>116612399.52</v>
      </c>
      <c r="Z184" s="166"/>
      <c r="AA184" s="156">
        <f>ROUND(H184*Z182,2)</f>
        <v>116612399.52</v>
      </c>
      <c r="AB184" s="156">
        <f>ROUND(H184*W182,2)</f>
        <v>286425185.51999998</v>
      </c>
    </row>
    <row r="185" spans="1:28" hidden="1" x14ac:dyDescent="0.25">
      <c r="A185" s="168"/>
      <c r="B185" s="133" t="str">
        <f>'Công trình'!B170</f>
        <v>035.41</v>
      </c>
      <c r="C185" s="34"/>
      <c r="D185" s="133" t="str">
        <f>'Công trình'!C170</f>
        <v>Thả rọ thép đá hộc, loai rọ 2x1x0.5 trên cạn</v>
      </c>
      <c r="E185" s="168"/>
      <c r="F185" s="20">
        <v>1</v>
      </c>
      <c r="G185" s="169"/>
      <c r="H185" s="45">
        <f>'Hao phí vật tư'!J1289</f>
        <v>26.4</v>
      </c>
      <c r="I185" s="166"/>
      <c r="J185" s="156">
        <f>ROUND(H185*I182,2)</f>
        <v>6864000</v>
      </c>
      <c r="K185" s="166"/>
      <c r="L185" s="156">
        <f>ROUND(H185*K182,2)</f>
        <v>11577588</v>
      </c>
      <c r="M185" s="34"/>
      <c r="N185" s="166"/>
      <c r="O185" s="156">
        <f>ROUND(H185*N182,2)</f>
        <v>0</v>
      </c>
      <c r="P185" s="166"/>
      <c r="Q185" s="156">
        <f>ROUND(H185*P182,2)</f>
        <v>0</v>
      </c>
      <c r="R185" s="166"/>
      <c r="S185" s="156">
        <f>ROUND(H185*R182,2)</f>
        <v>0</v>
      </c>
      <c r="T185" s="34"/>
      <c r="U185" s="34"/>
      <c r="V185" s="166"/>
      <c r="W185" s="166"/>
      <c r="X185" s="166"/>
      <c r="Y185" s="156">
        <f>ROUND(H185*X182,2)</f>
        <v>4713588</v>
      </c>
      <c r="Z185" s="166"/>
      <c r="AA185" s="156">
        <f>ROUND(H185*Z182,2)</f>
        <v>4713588</v>
      </c>
      <c r="AB185" s="156">
        <f>ROUND(H185*W182,2)</f>
        <v>11577588</v>
      </c>
    </row>
    <row r="186" spans="1:28" x14ac:dyDescent="0.25">
      <c r="A186" s="168">
        <v>34</v>
      </c>
      <c r="B186" s="84" t="s">
        <v>570</v>
      </c>
      <c r="C186" s="34">
        <v>407</v>
      </c>
      <c r="D186" s="144" t="s">
        <v>970</v>
      </c>
      <c r="E186" s="168" t="s">
        <v>871</v>
      </c>
      <c r="F186" s="34"/>
      <c r="G186" s="169"/>
      <c r="H186" s="60">
        <f>SUM(H187:H193)</f>
        <v>3.5688000000000004</v>
      </c>
      <c r="I186" s="166">
        <v>13200</v>
      </c>
      <c r="J186" s="166">
        <f>ROUND(H186*I186,0)</f>
        <v>47108</v>
      </c>
      <c r="K186" s="166">
        <f>'Tổng hợp VL,NC,M'!I184</f>
        <v>13200</v>
      </c>
      <c r="L186" s="166">
        <f>ROUND(H186*K186,0)</f>
        <v>47108</v>
      </c>
      <c r="M186" s="34">
        <v>1</v>
      </c>
      <c r="N186" s="166"/>
      <c r="O186" s="166">
        <f>ROUND(H186*N186,0)</f>
        <v>0</v>
      </c>
      <c r="P186" s="166"/>
      <c r="Q186" s="166">
        <f>ROUND(H186*P186,0)</f>
        <v>0</v>
      </c>
      <c r="R186" s="166"/>
      <c r="S186" s="166">
        <f>ROUND(H186*R186,0)</f>
        <v>0</v>
      </c>
      <c r="T186" s="34"/>
      <c r="U186" s="34"/>
      <c r="V186" s="166">
        <f>ROUND((K186+N186+P186+R186)*(U186+T186),0)</f>
        <v>0</v>
      </c>
      <c r="W186" s="166">
        <f>K186+N186+P186+R186+V186</f>
        <v>13200</v>
      </c>
      <c r="X186" s="166">
        <f>K186-I186</f>
        <v>0</v>
      </c>
      <c r="Y186" s="166">
        <f>ROUND(H186*X186,0)</f>
        <v>0</v>
      </c>
      <c r="Z186" s="166">
        <f>W186-I186</f>
        <v>0</v>
      </c>
      <c r="AA186" s="166">
        <f>ROUND(H186*Z186,0)</f>
        <v>0</v>
      </c>
      <c r="AB186" s="166">
        <f>ROUND(H186*W186,0)</f>
        <v>47108</v>
      </c>
    </row>
    <row r="187" spans="1:28" ht="30" hidden="1" x14ac:dyDescent="0.25">
      <c r="A187" s="168"/>
      <c r="B187" s="133" t="str">
        <f>'Công trình'!B39</f>
        <v>AI.13111</v>
      </c>
      <c r="C187" s="34"/>
      <c r="D187" s="133" t="str">
        <f>'Công trình'!C39</f>
        <v>Sản xuất cấu kiện thép đặt sẵn trong bê tông, khối lượng &lt;=10kg/cấu kiện</v>
      </c>
      <c r="E187" s="168"/>
      <c r="F187" s="20">
        <v>1</v>
      </c>
      <c r="G187" s="169"/>
      <c r="H187" s="45">
        <f>'Hao phí vật tư'!J291</f>
        <v>7.3000000000000001E-3</v>
      </c>
      <c r="I187" s="166"/>
      <c r="J187" s="156">
        <f>ROUND(H187*I186,2)</f>
        <v>96.36</v>
      </c>
      <c r="K187" s="166"/>
      <c r="L187" s="156">
        <f>ROUND(H187*K186,2)</f>
        <v>96.36</v>
      </c>
      <c r="M187" s="34"/>
      <c r="N187" s="166"/>
      <c r="O187" s="156">
        <f>ROUND(H187*N186,2)</f>
        <v>0</v>
      </c>
      <c r="P187" s="166"/>
      <c r="Q187" s="156">
        <f>ROUND(H187*P186,2)</f>
        <v>0</v>
      </c>
      <c r="R187" s="166"/>
      <c r="S187" s="156">
        <f>ROUND(H187*R186,2)</f>
        <v>0</v>
      </c>
      <c r="T187" s="34"/>
      <c r="U187" s="34"/>
      <c r="V187" s="166"/>
      <c r="W187" s="166"/>
      <c r="X187" s="166"/>
      <c r="Y187" s="156">
        <f>ROUND(H187*X186,2)</f>
        <v>0</v>
      </c>
      <c r="Z187" s="166"/>
      <c r="AA187" s="156">
        <f>ROUND(H187*Z186,2)</f>
        <v>0</v>
      </c>
      <c r="AB187" s="156">
        <f>ROUND(H187*W186,2)</f>
        <v>96.36</v>
      </c>
    </row>
    <row r="188" spans="1:28" ht="30" hidden="1" x14ac:dyDescent="0.25">
      <c r="A188" s="168"/>
      <c r="B188" s="133" t="str">
        <f>'Công trình'!B72</f>
        <v>AI.13111</v>
      </c>
      <c r="C188" s="34"/>
      <c r="D188" s="133" t="str">
        <f>'Công trình'!C72</f>
        <v>Sản xuất cấu kiện thép đặt sẵn trong bê tông, khối lượng &lt;=10kg/cấu kiện</v>
      </c>
      <c r="E188" s="168"/>
      <c r="F188" s="20">
        <v>1</v>
      </c>
      <c r="G188" s="169"/>
      <c r="H188" s="45">
        <f>'Hao phí vật tư'!J547</f>
        <v>0.75939999999999996</v>
      </c>
      <c r="I188" s="166"/>
      <c r="J188" s="156">
        <f>ROUND(H188*I186,2)</f>
        <v>10024.08</v>
      </c>
      <c r="K188" s="166"/>
      <c r="L188" s="156">
        <f>ROUND(H188*K186,2)</f>
        <v>10024.08</v>
      </c>
      <c r="M188" s="34"/>
      <c r="N188" s="166"/>
      <c r="O188" s="156">
        <f>ROUND(H188*N186,2)</f>
        <v>0</v>
      </c>
      <c r="P188" s="166"/>
      <c r="Q188" s="156">
        <f>ROUND(H188*P186,2)</f>
        <v>0</v>
      </c>
      <c r="R188" s="166"/>
      <c r="S188" s="156">
        <f>ROUND(H188*R186,2)</f>
        <v>0</v>
      </c>
      <c r="T188" s="34"/>
      <c r="U188" s="34"/>
      <c r="V188" s="166"/>
      <c r="W188" s="166"/>
      <c r="X188" s="166"/>
      <c r="Y188" s="156">
        <f>ROUND(H188*X186,2)</f>
        <v>0</v>
      </c>
      <c r="Z188" s="166"/>
      <c r="AA188" s="156">
        <f>ROUND(H188*Z186,2)</f>
        <v>0</v>
      </c>
      <c r="AB188" s="156">
        <f>ROUND(H188*W186,2)</f>
        <v>10024.08</v>
      </c>
    </row>
    <row r="189" spans="1:28" hidden="1" x14ac:dyDescent="0.25">
      <c r="A189" s="168"/>
      <c r="B189" s="133" t="str">
        <f>'Công trình'!B74</f>
        <v>AI.52211</v>
      </c>
      <c r="C189" s="34"/>
      <c r="D189" s="133" t="str">
        <f>'Công trình'!C74</f>
        <v>Sản xuất kết cấu thép hộp nối cọc</v>
      </c>
      <c r="E189" s="168"/>
      <c r="F189" s="20">
        <v>1</v>
      </c>
      <c r="G189" s="169"/>
      <c r="H189" s="45">
        <f>'Hao phí vật tư'!J579</f>
        <v>0.73750000000000004</v>
      </c>
      <c r="I189" s="166"/>
      <c r="J189" s="156">
        <f>ROUND(H189*I186,2)</f>
        <v>9735</v>
      </c>
      <c r="K189" s="166"/>
      <c r="L189" s="156">
        <f>ROUND(H189*K186,2)</f>
        <v>9735</v>
      </c>
      <c r="M189" s="34"/>
      <c r="N189" s="166"/>
      <c r="O189" s="156">
        <f>ROUND(H189*N186,2)</f>
        <v>0</v>
      </c>
      <c r="P189" s="166"/>
      <c r="Q189" s="156">
        <f>ROUND(H189*P186,2)</f>
        <v>0</v>
      </c>
      <c r="R189" s="166"/>
      <c r="S189" s="156">
        <f>ROUND(H189*R186,2)</f>
        <v>0</v>
      </c>
      <c r="T189" s="34"/>
      <c r="U189" s="34"/>
      <c r="V189" s="166"/>
      <c r="W189" s="166"/>
      <c r="X189" s="166"/>
      <c r="Y189" s="156">
        <f>ROUND(H189*X186,2)</f>
        <v>0</v>
      </c>
      <c r="Z189" s="166"/>
      <c r="AA189" s="156">
        <f>ROUND(H189*Z186,2)</f>
        <v>0</v>
      </c>
      <c r="AB189" s="156">
        <f>ROUND(H189*W186,2)</f>
        <v>9735</v>
      </c>
    </row>
    <row r="190" spans="1:28" ht="30" hidden="1" x14ac:dyDescent="0.25">
      <c r="A190" s="168"/>
      <c r="B190" s="133" t="str">
        <f>'Công trình'!B83</f>
        <v>AI.13111</v>
      </c>
      <c r="C190" s="34"/>
      <c r="D190" s="133" t="str">
        <f>'Công trình'!C83</f>
        <v>Sản xuất cấu kiện thép đặt sẵn trong bê tông, khối lượng &lt;=10kg/cấu kiện</v>
      </c>
      <c r="E190" s="168"/>
      <c r="F190" s="20">
        <v>1</v>
      </c>
      <c r="G190" s="169"/>
      <c r="H190" s="45">
        <f>'Hao phí vật tư'!J663</f>
        <v>0.35859999999999997</v>
      </c>
      <c r="I190" s="166"/>
      <c r="J190" s="156">
        <f>ROUND(H190*I186,2)</f>
        <v>4733.5200000000004</v>
      </c>
      <c r="K190" s="166"/>
      <c r="L190" s="156">
        <f>ROUND(H190*K186,2)</f>
        <v>4733.5200000000004</v>
      </c>
      <c r="M190" s="34"/>
      <c r="N190" s="166"/>
      <c r="O190" s="156">
        <f>ROUND(H190*N186,2)</f>
        <v>0</v>
      </c>
      <c r="P190" s="166"/>
      <c r="Q190" s="156">
        <f>ROUND(H190*P186,2)</f>
        <v>0</v>
      </c>
      <c r="R190" s="166"/>
      <c r="S190" s="156">
        <f>ROUND(H190*R186,2)</f>
        <v>0</v>
      </c>
      <c r="T190" s="34"/>
      <c r="U190" s="34"/>
      <c r="V190" s="166"/>
      <c r="W190" s="166"/>
      <c r="X190" s="166"/>
      <c r="Y190" s="156">
        <f>ROUND(H190*X186,2)</f>
        <v>0</v>
      </c>
      <c r="Z190" s="166"/>
      <c r="AA190" s="156">
        <f>ROUND(H190*Z186,2)</f>
        <v>0</v>
      </c>
      <c r="AB190" s="156">
        <f>ROUND(H190*W186,2)</f>
        <v>4733.5200000000004</v>
      </c>
    </row>
    <row r="191" spans="1:28" hidden="1" x14ac:dyDescent="0.25">
      <c r="A191" s="168"/>
      <c r="B191" s="133" t="str">
        <f>'Công trình'!B85</f>
        <v>AI.52211</v>
      </c>
      <c r="C191" s="34"/>
      <c r="D191" s="133" t="str">
        <f>'Công trình'!C85</f>
        <v>Sản xuất kết cấu thép hộp nối cọc</v>
      </c>
      <c r="E191" s="168"/>
      <c r="F191" s="20">
        <v>1</v>
      </c>
      <c r="G191" s="169"/>
      <c r="H191" s="45">
        <f>'Hao phí vật tư'!J695</f>
        <v>0.32079999999999997</v>
      </c>
      <c r="I191" s="166"/>
      <c r="J191" s="156">
        <f>ROUND(H191*I186,2)</f>
        <v>4234.5600000000004</v>
      </c>
      <c r="K191" s="166"/>
      <c r="L191" s="156">
        <f>ROUND(H191*K186,2)</f>
        <v>4234.5600000000004</v>
      </c>
      <c r="M191" s="34"/>
      <c r="N191" s="166"/>
      <c r="O191" s="156">
        <f>ROUND(H191*N186,2)</f>
        <v>0</v>
      </c>
      <c r="P191" s="166"/>
      <c r="Q191" s="156">
        <f>ROUND(H191*P186,2)</f>
        <v>0</v>
      </c>
      <c r="R191" s="166"/>
      <c r="S191" s="156">
        <f>ROUND(H191*R186,2)</f>
        <v>0</v>
      </c>
      <c r="T191" s="34"/>
      <c r="U191" s="34"/>
      <c r="V191" s="166"/>
      <c r="W191" s="166"/>
      <c r="X191" s="166"/>
      <c r="Y191" s="156">
        <f>ROUND(H191*X186,2)</f>
        <v>0</v>
      </c>
      <c r="Z191" s="166"/>
      <c r="AA191" s="156">
        <f>ROUND(H191*Z186,2)</f>
        <v>0</v>
      </c>
      <c r="AB191" s="156">
        <f>ROUND(H191*W186,2)</f>
        <v>4234.5600000000004</v>
      </c>
    </row>
    <row r="192" spans="1:28" ht="30" hidden="1" x14ac:dyDescent="0.25">
      <c r="A192" s="168"/>
      <c r="B192" s="133" t="str">
        <f>'Công trình'!B229</f>
        <v>AI.13111</v>
      </c>
      <c r="C192" s="34"/>
      <c r="D192" s="133" t="str">
        <f>'Công trình'!C229</f>
        <v>Sản xuất cấu kiện thép đặt sẵn trong bê tông, khối lượng &lt;=10kg/cấu kiện</v>
      </c>
      <c r="E192" s="168"/>
      <c r="F192" s="20">
        <v>1</v>
      </c>
      <c r="G192" s="169"/>
      <c r="H192" s="45">
        <f>'Hao phí vật tư'!J1723</f>
        <v>0.69379999999999997</v>
      </c>
      <c r="I192" s="166"/>
      <c r="J192" s="156">
        <f>ROUND(H192*I186,2)</f>
        <v>9158.16</v>
      </c>
      <c r="K192" s="166"/>
      <c r="L192" s="156">
        <f>ROUND(H192*K186,2)</f>
        <v>9158.16</v>
      </c>
      <c r="M192" s="34"/>
      <c r="N192" s="166"/>
      <c r="O192" s="156">
        <f>ROUND(H192*N186,2)</f>
        <v>0</v>
      </c>
      <c r="P192" s="166"/>
      <c r="Q192" s="156">
        <f>ROUND(H192*P186,2)</f>
        <v>0</v>
      </c>
      <c r="R192" s="166"/>
      <c r="S192" s="156">
        <f>ROUND(H192*R186,2)</f>
        <v>0</v>
      </c>
      <c r="T192" s="34"/>
      <c r="U192" s="34"/>
      <c r="V192" s="166"/>
      <c r="W192" s="166"/>
      <c r="X192" s="166"/>
      <c r="Y192" s="156">
        <f>ROUND(H192*X186,2)</f>
        <v>0</v>
      </c>
      <c r="Z192" s="166"/>
      <c r="AA192" s="156">
        <f>ROUND(H192*Z186,2)</f>
        <v>0</v>
      </c>
      <c r="AB192" s="156">
        <f>ROUND(H192*W186,2)</f>
        <v>9158.16</v>
      </c>
    </row>
    <row r="193" spans="1:28" hidden="1" x14ac:dyDescent="0.25">
      <c r="A193" s="168"/>
      <c r="B193" s="133" t="str">
        <f>'Công trình'!B231</f>
        <v>AI.52211</v>
      </c>
      <c r="C193" s="34"/>
      <c r="D193" s="133" t="str">
        <f>'Công trình'!C231</f>
        <v>Thép hình hộp nối cọc</v>
      </c>
      <c r="E193" s="168"/>
      <c r="F193" s="20">
        <v>1</v>
      </c>
      <c r="G193" s="169"/>
      <c r="H193" s="45">
        <f>'Hao phí vật tư'!J1755</f>
        <v>0.69140000000000001</v>
      </c>
      <c r="I193" s="166"/>
      <c r="J193" s="156">
        <f>ROUND(H193*I186,2)</f>
        <v>9126.48</v>
      </c>
      <c r="K193" s="166"/>
      <c r="L193" s="156">
        <f>ROUND(H193*K186,2)</f>
        <v>9126.48</v>
      </c>
      <c r="M193" s="34"/>
      <c r="N193" s="166"/>
      <c r="O193" s="156">
        <f>ROUND(H193*N186,2)</f>
        <v>0</v>
      </c>
      <c r="P193" s="166"/>
      <c r="Q193" s="156">
        <f>ROUND(H193*P186,2)</f>
        <v>0</v>
      </c>
      <c r="R193" s="166"/>
      <c r="S193" s="156">
        <f>ROUND(H193*R186,2)</f>
        <v>0</v>
      </c>
      <c r="T193" s="34"/>
      <c r="U193" s="34"/>
      <c r="V193" s="166"/>
      <c r="W193" s="166"/>
      <c r="X193" s="166"/>
      <c r="Y193" s="156">
        <f>ROUND(H193*X186,2)</f>
        <v>0</v>
      </c>
      <c r="Z193" s="166"/>
      <c r="AA193" s="156">
        <f>ROUND(H193*Z186,2)</f>
        <v>0</v>
      </c>
      <c r="AB193" s="156">
        <f>ROUND(H193*W186,2)</f>
        <v>9126.48</v>
      </c>
    </row>
    <row r="194" spans="1:28" x14ac:dyDescent="0.25">
      <c r="A194" s="168">
        <v>35</v>
      </c>
      <c r="B194" s="84" t="s">
        <v>530</v>
      </c>
      <c r="C194" s="34">
        <v>98</v>
      </c>
      <c r="D194" s="144" t="s">
        <v>1178</v>
      </c>
      <c r="E194" s="168" t="s">
        <v>818</v>
      </c>
      <c r="F194" s="34"/>
      <c r="G194" s="169"/>
      <c r="H194" s="60">
        <f>SUM(H195:H195)</f>
        <v>6</v>
      </c>
      <c r="I194" s="166">
        <v>8952556</v>
      </c>
      <c r="J194" s="166">
        <f>ROUND(H194*I194,0)</f>
        <v>53715336</v>
      </c>
      <c r="K194" s="166">
        <f>'Tổng hợp VL,NC,M'!I198</f>
        <v>8952556</v>
      </c>
      <c r="L194" s="166">
        <f>ROUND(H194*K194,0)</f>
        <v>53715336</v>
      </c>
      <c r="M194" s="34">
        <v>1</v>
      </c>
      <c r="N194" s="166"/>
      <c r="O194" s="166">
        <f>ROUND(H194*N194,0)</f>
        <v>0</v>
      </c>
      <c r="P194" s="166"/>
      <c r="Q194" s="166">
        <f>ROUND(H194*P194,0)</f>
        <v>0</v>
      </c>
      <c r="R194" s="166"/>
      <c r="S194" s="166">
        <f>ROUND(H194*R194,0)</f>
        <v>0</v>
      </c>
      <c r="T194" s="34"/>
      <c r="U194" s="34"/>
      <c r="V194" s="166">
        <f>ROUND((K194+N194+P194+R194)*(U194+T194),0)</f>
        <v>0</v>
      </c>
      <c r="W194" s="166">
        <f>K194+N194+P194+R194+V194</f>
        <v>8952556</v>
      </c>
      <c r="X194" s="166">
        <f>K194-I194</f>
        <v>0</v>
      </c>
      <c r="Y194" s="166">
        <f>ROUND(H194*X194,0)</f>
        <v>0</v>
      </c>
      <c r="Z194" s="166">
        <f>W194-I194</f>
        <v>0</v>
      </c>
      <c r="AA194" s="166">
        <f>ROUND(H194*Z194,0)</f>
        <v>0</v>
      </c>
      <c r="AB194" s="166">
        <f>ROUND(H194*W194,0)</f>
        <v>53715336</v>
      </c>
    </row>
    <row r="195" spans="1:28" hidden="1" x14ac:dyDescent="0.25">
      <c r="A195" s="168"/>
      <c r="B195" s="133" t="str">
        <f>'Công trình'!B195</f>
        <v>TT</v>
      </c>
      <c r="C195" s="34"/>
      <c r="D195" s="133" t="str">
        <f>'Công trình'!C195</f>
        <v>Dầm I400 DƯL bản 8,65M</v>
      </c>
      <c r="E195" s="168"/>
      <c r="F195" s="20">
        <v>1</v>
      </c>
      <c r="G195" s="169"/>
      <c r="H195" s="45">
        <f>'Hao phí vật tư'!J1493</f>
        <v>6</v>
      </c>
      <c r="I195" s="166"/>
      <c r="J195" s="156">
        <f>ROUND(H195*I194,2)</f>
        <v>53715336</v>
      </c>
      <c r="K195" s="166"/>
      <c r="L195" s="156">
        <f>ROUND(H195*K194,2)</f>
        <v>53715336</v>
      </c>
      <c r="M195" s="34"/>
      <c r="N195" s="166"/>
      <c r="O195" s="156">
        <f>ROUND(H195*N194,2)</f>
        <v>0</v>
      </c>
      <c r="P195" s="166"/>
      <c r="Q195" s="156">
        <f>ROUND(H195*P194,2)</f>
        <v>0</v>
      </c>
      <c r="R195" s="166"/>
      <c r="S195" s="156">
        <f>ROUND(H195*R194,2)</f>
        <v>0</v>
      </c>
      <c r="T195" s="34"/>
      <c r="U195" s="34"/>
      <c r="V195" s="166"/>
      <c r="W195" s="166"/>
      <c r="X195" s="166"/>
      <c r="Y195" s="156">
        <f>ROUND(H195*X194,2)</f>
        <v>0</v>
      </c>
      <c r="Z195" s="166"/>
      <c r="AA195" s="156">
        <f>ROUND(H195*Z194,2)</f>
        <v>0</v>
      </c>
      <c r="AB195" s="156">
        <f>ROUND(H195*W194,2)</f>
        <v>53715336</v>
      </c>
    </row>
    <row r="196" spans="1:28" x14ac:dyDescent="0.25">
      <c r="A196" s="168">
        <v>36</v>
      </c>
      <c r="B196" s="84" t="s">
        <v>908</v>
      </c>
      <c r="C196" s="34">
        <v>99</v>
      </c>
      <c r="D196" s="144" t="s">
        <v>94</v>
      </c>
      <c r="E196" s="168" t="s">
        <v>818</v>
      </c>
      <c r="F196" s="34"/>
      <c r="G196" s="169"/>
      <c r="H196" s="60">
        <f>SUM(H197:H197)</f>
        <v>12</v>
      </c>
      <c r="I196" s="166">
        <v>22500000</v>
      </c>
      <c r="J196" s="166">
        <f>ROUND(H196*I196,0)</f>
        <v>270000000</v>
      </c>
      <c r="K196" s="166">
        <f>'Tổng hợp VL,NC,M'!I200</f>
        <v>22500000</v>
      </c>
      <c r="L196" s="166">
        <f>ROUND(H196*K196,0)</f>
        <v>270000000</v>
      </c>
      <c r="M196" s="34">
        <v>1</v>
      </c>
      <c r="N196" s="166"/>
      <c r="O196" s="166">
        <f>ROUND(H196*N196,0)</f>
        <v>0</v>
      </c>
      <c r="P196" s="166"/>
      <c r="Q196" s="166">
        <f>ROUND(H196*P196,0)</f>
        <v>0</v>
      </c>
      <c r="R196" s="166"/>
      <c r="S196" s="166">
        <f>ROUND(H196*R196,0)</f>
        <v>0</v>
      </c>
      <c r="T196" s="34"/>
      <c r="U196" s="34"/>
      <c r="V196" s="166">
        <f>ROUND((K196+N196+P196+R196)*(U196+T196),0)</f>
        <v>0</v>
      </c>
      <c r="W196" s="166">
        <f>K196+N196+P196+R196+V196</f>
        <v>22500000</v>
      </c>
      <c r="X196" s="166">
        <f>K196-I196</f>
        <v>0</v>
      </c>
      <c r="Y196" s="166">
        <f>ROUND(H196*X196,0)</f>
        <v>0</v>
      </c>
      <c r="Z196" s="166">
        <f>W196-I196</f>
        <v>0</v>
      </c>
      <c r="AA196" s="166">
        <f>ROUND(H196*Z196,0)</f>
        <v>0</v>
      </c>
      <c r="AB196" s="166">
        <f>ROUND(H196*W196,0)</f>
        <v>270000000</v>
      </c>
    </row>
    <row r="197" spans="1:28" hidden="1" x14ac:dyDescent="0.25">
      <c r="A197" s="168"/>
      <c r="B197" s="133" t="str">
        <f>'Công trình'!B194</f>
        <v>TT</v>
      </c>
      <c r="C197" s="34"/>
      <c r="D197" s="133" t="str">
        <f>'Công trình'!C194</f>
        <v>Dầm I650 DƯL bản 18M</v>
      </c>
      <c r="E197" s="168"/>
      <c r="F197" s="20">
        <v>1</v>
      </c>
      <c r="G197" s="169"/>
      <c r="H197" s="45">
        <f>'Hao phí vật tư'!J1490</f>
        <v>12</v>
      </c>
      <c r="I197" s="166"/>
      <c r="J197" s="156">
        <f>ROUND(H197*I196,2)</f>
        <v>270000000</v>
      </c>
      <c r="K197" s="166"/>
      <c r="L197" s="156">
        <f>ROUND(H197*K196,2)</f>
        <v>270000000</v>
      </c>
      <c r="M197" s="34"/>
      <c r="N197" s="166"/>
      <c r="O197" s="156">
        <f>ROUND(H197*N196,2)</f>
        <v>0</v>
      </c>
      <c r="P197" s="166"/>
      <c r="Q197" s="156">
        <f>ROUND(H197*P196,2)</f>
        <v>0</v>
      </c>
      <c r="R197" s="166"/>
      <c r="S197" s="156">
        <f>ROUND(H197*R196,2)</f>
        <v>0</v>
      </c>
      <c r="T197" s="34"/>
      <c r="U197" s="34"/>
      <c r="V197" s="166"/>
      <c r="W197" s="166"/>
      <c r="X197" s="166"/>
      <c r="Y197" s="156">
        <f>ROUND(H197*X196,2)</f>
        <v>0</v>
      </c>
      <c r="Z197" s="166"/>
      <c r="AA197" s="156">
        <f>ROUND(H197*Z196,2)</f>
        <v>0</v>
      </c>
      <c r="AB197" s="156">
        <f>ROUND(H197*W196,2)</f>
        <v>270000000</v>
      </c>
    </row>
    <row r="198" spans="1:28" x14ac:dyDescent="0.25">
      <c r="A198" s="168">
        <v>37</v>
      </c>
      <c r="B198" s="84" t="s">
        <v>288</v>
      </c>
      <c r="C198" s="34">
        <v>410</v>
      </c>
      <c r="D198" s="144" t="s">
        <v>478</v>
      </c>
      <c r="E198" s="168" t="s">
        <v>155</v>
      </c>
      <c r="F198" s="34"/>
      <c r="G198" s="169"/>
      <c r="H198" s="60">
        <f>SUM(H199:H199)</f>
        <v>2068.4149000000002</v>
      </c>
      <c r="I198" s="166">
        <v>45000</v>
      </c>
      <c r="J198" s="166">
        <f>ROUND(H198*I198,0)</f>
        <v>93078671</v>
      </c>
      <c r="K198" s="156">
        <f>'Tổng hợp VL,NC,M'!I202</f>
        <v>192673</v>
      </c>
      <c r="L198" s="166">
        <f>ROUND(H198*K198,0)</f>
        <v>398527704</v>
      </c>
      <c r="M198" s="34">
        <v>1</v>
      </c>
      <c r="N198" s="166"/>
      <c r="O198" s="166">
        <f>ROUND(H198*N198,0)</f>
        <v>0</v>
      </c>
      <c r="P198" s="166"/>
      <c r="Q198" s="166">
        <f>ROUND(H198*P198,0)</f>
        <v>0</v>
      </c>
      <c r="R198" s="166"/>
      <c r="S198" s="166">
        <f>ROUND(H198*R198,0)</f>
        <v>0</v>
      </c>
      <c r="T198" s="34"/>
      <c r="U198" s="34"/>
      <c r="V198" s="166">
        <f>ROUND((K198+N198+P198+R198)*(U198+T198),0)</f>
        <v>0</v>
      </c>
      <c r="W198" s="156">
        <f>K198+N198+P198+R198+V198</f>
        <v>192673</v>
      </c>
      <c r="X198" s="166">
        <f>K198-I198</f>
        <v>147673</v>
      </c>
      <c r="Y198" s="166">
        <f>ROUND(H198*X198,0)</f>
        <v>305449034</v>
      </c>
      <c r="Z198" s="166">
        <f>W198-I198</f>
        <v>147673</v>
      </c>
      <c r="AA198" s="166">
        <f>ROUND(H198*Z198,0)</f>
        <v>305449034</v>
      </c>
      <c r="AB198" s="166">
        <f>ROUND(H198*W198,0)</f>
        <v>398527704</v>
      </c>
    </row>
    <row r="199" spans="1:28" hidden="1" x14ac:dyDescent="0.25">
      <c r="A199" s="168"/>
      <c r="B199" s="133" t="str">
        <f>'Công trình'!B246</f>
        <v>TT</v>
      </c>
      <c r="C199" s="34"/>
      <c r="D199" s="133" t="str">
        <f>'Công trình'!C246</f>
        <v>Mua đất chọn lọc để đắp (HS 1,14*1,07)</v>
      </c>
      <c r="E199" s="168"/>
      <c r="F199" s="20">
        <v>1</v>
      </c>
      <c r="G199" s="169"/>
      <c r="H199" s="45">
        <f>'Hao phí vật tư'!J1862</f>
        <v>2068.4149000000002</v>
      </c>
      <c r="I199" s="166"/>
      <c r="J199" s="156">
        <f>ROUND(H199*I198,2)</f>
        <v>93078670.5</v>
      </c>
      <c r="K199" s="166"/>
      <c r="L199" s="156">
        <f>ROUND(H199*K198,2)</f>
        <v>398527704.02999997</v>
      </c>
      <c r="M199" s="34"/>
      <c r="N199" s="166"/>
      <c r="O199" s="156">
        <f>ROUND(H199*N198,2)</f>
        <v>0</v>
      </c>
      <c r="P199" s="166"/>
      <c r="Q199" s="156">
        <f>ROUND(H199*P198,2)</f>
        <v>0</v>
      </c>
      <c r="R199" s="166"/>
      <c r="S199" s="156">
        <f>ROUND(H199*R198,2)</f>
        <v>0</v>
      </c>
      <c r="T199" s="34"/>
      <c r="U199" s="34"/>
      <c r="V199" s="166"/>
      <c r="W199" s="166"/>
      <c r="X199" s="166"/>
      <c r="Y199" s="156">
        <f>ROUND(H199*X198,2)</f>
        <v>305449033.52999997</v>
      </c>
      <c r="Z199" s="166"/>
      <c r="AA199" s="156">
        <f>ROUND(H199*Z198,2)</f>
        <v>305449033.52999997</v>
      </c>
      <c r="AB199" s="156">
        <f>ROUND(H199*W198,2)</f>
        <v>398527704.02999997</v>
      </c>
    </row>
    <row r="200" spans="1:28" x14ac:dyDescent="0.25">
      <c r="A200" s="168">
        <v>38</v>
      </c>
      <c r="B200" s="84" t="s">
        <v>582</v>
      </c>
      <c r="C200" s="34">
        <v>411</v>
      </c>
      <c r="D200" s="144" t="s">
        <v>59</v>
      </c>
      <c r="E200" s="168" t="s">
        <v>555</v>
      </c>
      <c r="F200" s="34"/>
      <c r="G200" s="169"/>
      <c r="H200" s="60">
        <f>SUM(H201:H218)</f>
        <v>1208.1396999999999</v>
      </c>
      <c r="I200" s="166">
        <v>14000</v>
      </c>
      <c r="J200" s="166">
        <f>ROUND(H200*I200,0)</f>
        <v>16913956</v>
      </c>
      <c r="K200" s="166">
        <f>'Tổng hợp VL,NC,M'!I204</f>
        <v>14000</v>
      </c>
      <c r="L200" s="166">
        <f>ROUND(H200*K200,0)</f>
        <v>16913956</v>
      </c>
      <c r="M200" s="34">
        <v>1</v>
      </c>
      <c r="N200" s="166"/>
      <c r="O200" s="166">
        <f>ROUND(H200*N200,0)</f>
        <v>0</v>
      </c>
      <c r="P200" s="166"/>
      <c r="Q200" s="166">
        <f>ROUND(H200*P200,0)</f>
        <v>0</v>
      </c>
      <c r="R200" s="166"/>
      <c r="S200" s="166">
        <f>ROUND(H200*R200,0)</f>
        <v>0</v>
      </c>
      <c r="T200" s="34"/>
      <c r="U200" s="34"/>
      <c r="V200" s="166">
        <f>ROUND((K200+N200+P200+R200)*(U200+T200),0)</f>
        <v>0</v>
      </c>
      <c r="W200" s="166">
        <f>K200+N200+P200+R200+V200</f>
        <v>14000</v>
      </c>
      <c r="X200" s="166">
        <f>K200-I200</f>
        <v>0</v>
      </c>
      <c r="Y200" s="166">
        <f>ROUND(H200*X200,0)</f>
        <v>0</v>
      </c>
      <c r="Z200" s="166">
        <f>W200-I200</f>
        <v>0</v>
      </c>
      <c r="AA200" s="166">
        <f>ROUND(H200*Z200,0)</f>
        <v>0</v>
      </c>
      <c r="AB200" s="166">
        <f>ROUND(H200*W200,0)</f>
        <v>16913956</v>
      </c>
    </row>
    <row r="201" spans="1:28" ht="30" hidden="1" x14ac:dyDescent="0.25">
      <c r="A201" s="168"/>
      <c r="B201" s="133" t="str">
        <f>'Công trình'!B39</f>
        <v>AI.13111</v>
      </c>
      <c r="C201" s="34"/>
      <c r="D201" s="133" t="str">
        <f>'Công trình'!C39</f>
        <v>Sản xuất cấu kiện thép đặt sẵn trong bê tông, khối lượng &lt;=10kg/cấu kiện</v>
      </c>
      <c r="E201" s="168"/>
      <c r="F201" s="20">
        <v>1</v>
      </c>
      <c r="G201" s="169"/>
      <c r="H201" s="45">
        <f>'Hao phí vật tư'!J293</f>
        <v>0.15390000000000001</v>
      </c>
      <c r="I201" s="166"/>
      <c r="J201" s="156">
        <f>ROUND(H201*I200,2)</f>
        <v>2154.6</v>
      </c>
      <c r="K201" s="166"/>
      <c r="L201" s="156">
        <f>ROUND(H201*K200,2)</f>
        <v>2154.6</v>
      </c>
      <c r="M201" s="34"/>
      <c r="N201" s="166"/>
      <c r="O201" s="156">
        <f>ROUND(H201*N200,2)</f>
        <v>0</v>
      </c>
      <c r="P201" s="166"/>
      <c r="Q201" s="156">
        <f>ROUND(H201*P200,2)</f>
        <v>0</v>
      </c>
      <c r="R201" s="166"/>
      <c r="S201" s="156">
        <f>ROUND(H201*R200,2)</f>
        <v>0</v>
      </c>
      <c r="T201" s="34"/>
      <c r="U201" s="34"/>
      <c r="V201" s="166"/>
      <c r="W201" s="166"/>
      <c r="X201" s="166"/>
      <c r="Y201" s="156">
        <f>ROUND(H201*X200,2)</f>
        <v>0</v>
      </c>
      <c r="Z201" s="166"/>
      <c r="AA201" s="156">
        <f>ROUND(H201*Z200,2)</f>
        <v>0</v>
      </c>
      <c r="AB201" s="156">
        <f>ROUND(H201*W200,2)</f>
        <v>2154.6</v>
      </c>
    </row>
    <row r="202" spans="1:28" ht="30" hidden="1" x14ac:dyDescent="0.25">
      <c r="A202" s="168"/>
      <c r="B202" s="133" t="str">
        <f>'Công trình'!B72</f>
        <v>AI.13111</v>
      </c>
      <c r="C202" s="34"/>
      <c r="D202" s="133" t="str">
        <f>'Công trình'!C72</f>
        <v>Sản xuất cấu kiện thép đặt sẵn trong bê tông, khối lượng &lt;=10kg/cấu kiện</v>
      </c>
      <c r="E202" s="168"/>
      <c r="F202" s="20">
        <v>1</v>
      </c>
      <c r="G202" s="169"/>
      <c r="H202" s="45">
        <f>'Hao phí vật tư'!J549</f>
        <v>16.055</v>
      </c>
      <c r="I202" s="166"/>
      <c r="J202" s="156">
        <f>ROUND(H202*I200,2)</f>
        <v>224770</v>
      </c>
      <c r="K202" s="166"/>
      <c r="L202" s="156">
        <f>ROUND(H202*K200,2)</f>
        <v>224770</v>
      </c>
      <c r="M202" s="34"/>
      <c r="N202" s="166"/>
      <c r="O202" s="156">
        <f>ROUND(H202*N200,2)</f>
        <v>0</v>
      </c>
      <c r="P202" s="166"/>
      <c r="Q202" s="156">
        <f>ROUND(H202*P200,2)</f>
        <v>0</v>
      </c>
      <c r="R202" s="166"/>
      <c r="S202" s="156">
        <f>ROUND(H202*R200,2)</f>
        <v>0</v>
      </c>
      <c r="T202" s="34"/>
      <c r="U202" s="34"/>
      <c r="V202" s="166"/>
      <c r="W202" s="166"/>
      <c r="X202" s="166"/>
      <c r="Y202" s="156">
        <f>ROUND(H202*X200,2)</f>
        <v>0</v>
      </c>
      <c r="Z202" s="166"/>
      <c r="AA202" s="156">
        <f>ROUND(H202*Z200,2)</f>
        <v>0</v>
      </c>
      <c r="AB202" s="156">
        <f>ROUND(H202*W200,2)</f>
        <v>224770</v>
      </c>
    </row>
    <row r="203" spans="1:28" hidden="1" x14ac:dyDescent="0.25">
      <c r="A203" s="168"/>
      <c r="B203" s="133" t="str">
        <f>'Công trình'!B74</f>
        <v>AI.52211</v>
      </c>
      <c r="C203" s="34"/>
      <c r="D203" s="133" t="str">
        <f>'Công trình'!C74</f>
        <v>Sản xuất kết cấu thép hộp nối cọc</v>
      </c>
      <c r="E203" s="168"/>
      <c r="F203" s="20">
        <v>1</v>
      </c>
      <c r="G203" s="169"/>
      <c r="H203" s="45">
        <f>'Hao phí vật tư'!J574</f>
        <v>25.338100000000001</v>
      </c>
      <c r="I203" s="166"/>
      <c r="J203" s="156">
        <f>ROUND(H203*I200,2)</f>
        <v>354733.4</v>
      </c>
      <c r="K203" s="166"/>
      <c r="L203" s="156">
        <f>ROUND(H203*K200,2)</f>
        <v>354733.4</v>
      </c>
      <c r="M203" s="34"/>
      <c r="N203" s="166"/>
      <c r="O203" s="156">
        <f>ROUND(H203*N200,2)</f>
        <v>0</v>
      </c>
      <c r="P203" s="166"/>
      <c r="Q203" s="156">
        <f>ROUND(H203*P200,2)</f>
        <v>0</v>
      </c>
      <c r="R203" s="166"/>
      <c r="S203" s="156">
        <f>ROUND(H203*R200,2)</f>
        <v>0</v>
      </c>
      <c r="T203" s="34"/>
      <c r="U203" s="34"/>
      <c r="V203" s="166"/>
      <c r="W203" s="166"/>
      <c r="X203" s="166"/>
      <c r="Y203" s="156">
        <f>ROUND(H203*X200,2)</f>
        <v>0</v>
      </c>
      <c r="Z203" s="166"/>
      <c r="AA203" s="156">
        <f>ROUND(H203*Z200,2)</f>
        <v>0</v>
      </c>
      <c r="AB203" s="156">
        <f>ROUND(H203*W200,2)</f>
        <v>354733.4</v>
      </c>
    </row>
    <row r="204" spans="1:28" ht="30" hidden="1" x14ac:dyDescent="0.25">
      <c r="A204" s="168"/>
      <c r="B204" s="133" t="str">
        <f>'Công trình'!B83</f>
        <v>AI.13111</v>
      </c>
      <c r="C204" s="34"/>
      <c r="D204" s="133" t="str">
        <f>'Công trình'!C83</f>
        <v>Sản xuất cấu kiện thép đặt sẵn trong bê tông, khối lượng &lt;=10kg/cấu kiện</v>
      </c>
      <c r="E204" s="168"/>
      <c r="F204" s="20">
        <v>1</v>
      </c>
      <c r="G204" s="169"/>
      <c r="H204" s="45">
        <f>'Hao phí vật tư'!J665</f>
        <v>7.5819999999999999</v>
      </c>
      <c r="I204" s="166"/>
      <c r="J204" s="156">
        <f>ROUND(H204*I200,2)</f>
        <v>106148</v>
      </c>
      <c r="K204" s="166"/>
      <c r="L204" s="156">
        <f>ROUND(H204*K200,2)</f>
        <v>106148</v>
      </c>
      <c r="M204" s="34"/>
      <c r="N204" s="166"/>
      <c r="O204" s="156">
        <f>ROUND(H204*N200,2)</f>
        <v>0</v>
      </c>
      <c r="P204" s="166"/>
      <c r="Q204" s="156">
        <f>ROUND(H204*P200,2)</f>
        <v>0</v>
      </c>
      <c r="R204" s="166"/>
      <c r="S204" s="156">
        <f>ROUND(H204*R200,2)</f>
        <v>0</v>
      </c>
      <c r="T204" s="34"/>
      <c r="U204" s="34"/>
      <c r="V204" s="166"/>
      <c r="W204" s="166"/>
      <c r="X204" s="166"/>
      <c r="Y204" s="156">
        <f>ROUND(H204*X200,2)</f>
        <v>0</v>
      </c>
      <c r="Z204" s="166"/>
      <c r="AA204" s="156">
        <f>ROUND(H204*Z200,2)</f>
        <v>0</v>
      </c>
      <c r="AB204" s="156">
        <f>ROUND(H204*W200,2)</f>
        <v>106148</v>
      </c>
    </row>
    <row r="205" spans="1:28" hidden="1" x14ac:dyDescent="0.25">
      <c r="A205" s="168"/>
      <c r="B205" s="133" t="str">
        <f>'Công trình'!B85</f>
        <v>AI.52211</v>
      </c>
      <c r="C205" s="34"/>
      <c r="D205" s="133" t="str">
        <f>'Công trình'!C85</f>
        <v>Sản xuất kết cấu thép hộp nối cọc</v>
      </c>
      <c r="E205" s="168"/>
      <c r="F205" s="20">
        <v>1</v>
      </c>
      <c r="G205" s="169"/>
      <c r="H205" s="45">
        <f>'Hao phí vật tư'!J690</f>
        <v>11.0207</v>
      </c>
      <c r="I205" s="166"/>
      <c r="J205" s="156">
        <f>ROUND(H205*I200,2)</f>
        <v>154289.79999999999</v>
      </c>
      <c r="K205" s="166"/>
      <c r="L205" s="156">
        <f>ROUND(H205*K200,2)</f>
        <v>154289.79999999999</v>
      </c>
      <c r="M205" s="34"/>
      <c r="N205" s="166"/>
      <c r="O205" s="156">
        <f>ROUND(H205*N200,2)</f>
        <v>0</v>
      </c>
      <c r="P205" s="166"/>
      <c r="Q205" s="156">
        <f>ROUND(H205*P200,2)</f>
        <v>0</v>
      </c>
      <c r="R205" s="166"/>
      <c r="S205" s="156">
        <f>ROUND(H205*R200,2)</f>
        <v>0</v>
      </c>
      <c r="T205" s="34"/>
      <c r="U205" s="34"/>
      <c r="V205" s="166"/>
      <c r="W205" s="166"/>
      <c r="X205" s="166"/>
      <c r="Y205" s="156">
        <f>ROUND(H205*X200,2)</f>
        <v>0</v>
      </c>
      <c r="Z205" s="166"/>
      <c r="AA205" s="156">
        <f>ROUND(H205*Z200,2)</f>
        <v>0</v>
      </c>
      <c r="AB205" s="156">
        <f>ROUND(H205*W200,2)</f>
        <v>154289.79999999999</v>
      </c>
    </row>
    <row r="206" spans="1:28" ht="30" hidden="1" x14ac:dyDescent="0.25">
      <c r="A206" s="168"/>
      <c r="B206" s="133" t="str">
        <f>'Công trình'!B105</f>
        <v>AI.11131</v>
      </c>
      <c r="C206" s="34"/>
      <c r="D206" s="133" t="str">
        <f>'Công trình'!C105</f>
        <v>Khấu hao cọc dẫn bằng thép hình (đóng nhổ 40 lần trong 1 tháng)</v>
      </c>
      <c r="E206" s="168"/>
      <c r="F206" s="20">
        <v>1</v>
      </c>
      <c r="G206" s="169"/>
      <c r="H206" s="45">
        <f>'Hao phí vật tư'!J845</f>
        <v>0</v>
      </c>
      <c r="I206" s="166"/>
      <c r="J206" s="156">
        <f>ROUND(H206*I200,2)</f>
        <v>0</v>
      </c>
      <c r="K206" s="166"/>
      <c r="L206" s="156">
        <f>ROUND(H206*K200,2)</f>
        <v>0</v>
      </c>
      <c r="M206" s="34"/>
      <c r="N206" s="166"/>
      <c r="O206" s="156">
        <f>ROUND(H206*N200,2)</f>
        <v>0</v>
      </c>
      <c r="P206" s="166"/>
      <c r="Q206" s="156">
        <f>ROUND(H206*P200,2)</f>
        <v>0</v>
      </c>
      <c r="R206" s="166"/>
      <c r="S206" s="156">
        <f>ROUND(H206*R200,2)</f>
        <v>0</v>
      </c>
      <c r="T206" s="34"/>
      <c r="U206" s="34"/>
      <c r="V206" s="166"/>
      <c r="W206" s="166"/>
      <c r="X206" s="166"/>
      <c r="Y206" s="156">
        <f>ROUND(H206*X200,2)</f>
        <v>0</v>
      </c>
      <c r="Z206" s="166"/>
      <c r="AA206" s="156">
        <f>ROUND(H206*Z200,2)</f>
        <v>0</v>
      </c>
      <c r="AB206" s="156">
        <f>ROUND(H206*W200,2)</f>
        <v>0</v>
      </c>
    </row>
    <row r="207" spans="1:28" hidden="1" x14ac:dyDescent="0.25">
      <c r="A207" s="168"/>
      <c r="B207" s="133" t="str">
        <f>'Công trình'!B109</f>
        <v>AI.11912</v>
      </c>
      <c r="C207" s="34"/>
      <c r="D207" s="133" t="str">
        <f>'Công trình'!C109</f>
        <v>Sản xuất hệ sàn đạo, sàn thao tác</v>
      </c>
      <c r="E207" s="168"/>
      <c r="F207" s="20">
        <v>1</v>
      </c>
      <c r="G207" s="169"/>
      <c r="H207" s="45">
        <f>'Hao phí vật tư'!J866</f>
        <v>21.220099999999999</v>
      </c>
      <c r="I207" s="166"/>
      <c r="J207" s="156">
        <f>ROUND(H207*I200,2)</f>
        <v>297081.40000000002</v>
      </c>
      <c r="K207" s="166"/>
      <c r="L207" s="156">
        <f>ROUND(H207*K200,2)</f>
        <v>297081.40000000002</v>
      </c>
      <c r="M207" s="34"/>
      <c r="N207" s="166"/>
      <c r="O207" s="156">
        <f>ROUND(H207*N200,2)</f>
        <v>0</v>
      </c>
      <c r="P207" s="166"/>
      <c r="Q207" s="156">
        <f>ROUND(H207*P200,2)</f>
        <v>0</v>
      </c>
      <c r="R207" s="166"/>
      <c r="S207" s="156">
        <f>ROUND(H207*R200,2)</f>
        <v>0</v>
      </c>
      <c r="T207" s="34"/>
      <c r="U207" s="34"/>
      <c r="V207" s="166"/>
      <c r="W207" s="166"/>
      <c r="X207" s="166"/>
      <c r="Y207" s="156">
        <f>ROUND(H207*X200,2)</f>
        <v>0</v>
      </c>
      <c r="Z207" s="166"/>
      <c r="AA207" s="156">
        <f>ROUND(H207*Z200,2)</f>
        <v>0</v>
      </c>
      <c r="AB207" s="156">
        <f>ROUND(H207*W200,2)</f>
        <v>297081.40000000002</v>
      </c>
    </row>
    <row r="208" spans="1:28" ht="30" hidden="1" x14ac:dyDescent="0.25">
      <c r="A208" s="168"/>
      <c r="B208" s="133" t="str">
        <f>'Công trình'!B110</f>
        <v>TT</v>
      </c>
      <c r="C208" s="34"/>
      <c r="D208" s="133" t="str">
        <f>'Công trình'!C110</f>
        <v>Khấu hao hệ sàn đạo, sàn thao tác (Thi công trong vòng 1 tháng và 5 lần đóng nhổ)</v>
      </c>
      <c r="E208" s="168"/>
      <c r="F208" s="20">
        <v>1</v>
      </c>
      <c r="G208" s="169"/>
      <c r="H208" s="45">
        <f>'Hao phí vật tư'!J880</f>
        <v>0</v>
      </c>
      <c r="I208" s="166"/>
      <c r="J208" s="156">
        <f>ROUND(H208*I200,2)</f>
        <v>0</v>
      </c>
      <c r="K208" s="166"/>
      <c r="L208" s="156">
        <f>ROUND(H208*K200,2)</f>
        <v>0</v>
      </c>
      <c r="M208" s="34"/>
      <c r="N208" s="166"/>
      <c r="O208" s="156">
        <f>ROUND(H208*N200,2)</f>
        <v>0</v>
      </c>
      <c r="P208" s="166"/>
      <c r="Q208" s="156">
        <f>ROUND(H208*P200,2)</f>
        <v>0</v>
      </c>
      <c r="R208" s="166"/>
      <c r="S208" s="156">
        <f>ROUND(H208*R200,2)</f>
        <v>0</v>
      </c>
      <c r="T208" s="34"/>
      <c r="U208" s="34"/>
      <c r="V208" s="166"/>
      <c r="W208" s="166"/>
      <c r="X208" s="166"/>
      <c r="Y208" s="156">
        <f>ROUND(H208*X200,2)</f>
        <v>0</v>
      </c>
      <c r="Z208" s="166"/>
      <c r="AA208" s="156">
        <f>ROUND(H208*Z200,2)</f>
        <v>0</v>
      </c>
      <c r="AB208" s="156">
        <f>ROUND(H208*W200,2)</f>
        <v>0</v>
      </c>
    </row>
    <row r="209" spans="1:28" hidden="1" x14ac:dyDescent="0.25">
      <c r="A209" s="168"/>
      <c r="B209" s="133" t="str">
        <f>'Công trình'!B104</f>
        <v>AI.11131</v>
      </c>
      <c r="C209" s="34"/>
      <c r="D209" s="133" t="str">
        <f>'Công trình'!C104</f>
        <v>Sản xuất cọc dẫn bằng thép hình</v>
      </c>
      <c r="E209" s="168"/>
      <c r="F209" s="20">
        <v>1</v>
      </c>
      <c r="G209" s="169"/>
      <c r="H209" s="45">
        <f>'Hao phí vật tư'!J829</f>
        <v>14.5412</v>
      </c>
      <c r="I209" s="166"/>
      <c r="J209" s="156">
        <f>ROUND(H209*I200,2)</f>
        <v>203576.8</v>
      </c>
      <c r="K209" s="166"/>
      <c r="L209" s="156">
        <f>ROUND(H209*K200,2)</f>
        <v>203576.8</v>
      </c>
      <c r="M209" s="34"/>
      <c r="N209" s="166"/>
      <c r="O209" s="156">
        <f>ROUND(H209*N200,2)</f>
        <v>0</v>
      </c>
      <c r="P209" s="166"/>
      <c r="Q209" s="156">
        <f>ROUND(H209*P200,2)</f>
        <v>0</v>
      </c>
      <c r="R209" s="166"/>
      <c r="S209" s="156">
        <f>ROUND(H209*R200,2)</f>
        <v>0</v>
      </c>
      <c r="T209" s="34"/>
      <c r="U209" s="34"/>
      <c r="V209" s="166"/>
      <c r="W209" s="166"/>
      <c r="X209" s="166"/>
      <c r="Y209" s="156">
        <f>ROUND(H209*X200,2)</f>
        <v>0</v>
      </c>
      <c r="Z209" s="166"/>
      <c r="AA209" s="156">
        <f>ROUND(H209*Z200,2)</f>
        <v>0</v>
      </c>
      <c r="AB209" s="156">
        <f>ROUND(H209*W200,2)</f>
        <v>203576.8</v>
      </c>
    </row>
    <row r="210" spans="1:28" hidden="1" x14ac:dyDescent="0.25">
      <c r="A210" s="168"/>
      <c r="B210" s="133" t="str">
        <f>'Công trình'!B120</f>
        <v>AI.11912</v>
      </c>
      <c r="C210" s="34"/>
      <c r="D210" s="133" t="str">
        <f>'Công trình'!C120</f>
        <v>Sản xuất hệ sàn đạo, sàn thao tác</v>
      </c>
      <c r="E210" s="168"/>
      <c r="F210" s="20">
        <v>1</v>
      </c>
      <c r="G210" s="169"/>
      <c r="H210" s="45">
        <f>'Hao phí vật tư'!J938</f>
        <v>43.726199999999999</v>
      </c>
      <c r="I210" s="166"/>
      <c r="J210" s="156">
        <f>ROUND(H210*I200,2)</f>
        <v>612166.80000000005</v>
      </c>
      <c r="K210" s="166"/>
      <c r="L210" s="156">
        <f>ROUND(H210*K200,2)</f>
        <v>612166.80000000005</v>
      </c>
      <c r="M210" s="34"/>
      <c r="N210" s="166"/>
      <c r="O210" s="156">
        <f>ROUND(H210*N200,2)</f>
        <v>0</v>
      </c>
      <c r="P210" s="166"/>
      <c r="Q210" s="156">
        <f>ROUND(H210*P200,2)</f>
        <v>0</v>
      </c>
      <c r="R210" s="166"/>
      <c r="S210" s="156">
        <f>ROUND(H210*R200,2)</f>
        <v>0</v>
      </c>
      <c r="T210" s="34"/>
      <c r="U210" s="34"/>
      <c r="V210" s="166"/>
      <c r="W210" s="166"/>
      <c r="X210" s="166"/>
      <c r="Y210" s="156">
        <f>ROUND(H210*X200,2)</f>
        <v>0</v>
      </c>
      <c r="Z210" s="166"/>
      <c r="AA210" s="156">
        <f>ROUND(H210*Z200,2)</f>
        <v>0</v>
      </c>
      <c r="AB210" s="156">
        <f>ROUND(H210*W200,2)</f>
        <v>612166.80000000005</v>
      </c>
    </row>
    <row r="211" spans="1:28" ht="30" hidden="1" x14ac:dyDescent="0.25">
      <c r="A211" s="168"/>
      <c r="B211" s="133" t="str">
        <f>'Công trình'!B121</f>
        <v>TT</v>
      </c>
      <c r="C211" s="34"/>
      <c r="D211" s="133" t="str">
        <f>'Công trình'!C121</f>
        <v>Khấu hao hệ sàn đạo, sàn thao tác (Thi công trong vòng 1 tháng và 4 lần đóng nhổ)</v>
      </c>
      <c r="E211" s="168"/>
      <c r="F211" s="20">
        <v>1</v>
      </c>
      <c r="G211" s="169"/>
      <c r="H211" s="45">
        <f>'Hao phí vật tư'!J952</f>
        <v>0</v>
      </c>
      <c r="I211" s="166"/>
      <c r="J211" s="156">
        <f>ROUND(H211*I200,2)</f>
        <v>0</v>
      </c>
      <c r="K211" s="166"/>
      <c r="L211" s="156">
        <f>ROUND(H211*K200,2)</f>
        <v>0</v>
      </c>
      <c r="M211" s="34"/>
      <c r="N211" s="166"/>
      <c r="O211" s="156">
        <f>ROUND(H211*N200,2)</f>
        <v>0</v>
      </c>
      <c r="P211" s="166"/>
      <c r="Q211" s="156">
        <f>ROUND(H211*P200,2)</f>
        <v>0</v>
      </c>
      <c r="R211" s="166"/>
      <c r="S211" s="156">
        <f>ROUND(H211*R200,2)</f>
        <v>0</v>
      </c>
      <c r="T211" s="34"/>
      <c r="U211" s="34"/>
      <c r="V211" s="166"/>
      <c r="W211" s="166"/>
      <c r="X211" s="166"/>
      <c r="Y211" s="156">
        <f>ROUND(H211*X200,2)</f>
        <v>0</v>
      </c>
      <c r="Z211" s="166"/>
      <c r="AA211" s="156">
        <f>ROUND(H211*Z200,2)</f>
        <v>0</v>
      </c>
      <c r="AB211" s="156">
        <f>ROUND(H211*W200,2)</f>
        <v>0</v>
      </c>
    </row>
    <row r="212" spans="1:28" hidden="1" x14ac:dyDescent="0.25">
      <c r="A212" s="168"/>
      <c r="B212" s="133" t="str">
        <f>'Công trình'!B136</f>
        <v>AI.11912</v>
      </c>
      <c r="C212" s="34"/>
      <c r="D212" s="133" t="str">
        <f>'Công trình'!C136</f>
        <v>Sản xuất hệ sàn đạo, sàn thao tác</v>
      </c>
      <c r="E212" s="168"/>
      <c r="F212" s="20">
        <v>1</v>
      </c>
      <c r="G212" s="169"/>
      <c r="H212" s="45">
        <f>'Hao phí vật tư'!J1039</f>
        <v>692.3818</v>
      </c>
      <c r="I212" s="166"/>
      <c r="J212" s="156">
        <f>ROUND(H212*I200,2)</f>
        <v>9693345.1999999993</v>
      </c>
      <c r="K212" s="166"/>
      <c r="L212" s="156">
        <f>ROUND(H212*K200,2)</f>
        <v>9693345.1999999993</v>
      </c>
      <c r="M212" s="34"/>
      <c r="N212" s="166"/>
      <c r="O212" s="156">
        <f>ROUND(H212*N200,2)</f>
        <v>0</v>
      </c>
      <c r="P212" s="166"/>
      <c r="Q212" s="156">
        <f>ROUND(H212*P200,2)</f>
        <v>0</v>
      </c>
      <c r="R212" s="166"/>
      <c r="S212" s="156">
        <f>ROUND(H212*R200,2)</f>
        <v>0</v>
      </c>
      <c r="T212" s="34"/>
      <c r="U212" s="34"/>
      <c r="V212" s="166"/>
      <c r="W212" s="166"/>
      <c r="X212" s="166"/>
      <c r="Y212" s="156">
        <f>ROUND(H212*X200,2)</f>
        <v>0</v>
      </c>
      <c r="Z212" s="166"/>
      <c r="AA212" s="156">
        <f>ROUND(H212*Z200,2)</f>
        <v>0</v>
      </c>
      <c r="AB212" s="156">
        <f>ROUND(H212*W200,2)</f>
        <v>9693345.1999999993</v>
      </c>
    </row>
    <row r="213" spans="1:28" ht="30" hidden="1" x14ac:dyDescent="0.25">
      <c r="A213" s="168"/>
      <c r="B213" s="133" t="str">
        <f>'Công trình'!B137</f>
        <v>TT</v>
      </c>
      <c r="C213" s="34"/>
      <c r="D213" s="133" t="str">
        <f>'Công trình'!C137</f>
        <v>Khấu hao hệ sàn đạo, sàn thao tác (Thi công trong vòng 3 tháng và 1 lần đóng nhổ)</v>
      </c>
      <c r="E213" s="168"/>
      <c r="F213" s="20">
        <v>1</v>
      </c>
      <c r="G213" s="169"/>
      <c r="H213" s="45">
        <f>'Hao phí vật tư'!J1053</f>
        <v>0</v>
      </c>
      <c r="I213" s="166"/>
      <c r="J213" s="156">
        <f>ROUND(H213*I200,2)</f>
        <v>0</v>
      </c>
      <c r="K213" s="166"/>
      <c r="L213" s="156">
        <f>ROUND(H213*K200,2)</f>
        <v>0</v>
      </c>
      <c r="M213" s="34"/>
      <c r="N213" s="166"/>
      <c r="O213" s="156">
        <f>ROUND(H213*N200,2)</f>
        <v>0</v>
      </c>
      <c r="P213" s="166"/>
      <c r="Q213" s="156">
        <f>ROUND(H213*P200,2)</f>
        <v>0</v>
      </c>
      <c r="R213" s="166"/>
      <c r="S213" s="156">
        <f>ROUND(H213*R200,2)</f>
        <v>0</v>
      </c>
      <c r="T213" s="34"/>
      <c r="U213" s="34"/>
      <c r="V213" s="166"/>
      <c r="W213" s="166"/>
      <c r="X213" s="166"/>
      <c r="Y213" s="156">
        <f>ROUND(H213*X200,2)</f>
        <v>0</v>
      </c>
      <c r="Z213" s="166"/>
      <c r="AA213" s="156">
        <f>ROUND(H213*Z200,2)</f>
        <v>0</v>
      </c>
      <c r="AB213" s="156">
        <f>ROUND(H213*W200,2)</f>
        <v>0</v>
      </c>
    </row>
    <row r="214" spans="1:28" hidden="1" x14ac:dyDescent="0.25">
      <c r="A214" s="168"/>
      <c r="B214" s="133" t="str">
        <f>'Công trình'!B147</f>
        <v>AI.11411</v>
      </c>
      <c r="C214" s="34"/>
      <c r="D214" s="133" t="str">
        <f>'Công trình'!C147</f>
        <v>Sản xuất thang sắt</v>
      </c>
      <c r="E214" s="168"/>
      <c r="F214" s="20">
        <v>1</v>
      </c>
      <c r="G214" s="169"/>
      <c r="H214" s="45">
        <f>'Hao phí vật tư'!J1114</f>
        <v>0.14299999999999999</v>
      </c>
      <c r="I214" s="166"/>
      <c r="J214" s="156">
        <f>ROUND(H214*I200,2)</f>
        <v>2002</v>
      </c>
      <c r="K214" s="166"/>
      <c r="L214" s="156">
        <f>ROUND(H214*K200,2)</f>
        <v>2002</v>
      </c>
      <c r="M214" s="34"/>
      <c r="N214" s="166"/>
      <c r="O214" s="156">
        <f>ROUND(H214*N200,2)</f>
        <v>0</v>
      </c>
      <c r="P214" s="166"/>
      <c r="Q214" s="156">
        <f>ROUND(H214*P200,2)</f>
        <v>0</v>
      </c>
      <c r="R214" s="166"/>
      <c r="S214" s="156">
        <f>ROUND(H214*R200,2)</f>
        <v>0</v>
      </c>
      <c r="T214" s="34"/>
      <c r="U214" s="34"/>
      <c r="V214" s="166"/>
      <c r="W214" s="166"/>
      <c r="X214" s="166"/>
      <c r="Y214" s="156">
        <f>ROUND(H214*X200,2)</f>
        <v>0</v>
      </c>
      <c r="Z214" s="166"/>
      <c r="AA214" s="156">
        <f>ROUND(H214*Z200,2)</f>
        <v>0</v>
      </c>
      <c r="AB214" s="156">
        <f>ROUND(H214*W200,2)</f>
        <v>2002</v>
      </c>
    </row>
    <row r="215" spans="1:28" ht="30" hidden="1" x14ac:dyDescent="0.25">
      <c r="A215" s="168"/>
      <c r="B215" s="133" t="str">
        <f>'Công trình'!B158</f>
        <v>TT</v>
      </c>
      <c r="C215" s="34"/>
      <c r="D215" s="133" t="str">
        <f>'Công trình'!C158</f>
        <v>Khấu hao hệ sàn đạo, sàn thao tác (Thi công trong vòng 3 tháng và 1 lần đóng nhổ)</v>
      </c>
      <c r="E215" s="168"/>
      <c r="F215" s="20">
        <v>1</v>
      </c>
      <c r="G215" s="169"/>
      <c r="H215" s="45">
        <f>'Hao phí vật tư'!J1202</f>
        <v>0</v>
      </c>
      <c r="I215" s="166"/>
      <c r="J215" s="156">
        <f>ROUND(H215*I200,2)</f>
        <v>0</v>
      </c>
      <c r="K215" s="166"/>
      <c r="L215" s="156">
        <f>ROUND(H215*K200,2)</f>
        <v>0</v>
      </c>
      <c r="M215" s="34"/>
      <c r="N215" s="166"/>
      <c r="O215" s="156">
        <f>ROUND(H215*N200,2)</f>
        <v>0</v>
      </c>
      <c r="P215" s="166"/>
      <c r="Q215" s="156">
        <f>ROUND(H215*P200,2)</f>
        <v>0</v>
      </c>
      <c r="R215" s="166"/>
      <c r="S215" s="156">
        <f>ROUND(H215*R200,2)</f>
        <v>0</v>
      </c>
      <c r="T215" s="34"/>
      <c r="U215" s="34"/>
      <c r="V215" s="166"/>
      <c r="W215" s="166"/>
      <c r="X215" s="166"/>
      <c r="Y215" s="156">
        <f>ROUND(H215*X200,2)</f>
        <v>0</v>
      </c>
      <c r="Z215" s="166"/>
      <c r="AA215" s="156">
        <f>ROUND(H215*Z200,2)</f>
        <v>0</v>
      </c>
      <c r="AB215" s="156">
        <f>ROUND(H215*W200,2)</f>
        <v>0</v>
      </c>
    </row>
    <row r="216" spans="1:28" hidden="1" x14ac:dyDescent="0.25">
      <c r="A216" s="168"/>
      <c r="B216" s="133" t="str">
        <f>'Công trình'!B157</f>
        <v>AI.11912</v>
      </c>
      <c r="C216" s="34"/>
      <c r="D216" s="133" t="str">
        <f>'Công trình'!C157</f>
        <v>Sản xuất cầu công tác</v>
      </c>
      <c r="E216" s="168"/>
      <c r="F216" s="20">
        <v>1</v>
      </c>
      <c r="G216" s="169"/>
      <c r="H216" s="45">
        <f>'Hao phí vật tư'!J1188</f>
        <v>337.5532</v>
      </c>
      <c r="I216" s="166"/>
      <c r="J216" s="156">
        <f>ROUND(H216*I200,2)</f>
        <v>4725744.8</v>
      </c>
      <c r="K216" s="166"/>
      <c r="L216" s="156">
        <f>ROUND(H216*K200,2)</f>
        <v>4725744.8</v>
      </c>
      <c r="M216" s="34"/>
      <c r="N216" s="166"/>
      <c r="O216" s="156">
        <f>ROUND(H216*N200,2)</f>
        <v>0</v>
      </c>
      <c r="P216" s="166"/>
      <c r="Q216" s="156">
        <f>ROUND(H216*P200,2)</f>
        <v>0</v>
      </c>
      <c r="R216" s="166"/>
      <c r="S216" s="156">
        <f>ROUND(H216*R200,2)</f>
        <v>0</v>
      </c>
      <c r="T216" s="34"/>
      <c r="U216" s="34"/>
      <c r="V216" s="166"/>
      <c r="W216" s="166"/>
      <c r="X216" s="166"/>
      <c r="Y216" s="156">
        <f>ROUND(H216*X200,2)</f>
        <v>0</v>
      </c>
      <c r="Z216" s="166"/>
      <c r="AA216" s="156">
        <f>ROUND(H216*Z200,2)</f>
        <v>0</v>
      </c>
      <c r="AB216" s="156">
        <f>ROUND(H216*W200,2)</f>
        <v>4725744.8</v>
      </c>
    </row>
    <row r="217" spans="1:28" ht="30" hidden="1" x14ac:dyDescent="0.25">
      <c r="A217" s="168"/>
      <c r="B217" s="133" t="str">
        <f>'Công trình'!B229</f>
        <v>AI.13111</v>
      </c>
      <c r="C217" s="34"/>
      <c r="D217" s="133" t="str">
        <f>'Công trình'!C229</f>
        <v>Sản xuất cấu kiện thép đặt sẵn trong bê tông, khối lượng &lt;=10kg/cấu kiện</v>
      </c>
      <c r="E217" s="168"/>
      <c r="F217" s="20">
        <v>1</v>
      </c>
      <c r="G217" s="169"/>
      <c r="H217" s="45">
        <f>'Hao phí vật tư'!J1725</f>
        <v>14.6698</v>
      </c>
      <c r="I217" s="166"/>
      <c r="J217" s="156">
        <f>ROUND(H217*I200,2)</f>
        <v>205377.2</v>
      </c>
      <c r="K217" s="166"/>
      <c r="L217" s="156">
        <f>ROUND(H217*K200,2)</f>
        <v>205377.2</v>
      </c>
      <c r="M217" s="34"/>
      <c r="N217" s="166"/>
      <c r="O217" s="156">
        <f>ROUND(H217*N200,2)</f>
        <v>0</v>
      </c>
      <c r="P217" s="166"/>
      <c r="Q217" s="156">
        <f>ROUND(H217*P200,2)</f>
        <v>0</v>
      </c>
      <c r="R217" s="166"/>
      <c r="S217" s="156">
        <f>ROUND(H217*R200,2)</f>
        <v>0</v>
      </c>
      <c r="T217" s="34"/>
      <c r="U217" s="34"/>
      <c r="V217" s="166"/>
      <c r="W217" s="166"/>
      <c r="X217" s="166"/>
      <c r="Y217" s="156">
        <f>ROUND(H217*X200,2)</f>
        <v>0</v>
      </c>
      <c r="Z217" s="166"/>
      <c r="AA217" s="156">
        <f>ROUND(H217*Z200,2)</f>
        <v>0</v>
      </c>
      <c r="AB217" s="156">
        <f>ROUND(H217*W200,2)</f>
        <v>205377.2</v>
      </c>
    </row>
    <row r="218" spans="1:28" hidden="1" x14ac:dyDescent="0.25">
      <c r="A218" s="168"/>
      <c r="B218" s="133" t="str">
        <f>'Công trình'!B231</f>
        <v>AI.52211</v>
      </c>
      <c r="C218" s="34"/>
      <c r="D218" s="133" t="str">
        <f>'Công trình'!C231</f>
        <v>Thép hình hộp nối cọc</v>
      </c>
      <c r="E218" s="168"/>
      <c r="F218" s="20">
        <v>1</v>
      </c>
      <c r="G218" s="169"/>
      <c r="H218" s="45">
        <f>'Hao phí vật tư'!J1750</f>
        <v>23.7547</v>
      </c>
      <c r="I218" s="166"/>
      <c r="J218" s="156">
        <f>ROUND(H218*I200,2)</f>
        <v>332565.8</v>
      </c>
      <c r="K218" s="166"/>
      <c r="L218" s="156">
        <f>ROUND(H218*K200,2)</f>
        <v>332565.8</v>
      </c>
      <c r="M218" s="34"/>
      <c r="N218" s="166"/>
      <c r="O218" s="156">
        <f>ROUND(H218*N200,2)</f>
        <v>0</v>
      </c>
      <c r="P218" s="166"/>
      <c r="Q218" s="156">
        <f>ROUND(H218*P200,2)</f>
        <v>0</v>
      </c>
      <c r="R218" s="166"/>
      <c r="S218" s="156">
        <f>ROUND(H218*R200,2)</f>
        <v>0</v>
      </c>
      <c r="T218" s="34"/>
      <c r="U218" s="34"/>
      <c r="V218" s="166"/>
      <c r="W218" s="166"/>
      <c r="X218" s="166"/>
      <c r="Y218" s="156">
        <f>ROUND(H218*X200,2)</f>
        <v>0</v>
      </c>
      <c r="Z218" s="166"/>
      <c r="AA218" s="156">
        <f>ROUND(H218*Z200,2)</f>
        <v>0</v>
      </c>
      <c r="AB218" s="156">
        <f>ROUND(H218*W200,2)</f>
        <v>332565.8</v>
      </c>
    </row>
    <row r="219" spans="1:28" x14ac:dyDescent="0.25">
      <c r="A219" s="168">
        <v>39</v>
      </c>
      <c r="B219" s="84" t="s">
        <v>1081</v>
      </c>
      <c r="C219" s="34">
        <v>134</v>
      </c>
      <c r="D219" s="144" t="s">
        <v>626</v>
      </c>
      <c r="E219" s="168" t="s">
        <v>555</v>
      </c>
      <c r="F219" s="34"/>
      <c r="G219" s="169"/>
      <c r="H219" s="60">
        <f>SUM(H220:H220)</f>
        <v>0.46</v>
      </c>
      <c r="I219" s="166">
        <v>14000</v>
      </c>
      <c r="J219" s="166">
        <f>ROUND(H219*I219,0)</f>
        <v>6440</v>
      </c>
      <c r="K219" s="166">
        <f>'Tổng hợp VL,NC,M'!I229</f>
        <v>14000</v>
      </c>
      <c r="L219" s="166">
        <f>ROUND(H219*K219,0)</f>
        <v>6440</v>
      </c>
      <c r="M219" s="34">
        <v>1</v>
      </c>
      <c r="N219" s="166"/>
      <c r="O219" s="166">
        <f>ROUND(H219*N219,0)</f>
        <v>0</v>
      </c>
      <c r="P219" s="166"/>
      <c r="Q219" s="166">
        <f>ROUND(H219*P219,0)</f>
        <v>0</v>
      </c>
      <c r="R219" s="166"/>
      <c r="S219" s="166">
        <f>ROUND(H219*R219,0)</f>
        <v>0</v>
      </c>
      <c r="T219" s="34"/>
      <c r="U219" s="34"/>
      <c r="V219" s="166">
        <f>ROUND((K219+N219+P219+R219)*(U219+T219),0)</f>
        <v>0</v>
      </c>
      <c r="W219" s="166">
        <f>K219+N219+P219+R219+V219</f>
        <v>14000</v>
      </c>
      <c r="X219" s="166">
        <f>K219-I219</f>
        <v>0</v>
      </c>
      <c r="Y219" s="166">
        <f>ROUND(H219*X219,0)</f>
        <v>0</v>
      </c>
      <c r="Z219" s="166">
        <f>W219-I219</f>
        <v>0</v>
      </c>
      <c r="AA219" s="166">
        <f>ROUND(H219*Z219,0)</f>
        <v>0</v>
      </c>
      <c r="AB219" s="166">
        <f>ROUND(H219*W219,0)</f>
        <v>6440</v>
      </c>
    </row>
    <row r="220" spans="1:28" ht="30" hidden="1" x14ac:dyDescent="0.25">
      <c r="A220" s="168"/>
      <c r="B220" s="133" t="str">
        <f>'Công trình'!B99</f>
        <v>TT</v>
      </c>
      <c r="C220" s="34"/>
      <c r="D220" s="133" t="str">
        <f>'Công trình'!C99</f>
        <v>Đắp đê quây bằng bao tải cát (VD định mức đắp bao tải đất theo QĐ số 4416/QĐ-BGTVT)</v>
      </c>
      <c r="E220" s="168"/>
      <c r="F220" s="20">
        <v>1</v>
      </c>
      <c r="G220" s="169"/>
      <c r="H220" s="45">
        <f>'Hao phí vật tư'!J804</f>
        <v>0.46</v>
      </c>
      <c r="I220" s="166"/>
      <c r="J220" s="156">
        <f>ROUND(H220*I219,2)</f>
        <v>6440</v>
      </c>
      <c r="K220" s="166"/>
      <c r="L220" s="156">
        <f>ROUND(H220*K219,2)</f>
        <v>6440</v>
      </c>
      <c r="M220" s="34"/>
      <c r="N220" s="166"/>
      <c r="O220" s="156">
        <f>ROUND(H220*N219,2)</f>
        <v>0</v>
      </c>
      <c r="P220" s="166"/>
      <c r="Q220" s="156">
        <f>ROUND(H220*P219,2)</f>
        <v>0</v>
      </c>
      <c r="R220" s="166"/>
      <c r="S220" s="156">
        <f>ROUND(H220*R219,2)</f>
        <v>0</v>
      </c>
      <c r="T220" s="34"/>
      <c r="U220" s="34"/>
      <c r="V220" s="166"/>
      <c r="W220" s="166"/>
      <c r="X220" s="166"/>
      <c r="Y220" s="156">
        <f>ROUND(H220*X219,2)</f>
        <v>0</v>
      </c>
      <c r="Z220" s="166"/>
      <c r="AA220" s="156">
        <f>ROUND(H220*Z219,2)</f>
        <v>0</v>
      </c>
      <c r="AB220" s="156">
        <f>ROUND(H220*W219,2)</f>
        <v>6440</v>
      </c>
    </row>
    <row r="221" spans="1:28" x14ac:dyDescent="0.25">
      <c r="A221" s="168">
        <v>40</v>
      </c>
      <c r="B221" s="84" t="s">
        <v>281</v>
      </c>
      <c r="C221" s="34">
        <v>135</v>
      </c>
      <c r="D221" s="144" t="s">
        <v>343</v>
      </c>
      <c r="E221" s="168" t="s">
        <v>555</v>
      </c>
      <c r="F221" s="34"/>
      <c r="G221" s="169"/>
      <c r="H221" s="60">
        <f>SUM(H222:H261)</f>
        <v>1473.8676999999998</v>
      </c>
      <c r="I221" s="166">
        <v>17500</v>
      </c>
      <c r="J221" s="166">
        <f>ROUND(H221*I221,0)</f>
        <v>25792685</v>
      </c>
      <c r="K221" s="166">
        <f>'Tổng hợp VL,NC,M'!I231</f>
        <v>17500</v>
      </c>
      <c r="L221" s="166">
        <f>ROUND(H221*K221,0)</f>
        <v>25792685</v>
      </c>
      <c r="M221" s="34">
        <v>1</v>
      </c>
      <c r="N221" s="166"/>
      <c r="O221" s="166">
        <f>ROUND(H221*N221,0)</f>
        <v>0</v>
      </c>
      <c r="P221" s="166"/>
      <c r="Q221" s="166">
        <f>ROUND(H221*P221,0)</f>
        <v>0</v>
      </c>
      <c r="R221" s="166"/>
      <c r="S221" s="166">
        <f>ROUND(H221*R221,0)</f>
        <v>0</v>
      </c>
      <c r="T221" s="34"/>
      <c r="U221" s="34"/>
      <c r="V221" s="166">
        <f>ROUND((K221+N221+P221+R221)*(U221+T221),0)</f>
        <v>0</v>
      </c>
      <c r="W221" s="166">
        <f>K221+N221+P221+R221+V221</f>
        <v>17500</v>
      </c>
      <c r="X221" s="166">
        <f>K221-I221</f>
        <v>0</v>
      </c>
      <c r="Y221" s="166">
        <f>ROUND(H221*X221,0)</f>
        <v>0</v>
      </c>
      <c r="Z221" s="166">
        <f>W221-I221</f>
        <v>0</v>
      </c>
      <c r="AA221" s="166">
        <f>ROUND(H221*Z221,0)</f>
        <v>0</v>
      </c>
      <c r="AB221" s="166">
        <f>ROUND(H221*W221,0)</f>
        <v>25792685</v>
      </c>
    </row>
    <row r="222" spans="1:28" ht="30" hidden="1" x14ac:dyDescent="0.25">
      <c r="A222" s="168"/>
      <c r="B222" s="133" t="str">
        <f>'Công trình'!B11</f>
        <v>AF.61120</v>
      </c>
      <c r="C222" s="34"/>
      <c r="D222" s="133" t="str">
        <f>'Công trình'!C11</f>
        <v>Sản xuất, lắp dựng cốt thép móng đường kính &lt;=18mm</v>
      </c>
      <c r="E222" s="168"/>
      <c r="F222" s="20">
        <v>1</v>
      </c>
      <c r="G222" s="169"/>
      <c r="H222" s="45">
        <f>'Hao phí vật tư'!J64</f>
        <v>129.1755</v>
      </c>
      <c r="I222" s="166"/>
      <c r="J222" s="156">
        <f>ROUND(H222*I221,2)</f>
        <v>2260571.25</v>
      </c>
      <c r="K222" s="166"/>
      <c r="L222" s="156">
        <f>ROUND(H222*K221,2)</f>
        <v>2260571.25</v>
      </c>
      <c r="M222" s="34"/>
      <c r="N222" s="166"/>
      <c r="O222" s="156">
        <f>ROUND(H222*N221,2)</f>
        <v>0</v>
      </c>
      <c r="P222" s="166"/>
      <c r="Q222" s="156">
        <f>ROUND(H222*P221,2)</f>
        <v>0</v>
      </c>
      <c r="R222" s="166"/>
      <c r="S222" s="156">
        <f>ROUND(H222*R221,2)</f>
        <v>0</v>
      </c>
      <c r="T222" s="34"/>
      <c r="U222" s="34"/>
      <c r="V222" s="166"/>
      <c r="W222" s="166"/>
      <c r="X222" s="166"/>
      <c r="Y222" s="156">
        <f>ROUND(H222*X221,2)</f>
        <v>0</v>
      </c>
      <c r="Z222" s="166"/>
      <c r="AA222" s="156">
        <f>ROUND(H222*Z221,2)</f>
        <v>0</v>
      </c>
      <c r="AB222" s="156">
        <f>ROUND(H222*W221,2)</f>
        <v>2260571.25</v>
      </c>
    </row>
    <row r="223" spans="1:28" ht="30" hidden="1" x14ac:dyDescent="0.25">
      <c r="A223" s="168"/>
      <c r="B223" s="133" t="str">
        <f>'Công trình'!B12</f>
        <v>AF.61130</v>
      </c>
      <c r="C223" s="34"/>
      <c r="D223" s="133" t="str">
        <f>'Công trình'!C12</f>
        <v>Sản xuất, lắp dựng cốt thép móng đường kính &gt;18mm</v>
      </c>
      <c r="E223" s="168"/>
      <c r="F223" s="20">
        <v>1</v>
      </c>
      <c r="G223" s="169"/>
      <c r="H223" s="45">
        <f>'Hao phí vật tư'!J74</f>
        <v>37.487900000000003</v>
      </c>
      <c r="I223" s="166"/>
      <c r="J223" s="156">
        <f>ROUND(H223*I221,2)</f>
        <v>656038.25</v>
      </c>
      <c r="K223" s="166"/>
      <c r="L223" s="156">
        <f>ROUND(H223*K221,2)</f>
        <v>656038.25</v>
      </c>
      <c r="M223" s="34"/>
      <c r="N223" s="166"/>
      <c r="O223" s="156">
        <f>ROUND(H223*N221,2)</f>
        <v>0</v>
      </c>
      <c r="P223" s="166"/>
      <c r="Q223" s="156">
        <f>ROUND(H223*P221,2)</f>
        <v>0</v>
      </c>
      <c r="R223" s="166"/>
      <c r="S223" s="156">
        <f>ROUND(H223*R221,2)</f>
        <v>0</v>
      </c>
      <c r="T223" s="34"/>
      <c r="U223" s="34"/>
      <c r="V223" s="166"/>
      <c r="W223" s="166"/>
      <c r="X223" s="166"/>
      <c r="Y223" s="156">
        <f>ROUND(H223*X221,2)</f>
        <v>0</v>
      </c>
      <c r="Z223" s="166"/>
      <c r="AA223" s="156">
        <f>ROUND(H223*Z221,2)</f>
        <v>0</v>
      </c>
      <c r="AB223" s="156">
        <f>ROUND(H223*W221,2)</f>
        <v>656038.25</v>
      </c>
    </row>
    <row r="224" spans="1:28" ht="30" hidden="1" x14ac:dyDescent="0.25">
      <c r="A224" s="168"/>
      <c r="B224" s="133" t="str">
        <f>'Công trình'!B13</f>
        <v>AF.61321</v>
      </c>
      <c r="C224" s="34"/>
      <c r="D224" s="133" t="str">
        <f>'Công trình'!C13</f>
        <v>Sản xuất, lắp dựng cốt thép tường đường kính &lt;=18mm, chiều cao &lt;=4m</v>
      </c>
      <c r="E224" s="168"/>
      <c r="F224" s="20">
        <v>1</v>
      </c>
      <c r="G224" s="169"/>
      <c r="H224" s="45">
        <f>'Hao phí vật tư'!J84</f>
        <v>108.8907</v>
      </c>
      <c r="I224" s="166"/>
      <c r="J224" s="156">
        <f>ROUND(H224*I221,2)</f>
        <v>1905587.25</v>
      </c>
      <c r="K224" s="166"/>
      <c r="L224" s="156">
        <f>ROUND(H224*K221,2)</f>
        <v>1905587.25</v>
      </c>
      <c r="M224" s="34"/>
      <c r="N224" s="166"/>
      <c r="O224" s="156">
        <f>ROUND(H224*N221,2)</f>
        <v>0</v>
      </c>
      <c r="P224" s="166"/>
      <c r="Q224" s="156">
        <f>ROUND(H224*P221,2)</f>
        <v>0</v>
      </c>
      <c r="R224" s="166"/>
      <c r="S224" s="156">
        <f>ROUND(H224*R221,2)</f>
        <v>0</v>
      </c>
      <c r="T224" s="34"/>
      <c r="U224" s="34"/>
      <c r="V224" s="166"/>
      <c r="W224" s="166"/>
      <c r="X224" s="166"/>
      <c r="Y224" s="156">
        <f>ROUND(H224*X221,2)</f>
        <v>0</v>
      </c>
      <c r="Z224" s="166"/>
      <c r="AA224" s="156">
        <f>ROUND(H224*Z221,2)</f>
        <v>0</v>
      </c>
      <c r="AB224" s="156">
        <f>ROUND(H224*W221,2)</f>
        <v>1905587.25</v>
      </c>
    </row>
    <row r="225" spans="1:28" ht="30" hidden="1" x14ac:dyDescent="0.25">
      <c r="A225" s="168"/>
      <c r="B225" s="133" t="str">
        <f>'Công trình'!B14</f>
        <v>AF.61331</v>
      </c>
      <c r="C225" s="34"/>
      <c r="D225" s="133" t="str">
        <f>'Công trình'!C14</f>
        <v>Sản xuất, lắp dựng cốt thép tường đường kính &gt;18mm, chiều cao &lt;=4m</v>
      </c>
      <c r="E225" s="168"/>
      <c r="F225" s="20">
        <v>1</v>
      </c>
      <c r="G225" s="169"/>
      <c r="H225" s="45">
        <f>'Hao phí vật tư'!J94</f>
        <v>42.154600000000002</v>
      </c>
      <c r="I225" s="166"/>
      <c r="J225" s="156">
        <f>ROUND(H225*I221,2)</f>
        <v>737705.5</v>
      </c>
      <c r="K225" s="166"/>
      <c r="L225" s="156">
        <f>ROUND(H225*K221,2)</f>
        <v>737705.5</v>
      </c>
      <c r="M225" s="34"/>
      <c r="N225" s="166"/>
      <c r="O225" s="156">
        <f>ROUND(H225*N221,2)</f>
        <v>0</v>
      </c>
      <c r="P225" s="166"/>
      <c r="Q225" s="156">
        <f>ROUND(H225*P221,2)</f>
        <v>0</v>
      </c>
      <c r="R225" s="166"/>
      <c r="S225" s="156">
        <f>ROUND(H225*R221,2)</f>
        <v>0</v>
      </c>
      <c r="T225" s="34"/>
      <c r="U225" s="34"/>
      <c r="V225" s="166"/>
      <c r="W225" s="166"/>
      <c r="X225" s="166"/>
      <c r="Y225" s="156">
        <f>ROUND(H225*X221,2)</f>
        <v>0</v>
      </c>
      <c r="Z225" s="166"/>
      <c r="AA225" s="156">
        <f>ROUND(H225*Z221,2)</f>
        <v>0</v>
      </c>
      <c r="AB225" s="156">
        <f>ROUND(H225*W221,2)</f>
        <v>737705.5</v>
      </c>
    </row>
    <row r="226" spans="1:28" ht="30" hidden="1" x14ac:dyDescent="0.25">
      <c r="A226" s="168"/>
      <c r="B226" s="133" t="str">
        <f>'Công trình'!B20</f>
        <v>AF.61511</v>
      </c>
      <c r="C226" s="34"/>
      <c r="D226" s="133" t="str">
        <f>'Công trình'!C20</f>
        <v>Sản xuất, lắp dựng cốt thép xà dầm, giằng đường kính &lt;=10mm, chiều cao &lt;=4m</v>
      </c>
      <c r="E226" s="168"/>
      <c r="F226" s="20">
        <v>1</v>
      </c>
      <c r="G226" s="169"/>
      <c r="H226" s="45">
        <f>'Hao phí vật tư'!J149</f>
        <v>23.662700000000001</v>
      </c>
      <c r="I226" s="166"/>
      <c r="J226" s="156">
        <f>ROUND(H226*I221,2)</f>
        <v>414097.25</v>
      </c>
      <c r="K226" s="166"/>
      <c r="L226" s="156">
        <f>ROUND(H226*K221,2)</f>
        <v>414097.25</v>
      </c>
      <c r="M226" s="34"/>
      <c r="N226" s="166"/>
      <c r="O226" s="156">
        <f>ROUND(H226*N221,2)</f>
        <v>0</v>
      </c>
      <c r="P226" s="166"/>
      <c r="Q226" s="156">
        <f>ROUND(H226*P221,2)</f>
        <v>0</v>
      </c>
      <c r="R226" s="166"/>
      <c r="S226" s="156">
        <f>ROUND(H226*R221,2)</f>
        <v>0</v>
      </c>
      <c r="T226" s="34"/>
      <c r="U226" s="34"/>
      <c r="V226" s="166"/>
      <c r="W226" s="166"/>
      <c r="X226" s="166"/>
      <c r="Y226" s="156">
        <f>ROUND(H226*X221,2)</f>
        <v>0</v>
      </c>
      <c r="Z226" s="166"/>
      <c r="AA226" s="156">
        <f>ROUND(H226*Z221,2)</f>
        <v>0</v>
      </c>
      <c r="AB226" s="156">
        <f>ROUND(H226*W221,2)</f>
        <v>414097.25</v>
      </c>
    </row>
    <row r="227" spans="1:28" ht="30" hidden="1" x14ac:dyDescent="0.25">
      <c r="A227" s="168"/>
      <c r="B227" s="133" t="str">
        <f>'Công trình'!B22</f>
        <v>AF.61521</v>
      </c>
      <c r="C227" s="34"/>
      <c r="D227" s="133" t="str">
        <f>'Công trình'!C22</f>
        <v>Sản xuất, lắp dựng cốt thép xà dầm, giằng đường kính &lt;=18mm, chiều cao &lt;=4m</v>
      </c>
      <c r="E227" s="168"/>
      <c r="F227" s="20">
        <v>1</v>
      </c>
      <c r="G227" s="169"/>
      <c r="H227" s="45">
        <f>'Hao phí vật tư'!J158</f>
        <v>30.841899999999999</v>
      </c>
      <c r="I227" s="166"/>
      <c r="J227" s="156">
        <f>ROUND(H227*I221,2)</f>
        <v>539733.25</v>
      </c>
      <c r="K227" s="166"/>
      <c r="L227" s="156">
        <f>ROUND(H227*K221,2)</f>
        <v>539733.25</v>
      </c>
      <c r="M227" s="34"/>
      <c r="N227" s="166"/>
      <c r="O227" s="156">
        <f>ROUND(H227*N221,2)</f>
        <v>0</v>
      </c>
      <c r="P227" s="166"/>
      <c r="Q227" s="156">
        <f>ROUND(H227*P221,2)</f>
        <v>0</v>
      </c>
      <c r="R227" s="166"/>
      <c r="S227" s="156">
        <f>ROUND(H227*R221,2)</f>
        <v>0</v>
      </c>
      <c r="T227" s="34"/>
      <c r="U227" s="34"/>
      <c r="V227" s="166"/>
      <c r="W227" s="166"/>
      <c r="X227" s="166"/>
      <c r="Y227" s="156">
        <f>ROUND(H227*X221,2)</f>
        <v>0</v>
      </c>
      <c r="Z227" s="166"/>
      <c r="AA227" s="156">
        <f>ROUND(H227*Z221,2)</f>
        <v>0</v>
      </c>
      <c r="AB227" s="156">
        <f>ROUND(H227*W221,2)</f>
        <v>539733.25</v>
      </c>
    </row>
    <row r="228" spans="1:28" ht="30" hidden="1" x14ac:dyDescent="0.25">
      <c r="A228" s="168"/>
      <c r="B228" s="133" t="str">
        <f>'Công trình'!B32</f>
        <v>AF.61311</v>
      </c>
      <c r="C228" s="34"/>
      <c r="D228" s="133" t="str">
        <f>'Công trình'!C32</f>
        <v>Sản xuất, lắp dựng cốt thép tường đường kính &lt;=10mm, chiều cao &lt;=4m</v>
      </c>
      <c r="E228" s="168"/>
      <c r="F228" s="20">
        <v>1</v>
      </c>
      <c r="G228" s="169"/>
      <c r="H228" s="45">
        <f>'Hao phí vật tư'!J229</f>
        <v>18.7468</v>
      </c>
      <c r="I228" s="166"/>
      <c r="J228" s="156">
        <f>ROUND(H228*I221,2)</f>
        <v>328069</v>
      </c>
      <c r="K228" s="166"/>
      <c r="L228" s="156">
        <f>ROUND(H228*K221,2)</f>
        <v>328069</v>
      </c>
      <c r="M228" s="34"/>
      <c r="N228" s="166"/>
      <c r="O228" s="156">
        <f>ROUND(H228*N221,2)</f>
        <v>0</v>
      </c>
      <c r="P228" s="166"/>
      <c r="Q228" s="156">
        <f>ROUND(H228*P221,2)</f>
        <v>0</v>
      </c>
      <c r="R228" s="166"/>
      <c r="S228" s="156">
        <f>ROUND(H228*R221,2)</f>
        <v>0</v>
      </c>
      <c r="T228" s="34"/>
      <c r="U228" s="34"/>
      <c r="V228" s="166"/>
      <c r="W228" s="166"/>
      <c r="X228" s="166"/>
      <c r="Y228" s="156">
        <f>ROUND(H228*X221,2)</f>
        <v>0</v>
      </c>
      <c r="Z228" s="166"/>
      <c r="AA228" s="156">
        <f>ROUND(H228*Z221,2)</f>
        <v>0</v>
      </c>
      <c r="AB228" s="156">
        <f>ROUND(H228*W221,2)</f>
        <v>328069</v>
      </c>
    </row>
    <row r="229" spans="1:28" ht="30" hidden="1" x14ac:dyDescent="0.25">
      <c r="A229" s="168"/>
      <c r="B229" s="133" t="str">
        <f>'Công trình'!B33</f>
        <v>AF.61321</v>
      </c>
      <c r="C229" s="34"/>
      <c r="D229" s="133" t="str">
        <f>'Công trình'!C33</f>
        <v>Sản xuất, lắp dựng cốt thép tường đường kính &lt;=18mm, chiều cao &lt;=4m</v>
      </c>
      <c r="E229" s="168"/>
      <c r="F229" s="20">
        <v>1</v>
      </c>
      <c r="G229" s="169"/>
      <c r="H229" s="45">
        <f>'Hao phí vật tư'!J238</f>
        <v>12.0695</v>
      </c>
      <c r="I229" s="166"/>
      <c r="J229" s="156">
        <f>ROUND(H229*I221,2)</f>
        <v>211216.25</v>
      </c>
      <c r="K229" s="166"/>
      <c r="L229" s="156">
        <f>ROUND(H229*K221,2)</f>
        <v>211216.25</v>
      </c>
      <c r="M229" s="34"/>
      <c r="N229" s="166"/>
      <c r="O229" s="156">
        <f>ROUND(H229*N221,2)</f>
        <v>0</v>
      </c>
      <c r="P229" s="166"/>
      <c r="Q229" s="156">
        <f>ROUND(H229*P221,2)</f>
        <v>0</v>
      </c>
      <c r="R229" s="166"/>
      <c r="S229" s="156">
        <f>ROUND(H229*R221,2)</f>
        <v>0</v>
      </c>
      <c r="T229" s="34"/>
      <c r="U229" s="34"/>
      <c r="V229" s="166"/>
      <c r="W229" s="166"/>
      <c r="X229" s="166"/>
      <c r="Y229" s="156">
        <f>ROUND(H229*X221,2)</f>
        <v>0</v>
      </c>
      <c r="Z229" s="166"/>
      <c r="AA229" s="156">
        <f>ROUND(H229*Z221,2)</f>
        <v>0</v>
      </c>
      <c r="AB229" s="156">
        <f>ROUND(H229*W221,2)</f>
        <v>211216.25</v>
      </c>
    </row>
    <row r="230" spans="1:28" ht="30" hidden="1" x14ac:dyDescent="0.25">
      <c r="A230" s="168"/>
      <c r="B230" s="133" t="str">
        <f>'Công trình'!B60</f>
        <v>AF.61511</v>
      </c>
      <c r="C230" s="34"/>
      <c r="D230" s="133" t="str">
        <f>'Công trình'!C60</f>
        <v>Sản xuất, lắp dựng cốt thép xà dầm, giằng đường kính &lt;=10mm, chiều cao &lt;=4m</v>
      </c>
      <c r="E230" s="168"/>
      <c r="F230" s="20">
        <v>1</v>
      </c>
      <c r="G230" s="169"/>
      <c r="H230" s="45">
        <f>'Hao phí vật tư'!J455</f>
        <v>9.0371000000000006</v>
      </c>
      <c r="I230" s="166"/>
      <c r="J230" s="156">
        <f>ROUND(H230*I221,2)</f>
        <v>158149.25</v>
      </c>
      <c r="K230" s="166"/>
      <c r="L230" s="156">
        <f>ROUND(H230*K221,2)</f>
        <v>158149.25</v>
      </c>
      <c r="M230" s="34"/>
      <c r="N230" s="166"/>
      <c r="O230" s="156">
        <f>ROUND(H230*N221,2)</f>
        <v>0</v>
      </c>
      <c r="P230" s="166"/>
      <c r="Q230" s="156">
        <f>ROUND(H230*P221,2)</f>
        <v>0</v>
      </c>
      <c r="R230" s="166"/>
      <c r="S230" s="156">
        <f>ROUND(H230*R221,2)</f>
        <v>0</v>
      </c>
      <c r="T230" s="34"/>
      <c r="U230" s="34"/>
      <c r="V230" s="166"/>
      <c r="W230" s="166"/>
      <c r="X230" s="166"/>
      <c r="Y230" s="156">
        <f>ROUND(H230*X221,2)</f>
        <v>0</v>
      </c>
      <c r="Z230" s="166"/>
      <c r="AA230" s="156">
        <f>ROUND(H230*Z221,2)</f>
        <v>0</v>
      </c>
      <c r="AB230" s="156">
        <f>ROUND(H230*W221,2)</f>
        <v>158149.25</v>
      </c>
    </row>
    <row r="231" spans="1:28" ht="30" hidden="1" x14ac:dyDescent="0.25">
      <c r="A231" s="168"/>
      <c r="B231" s="133" t="str">
        <f>'Công trình'!B61</f>
        <v>AF.61521</v>
      </c>
      <c r="C231" s="34"/>
      <c r="D231" s="133" t="str">
        <f>'Công trình'!C61</f>
        <v>Sản xuất, lắp dựng cốt thép xà dầm, giằng đường kính &lt;=18mm, chiều cao &lt;=4m</v>
      </c>
      <c r="E231" s="168"/>
      <c r="F231" s="20">
        <v>1</v>
      </c>
      <c r="G231" s="169"/>
      <c r="H231" s="45">
        <f>'Hao phí vật tư'!J464</f>
        <v>26.132400000000001</v>
      </c>
      <c r="I231" s="166"/>
      <c r="J231" s="156">
        <f>ROUND(H231*I221,2)</f>
        <v>457317</v>
      </c>
      <c r="K231" s="166"/>
      <c r="L231" s="156">
        <f>ROUND(H231*K221,2)</f>
        <v>457317</v>
      </c>
      <c r="M231" s="34"/>
      <c r="N231" s="166"/>
      <c r="O231" s="156">
        <f>ROUND(H231*N221,2)</f>
        <v>0</v>
      </c>
      <c r="P231" s="166"/>
      <c r="Q231" s="156">
        <f>ROUND(H231*P221,2)</f>
        <v>0</v>
      </c>
      <c r="R231" s="166"/>
      <c r="S231" s="156">
        <f>ROUND(H231*R221,2)</f>
        <v>0</v>
      </c>
      <c r="T231" s="34"/>
      <c r="U231" s="34"/>
      <c r="V231" s="166"/>
      <c r="W231" s="166"/>
      <c r="X231" s="166"/>
      <c r="Y231" s="156">
        <f>ROUND(H231*X221,2)</f>
        <v>0</v>
      </c>
      <c r="Z231" s="166"/>
      <c r="AA231" s="156">
        <f>ROUND(H231*Z221,2)</f>
        <v>0</v>
      </c>
      <c r="AB231" s="156">
        <f>ROUND(H231*W221,2)</f>
        <v>457317</v>
      </c>
    </row>
    <row r="232" spans="1:28" ht="30" hidden="1" x14ac:dyDescent="0.25">
      <c r="A232" s="168"/>
      <c r="B232" s="133" t="str">
        <f>'Công trình'!B69</f>
        <v>AG.13111</v>
      </c>
      <c r="C232" s="34"/>
      <c r="D232" s="133" t="str">
        <f>'Công trình'!C69</f>
        <v>Sản xuất, lắp dựng cốt thép BT đúc sẵn cọc, đường kính &lt;=10mm</v>
      </c>
      <c r="E232" s="168"/>
      <c r="F232" s="20">
        <v>1</v>
      </c>
      <c r="G232" s="169"/>
      <c r="H232" s="45">
        <f>'Hao phí vật tư'!J519</f>
        <v>49.345300000000002</v>
      </c>
      <c r="I232" s="166"/>
      <c r="J232" s="156">
        <f>ROUND(H232*I221,2)</f>
        <v>863542.75</v>
      </c>
      <c r="K232" s="166"/>
      <c r="L232" s="156">
        <f>ROUND(H232*K221,2)</f>
        <v>863542.75</v>
      </c>
      <c r="M232" s="34"/>
      <c r="N232" s="166"/>
      <c r="O232" s="156">
        <f>ROUND(H232*N221,2)</f>
        <v>0</v>
      </c>
      <c r="P232" s="166"/>
      <c r="Q232" s="156">
        <f>ROUND(H232*P221,2)</f>
        <v>0</v>
      </c>
      <c r="R232" s="166"/>
      <c r="S232" s="156">
        <f>ROUND(H232*R221,2)</f>
        <v>0</v>
      </c>
      <c r="T232" s="34"/>
      <c r="U232" s="34"/>
      <c r="V232" s="166"/>
      <c r="W232" s="166"/>
      <c r="X232" s="166"/>
      <c r="Y232" s="156">
        <f>ROUND(H232*X221,2)</f>
        <v>0</v>
      </c>
      <c r="Z232" s="166"/>
      <c r="AA232" s="156">
        <f>ROUND(H232*Z221,2)</f>
        <v>0</v>
      </c>
      <c r="AB232" s="156">
        <f>ROUND(H232*W221,2)</f>
        <v>863542.75</v>
      </c>
    </row>
    <row r="233" spans="1:28" ht="30" hidden="1" x14ac:dyDescent="0.25">
      <c r="A233" s="168"/>
      <c r="B233" s="133" t="str">
        <f>'Công trình'!B70</f>
        <v>AG.13121</v>
      </c>
      <c r="C233" s="34"/>
      <c r="D233" s="133" t="str">
        <f>'Công trình'!C70</f>
        <v>Sản xuất, lắp dựng cốt thép BT đúc sẵn cọc, đường kính &lt;=18mm</v>
      </c>
      <c r="E233" s="168"/>
      <c r="F233" s="20">
        <v>1</v>
      </c>
      <c r="G233" s="169"/>
      <c r="H233" s="45">
        <f>'Hao phí vật tư'!J528</f>
        <v>6.0004999999999997</v>
      </c>
      <c r="I233" s="166"/>
      <c r="J233" s="156">
        <f>ROUND(H233*I221,2)</f>
        <v>105008.75</v>
      </c>
      <c r="K233" s="166"/>
      <c r="L233" s="156">
        <f>ROUND(H233*K221,2)</f>
        <v>105008.75</v>
      </c>
      <c r="M233" s="34"/>
      <c r="N233" s="166"/>
      <c r="O233" s="156">
        <f>ROUND(H233*N221,2)</f>
        <v>0</v>
      </c>
      <c r="P233" s="166"/>
      <c r="Q233" s="156">
        <f>ROUND(H233*P221,2)</f>
        <v>0</v>
      </c>
      <c r="R233" s="166"/>
      <c r="S233" s="156">
        <f>ROUND(H233*R221,2)</f>
        <v>0</v>
      </c>
      <c r="T233" s="34"/>
      <c r="U233" s="34"/>
      <c r="V233" s="166"/>
      <c r="W233" s="166"/>
      <c r="X233" s="166"/>
      <c r="Y233" s="156">
        <f>ROUND(H233*X221,2)</f>
        <v>0</v>
      </c>
      <c r="Z233" s="166"/>
      <c r="AA233" s="156">
        <f>ROUND(H233*Z221,2)</f>
        <v>0</v>
      </c>
      <c r="AB233" s="156">
        <f>ROUND(H233*W221,2)</f>
        <v>105008.75</v>
      </c>
    </row>
    <row r="234" spans="1:28" ht="30" hidden="1" x14ac:dyDescent="0.25">
      <c r="A234" s="168"/>
      <c r="B234" s="133" t="str">
        <f>'Công trình'!B71</f>
        <v>AG.13131</v>
      </c>
      <c r="C234" s="34"/>
      <c r="D234" s="133" t="str">
        <f>'Công trình'!C71</f>
        <v>Sản xuất, lắp dựng cốt thép BT đúc sẵn cọc, đường kính &gt;18mm</v>
      </c>
      <c r="E234" s="168"/>
      <c r="F234" s="20">
        <v>1</v>
      </c>
      <c r="G234" s="169"/>
      <c r="H234" s="45">
        <f>'Hao phí vật tư'!J538</f>
        <v>179.3297</v>
      </c>
      <c r="I234" s="166"/>
      <c r="J234" s="156">
        <f>ROUND(H234*I221,2)</f>
        <v>3138269.75</v>
      </c>
      <c r="K234" s="166"/>
      <c r="L234" s="156">
        <f>ROUND(H234*K221,2)</f>
        <v>3138269.75</v>
      </c>
      <c r="M234" s="34"/>
      <c r="N234" s="166"/>
      <c r="O234" s="156">
        <f>ROUND(H234*N221,2)</f>
        <v>0</v>
      </c>
      <c r="P234" s="166"/>
      <c r="Q234" s="156">
        <f>ROUND(H234*P221,2)</f>
        <v>0</v>
      </c>
      <c r="R234" s="166"/>
      <c r="S234" s="156">
        <f>ROUND(H234*R221,2)</f>
        <v>0</v>
      </c>
      <c r="T234" s="34"/>
      <c r="U234" s="34"/>
      <c r="V234" s="166"/>
      <c r="W234" s="166"/>
      <c r="X234" s="166"/>
      <c r="Y234" s="156">
        <f>ROUND(H234*X221,2)</f>
        <v>0</v>
      </c>
      <c r="Z234" s="166"/>
      <c r="AA234" s="156">
        <f>ROUND(H234*Z221,2)</f>
        <v>0</v>
      </c>
      <c r="AB234" s="156">
        <f>ROUND(H234*W221,2)</f>
        <v>3138269.75</v>
      </c>
    </row>
    <row r="235" spans="1:28" ht="30" hidden="1" x14ac:dyDescent="0.25">
      <c r="A235" s="168"/>
      <c r="B235" s="133" t="str">
        <f>'Công trình'!B80</f>
        <v>AG.13111</v>
      </c>
      <c r="C235" s="34"/>
      <c r="D235" s="133" t="str">
        <f>'Công trình'!C80</f>
        <v>Sản xuất, lắp dựng cốt thép BT đúc sẵn cọc, đường kính &lt;=10mm</v>
      </c>
      <c r="E235" s="168"/>
      <c r="F235" s="20">
        <v>1</v>
      </c>
      <c r="G235" s="169"/>
      <c r="H235" s="45">
        <f>'Hao phí vật tư'!J635</f>
        <v>25.3399</v>
      </c>
      <c r="I235" s="166"/>
      <c r="J235" s="156">
        <f>ROUND(H235*I221,2)</f>
        <v>443448.25</v>
      </c>
      <c r="K235" s="166"/>
      <c r="L235" s="156">
        <f>ROUND(H235*K221,2)</f>
        <v>443448.25</v>
      </c>
      <c r="M235" s="34"/>
      <c r="N235" s="166"/>
      <c r="O235" s="156">
        <f>ROUND(H235*N221,2)</f>
        <v>0</v>
      </c>
      <c r="P235" s="166"/>
      <c r="Q235" s="156">
        <f>ROUND(H235*P221,2)</f>
        <v>0</v>
      </c>
      <c r="R235" s="166"/>
      <c r="S235" s="156">
        <f>ROUND(H235*R221,2)</f>
        <v>0</v>
      </c>
      <c r="T235" s="34"/>
      <c r="U235" s="34"/>
      <c r="V235" s="166"/>
      <c r="W235" s="166"/>
      <c r="X235" s="166"/>
      <c r="Y235" s="156">
        <f>ROUND(H235*X221,2)</f>
        <v>0</v>
      </c>
      <c r="Z235" s="166"/>
      <c r="AA235" s="156">
        <f>ROUND(H235*Z221,2)</f>
        <v>0</v>
      </c>
      <c r="AB235" s="156">
        <f>ROUND(H235*W221,2)</f>
        <v>443448.25</v>
      </c>
    </row>
    <row r="236" spans="1:28" ht="30" hidden="1" x14ac:dyDescent="0.25">
      <c r="A236" s="168"/>
      <c r="B236" s="133" t="str">
        <f>'Công trình'!B81</f>
        <v>AG.13121</v>
      </c>
      <c r="C236" s="34"/>
      <c r="D236" s="133" t="str">
        <f>'Công trình'!C81</f>
        <v>Sản xuất, lắp dựng cốt thép BT đúc sẵn cọc, đường kính &lt;=18mm</v>
      </c>
      <c r="E236" s="168"/>
      <c r="F236" s="20">
        <v>1</v>
      </c>
      <c r="G236" s="169"/>
      <c r="H236" s="45">
        <f>'Hao phí vật tư'!J644</f>
        <v>3.2644000000000002</v>
      </c>
      <c r="I236" s="166"/>
      <c r="J236" s="156">
        <f>ROUND(H236*I221,2)</f>
        <v>57127</v>
      </c>
      <c r="K236" s="166"/>
      <c r="L236" s="156">
        <f>ROUND(H236*K221,2)</f>
        <v>57127</v>
      </c>
      <c r="M236" s="34"/>
      <c r="N236" s="166"/>
      <c r="O236" s="156">
        <f>ROUND(H236*N221,2)</f>
        <v>0</v>
      </c>
      <c r="P236" s="166"/>
      <c r="Q236" s="156">
        <f>ROUND(H236*P221,2)</f>
        <v>0</v>
      </c>
      <c r="R236" s="166"/>
      <c r="S236" s="156">
        <f>ROUND(H236*R221,2)</f>
        <v>0</v>
      </c>
      <c r="T236" s="34"/>
      <c r="U236" s="34"/>
      <c r="V236" s="166"/>
      <c r="W236" s="166"/>
      <c r="X236" s="166"/>
      <c r="Y236" s="156">
        <f>ROUND(H236*X221,2)</f>
        <v>0</v>
      </c>
      <c r="Z236" s="166"/>
      <c r="AA236" s="156">
        <f>ROUND(H236*Z221,2)</f>
        <v>0</v>
      </c>
      <c r="AB236" s="156">
        <f>ROUND(H236*W221,2)</f>
        <v>57127</v>
      </c>
    </row>
    <row r="237" spans="1:28" ht="30" hidden="1" x14ac:dyDescent="0.25">
      <c r="A237" s="168"/>
      <c r="B237" s="133" t="str">
        <f>'Công trình'!B82</f>
        <v>AG.13131</v>
      </c>
      <c r="C237" s="34"/>
      <c r="D237" s="133" t="str">
        <f>'Công trình'!C82</f>
        <v>Sản xuất, lắp dựng cốt thép BT đúc sẵn cọc, đường kính &gt;18mm</v>
      </c>
      <c r="E237" s="168"/>
      <c r="F237" s="20">
        <v>1</v>
      </c>
      <c r="G237" s="169"/>
      <c r="H237" s="45">
        <f>'Hao phí vật tư'!J654</f>
        <v>94.8035</v>
      </c>
      <c r="I237" s="166"/>
      <c r="J237" s="156">
        <f>ROUND(H237*I221,2)</f>
        <v>1659061.25</v>
      </c>
      <c r="K237" s="166"/>
      <c r="L237" s="156">
        <f>ROUND(H237*K221,2)</f>
        <v>1659061.25</v>
      </c>
      <c r="M237" s="34"/>
      <c r="N237" s="166"/>
      <c r="O237" s="156">
        <f>ROUND(H237*N221,2)</f>
        <v>0</v>
      </c>
      <c r="P237" s="166"/>
      <c r="Q237" s="156">
        <f>ROUND(H237*P221,2)</f>
        <v>0</v>
      </c>
      <c r="R237" s="166"/>
      <c r="S237" s="156">
        <f>ROUND(H237*R221,2)</f>
        <v>0</v>
      </c>
      <c r="T237" s="34"/>
      <c r="U237" s="34"/>
      <c r="V237" s="166"/>
      <c r="W237" s="166"/>
      <c r="X237" s="166"/>
      <c r="Y237" s="156">
        <f>ROUND(H237*X221,2)</f>
        <v>0</v>
      </c>
      <c r="Z237" s="166"/>
      <c r="AA237" s="156">
        <f>ROUND(H237*Z221,2)</f>
        <v>0</v>
      </c>
      <c r="AB237" s="156">
        <f>ROUND(H237*W221,2)</f>
        <v>1659061.25</v>
      </c>
    </row>
    <row r="238" spans="1:28" ht="30" hidden="1" x14ac:dyDescent="0.25">
      <c r="A238" s="168"/>
      <c r="B238" s="133" t="str">
        <f>'Công trình'!B101</f>
        <v>AF.61110</v>
      </c>
      <c r="C238" s="34"/>
      <c r="D238" s="133" t="str">
        <f>'Công trình'!C101</f>
        <v>Sản xuất, lắp dựng cốt thép móng đường kính &lt;=10mm</v>
      </c>
      <c r="E238" s="168"/>
      <c r="F238" s="20">
        <v>1</v>
      </c>
      <c r="G238" s="169"/>
      <c r="H238" s="45">
        <f>'Hao phí vật tư'!J818</f>
        <v>2.1120000000000001</v>
      </c>
      <c r="I238" s="166"/>
      <c r="J238" s="156">
        <f>ROUND(H238*I221,2)</f>
        <v>36960</v>
      </c>
      <c r="K238" s="166"/>
      <c r="L238" s="156">
        <f>ROUND(H238*K221,2)</f>
        <v>36960</v>
      </c>
      <c r="M238" s="34"/>
      <c r="N238" s="166"/>
      <c r="O238" s="156">
        <f>ROUND(H238*N221,2)</f>
        <v>0</v>
      </c>
      <c r="P238" s="166"/>
      <c r="Q238" s="156">
        <f>ROUND(H238*P221,2)</f>
        <v>0</v>
      </c>
      <c r="R238" s="166"/>
      <c r="S238" s="156">
        <f>ROUND(H238*R221,2)</f>
        <v>0</v>
      </c>
      <c r="T238" s="34"/>
      <c r="U238" s="34"/>
      <c r="V238" s="166"/>
      <c r="W238" s="166"/>
      <c r="X238" s="166"/>
      <c r="Y238" s="156">
        <f>ROUND(H238*X221,2)</f>
        <v>0</v>
      </c>
      <c r="Z238" s="166"/>
      <c r="AA238" s="156">
        <f>ROUND(H238*Z221,2)</f>
        <v>0</v>
      </c>
      <c r="AB238" s="156">
        <f>ROUND(H238*W221,2)</f>
        <v>36960</v>
      </c>
    </row>
    <row r="239" spans="1:28" ht="30" hidden="1" x14ac:dyDescent="0.25">
      <c r="A239" s="168"/>
      <c r="B239" s="133" t="str">
        <f>'Công trình'!B181</f>
        <v>AF.65120</v>
      </c>
      <c r="C239" s="34"/>
      <c r="D239" s="133" t="str">
        <f>'Công trình'!C181</f>
        <v>Sản xuất, lắp dựng cốt thép móng, mố, trụ, mũ mố, mũ trụ cầu trên cạn đường kính &lt;=18mm</v>
      </c>
      <c r="E239" s="168"/>
      <c r="F239" s="20">
        <v>1</v>
      </c>
      <c r="G239" s="169"/>
      <c r="H239" s="45">
        <f>'Hao phí vật tư'!J1376</f>
        <v>61.1327</v>
      </c>
      <c r="I239" s="166"/>
      <c r="J239" s="156">
        <f>ROUND(H239*I221,2)</f>
        <v>1069822.25</v>
      </c>
      <c r="K239" s="166"/>
      <c r="L239" s="156">
        <f>ROUND(H239*K221,2)</f>
        <v>1069822.25</v>
      </c>
      <c r="M239" s="34"/>
      <c r="N239" s="166"/>
      <c r="O239" s="156">
        <f>ROUND(H239*N221,2)</f>
        <v>0</v>
      </c>
      <c r="P239" s="166"/>
      <c r="Q239" s="156">
        <f>ROUND(H239*P221,2)</f>
        <v>0</v>
      </c>
      <c r="R239" s="166"/>
      <c r="S239" s="156">
        <f>ROUND(H239*R221,2)</f>
        <v>0</v>
      </c>
      <c r="T239" s="34"/>
      <c r="U239" s="34"/>
      <c r="V239" s="166"/>
      <c r="W239" s="166"/>
      <c r="X239" s="166"/>
      <c r="Y239" s="156">
        <f>ROUND(H239*X221,2)</f>
        <v>0</v>
      </c>
      <c r="Z239" s="166"/>
      <c r="AA239" s="156">
        <f>ROUND(H239*Z221,2)</f>
        <v>0</v>
      </c>
      <c r="AB239" s="156">
        <f>ROUND(H239*W221,2)</f>
        <v>1069822.25</v>
      </c>
    </row>
    <row r="240" spans="1:28" ht="30" hidden="1" x14ac:dyDescent="0.25">
      <c r="A240" s="168"/>
      <c r="B240" s="133" t="str">
        <f>'Công trình'!B182</f>
        <v>AF.65130</v>
      </c>
      <c r="C240" s="34"/>
      <c r="D240" s="133" t="str">
        <f>'Công trình'!C182</f>
        <v>Sản xuất, lắp dựng cốt thép móng, mố, trụ, mũ mố, mũ trụ cầu trên cạn đường kính &gt;18mm</v>
      </c>
      <c r="E240" s="168"/>
      <c r="F240" s="20">
        <v>1</v>
      </c>
      <c r="G240" s="169"/>
      <c r="H240" s="45">
        <f>'Hao phí vật tư'!J1387</f>
        <v>67.765699999999995</v>
      </c>
      <c r="I240" s="166"/>
      <c r="J240" s="156">
        <f>ROUND(H240*I221,2)</f>
        <v>1185899.75</v>
      </c>
      <c r="K240" s="166"/>
      <c r="L240" s="156">
        <f>ROUND(H240*K221,2)</f>
        <v>1185899.75</v>
      </c>
      <c r="M240" s="34"/>
      <c r="N240" s="166"/>
      <c r="O240" s="156">
        <f>ROUND(H240*N221,2)</f>
        <v>0</v>
      </c>
      <c r="P240" s="166"/>
      <c r="Q240" s="156">
        <f>ROUND(H240*P221,2)</f>
        <v>0</v>
      </c>
      <c r="R240" s="166"/>
      <c r="S240" s="156">
        <f>ROUND(H240*R221,2)</f>
        <v>0</v>
      </c>
      <c r="T240" s="34"/>
      <c r="U240" s="34"/>
      <c r="V240" s="166"/>
      <c r="W240" s="166"/>
      <c r="X240" s="166"/>
      <c r="Y240" s="156">
        <f>ROUND(H240*X221,2)</f>
        <v>0</v>
      </c>
      <c r="Z240" s="166"/>
      <c r="AA240" s="156">
        <f>ROUND(H240*Z221,2)</f>
        <v>0</v>
      </c>
      <c r="AB240" s="156">
        <f>ROUND(H240*W221,2)</f>
        <v>1185899.75</v>
      </c>
    </row>
    <row r="241" spans="1:28" ht="30" hidden="1" x14ac:dyDescent="0.25">
      <c r="A241" s="168"/>
      <c r="B241" s="133" t="str">
        <f>'Công trình'!B183</f>
        <v>AF.61110</v>
      </c>
      <c r="C241" s="34"/>
      <c r="D241" s="133" t="str">
        <f>'Công trình'!C183</f>
        <v>Sản xuất, lắp dựng cốt thép bản dẫn đường kính &lt;=10mm</v>
      </c>
      <c r="E241" s="168"/>
      <c r="F241" s="20">
        <v>1</v>
      </c>
      <c r="G241" s="169"/>
      <c r="H241" s="45">
        <f>'Hao phí vật tư'!J1397</f>
        <v>0.28489999999999999</v>
      </c>
      <c r="I241" s="166"/>
      <c r="J241" s="156">
        <f>ROUND(H241*I221,2)</f>
        <v>4985.75</v>
      </c>
      <c r="K241" s="166"/>
      <c r="L241" s="156">
        <f>ROUND(H241*K221,2)</f>
        <v>4985.75</v>
      </c>
      <c r="M241" s="34"/>
      <c r="N241" s="166"/>
      <c r="O241" s="156">
        <f>ROUND(H241*N221,2)</f>
        <v>0</v>
      </c>
      <c r="P241" s="166"/>
      <c r="Q241" s="156">
        <f>ROUND(H241*P221,2)</f>
        <v>0</v>
      </c>
      <c r="R241" s="166"/>
      <c r="S241" s="156">
        <f>ROUND(H241*R221,2)</f>
        <v>0</v>
      </c>
      <c r="T241" s="34"/>
      <c r="U241" s="34"/>
      <c r="V241" s="166"/>
      <c r="W241" s="166"/>
      <c r="X241" s="166"/>
      <c r="Y241" s="156">
        <f>ROUND(H241*X221,2)</f>
        <v>0</v>
      </c>
      <c r="Z241" s="166"/>
      <c r="AA241" s="156">
        <f>ROUND(H241*Z221,2)</f>
        <v>0</v>
      </c>
      <c r="AB241" s="156">
        <f>ROUND(H241*W221,2)</f>
        <v>4985.75</v>
      </c>
    </row>
    <row r="242" spans="1:28" ht="30" hidden="1" x14ac:dyDescent="0.25">
      <c r="A242" s="168"/>
      <c r="B242" s="133" t="str">
        <f>'Công trình'!B184</f>
        <v>AF.61120</v>
      </c>
      <c r="C242" s="34"/>
      <c r="D242" s="133" t="str">
        <f>'Công trình'!C184</f>
        <v>Sản xuất, lắp dựng cốt thép bản dẫn đường kính &lt;=18mm</v>
      </c>
      <c r="E242" s="168"/>
      <c r="F242" s="20">
        <v>1</v>
      </c>
      <c r="G242" s="169"/>
      <c r="H242" s="45">
        <f>'Hao phí vật tư'!J1406</f>
        <v>14.2043</v>
      </c>
      <c r="I242" s="166"/>
      <c r="J242" s="156">
        <f>ROUND(H242*I221,2)</f>
        <v>248575.25</v>
      </c>
      <c r="K242" s="166"/>
      <c r="L242" s="156">
        <f>ROUND(H242*K221,2)</f>
        <v>248575.25</v>
      </c>
      <c r="M242" s="34"/>
      <c r="N242" s="166"/>
      <c r="O242" s="156">
        <f>ROUND(H242*N221,2)</f>
        <v>0</v>
      </c>
      <c r="P242" s="166"/>
      <c r="Q242" s="156">
        <f>ROUND(H242*P221,2)</f>
        <v>0</v>
      </c>
      <c r="R242" s="166"/>
      <c r="S242" s="156">
        <f>ROUND(H242*R221,2)</f>
        <v>0</v>
      </c>
      <c r="T242" s="34"/>
      <c r="U242" s="34"/>
      <c r="V242" s="166"/>
      <c r="W242" s="166"/>
      <c r="X242" s="166"/>
      <c r="Y242" s="156">
        <f>ROUND(H242*X221,2)</f>
        <v>0</v>
      </c>
      <c r="Z242" s="166"/>
      <c r="AA242" s="156">
        <f>ROUND(H242*Z221,2)</f>
        <v>0</v>
      </c>
      <c r="AB242" s="156">
        <f>ROUND(H242*W221,2)</f>
        <v>248575.25</v>
      </c>
    </row>
    <row r="243" spans="1:28" ht="30" hidden="1" x14ac:dyDescent="0.25">
      <c r="A243" s="168"/>
      <c r="B243" s="133" t="str">
        <f>'Công trình'!B190</f>
        <v>AF.65120</v>
      </c>
      <c r="C243" s="34"/>
      <c r="D243" s="133" t="str">
        <f>'Công trình'!C190</f>
        <v>Sản xuất, lắp dựng cốt thép móng, mố, trụ, mũ mố, mũ trụ cầu trên cạn đường kính &lt;=18mm</v>
      </c>
      <c r="E243" s="168"/>
      <c r="F243" s="20">
        <v>1</v>
      </c>
      <c r="G243" s="169"/>
      <c r="H243" s="45">
        <f>'Hao phí vật tư'!J1460</f>
        <v>7.0656999999999996</v>
      </c>
      <c r="I243" s="166"/>
      <c r="J243" s="156">
        <f>ROUND(H243*I221,2)</f>
        <v>123649.75</v>
      </c>
      <c r="K243" s="166"/>
      <c r="L243" s="156">
        <f>ROUND(H243*K221,2)</f>
        <v>123649.75</v>
      </c>
      <c r="M243" s="34"/>
      <c r="N243" s="166"/>
      <c r="O243" s="156">
        <f>ROUND(H243*N221,2)</f>
        <v>0</v>
      </c>
      <c r="P243" s="166"/>
      <c r="Q243" s="156">
        <f>ROUND(H243*P221,2)</f>
        <v>0</v>
      </c>
      <c r="R243" s="166"/>
      <c r="S243" s="156">
        <f>ROUND(H243*R221,2)</f>
        <v>0</v>
      </c>
      <c r="T243" s="34"/>
      <c r="U243" s="34"/>
      <c r="V243" s="166"/>
      <c r="W243" s="166"/>
      <c r="X243" s="166"/>
      <c r="Y243" s="156">
        <f>ROUND(H243*X221,2)</f>
        <v>0</v>
      </c>
      <c r="Z243" s="166"/>
      <c r="AA243" s="156">
        <f>ROUND(H243*Z221,2)</f>
        <v>0</v>
      </c>
      <c r="AB243" s="156">
        <f>ROUND(H243*W221,2)</f>
        <v>123649.75</v>
      </c>
    </row>
    <row r="244" spans="1:28" ht="30" hidden="1" x14ac:dyDescent="0.25">
      <c r="A244" s="168"/>
      <c r="B244" s="133" t="str">
        <f>'Công trình'!B191</f>
        <v>AF.65130</v>
      </c>
      <c r="C244" s="34"/>
      <c r="D244" s="133" t="str">
        <f>'Công trình'!C191</f>
        <v>Sản xuất, lắp dựng cốt thép móng, mố, trụ, mũ mố, mũ trụ cầu trên cạn đường kính &gt;18mm</v>
      </c>
      <c r="E244" s="168"/>
      <c r="F244" s="20">
        <v>1</v>
      </c>
      <c r="G244" s="169"/>
      <c r="H244" s="45">
        <f>'Hao phí vật tư'!J1471</f>
        <v>27.003499999999999</v>
      </c>
      <c r="I244" s="166"/>
      <c r="J244" s="156">
        <f>ROUND(H244*I221,2)</f>
        <v>472561.25</v>
      </c>
      <c r="K244" s="166"/>
      <c r="L244" s="156">
        <f>ROUND(H244*K221,2)</f>
        <v>472561.25</v>
      </c>
      <c r="M244" s="34"/>
      <c r="N244" s="166"/>
      <c r="O244" s="156">
        <f>ROUND(H244*N221,2)</f>
        <v>0</v>
      </c>
      <c r="P244" s="166"/>
      <c r="Q244" s="156">
        <f>ROUND(H244*P221,2)</f>
        <v>0</v>
      </c>
      <c r="R244" s="166"/>
      <c r="S244" s="156">
        <f>ROUND(H244*R221,2)</f>
        <v>0</v>
      </c>
      <c r="T244" s="34"/>
      <c r="U244" s="34"/>
      <c r="V244" s="166"/>
      <c r="W244" s="166"/>
      <c r="X244" s="166"/>
      <c r="Y244" s="156">
        <f>ROUND(H244*X221,2)</f>
        <v>0</v>
      </c>
      <c r="Z244" s="166"/>
      <c r="AA244" s="156">
        <f>ROUND(H244*Z221,2)</f>
        <v>0</v>
      </c>
      <c r="AB244" s="156">
        <f>ROUND(H244*W221,2)</f>
        <v>472561.25</v>
      </c>
    </row>
    <row r="245" spans="1:28" ht="30" hidden="1" x14ac:dyDescent="0.25">
      <c r="A245" s="168"/>
      <c r="B245" s="133" t="str">
        <f>'Công trình'!B202</f>
        <v>AF.61711</v>
      </c>
      <c r="C245" s="34"/>
      <c r="D245" s="133" t="str">
        <f>'Công trình'!C202</f>
        <v>Sản xuất, lắp dựng cốt thép mặt cầu đường kính &lt;=10mm, chiều cao &lt;=16m</v>
      </c>
      <c r="E245" s="168"/>
      <c r="F245" s="20">
        <v>1</v>
      </c>
      <c r="G245" s="169"/>
      <c r="H245" s="45">
        <f>'Hao phí vật tư'!J1565</f>
        <v>1.8335999999999999</v>
      </c>
      <c r="I245" s="166"/>
      <c r="J245" s="156">
        <f>ROUND(H245*I221,2)</f>
        <v>32088</v>
      </c>
      <c r="K245" s="166"/>
      <c r="L245" s="156">
        <f>ROUND(H245*K221,2)</f>
        <v>32088</v>
      </c>
      <c r="M245" s="34"/>
      <c r="N245" s="166"/>
      <c r="O245" s="156">
        <f>ROUND(H245*N221,2)</f>
        <v>0</v>
      </c>
      <c r="P245" s="166"/>
      <c r="Q245" s="156">
        <f>ROUND(H245*P221,2)</f>
        <v>0</v>
      </c>
      <c r="R245" s="166"/>
      <c r="S245" s="156">
        <f>ROUND(H245*R221,2)</f>
        <v>0</v>
      </c>
      <c r="T245" s="34"/>
      <c r="U245" s="34"/>
      <c r="V245" s="166"/>
      <c r="W245" s="166"/>
      <c r="X245" s="166"/>
      <c r="Y245" s="156">
        <f>ROUND(H245*X221,2)</f>
        <v>0</v>
      </c>
      <c r="Z245" s="166"/>
      <c r="AA245" s="156">
        <f>ROUND(H245*Z221,2)</f>
        <v>0</v>
      </c>
      <c r="AB245" s="156">
        <f>ROUND(H245*W221,2)</f>
        <v>32088</v>
      </c>
    </row>
    <row r="246" spans="1:28" ht="30" hidden="1" x14ac:dyDescent="0.25">
      <c r="A246" s="168"/>
      <c r="B246" s="133" t="str">
        <f>'Công trình'!B204</f>
        <v>AF.61721</v>
      </c>
      <c r="C246" s="34"/>
      <c r="D246" s="133" t="str">
        <f>'Công trình'!C204</f>
        <v>Sản xuất, lắp dựng cốt thép mặt cầu đường kính &gt;10mm, chiều cao &lt;=16m</v>
      </c>
      <c r="E246" s="168"/>
      <c r="F246" s="20">
        <v>1</v>
      </c>
      <c r="G246" s="169"/>
      <c r="H246" s="45">
        <f>'Hao phí vật tư'!J1575</f>
        <v>147.5324</v>
      </c>
      <c r="I246" s="166"/>
      <c r="J246" s="156">
        <f>ROUND(H246*I221,2)</f>
        <v>2581817</v>
      </c>
      <c r="K246" s="166"/>
      <c r="L246" s="156">
        <f>ROUND(H246*K221,2)</f>
        <v>2581817</v>
      </c>
      <c r="M246" s="34"/>
      <c r="N246" s="166"/>
      <c r="O246" s="156">
        <f>ROUND(H246*N221,2)</f>
        <v>0</v>
      </c>
      <c r="P246" s="166"/>
      <c r="Q246" s="156">
        <f>ROUND(H246*P221,2)</f>
        <v>0</v>
      </c>
      <c r="R246" s="166"/>
      <c r="S246" s="156">
        <f>ROUND(H246*R221,2)</f>
        <v>0</v>
      </c>
      <c r="T246" s="34"/>
      <c r="U246" s="34"/>
      <c r="V246" s="166"/>
      <c r="W246" s="166"/>
      <c r="X246" s="166"/>
      <c r="Y246" s="156">
        <f>ROUND(H246*X221,2)</f>
        <v>0</v>
      </c>
      <c r="Z246" s="166"/>
      <c r="AA246" s="156">
        <f>ROUND(H246*Z221,2)</f>
        <v>0</v>
      </c>
      <c r="AB246" s="156">
        <f>ROUND(H246*W221,2)</f>
        <v>2581817</v>
      </c>
    </row>
    <row r="247" spans="1:28" ht="30" hidden="1" x14ac:dyDescent="0.25">
      <c r="A247" s="168"/>
      <c r="B247" s="133" t="str">
        <f>'Công trình'!B206</f>
        <v>AF.65410</v>
      </c>
      <c r="C247" s="34"/>
      <c r="D247" s="133" t="str">
        <f>'Công trình'!C206</f>
        <v>Công tác sản xuất lắp dựng cốt thép bê tông tại chỗ, cốt thép dầm cầu trên cạn, D ≤10mm</v>
      </c>
      <c r="E247" s="168"/>
      <c r="F247" s="20">
        <v>1</v>
      </c>
      <c r="G247" s="169"/>
      <c r="H247" s="45">
        <f>'Hao phí vật tư'!J1586</f>
        <v>5.9569000000000001</v>
      </c>
      <c r="I247" s="166"/>
      <c r="J247" s="156">
        <f>ROUND(H247*I221,2)</f>
        <v>104245.75</v>
      </c>
      <c r="K247" s="166"/>
      <c r="L247" s="156">
        <f>ROUND(H247*K221,2)</f>
        <v>104245.75</v>
      </c>
      <c r="M247" s="34"/>
      <c r="N247" s="166"/>
      <c r="O247" s="156">
        <f>ROUND(H247*N221,2)</f>
        <v>0</v>
      </c>
      <c r="P247" s="166"/>
      <c r="Q247" s="156">
        <f>ROUND(H247*P221,2)</f>
        <v>0</v>
      </c>
      <c r="R247" s="166"/>
      <c r="S247" s="156">
        <f>ROUND(H247*R221,2)</f>
        <v>0</v>
      </c>
      <c r="T247" s="34"/>
      <c r="U247" s="34"/>
      <c r="V247" s="166"/>
      <c r="W247" s="166"/>
      <c r="X247" s="166"/>
      <c r="Y247" s="156">
        <f>ROUND(H247*X221,2)</f>
        <v>0</v>
      </c>
      <c r="Z247" s="166"/>
      <c r="AA247" s="156">
        <f>ROUND(H247*Z221,2)</f>
        <v>0</v>
      </c>
      <c r="AB247" s="156">
        <f>ROUND(H247*W221,2)</f>
        <v>104245.75</v>
      </c>
    </row>
    <row r="248" spans="1:28" ht="30" hidden="1" x14ac:dyDescent="0.25">
      <c r="A248" s="168"/>
      <c r="B248" s="133" t="str">
        <f>'Công trình'!B208</f>
        <v>AF.65420</v>
      </c>
      <c r="C248" s="34"/>
      <c r="D248" s="133" t="str">
        <f>'Công trình'!C208</f>
        <v>Công tác sản xuất lắp dựng cốt thép bê tông tại chỗ, cốt thép dầm cầu trên cạn, D ≤18mm</v>
      </c>
      <c r="E248" s="168"/>
      <c r="F248" s="20">
        <v>1</v>
      </c>
      <c r="G248" s="169"/>
      <c r="H248" s="45">
        <f>'Hao phí vật tư'!J1596</f>
        <v>1.7422</v>
      </c>
      <c r="I248" s="166"/>
      <c r="J248" s="156">
        <f>ROUND(H248*I221,2)</f>
        <v>30488.5</v>
      </c>
      <c r="K248" s="166"/>
      <c r="L248" s="156">
        <f>ROUND(H248*K221,2)</f>
        <v>30488.5</v>
      </c>
      <c r="M248" s="34"/>
      <c r="N248" s="166"/>
      <c r="O248" s="156">
        <f>ROUND(H248*N221,2)</f>
        <v>0</v>
      </c>
      <c r="P248" s="166"/>
      <c r="Q248" s="156">
        <f>ROUND(H248*P221,2)</f>
        <v>0</v>
      </c>
      <c r="R248" s="166"/>
      <c r="S248" s="156">
        <f>ROUND(H248*R221,2)</f>
        <v>0</v>
      </c>
      <c r="T248" s="34"/>
      <c r="U248" s="34"/>
      <c r="V248" s="166"/>
      <c r="W248" s="166"/>
      <c r="X248" s="166"/>
      <c r="Y248" s="156">
        <f>ROUND(H248*X221,2)</f>
        <v>0</v>
      </c>
      <c r="Z248" s="166"/>
      <c r="AA248" s="156">
        <f>ROUND(H248*Z221,2)</f>
        <v>0</v>
      </c>
      <c r="AB248" s="156">
        <f>ROUND(H248*W221,2)</f>
        <v>30488.5</v>
      </c>
    </row>
    <row r="249" spans="1:28" ht="30" hidden="1" x14ac:dyDescent="0.25">
      <c r="A249" s="168"/>
      <c r="B249" s="133" t="str">
        <f>'Công trình'!B210</f>
        <v>AF.65430</v>
      </c>
      <c r="C249" s="34"/>
      <c r="D249" s="133" t="str">
        <f>'Công trình'!C210</f>
        <v>Công tác sản xuất lắp dựng cốt thép bê tông tại chỗ, cốt thép dầm cầu trên cạn, D &gt;18mm</v>
      </c>
      <c r="E249" s="168"/>
      <c r="F249" s="20">
        <v>1</v>
      </c>
      <c r="G249" s="169"/>
      <c r="H249" s="45">
        <f>'Hao phí vật tư'!J1607</f>
        <v>3.0373999999999999</v>
      </c>
      <c r="I249" s="166"/>
      <c r="J249" s="156">
        <f>ROUND(H249*I221,2)</f>
        <v>53154.5</v>
      </c>
      <c r="K249" s="166"/>
      <c r="L249" s="156">
        <f>ROUND(H249*K221,2)</f>
        <v>53154.5</v>
      </c>
      <c r="M249" s="34"/>
      <c r="N249" s="166"/>
      <c r="O249" s="156">
        <f>ROUND(H249*N221,2)</f>
        <v>0</v>
      </c>
      <c r="P249" s="166"/>
      <c r="Q249" s="156">
        <f>ROUND(H249*P221,2)</f>
        <v>0</v>
      </c>
      <c r="R249" s="166"/>
      <c r="S249" s="156">
        <f>ROUND(H249*R221,2)</f>
        <v>0</v>
      </c>
      <c r="T249" s="34"/>
      <c r="U249" s="34"/>
      <c r="V249" s="166"/>
      <c r="W249" s="166"/>
      <c r="X249" s="166"/>
      <c r="Y249" s="156">
        <f>ROUND(H249*X221,2)</f>
        <v>0</v>
      </c>
      <c r="Z249" s="166"/>
      <c r="AA249" s="156">
        <f>ROUND(H249*Z221,2)</f>
        <v>0</v>
      </c>
      <c r="AB249" s="156">
        <f>ROUND(H249*W221,2)</f>
        <v>53154.5</v>
      </c>
    </row>
    <row r="250" spans="1:28" ht="30" hidden="1" x14ac:dyDescent="0.25">
      <c r="A250" s="168"/>
      <c r="B250" s="133" t="str">
        <f>'Công trình'!B218</f>
        <v>AF.61120</v>
      </c>
      <c r="C250" s="34"/>
      <c r="D250" s="133" t="str">
        <f>'Công trình'!C218</f>
        <v>Sản xuất, lắp dựng cốt thép móng đường kính &lt;=18mm</v>
      </c>
      <c r="E250" s="168"/>
      <c r="F250" s="20">
        <v>1</v>
      </c>
      <c r="G250" s="169"/>
      <c r="H250" s="45">
        <f>'Hao phí vật tư'!J1646</f>
        <v>4.4397000000000002</v>
      </c>
      <c r="I250" s="166"/>
      <c r="J250" s="156">
        <f>ROUND(H250*I221,2)</f>
        <v>77694.75</v>
      </c>
      <c r="K250" s="166"/>
      <c r="L250" s="156">
        <f>ROUND(H250*K221,2)</f>
        <v>77694.75</v>
      </c>
      <c r="M250" s="34"/>
      <c r="N250" s="166"/>
      <c r="O250" s="156">
        <f>ROUND(H250*N221,2)</f>
        <v>0</v>
      </c>
      <c r="P250" s="166"/>
      <c r="Q250" s="156">
        <f>ROUND(H250*P221,2)</f>
        <v>0</v>
      </c>
      <c r="R250" s="166"/>
      <c r="S250" s="156">
        <f>ROUND(H250*R221,2)</f>
        <v>0</v>
      </c>
      <c r="T250" s="34"/>
      <c r="U250" s="34"/>
      <c r="V250" s="166"/>
      <c r="W250" s="166"/>
      <c r="X250" s="166"/>
      <c r="Y250" s="156">
        <f>ROUND(H250*X221,2)</f>
        <v>0</v>
      </c>
      <c r="Z250" s="166"/>
      <c r="AA250" s="156">
        <f>ROUND(H250*Z221,2)</f>
        <v>0</v>
      </c>
      <c r="AB250" s="156">
        <f>ROUND(H250*W221,2)</f>
        <v>77694.75</v>
      </c>
    </row>
    <row r="251" spans="1:28" ht="30" hidden="1" x14ac:dyDescent="0.25">
      <c r="A251" s="168"/>
      <c r="B251" s="133" t="str">
        <f>'Công trình'!B220</f>
        <v>AF.61110</v>
      </c>
      <c r="C251" s="34"/>
      <c r="D251" s="133" t="str">
        <f>'Công trình'!C220</f>
        <v>Sản xuất, lắp dựng cốt thép đường kính &lt;=10mm</v>
      </c>
      <c r="E251" s="168"/>
      <c r="F251" s="20">
        <v>1</v>
      </c>
      <c r="G251" s="169"/>
      <c r="H251" s="45">
        <f>'Hao phí vật tư'!J1655</f>
        <v>0.32129999999999997</v>
      </c>
      <c r="I251" s="166"/>
      <c r="J251" s="156">
        <f>ROUND(H251*I221,2)</f>
        <v>5622.75</v>
      </c>
      <c r="K251" s="166"/>
      <c r="L251" s="156">
        <f>ROUND(H251*K221,2)</f>
        <v>5622.75</v>
      </c>
      <c r="M251" s="34"/>
      <c r="N251" s="166"/>
      <c r="O251" s="156">
        <f>ROUND(H251*N221,2)</f>
        <v>0</v>
      </c>
      <c r="P251" s="166"/>
      <c r="Q251" s="156">
        <f>ROUND(H251*P221,2)</f>
        <v>0</v>
      </c>
      <c r="R251" s="166"/>
      <c r="S251" s="156">
        <f>ROUND(H251*R221,2)</f>
        <v>0</v>
      </c>
      <c r="T251" s="34"/>
      <c r="U251" s="34"/>
      <c r="V251" s="166"/>
      <c r="W251" s="166"/>
      <c r="X251" s="166"/>
      <c r="Y251" s="156">
        <f>ROUND(H251*X221,2)</f>
        <v>0</v>
      </c>
      <c r="Z251" s="166"/>
      <c r="AA251" s="156">
        <f>ROUND(H251*Z221,2)</f>
        <v>0</v>
      </c>
      <c r="AB251" s="156">
        <f>ROUND(H251*W221,2)</f>
        <v>5622.75</v>
      </c>
    </row>
    <row r="252" spans="1:28" ht="30" hidden="1" x14ac:dyDescent="0.25">
      <c r="A252" s="168"/>
      <c r="B252" s="133" t="str">
        <f>'Công trình'!B221</f>
        <v>AF.61120</v>
      </c>
      <c r="C252" s="34"/>
      <c r="D252" s="133" t="str">
        <f>'Công trình'!C221</f>
        <v>Sản xuất, lắp dựng cốt thép đường kính &lt;=18mm</v>
      </c>
      <c r="E252" s="168"/>
      <c r="F252" s="20">
        <v>1</v>
      </c>
      <c r="G252" s="169"/>
      <c r="H252" s="45">
        <f>'Hao phí vật tư'!J1664</f>
        <v>25.3127</v>
      </c>
      <c r="I252" s="166"/>
      <c r="J252" s="156">
        <f>ROUND(H252*I221,2)</f>
        <v>442972.25</v>
      </c>
      <c r="K252" s="166"/>
      <c r="L252" s="156">
        <f>ROUND(H252*K221,2)</f>
        <v>442972.25</v>
      </c>
      <c r="M252" s="34"/>
      <c r="N252" s="166"/>
      <c r="O252" s="156">
        <f>ROUND(H252*N221,2)</f>
        <v>0</v>
      </c>
      <c r="P252" s="166"/>
      <c r="Q252" s="156">
        <f>ROUND(H252*P221,2)</f>
        <v>0</v>
      </c>
      <c r="R252" s="166"/>
      <c r="S252" s="156">
        <f>ROUND(H252*R221,2)</f>
        <v>0</v>
      </c>
      <c r="T252" s="34"/>
      <c r="U252" s="34"/>
      <c r="V252" s="166"/>
      <c r="W252" s="166"/>
      <c r="X252" s="166"/>
      <c r="Y252" s="156">
        <f>ROUND(H252*X221,2)</f>
        <v>0</v>
      </c>
      <c r="Z252" s="166"/>
      <c r="AA252" s="156">
        <f>ROUND(H252*Z221,2)</f>
        <v>0</v>
      </c>
      <c r="AB252" s="156">
        <f>ROUND(H252*W221,2)</f>
        <v>442972.25</v>
      </c>
    </row>
    <row r="253" spans="1:28" ht="30" hidden="1" x14ac:dyDescent="0.25">
      <c r="A253" s="168"/>
      <c r="B253" s="133" t="str">
        <f>'Công trình'!B226</f>
        <v>AG.13111</v>
      </c>
      <c r="C253" s="34"/>
      <c r="D253" s="133" t="str">
        <f>'Công trình'!C226</f>
        <v>Sản xuất, lắp dựng cốt thép BT đúc sẵn cọc, đường kính &lt;=10mm</v>
      </c>
      <c r="E253" s="168"/>
      <c r="F253" s="20">
        <v>1</v>
      </c>
      <c r="G253" s="169"/>
      <c r="H253" s="45">
        <f>'Hao phí vật tư'!J1695</f>
        <v>52.378300000000003</v>
      </c>
      <c r="I253" s="166"/>
      <c r="J253" s="156">
        <f>ROUND(H253*I221,2)</f>
        <v>916620.25</v>
      </c>
      <c r="K253" s="166"/>
      <c r="L253" s="156">
        <f>ROUND(H253*K221,2)</f>
        <v>916620.25</v>
      </c>
      <c r="M253" s="34"/>
      <c r="N253" s="166"/>
      <c r="O253" s="156">
        <f>ROUND(H253*N221,2)</f>
        <v>0</v>
      </c>
      <c r="P253" s="166"/>
      <c r="Q253" s="156">
        <f>ROUND(H253*P221,2)</f>
        <v>0</v>
      </c>
      <c r="R253" s="166"/>
      <c r="S253" s="156">
        <f>ROUND(H253*R221,2)</f>
        <v>0</v>
      </c>
      <c r="T253" s="34"/>
      <c r="U253" s="34"/>
      <c r="V253" s="166"/>
      <c r="W253" s="166"/>
      <c r="X253" s="166"/>
      <c r="Y253" s="156">
        <f>ROUND(H253*X221,2)</f>
        <v>0</v>
      </c>
      <c r="Z253" s="166"/>
      <c r="AA253" s="156">
        <f>ROUND(H253*Z221,2)</f>
        <v>0</v>
      </c>
      <c r="AB253" s="156">
        <f>ROUND(H253*W221,2)</f>
        <v>916620.25</v>
      </c>
    </row>
    <row r="254" spans="1:28" ht="30" hidden="1" x14ac:dyDescent="0.25">
      <c r="A254" s="168"/>
      <c r="B254" s="133" t="str">
        <f>'Công trình'!B227</f>
        <v>AG.13121</v>
      </c>
      <c r="C254" s="34"/>
      <c r="D254" s="133" t="str">
        <f>'Công trình'!C227</f>
        <v>Sản xuất, lắp dựng cốt thép BT đúc sẵn cọc, đường kính &lt;=18mm</v>
      </c>
      <c r="E254" s="168"/>
      <c r="F254" s="20">
        <v>1</v>
      </c>
      <c r="G254" s="169"/>
      <c r="H254" s="45">
        <f>'Hao phí vật tư'!J1704</f>
        <v>6.1218000000000004</v>
      </c>
      <c r="I254" s="166"/>
      <c r="J254" s="156">
        <f>ROUND(H254*I221,2)</f>
        <v>107131.5</v>
      </c>
      <c r="K254" s="166"/>
      <c r="L254" s="156">
        <f>ROUND(H254*K221,2)</f>
        <v>107131.5</v>
      </c>
      <c r="M254" s="34"/>
      <c r="N254" s="166"/>
      <c r="O254" s="156">
        <f>ROUND(H254*N221,2)</f>
        <v>0</v>
      </c>
      <c r="P254" s="166"/>
      <c r="Q254" s="156">
        <f>ROUND(H254*P221,2)</f>
        <v>0</v>
      </c>
      <c r="R254" s="166"/>
      <c r="S254" s="156">
        <f>ROUND(H254*R221,2)</f>
        <v>0</v>
      </c>
      <c r="T254" s="34"/>
      <c r="U254" s="34"/>
      <c r="V254" s="166"/>
      <c r="W254" s="166"/>
      <c r="X254" s="166"/>
      <c r="Y254" s="156">
        <f>ROUND(H254*X221,2)</f>
        <v>0</v>
      </c>
      <c r="Z254" s="166"/>
      <c r="AA254" s="156">
        <f>ROUND(H254*Z221,2)</f>
        <v>0</v>
      </c>
      <c r="AB254" s="156">
        <f>ROUND(H254*W221,2)</f>
        <v>107131.5</v>
      </c>
    </row>
    <row r="255" spans="1:28" ht="30" hidden="1" x14ac:dyDescent="0.25">
      <c r="A255" s="168"/>
      <c r="B255" s="133" t="str">
        <f>'Công trình'!B228</f>
        <v>AG.13131</v>
      </c>
      <c r="C255" s="34"/>
      <c r="D255" s="133" t="str">
        <f>'Công trình'!C228</f>
        <v>Sản xuất, lắp dựng cốt thép BT đúc sẵn cọc, đường kính &gt;18mm</v>
      </c>
      <c r="E255" s="168"/>
      <c r="F255" s="20">
        <v>1</v>
      </c>
      <c r="G255" s="169"/>
      <c r="H255" s="45">
        <f>'Hao phí vật tư'!J1714</f>
        <v>190.0925</v>
      </c>
      <c r="I255" s="166"/>
      <c r="J255" s="156">
        <f>ROUND(H255*I221,2)</f>
        <v>3326618.75</v>
      </c>
      <c r="K255" s="166"/>
      <c r="L255" s="156">
        <f>ROUND(H255*K221,2)</f>
        <v>3326618.75</v>
      </c>
      <c r="M255" s="34"/>
      <c r="N255" s="166"/>
      <c r="O255" s="156">
        <f>ROUND(H255*N221,2)</f>
        <v>0</v>
      </c>
      <c r="P255" s="166"/>
      <c r="Q255" s="156">
        <f>ROUND(H255*P221,2)</f>
        <v>0</v>
      </c>
      <c r="R255" s="166"/>
      <c r="S255" s="156">
        <f>ROUND(H255*R221,2)</f>
        <v>0</v>
      </c>
      <c r="T255" s="34"/>
      <c r="U255" s="34"/>
      <c r="V255" s="166"/>
      <c r="W255" s="166"/>
      <c r="X255" s="166"/>
      <c r="Y255" s="156">
        <f>ROUND(H255*X221,2)</f>
        <v>0</v>
      </c>
      <c r="Z255" s="166"/>
      <c r="AA255" s="156">
        <f>ROUND(H255*Z221,2)</f>
        <v>0</v>
      </c>
      <c r="AB255" s="156">
        <f>ROUND(H255*W221,2)</f>
        <v>3326618.75</v>
      </c>
    </row>
    <row r="256" spans="1:28" ht="30" hidden="1" x14ac:dyDescent="0.25">
      <c r="A256" s="168"/>
      <c r="B256" s="133" t="str">
        <f>'Công trình'!B257</f>
        <v>AF.61110</v>
      </c>
      <c r="C256" s="34"/>
      <c r="D256" s="133" t="str">
        <f>'Công trình'!C257</f>
        <v>Sản xuất, lắp dựng cốt thép đường kính &lt;=10mm</v>
      </c>
      <c r="E256" s="168"/>
      <c r="F256" s="20">
        <v>1</v>
      </c>
      <c r="G256" s="169"/>
      <c r="H256" s="45">
        <f>'Hao phí vật tư'!J1961</f>
        <v>35.741399999999999</v>
      </c>
      <c r="I256" s="166"/>
      <c r="J256" s="156">
        <f>ROUND(H256*I221,2)</f>
        <v>625474.5</v>
      </c>
      <c r="K256" s="166"/>
      <c r="L256" s="156">
        <f>ROUND(H256*K221,2)</f>
        <v>625474.5</v>
      </c>
      <c r="M256" s="34"/>
      <c r="N256" s="166"/>
      <c r="O256" s="156">
        <f>ROUND(H256*N221,2)</f>
        <v>0</v>
      </c>
      <c r="P256" s="166"/>
      <c r="Q256" s="156">
        <f>ROUND(H256*P221,2)</f>
        <v>0</v>
      </c>
      <c r="R256" s="166"/>
      <c r="S256" s="156">
        <f>ROUND(H256*R221,2)</f>
        <v>0</v>
      </c>
      <c r="T256" s="34"/>
      <c r="U256" s="34"/>
      <c r="V256" s="166"/>
      <c r="W256" s="166"/>
      <c r="X256" s="166"/>
      <c r="Y256" s="156">
        <f>ROUND(H256*X221,2)</f>
        <v>0</v>
      </c>
      <c r="Z256" s="166"/>
      <c r="AA256" s="156">
        <f>ROUND(H256*Z221,2)</f>
        <v>0</v>
      </c>
      <c r="AB256" s="156">
        <f>ROUND(H256*W221,2)</f>
        <v>625474.5</v>
      </c>
    </row>
    <row r="257" spans="1:28" ht="30" hidden="1" x14ac:dyDescent="0.25">
      <c r="A257" s="168"/>
      <c r="B257" s="133" t="str">
        <f>'Công trình'!B258</f>
        <v>AF.61120</v>
      </c>
      <c r="C257" s="34"/>
      <c r="D257" s="133" t="str">
        <f>'Công trình'!C258</f>
        <v>Sản xuất, lắp dựng cốt thép đường kính &lt;=18mm</v>
      </c>
      <c r="E257" s="168"/>
      <c r="F257" s="20">
        <v>1</v>
      </c>
      <c r="G257" s="169"/>
      <c r="H257" s="45">
        <f>'Hao phí vật tư'!J1970</f>
        <v>9.0906000000000002</v>
      </c>
      <c r="I257" s="166"/>
      <c r="J257" s="156">
        <f>ROUND(H257*I221,2)</f>
        <v>159085.5</v>
      </c>
      <c r="K257" s="166"/>
      <c r="L257" s="156">
        <f>ROUND(H257*K221,2)</f>
        <v>159085.5</v>
      </c>
      <c r="M257" s="34"/>
      <c r="N257" s="166"/>
      <c r="O257" s="156">
        <f>ROUND(H257*N221,2)</f>
        <v>0</v>
      </c>
      <c r="P257" s="166"/>
      <c r="Q257" s="156">
        <f>ROUND(H257*P221,2)</f>
        <v>0</v>
      </c>
      <c r="R257" s="166"/>
      <c r="S257" s="156">
        <f>ROUND(H257*R221,2)</f>
        <v>0</v>
      </c>
      <c r="T257" s="34"/>
      <c r="U257" s="34"/>
      <c r="V257" s="166"/>
      <c r="W257" s="166"/>
      <c r="X257" s="166"/>
      <c r="Y257" s="156">
        <f>ROUND(H257*X221,2)</f>
        <v>0</v>
      </c>
      <c r="Z257" s="166"/>
      <c r="AA257" s="156">
        <f>ROUND(H257*Z221,2)</f>
        <v>0</v>
      </c>
      <c r="AB257" s="156">
        <f>ROUND(H257*W221,2)</f>
        <v>159085.5</v>
      </c>
    </row>
    <row r="258" spans="1:28" ht="30" hidden="1" x14ac:dyDescent="0.25">
      <c r="A258" s="168"/>
      <c r="B258" s="133" t="str">
        <f>'Công trình'!B302</f>
        <v>AF.61110</v>
      </c>
      <c r="C258" s="34"/>
      <c r="D258" s="133" t="str">
        <f>'Công trình'!C302</f>
        <v>Sản xuất, lắp dựng cốt thép móng đường kính &lt;=10mm</v>
      </c>
      <c r="E258" s="168"/>
      <c r="F258" s="20">
        <v>1</v>
      </c>
      <c r="G258" s="169"/>
      <c r="H258" s="45">
        <f>'Hao phí vật tư'!J2265</f>
        <v>2.4762</v>
      </c>
      <c r="I258" s="166"/>
      <c r="J258" s="156">
        <f>ROUND(H258*I221,2)</f>
        <v>43333.5</v>
      </c>
      <c r="K258" s="166"/>
      <c r="L258" s="156">
        <f>ROUND(H258*K221,2)</f>
        <v>43333.5</v>
      </c>
      <c r="M258" s="34"/>
      <c r="N258" s="166"/>
      <c r="O258" s="156">
        <f>ROUND(H258*N221,2)</f>
        <v>0</v>
      </c>
      <c r="P258" s="166"/>
      <c r="Q258" s="156">
        <f>ROUND(H258*P221,2)</f>
        <v>0</v>
      </c>
      <c r="R258" s="166"/>
      <c r="S258" s="156">
        <f>ROUND(H258*R221,2)</f>
        <v>0</v>
      </c>
      <c r="T258" s="34"/>
      <c r="U258" s="34"/>
      <c r="V258" s="166"/>
      <c r="W258" s="166"/>
      <c r="X258" s="166"/>
      <c r="Y258" s="156">
        <f>ROUND(H258*X221,2)</f>
        <v>0</v>
      </c>
      <c r="Z258" s="166"/>
      <c r="AA258" s="156">
        <f>ROUND(H258*Z221,2)</f>
        <v>0</v>
      </c>
      <c r="AB258" s="156">
        <f>ROUND(H258*W221,2)</f>
        <v>43333.5</v>
      </c>
    </row>
    <row r="259" spans="1:28" hidden="1" x14ac:dyDescent="0.25">
      <c r="A259" s="168"/>
      <c r="B259" s="133" t="str">
        <f>'Công trình'!B24</f>
        <v>AF.61130</v>
      </c>
      <c r="C259" s="34"/>
      <c r="D259" s="133" t="str">
        <f>'Công trình'!C24</f>
        <v>Neo dầm mang cống bằng thép D32 SUS304</v>
      </c>
      <c r="E259" s="168"/>
      <c r="F259" s="20">
        <v>1</v>
      </c>
      <c r="G259" s="169"/>
      <c r="H259" s="45">
        <f>'Hao phí vật tư'!J168</f>
        <v>0</v>
      </c>
      <c r="I259" s="166"/>
      <c r="J259" s="156">
        <f>ROUND(H259*I221,2)</f>
        <v>0</v>
      </c>
      <c r="K259" s="166"/>
      <c r="L259" s="156">
        <f>ROUND(H259*K221,2)</f>
        <v>0</v>
      </c>
      <c r="M259" s="34"/>
      <c r="N259" s="166"/>
      <c r="O259" s="156">
        <f>ROUND(H259*N221,2)</f>
        <v>0</v>
      </c>
      <c r="P259" s="166"/>
      <c r="Q259" s="156">
        <f>ROUND(H259*P221,2)</f>
        <v>0</v>
      </c>
      <c r="R259" s="166"/>
      <c r="S259" s="156">
        <f>ROUND(H259*R221,2)</f>
        <v>0</v>
      </c>
      <c r="T259" s="34"/>
      <c r="U259" s="34"/>
      <c r="V259" s="166"/>
      <c r="W259" s="166"/>
      <c r="X259" s="166"/>
      <c r="Y259" s="156">
        <f>ROUND(H259*X221,2)</f>
        <v>0</v>
      </c>
      <c r="Z259" s="166"/>
      <c r="AA259" s="156">
        <f>ROUND(H259*Z221,2)</f>
        <v>0</v>
      </c>
      <c r="AB259" s="156">
        <f>ROUND(H259*W221,2)</f>
        <v>0</v>
      </c>
    </row>
    <row r="260" spans="1:28" ht="30" hidden="1" x14ac:dyDescent="0.25">
      <c r="A260" s="168"/>
      <c r="B260" s="133" t="str">
        <f>'Công trình'!B37</f>
        <v>AF.61521</v>
      </c>
      <c r="C260" s="34"/>
      <c r="D260" s="133" t="str">
        <f>'Công trình'!C37</f>
        <v>Sản xuất, lắp dựng cốt thép xà dầm, giằng đường kính &lt;=18mm, chiều cao &lt;=4m</v>
      </c>
      <c r="E260" s="168"/>
      <c r="F260" s="20">
        <v>1</v>
      </c>
      <c r="G260" s="169"/>
      <c r="H260" s="45">
        <f>'Hao phí vật tư'!J282</f>
        <v>3.8898999999999999</v>
      </c>
      <c r="I260" s="166"/>
      <c r="J260" s="156">
        <f>ROUND(H260*I221,2)</f>
        <v>68073.25</v>
      </c>
      <c r="K260" s="166"/>
      <c r="L260" s="156">
        <f>ROUND(H260*K221,2)</f>
        <v>68073.25</v>
      </c>
      <c r="M260" s="34"/>
      <c r="N260" s="166"/>
      <c r="O260" s="156">
        <f>ROUND(H260*N221,2)</f>
        <v>0</v>
      </c>
      <c r="P260" s="166"/>
      <c r="Q260" s="156">
        <f>ROUND(H260*P221,2)</f>
        <v>0</v>
      </c>
      <c r="R260" s="166"/>
      <c r="S260" s="156">
        <f>ROUND(H260*R221,2)</f>
        <v>0</v>
      </c>
      <c r="T260" s="34"/>
      <c r="U260" s="34"/>
      <c r="V260" s="166"/>
      <c r="W260" s="166"/>
      <c r="X260" s="166"/>
      <c r="Y260" s="156">
        <f>ROUND(H260*X221,2)</f>
        <v>0</v>
      </c>
      <c r="Z260" s="166"/>
      <c r="AA260" s="156">
        <f>ROUND(H260*Z221,2)</f>
        <v>0</v>
      </c>
      <c r="AB260" s="156">
        <f>ROUND(H260*W221,2)</f>
        <v>68073.25</v>
      </c>
    </row>
    <row r="261" spans="1:28" ht="30" hidden="1" x14ac:dyDescent="0.25">
      <c r="A261" s="168"/>
      <c r="B261" s="133" t="str">
        <f>'Công trình'!B36</f>
        <v>AF.61511</v>
      </c>
      <c r="C261" s="34"/>
      <c r="D261" s="133" t="str">
        <f>'Công trình'!C36</f>
        <v>Sản xuất, lắp dựng cốt thép xà dầm, giằng đường kính &lt;=10mm, chiều cao &lt;=4m</v>
      </c>
      <c r="E261" s="168"/>
      <c r="F261" s="20">
        <v>1</v>
      </c>
      <c r="G261" s="169"/>
      <c r="H261" s="45">
        <f>'Hao phí vật tư'!J273</f>
        <v>8.0495999999999999</v>
      </c>
      <c r="I261" s="166"/>
      <c r="J261" s="156">
        <f>ROUND(H261*I221,2)</f>
        <v>140868</v>
      </c>
      <c r="K261" s="166"/>
      <c r="L261" s="156">
        <f>ROUND(H261*K221,2)</f>
        <v>140868</v>
      </c>
      <c r="M261" s="34"/>
      <c r="N261" s="166"/>
      <c r="O261" s="156">
        <f>ROUND(H261*N221,2)</f>
        <v>0</v>
      </c>
      <c r="P261" s="166"/>
      <c r="Q261" s="156">
        <f>ROUND(H261*P221,2)</f>
        <v>0</v>
      </c>
      <c r="R261" s="166"/>
      <c r="S261" s="156">
        <f>ROUND(H261*R221,2)</f>
        <v>0</v>
      </c>
      <c r="T261" s="34"/>
      <c r="U261" s="34"/>
      <c r="V261" s="166"/>
      <c r="W261" s="166"/>
      <c r="X261" s="166"/>
      <c r="Y261" s="156">
        <f>ROUND(H261*X221,2)</f>
        <v>0</v>
      </c>
      <c r="Z261" s="166"/>
      <c r="AA261" s="156">
        <f>ROUND(H261*Z221,2)</f>
        <v>0</v>
      </c>
      <c r="AB261" s="156">
        <f>ROUND(H261*W221,2)</f>
        <v>140868</v>
      </c>
    </row>
    <row r="262" spans="1:28" ht="30" x14ac:dyDescent="0.25">
      <c r="A262" s="168">
        <v>41</v>
      </c>
      <c r="B262" s="84" t="s">
        <v>566</v>
      </c>
      <c r="C262" s="34">
        <v>471</v>
      </c>
      <c r="D262" s="144" t="s">
        <v>347</v>
      </c>
      <c r="E262" s="168" t="s">
        <v>205</v>
      </c>
      <c r="F262" s="34"/>
      <c r="G262" s="169"/>
      <c r="H262" s="60">
        <f>SUM(H263:H265)</f>
        <v>7604.4684999999999</v>
      </c>
      <c r="I262" s="166">
        <v>14000</v>
      </c>
      <c r="J262" s="166">
        <f>ROUND(H262*I262,0)</f>
        <v>106462559</v>
      </c>
      <c r="K262" s="156">
        <f>'Tổng hợp VL,NC,M'!I272</f>
        <v>51565</v>
      </c>
      <c r="L262" s="166">
        <f>ROUND(H262*K262,0)</f>
        <v>392124418</v>
      </c>
      <c r="M262" s="34">
        <v>1</v>
      </c>
      <c r="N262" s="166"/>
      <c r="O262" s="166">
        <f>ROUND(H262*N262,0)</f>
        <v>0</v>
      </c>
      <c r="P262" s="166"/>
      <c r="Q262" s="166">
        <f>ROUND(H262*P262,0)</f>
        <v>0</v>
      </c>
      <c r="R262" s="166"/>
      <c r="S262" s="166">
        <f>ROUND(H262*R262,0)</f>
        <v>0</v>
      </c>
      <c r="T262" s="34"/>
      <c r="U262" s="34"/>
      <c r="V262" s="166">
        <f>ROUND((K262+N262+P262+R262)*(U262+T262),0)</f>
        <v>0</v>
      </c>
      <c r="W262" s="156">
        <f>K262+N262+P262+R262+V262</f>
        <v>51565</v>
      </c>
      <c r="X262" s="166">
        <f>K262-I262</f>
        <v>37565</v>
      </c>
      <c r="Y262" s="166">
        <f>ROUND(H262*X262,0)</f>
        <v>285661859</v>
      </c>
      <c r="Z262" s="166">
        <f>W262-I262</f>
        <v>37565</v>
      </c>
      <c r="AA262" s="166">
        <f>ROUND(H262*Z262,0)</f>
        <v>285661859</v>
      </c>
      <c r="AB262" s="166">
        <f>ROUND(H262*W262,0)</f>
        <v>392124418</v>
      </c>
    </row>
    <row r="263" spans="1:28" hidden="1" x14ac:dyDescent="0.25">
      <c r="A263" s="168"/>
      <c r="B263" s="133" t="str">
        <f>'Công trình'!B47</f>
        <v>035.41</v>
      </c>
      <c r="C263" s="34"/>
      <c r="D263" s="133" t="str">
        <f>'Công trình'!C47</f>
        <v>Thả rọ thép đá hộc, loai rọ 2x1x0.5 trên cạn</v>
      </c>
      <c r="E263" s="168"/>
      <c r="F263" s="20">
        <v>1</v>
      </c>
      <c r="G263" s="169"/>
      <c r="H263" s="45">
        <f>'Hao phí vật tư'!J353</f>
        <v>1400</v>
      </c>
      <c r="I263" s="166"/>
      <c r="J263" s="156">
        <f>ROUND(H263*I262,2)</f>
        <v>19600000</v>
      </c>
      <c r="K263" s="166"/>
      <c r="L263" s="156">
        <f>ROUND(H263*K262,2)</f>
        <v>72191000</v>
      </c>
      <c r="M263" s="34"/>
      <c r="N263" s="166"/>
      <c r="O263" s="156">
        <f>ROUND(H263*N262,2)</f>
        <v>0</v>
      </c>
      <c r="P263" s="166"/>
      <c r="Q263" s="156">
        <f>ROUND(H263*P262,2)</f>
        <v>0</v>
      </c>
      <c r="R263" s="166"/>
      <c r="S263" s="156">
        <f>ROUND(H263*R262,2)</f>
        <v>0</v>
      </c>
      <c r="T263" s="34"/>
      <c r="U263" s="34"/>
      <c r="V263" s="166"/>
      <c r="W263" s="166"/>
      <c r="X263" s="166"/>
      <c r="Y263" s="156">
        <f>ROUND(H263*X262,2)</f>
        <v>52591000</v>
      </c>
      <c r="Z263" s="166"/>
      <c r="AA263" s="156">
        <f>ROUND(H263*Z262,2)</f>
        <v>52591000</v>
      </c>
      <c r="AB263" s="156">
        <f>ROUND(H263*W262,2)</f>
        <v>72191000</v>
      </c>
    </row>
    <row r="264" spans="1:28" hidden="1" x14ac:dyDescent="0.25">
      <c r="A264" s="168"/>
      <c r="B264" s="133" t="str">
        <f>'Công trình'!B48</f>
        <v>035.41</v>
      </c>
      <c r="C264" s="34"/>
      <c r="D264" s="133" t="str">
        <f>'Công trình'!C48</f>
        <v>Thả rọ thép đá hộc, loai rọ 2x1x0.3 trên cạn</v>
      </c>
      <c r="E264" s="168"/>
      <c r="F264" s="20">
        <v>1</v>
      </c>
      <c r="G264" s="169"/>
      <c r="H264" s="45">
        <f>'Hao phí vật tư'!J359</f>
        <v>6036.4684999999999</v>
      </c>
      <c r="I264" s="166"/>
      <c r="J264" s="156">
        <f>ROUND(H264*I262,2)</f>
        <v>84510559</v>
      </c>
      <c r="K264" s="166"/>
      <c r="L264" s="156">
        <f>ROUND(H264*K262,2)</f>
        <v>311270498.19999999</v>
      </c>
      <c r="M264" s="34"/>
      <c r="N264" s="166"/>
      <c r="O264" s="156">
        <f>ROUND(H264*N262,2)</f>
        <v>0</v>
      </c>
      <c r="P264" s="166"/>
      <c r="Q264" s="156">
        <f>ROUND(H264*P262,2)</f>
        <v>0</v>
      </c>
      <c r="R264" s="166"/>
      <c r="S264" s="156">
        <f>ROUND(H264*R262,2)</f>
        <v>0</v>
      </c>
      <c r="T264" s="34"/>
      <c r="U264" s="34"/>
      <c r="V264" s="166"/>
      <c r="W264" s="166"/>
      <c r="X264" s="166"/>
      <c r="Y264" s="156">
        <f>ROUND(H264*X262,2)</f>
        <v>226759939.19999999</v>
      </c>
      <c r="Z264" s="166"/>
      <c r="AA264" s="156">
        <f>ROUND(H264*Z262,2)</f>
        <v>226759939.19999999</v>
      </c>
      <c r="AB264" s="156">
        <f>ROUND(H264*W262,2)</f>
        <v>311270498.19999999</v>
      </c>
    </row>
    <row r="265" spans="1:28" hidden="1" x14ac:dyDescent="0.25">
      <c r="A265" s="168"/>
      <c r="B265" s="133" t="str">
        <f>'Công trình'!B170</f>
        <v>035.41</v>
      </c>
      <c r="C265" s="34"/>
      <c r="D265" s="133" t="str">
        <f>'Công trình'!C170</f>
        <v>Thả rọ thép đá hộc, loai rọ 2x1x0.5 trên cạn</v>
      </c>
      <c r="E265" s="168"/>
      <c r="F265" s="20">
        <v>1</v>
      </c>
      <c r="G265" s="169"/>
      <c r="H265" s="45">
        <f>'Hao phí vật tư'!J1290</f>
        <v>168</v>
      </c>
      <c r="I265" s="166"/>
      <c r="J265" s="156">
        <f>ROUND(H265*I262,2)</f>
        <v>2352000</v>
      </c>
      <c r="K265" s="166"/>
      <c r="L265" s="156">
        <f>ROUND(H265*K262,2)</f>
        <v>8662920</v>
      </c>
      <c r="M265" s="34"/>
      <c r="N265" s="166"/>
      <c r="O265" s="156">
        <f>ROUND(H265*N262,2)</f>
        <v>0</v>
      </c>
      <c r="P265" s="166"/>
      <c r="Q265" s="156">
        <f>ROUND(H265*P262,2)</f>
        <v>0</v>
      </c>
      <c r="R265" s="166"/>
      <c r="S265" s="156">
        <f>ROUND(H265*R262,2)</f>
        <v>0</v>
      </c>
      <c r="T265" s="34"/>
      <c r="U265" s="34"/>
      <c r="V265" s="166"/>
      <c r="W265" s="166"/>
      <c r="X265" s="166"/>
      <c r="Y265" s="156">
        <f>ROUND(H265*X262,2)</f>
        <v>6310920</v>
      </c>
      <c r="Z265" s="166"/>
      <c r="AA265" s="156">
        <f>ROUND(H265*Z262,2)</f>
        <v>6310920</v>
      </c>
      <c r="AB265" s="156">
        <f>ROUND(H265*W262,2)</f>
        <v>8662920</v>
      </c>
    </row>
    <row r="266" spans="1:28" x14ac:dyDescent="0.25">
      <c r="A266" s="168">
        <v>42</v>
      </c>
      <c r="B266" s="84" t="s">
        <v>129</v>
      </c>
      <c r="C266" s="34">
        <v>507</v>
      </c>
      <c r="D266" s="144" t="s">
        <v>100</v>
      </c>
      <c r="E266" s="168" t="s">
        <v>1123</v>
      </c>
      <c r="F266" s="34"/>
      <c r="G266" s="169"/>
      <c r="H266" s="60">
        <f>SUM(H267:H267)</f>
        <v>56</v>
      </c>
      <c r="I266" s="166">
        <v>174000</v>
      </c>
      <c r="J266" s="166">
        <f>ROUND(H266*I266,0)</f>
        <v>9744000</v>
      </c>
      <c r="K266" s="166">
        <f>'Tổng hợp VL,NC,M'!I276</f>
        <v>174000</v>
      </c>
      <c r="L266" s="166">
        <f>ROUND(H266*K266,0)</f>
        <v>9744000</v>
      </c>
      <c r="M266" s="34">
        <v>1</v>
      </c>
      <c r="N266" s="166"/>
      <c r="O266" s="166">
        <f>ROUND(H266*N266,0)</f>
        <v>0</v>
      </c>
      <c r="P266" s="166"/>
      <c r="Q266" s="166">
        <f>ROUND(H266*P266,0)</f>
        <v>0</v>
      </c>
      <c r="R266" s="166"/>
      <c r="S266" s="166">
        <f>ROUND(H266*R266,0)</f>
        <v>0</v>
      </c>
      <c r="T266" s="34"/>
      <c r="U266" s="34"/>
      <c r="V266" s="166">
        <f>ROUND((K266+N266+P266+R266)*(U266+T266),0)</f>
        <v>0</v>
      </c>
      <c r="W266" s="166">
        <f>K266+N266+P266+R266+V266</f>
        <v>174000</v>
      </c>
      <c r="X266" s="166">
        <f>K266-I266</f>
        <v>0</v>
      </c>
      <c r="Y266" s="166">
        <f>ROUND(H266*X266,0)</f>
        <v>0</v>
      </c>
      <c r="Z266" s="166">
        <f>W266-I266</f>
        <v>0</v>
      </c>
      <c r="AA266" s="166">
        <f>ROUND(H266*Z266,0)</f>
        <v>0</v>
      </c>
      <c r="AB266" s="166">
        <f>ROUND(H266*W266,0)</f>
        <v>9744000</v>
      </c>
    </row>
    <row r="267" spans="1:28" hidden="1" x14ac:dyDescent="0.25">
      <c r="A267" s="168"/>
      <c r="B267" s="133" t="str">
        <f>'Công trình'!B280</f>
        <v>TT</v>
      </c>
      <c r="C267" s="34"/>
      <c r="D267" s="133" t="str">
        <f>'Công trình'!C280</f>
        <v>Đệm U(160x160x5x310)mm</v>
      </c>
      <c r="E267" s="168"/>
      <c r="F267" s="20">
        <v>1</v>
      </c>
      <c r="G267" s="169"/>
      <c r="H267" s="45">
        <f>'Hao phí vật tư'!J2106</f>
        <v>56</v>
      </c>
      <c r="I267" s="166"/>
      <c r="J267" s="156">
        <f>ROUND(H267*I266,2)</f>
        <v>9744000</v>
      </c>
      <c r="K267" s="166"/>
      <c r="L267" s="156">
        <f>ROUND(H267*K266,2)</f>
        <v>9744000</v>
      </c>
      <c r="M267" s="34"/>
      <c r="N267" s="166"/>
      <c r="O267" s="156">
        <f>ROUND(H267*N266,2)</f>
        <v>0</v>
      </c>
      <c r="P267" s="166"/>
      <c r="Q267" s="156">
        <f>ROUND(H267*P266,2)</f>
        <v>0</v>
      </c>
      <c r="R267" s="166"/>
      <c r="S267" s="156">
        <f>ROUND(H267*R266,2)</f>
        <v>0</v>
      </c>
      <c r="T267" s="34"/>
      <c r="U267" s="34"/>
      <c r="V267" s="166"/>
      <c r="W267" s="166"/>
      <c r="X267" s="166"/>
      <c r="Y267" s="156">
        <f>ROUND(H267*X266,2)</f>
        <v>0</v>
      </c>
      <c r="Z267" s="166"/>
      <c r="AA267" s="156">
        <f>ROUND(H267*Z266,2)</f>
        <v>0</v>
      </c>
      <c r="AB267" s="156">
        <f>ROUND(H267*W266,2)</f>
        <v>9744000</v>
      </c>
    </row>
    <row r="268" spans="1:28" x14ac:dyDescent="0.25">
      <c r="A268" s="168">
        <v>43</v>
      </c>
      <c r="B268" s="84" t="s">
        <v>95</v>
      </c>
      <c r="C268" s="34">
        <v>401</v>
      </c>
      <c r="D268" s="144" t="s">
        <v>329</v>
      </c>
      <c r="E268" s="168" t="s">
        <v>555</v>
      </c>
      <c r="F268" s="34"/>
      <c r="G268" s="169"/>
      <c r="H268" s="60">
        <f>SUM(H269:H274)</f>
        <v>66.250699999999995</v>
      </c>
      <c r="I268" s="166">
        <v>20000</v>
      </c>
      <c r="J268" s="166">
        <f>ROUND(H268*I268,0)</f>
        <v>1325014</v>
      </c>
      <c r="K268" s="166">
        <f>'Tổng hợp VL,NC,M'!I278</f>
        <v>20000</v>
      </c>
      <c r="L268" s="166">
        <f>ROUND(H268*K268,0)</f>
        <v>1325014</v>
      </c>
      <c r="M268" s="34">
        <v>1</v>
      </c>
      <c r="N268" s="166"/>
      <c r="O268" s="166">
        <f>ROUND(H268*N268,0)</f>
        <v>0</v>
      </c>
      <c r="P268" s="166"/>
      <c r="Q268" s="166">
        <f>ROUND(H268*P268,0)</f>
        <v>0</v>
      </c>
      <c r="R268" s="166"/>
      <c r="S268" s="166">
        <f>ROUND(H268*R268,0)</f>
        <v>0</v>
      </c>
      <c r="T268" s="34"/>
      <c r="U268" s="34"/>
      <c r="V268" s="166">
        <f>ROUND((K268+N268+P268+R268)*(U268+T268),0)</f>
        <v>0</v>
      </c>
      <c r="W268" s="166">
        <f>K268+N268+P268+R268+V268</f>
        <v>20000</v>
      </c>
      <c r="X268" s="166">
        <f>K268-I268</f>
        <v>0</v>
      </c>
      <c r="Y268" s="166">
        <f>ROUND(H268*X268,0)</f>
        <v>0</v>
      </c>
      <c r="Z268" s="166">
        <f>W268-I268</f>
        <v>0</v>
      </c>
      <c r="AA268" s="166">
        <f>ROUND(H268*Z268,0)</f>
        <v>0</v>
      </c>
      <c r="AB268" s="166">
        <f>ROUND(H268*W268,0)</f>
        <v>1325014</v>
      </c>
    </row>
    <row r="269" spans="1:28" ht="30" hidden="1" x14ac:dyDescent="0.25">
      <c r="A269" s="168"/>
      <c r="B269" s="133" t="str">
        <f>'Công trình'!B30</f>
        <v>AF.12113</v>
      </c>
      <c r="C269" s="34"/>
      <c r="D269" s="133" t="str">
        <f>'Công trình'!C30</f>
        <v>Bê tông tường dày &lt;=45cm, chiều cao &lt;=4m đá 1x2, vữa BT mác 200</v>
      </c>
      <c r="E269" s="168"/>
      <c r="F269" s="20">
        <v>1</v>
      </c>
      <c r="G269" s="169"/>
      <c r="H269" s="45">
        <f>'Hao phí vật tư'!J202</f>
        <v>5.2098000000000004</v>
      </c>
      <c r="I269" s="166"/>
      <c r="J269" s="156">
        <f>ROUND(H269*I268,2)</f>
        <v>104196</v>
      </c>
      <c r="K269" s="166"/>
      <c r="L269" s="156">
        <f>ROUND(H269*K268,2)</f>
        <v>104196</v>
      </c>
      <c r="M269" s="34"/>
      <c r="N269" s="166"/>
      <c r="O269" s="156">
        <f>ROUND(H269*N268,2)</f>
        <v>0</v>
      </c>
      <c r="P269" s="166"/>
      <c r="Q269" s="156">
        <f>ROUND(H269*P268,2)</f>
        <v>0</v>
      </c>
      <c r="R269" s="166"/>
      <c r="S269" s="156">
        <f>ROUND(H269*R268,2)</f>
        <v>0</v>
      </c>
      <c r="T269" s="34"/>
      <c r="U269" s="34"/>
      <c r="V269" s="166"/>
      <c r="W269" s="166"/>
      <c r="X269" s="166"/>
      <c r="Y269" s="156">
        <f>ROUND(H269*X268,2)</f>
        <v>0</v>
      </c>
      <c r="Z269" s="166"/>
      <c r="AA269" s="156">
        <f>ROUND(H269*Z268,2)</f>
        <v>0</v>
      </c>
      <c r="AB269" s="156">
        <f>ROUND(H269*W268,2)</f>
        <v>104196</v>
      </c>
    </row>
    <row r="270" spans="1:28" ht="30" hidden="1" x14ac:dyDescent="0.25">
      <c r="A270" s="168"/>
      <c r="B270" s="133" t="str">
        <f>'Công trình'!B63</f>
        <v>AF.11223</v>
      </c>
      <c r="C270" s="34"/>
      <c r="D270" s="133" t="str">
        <f>'Công trình'!C63</f>
        <v>Bê tông lát mái rộng &gt;250cm đá 1x2, vữa BT mác 200</v>
      </c>
      <c r="E270" s="168"/>
      <c r="F270" s="20">
        <v>1</v>
      </c>
      <c r="G270" s="169"/>
      <c r="H270" s="45">
        <f>'Hao phí vật tư'!J474</f>
        <v>19.8872</v>
      </c>
      <c r="I270" s="166"/>
      <c r="J270" s="156">
        <f>ROUND(H270*I268,2)</f>
        <v>397744</v>
      </c>
      <c r="K270" s="166"/>
      <c r="L270" s="156">
        <f>ROUND(H270*K268,2)</f>
        <v>397744</v>
      </c>
      <c r="M270" s="34"/>
      <c r="N270" s="166"/>
      <c r="O270" s="156">
        <f>ROUND(H270*N268,2)</f>
        <v>0</v>
      </c>
      <c r="P270" s="166"/>
      <c r="Q270" s="156">
        <f>ROUND(H270*P268,2)</f>
        <v>0</v>
      </c>
      <c r="R270" s="166"/>
      <c r="S270" s="156">
        <f>ROUND(H270*R268,2)</f>
        <v>0</v>
      </c>
      <c r="T270" s="34"/>
      <c r="U270" s="34"/>
      <c r="V270" s="166"/>
      <c r="W270" s="166"/>
      <c r="X270" s="166"/>
      <c r="Y270" s="156">
        <f>ROUND(H270*X268,2)</f>
        <v>0</v>
      </c>
      <c r="Z270" s="166"/>
      <c r="AA270" s="156">
        <f>ROUND(H270*Z268,2)</f>
        <v>0</v>
      </c>
      <c r="AB270" s="156">
        <f>ROUND(H270*W268,2)</f>
        <v>397744</v>
      </c>
    </row>
    <row r="271" spans="1:28" hidden="1" x14ac:dyDescent="0.25">
      <c r="A271" s="168"/>
      <c r="B271" s="133" t="str">
        <f>'Công trình'!B65</f>
        <v>AF.82511</v>
      </c>
      <c r="C271" s="34"/>
      <c r="D271" s="133" t="str">
        <f>'Công trình'!C65</f>
        <v>Sản xuất, lắp dựng tháo dỡ ván khuôn lát mái</v>
      </c>
      <c r="E271" s="168"/>
      <c r="F271" s="20">
        <v>1</v>
      </c>
      <c r="G271" s="169"/>
      <c r="H271" s="45">
        <f>'Hao phí vật tư'!J497</f>
        <v>11.196</v>
      </c>
      <c r="I271" s="166"/>
      <c r="J271" s="156">
        <f>ROUND(H271*I268,2)</f>
        <v>223920</v>
      </c>
      <c r="K271" s="166"/>
      <c r="L271" s="156">
        <f>ROUND(H271*K268,2)</f>
        <v>223920</v>
      </c>
      <c r="M271" s="34"/>
      <c r="N271" s="166"/>
      <c r="O271" s="156">
        <f>ROUND(H271*N268,2)</f>
        <v>0</v>
      </c>
      <c r="P271" s="166"/>
      <c r="Q271" s="156">
        <f>ROUND(H271*P268,2)</f>
        <v>0</v>
      </c>
      <c r="R271" s="166"/>
      <c r="S271" s="156">
        <f>ROUND(H271*R268,2)</f>
        <v>0</v>
      </c>
      <c r="T271" s="34"/>
      <c r="U271" s="34"/>
      <c r="V271" s="166"/>
      <c r="W271" s="166"/>
      <c r="X271" s="166"/>
      <c r="Y271" s="156">
        <f>ROUND(H271*X268,2)</f>
        <v>0</v>
      </c>
      <c r="Z271" s="166"/>
      <c r="AA271" s="156">
        <f>ROUND(H271*Z268,2)</f>
        <v>0</v>
      </c>
      <c r="AB271" s="156">
        <f>ROUND(H271*W268,2)</f>
        <v>223920</v>
      </c>
    </row>
    <row r="272" spans="1:28" ht="30" hidden="1" x14ac:dyDescent="0.25">
      <c r="A272" s="168"/>
      <c r="B272" s="133" t="str">
        <f>'Công trình'!B7</f>
        <v>AF.11224</v>
      </c>
      <c r="C272" s="34"/>
      <c r="D272" s="133" t="str">
        <f>'Công trình'!C7</f>
        <v>Bê tông móng rộng &gt;250cm đá 1x2, vữa BT mác 250</v>
      </c>
      <c r="E272" s="168"/>
      <c r="F272" s="20">
        <v>1</v>
      </c>
      <c r="G272" s="169"/>
      <c r="H272" s="45">
        <f>'Hao phí vật tư'!J10</f>
        <v>20.049499999999998</v>
      </c>
      <c r="I272" s="166"/>
      <c r="J272" s="156">
        <f>ROUND(H272*I268,2)</f>
        <v>400990</v>
      </c>
      <c r="K272" s="166"/>
      <c r="L272" s="156">
        <f>ROUND(H272*K268,2)</f>
        <v>400990</v>
      </c>
      <c r="M272" s="34"/>
      <c r="N272" s="166"/>
      <c r="O272" s="156">
        <f>ROUND(H272*N268,2)</f>
        <v>0</v>
      </c>
      <c r="P272" s="166"/>
      <c r="Q272" s="156">
        <f>ROUND(H272*P268,2)</f>
        <v>0</v>
      </c>
      <c r="R272" s="166"/>
      <c r="S272" s="156">
        <f>ROUND(H272*R268,2)</f>
        <v>0</v>
      </c>
      <c r="T272" s="34"/>
      <c r="U272" s="34"/>
      <c r="V272" s="166"/>
      <c r="W272" s="166"/>
      <c r="X272" s="166"/>
      <c r="Y272" s="156">
        <f>ROUND(H272*X268,2)</f>
        <v>0</v>
      </c>
      <c r="Z272" s="166"/>
      <c r="AA272" s="156">
        <f>ROUND(H272*Z268,2)</f>
        <v>0</v>
      </c>
      <c r="AB272" s="156">
        <f>ROUND(H272*W268,2)</f>
        <v>400990</v>
      </c>
    </row>
    <row r="273" spans="1:28" ht="30" hidden="1" x14ac:dyDescent="0.25">
      <c r="A273" s="168"/>
      <c r="B273" s="133" t="str">
        <f>'Công trình'!B8</f>
        <v>AF.12144</v>
      </c>
      <c r="C273" s="34"/>
      <c r="D273" s="133" t="str">
        <f>'Công trình'!C8</f>
        <v>Bê tông tường dày &gt;45cm, chiều cao &lt;=16m đá 1x2, vữa BT mác 250</v>
      </c>
      <c r="E273" s="168"/>
      <c r="F273" s="20">
        <v>1</v>
      </c>
      <c r="G273" s="169"/>
      <c r="H273" s="45">
        <f>'Hao phí vật tư'!J25</f>
        <v>7.7122000000000002</v>
      </c>
      <c r="I273" s="166"/>
      <c r="J273" s="156">
        <f>ROUND(H273*I268,2)</f>
        <v>154244</v>
      </c>
      <c r="K273" s="166"/>
      <c r="L273" s="156">
        <f>ROUND(H273*K268,2)</f>
        <v>154244</v>
      </c>
      <c r="M273" s="34"/>
      <c r="N273" s="166"/>
      <c r="O273" s="156">
        <f>ROUND(H273*N268,2)</f>
        <v>0</v>
      </c>
      <c r="P273" s="166"/>
      <c r="Q273" s="156">
        <f>ROUND(H273*P268,2)</f>
        <v>0</v>
      </c>
      <c r="R273" s="166"/>
      <c r="S273" s="156">
        <f>ROUND(H273*R268,2)</f>
        <v>0</v>
      </c>
      <c r="T273" s="34"/>
      <c r="U273" s="34"/>
      <c r="V273" s="166"/>
      <c r="W273" s="166"/>
      <c r="X273" s="166"/>
      <c r="Y273" s="156">
        <f>ROUND(H273*X268,2)</f>
        <v>0</v>
      </c>
      <c r="Z273" s="166"/>
      <c r="AA273" s="156">
        <f>ROUND(H273*Z268,2)</f>
        <v>0</v>
      </c>
      <c r="AB273" s="156">
        <f>ROUND(H273*W268,2)</f>
        <v>154244</v>
      </c>
    </row>
    <row r="274" spans="1:28" hidden="1" x14ac:dyDescent="0.25">
      <c r="A274" s="168"/>
      <c r="B274" s="133" t="str">
        <f>'Công trình'!B175</f>
        <v>AF.11225</v>
      </c>
      <c r="C274" s="34"/>
      <c r="D274" s="133" t="str">
        <f>'Công trình'!C175</f>
        <v>Bê tông bản dẫn đá 1x2, vữa BT mác 300</v>
      </c>
      <c r="E274" s="168"/>
      <c r="F274" s="20">
        <v>1</v>
      </c>
      <c r="G274" s="169"/>
      <c r="H274" s="45">
        <f>'Hao phí vật tư'!J1313</f>
        <v>2.1960000000000002</v>
      </c>
      <c r="I274" s="166"/>
      <c r="J274" s="156">
        <f>ROUND(H274*I268,2)</f>
        <v>43920</v>
      </c>
      <c r="K274" s="166"/>
      <c r="L274" s="156">
        <f>ROUND(H274*K268,2)</f>
        <v>43920</v>
      </c>
      <c r="M274" s="34"/>
      <c r="N274" s="166"/>
      <c r="O274" s="156">
        <f>ROUND(H274*N268,2)</f>
        <v>0</v>
      </c>
      <c r="P274" s="166"/>
      <c r="Q274" s="156">
        <f>ROUND(H274*P268,2)</f>
        <v>0</v>
      </c>
      <c r="R274" s="166"/>
      <c r="S274" s="156">
        <f>ROUND(H274*R268,2)</f>
        <v>0</v>
      </c>
      <c r="T274" s="34"/>
      <c r="U274" s="34"/>
      <c r="V274" s="166"/>
      <c r="W274" s="166"/>
      <c r="X274" s="166"/>
      <c r="Y274" s="156">
        <f>ROUND(H274*X268,2)</f>
        <v>0</v>
      </c>
      <c r="Z274" s="166"/>
      <c r="AA274" s="156">
        <f>ROUND(H274*Z268,2)</f>
        <v>0</v>
      </c>
      <c r="AB274" s="156">
        <f>ROUND(H274*W268,2)</f>
        <v>43920</v>
      </c>
    </row>
    <row r="275" spans="1:28" x14ac:dyDescent="0.25">
      <c r="A275" s="168">
        <v>44</v>
      </c>
      <c r="B275" s="84" t="s">
        <v>856</v>
      </c>
      <c r="C275" s="34">
        <v>403</v>
      </c>
      <c r="D275" s="144" t="s">
        <v>878</v>
      </c>
      <c r="E275" s="168" t="s">
        <v>1123</v>
      </c>
      <c r="F275" s="34"/>
      <c r="G275" s="169"/>
      <c r="H275" s="60">
        <f>SUM(H276:H280)</f>
        <v>287.60459999999995</v>
      </c>
      <c r="I275" s="166">
        <v>500</v>
      </c>
      <c r="J275" s="166">
        <f>ROUND(H275*I275,0)</f>
        <v>143802</v>
      </c>
      <c r="K275" s="166">
        <f>'Tổng hợp VL,NC,M'!I285</f>
        <v>500</v>
      </c>
      <c r="L275" s="166">
        <f>ROUND(H275*K275,0)</f>
        <v>143802</v>
      </c>
      <c r="M275" s="34">
        <v>1</v>
      </c>
      <c r="N275" s="166"/>
      <c r="O275" s="166">
        <f>ROUND(H275*N275,0)</f>
        <v>0</v>
      </c>
      <c r="P275" s="166"/>
      <c r="Q275" s="166">
        <f>ROUND(H275*P275,0)</f>
        <v>0</v>
      </c>
      <c r="R275" s="166"/>
      <c r="S275" s="166">
        <f>ROUND(H275*R275,0)</f>
        <v>0</v>
      </c>
      <c r="T275" s="34"/>
      <c r="U275" s="34"/>
      <c r="V275" s="166">
        <f>ROUND((K275+N275+P275+R275)*(U275+T275),0)</f>
        <v>0</v>
      </c>
      <c r="W275" s="166">
        <f>K275+N275+P275+R275+V275</f>
        <v>500</v>
      </c>
      <c r="X275" s="166">
        <f>K275-I275</f>
        <v>0</v>
      </c>
      <c r="Y275" s="166">
        <f>ROUND(H275*X275,0)</f>
        <v>0</v>
      </c>
      <c r="Z275" s="166">
        <f>W275-I275</f>
        <v>0</v>
      </c>
      <c r="AA275" s="166">
        <f>ROUND(H275*Z275,0)</f>
        <v>0</v>
      </c>
      <c r="AB275" s="166">
        <f>ROUND(H275*W275,0)</f>
        <v>143802</v>
      </c>
    </row>
    <row r="276" spans="1:28" ht="30" hidden="1" x14ac:dyDescent="0.25">
      <c r="A276" s="168"/>
      <c r="B276" s="133" t="str">
        <f>'Công trình'!B30</f>
        <v>AF.12113</v>
      </c>
      <c r="C276" s="34"/>
      <c r="D276" s="133" t="str">
        <f>'Công trình'!C30</f>
        <v>Bê tông tường dày &lt;=45cm, chiều cao &lt;=4m đá 1x2, vữa BT mác 200</v>
      </c>
      <c r="E276" s="168"/>
      <c r="F276" s="20">
        <v>1</v>
      </c>
      <c r="G276" s="169"/>
      <c r="H276" s="45">
        <f>'Hao phí vật tư'!J201</f>
        <v>22.802800000000001</v>
      </c>
      <c r="I276" s="166"/>
      <c r="J276" s="156">
        <f>ROUND(H276*I275,2)</f>
        <v>11401.4</v>
      </c>
      <c r="K276" s="166"/>
      <c r="L276" s="156">
        <f>ROUND(H276*K275,2)</f>
        <v>11401.4</v>
      </c>
      <c r="M276" s="34"/>
      <c r="N276" s="166"/>
      <c r="O276" s="156">
        <f>ROUND(H276*N275,2)</f>
        <v>0</v>
      </c>
      <c r="P276" s="166"/>
      <c r="Q276" s="156">
        <f>ROUND(H276*P275,2)</f>
        <v>0</v>
      </c>
      <c r="R276" s="166"/>
      <c r="S276" s="156">
        <f>ROUND(H276*R275,2)</f>
        <v>0</v>
      </c>
      <c r="T276" s="34"/>
      <c r="U276" s="34"/>
      <c r="V276" s="166"/>
      <c r="W276" s="166"/>
      <c r="X276" s="166"/>
      <c r="Y276" s="156">
        <f>ROUND(H276*X275,2)</f>
        <v>0</v>
      </c>
      <c r="Z276" s="166"/>
      <c r="AA276" s="156">
        <f>ROUND(H276*Z275,2)</f>
        <v>0</v>
      </c>
      <c r="AB276" s="156">
        <f>ROUND(H276*W275,2)</f>
        <v>11401.4</v>
      </c>
    </row>
    <row r="277" spans="1:28" ht="30" hidden="1" x14ac:dyDescent="0.25">
      <c r="A277" s="168"/>
      <c r="B277" s="133" t="str">
        <f>'Công trình'!B63</f>
        <v>AF.11223</v>
      </c>
      <c r="C277" s="34"/>
      <c r="D277" s="133" t="str">
        <f>'Công trình'!C63</f>
        <v>Bê tông lát mái rộng &gt;250cm đá 1x2, vữa BT mác 200</v>
      </c>
      <c r="E277" s="168"/>
      <c r="F277" s="20">
        <v>1</v>
      </c>
      <c r="G277" s="169"/>
      <c r="H277" s="45">
        <f>'Hao phí vật tư'!J473</f>
        <v>98.295000000000002</v>
      </c>
      <c r="I277" s="166"/>
      <c r="J277" s="156">
        <f>ROUND(H277*I275,2)</f>
        <v>49147.5</v>
      </c>
      <c r="K277" s="166"/>
      <c r="L277" s="156">
        <f>ROUND(H277*K275,2)</f>
        <v>49147.5</v>
      </c>
      <c r="M277" s="34"/>
      <c r="N277" s="166"/>
      <c r="O277" s="156">
        <f>ROUND(H277*N275,2)</f>
        <v>0</v>
      </c>
      <c r="P277" s="166"/>
      <c r="Q277" s="156">
        <f>ROUND(H277*P275,2)</f>
        <v>0</v>
      </c>
      <c r="R277" s="166"/>
      <c r="S277" s="156">
        <f>ROUND(H277*R275,2)</f>
        <v>0</v>
      </c>
      <c r="T277" s="34"/>
      <c r="U277" s="34"/>
      <c r="V277" s="166"/>
      <c r="W277" s="166"/>
      <c r="X277" s="166"/>
      <c r="Y277" s="156">
        <f>ROUND(H277*X275,2)</f>
        <v>0</v>
      </c>
      <c r="Z277" s="166"/>
      <c r="AA277" s="156">
        <f>ROUND(H277*Z275,2)</f>
        <v>0</v>
      </c>
      <c r="AB277" s="156">
        <f>ROUND(H277*W275,2)</f>
        <v>49147.5</v>
      </c>
    </row>
    <row r="278" spans="1:28" ht="30" hidden="1" x14ac:dyDescent="0.25">
      <c r="A278" s="168"/>
      <c r="B278" s="133" t="str">
        <f>'Công trình'!B7</f>
        <v>AF.11224</v>
      </c>
      <c r="C278" s="34"/>
      <c r="D278" s="133" t="str">
        <f>'Công trình'!C7</f>
        <v>Bê tông móng rộng &gt;250cm đá 1x2, vữa BT mác 250</v>
      </c>
      <c r="E278" s="168"/>
      <c r="F278" s="20">
        <v>1</v>
      </c>
      <c r="G278" s="169"/>
      <c r="H278" s="45">
        <f>'Hao phí vật tư'!J9</f>
        <v>99.096999999999994</v>
      </c>
      <c r="I278" s="166"/>
      <c r="J278" s="156">
        <f>ROUND(H278*I275,2)</f>
        <v>49548.5</v>
      </c>
      <c r="K278" s="166"/>
      <c r="L278" s="156">
        <f>ROUND(H278*K275,2)</f>
        <v>49548.5</v>
      </c>
      <c r="M278" s="34"/>
      <c r="N278" s="166"/>
      <c r="O278" s="156">
        <f>ROUND(H278*N275,2)</f>
        <v>0</v>
      </c>
      <c r="P278" s="166"/>
      <c r="Q278" s="156">
        <f>ROUND(H278*P275,2)</f>
        <v>0</v>
      </c>
      <c r="R278" s="166"/>
      <c r="S278" s="156">
        <f>ROUND(H278*R275,2)</f>
        <v>0</v>
      </c>
      <c r="T278" s="34"/>
      <c r="U278" s="34"/>
      <c r="V278" s="166"/>
      <c r="W278" s="166"/>
      <c r="X278" s="166"/>
      <c r="Y278" s="156">
        <f>ROUND(H278*X275,2)</f>
        <v>0</v>
      </c>
      <c r="Z278" s="166"/>
      <c r="AA278" s="156">
        <f>ROUND(H278*Z275,2)</f>
        <v>0</v>
      </c>
      <c r="AB278" s="156">
        <f>ROUND(H278*W275,2)</f>
        <v>49548.5</v>
      </c>
    </row>
    <row r="279" spans="1:28" ht="30" hidden="1" x14ac:dyDescent="0.25">
      <c r="A279" s="168"/>
      <c r="B279" s="133" t="str">
        <f>'Công trình'!B8</f>
        <v>AF.12144</v>
      </c>
      <c r="C279" s="34"/>
      <c r="D279" s="133" t="str">
        <f>'Công trình'!C8</f>
        <v>Bê tông tường dày &gt;45cm, chiều cao &lt;=16m đá 1x2, vữa BT mác 250</v>
      </c>
      <c r="E279" s="168"/>
      <c r="F279" s="20">
        <v>1</v>
      </c>
      <c r="G279" s="169"/>
      <c r="H279" s="45">
        <f>'Hao phí vật tư'!J24</f>
        <v>56.555799999999998</v>
      </c>
      <c r="I279" s="166"/>
      <c r="J279" s="156">
        <f>ROUND(H279*I275,2)</f>
        <v>28277.9</v>
      </c>
      <c r="K279" s="166"/>
      <c r="L279" s="156">
        <f>ROUND(H279*K275,2)</f>
        <v>28277.9</v>
      </c>
      <c r="M279" s="34"/>
      <c r="N279" s="166"/>
      <c r="O279" s="156">
        <f>ROUND(H279*N275,2)</f>
        <v>0</v>
      </c>
      <c r="P279" s="166"/>
      <c r="Q279" s="156">
        <f>ROUND(H279*P275,2)</f>
        <v>0</v>
      </c>
      <c r="R279" s="166"/>
      <c r="S279" s="156">
        <f>ROUND(H279*R275,2)</f>
        <v>0</v>
      </c>
      <c r="T279" s="34"/>
      <c r="U279" s="34"/>
      <c r="V279" s="166"/>
      <c r="W279" s="166"/>
      <c r="X279" s="166"/>
      <c r="Y279" s="156">
        <f>ROUND(H279*X275,2)</f>
        <v>0</v>
      </c>
      <c r="Z279" s="166"/>
      <c r="AA279" s="156">
        <f>ROUND(H279*Z275,2)</f>
        <v>0</v>
      </c>
      <c r="AB279" s="156">
        <f>ROUND(H279*W275,2)</f>
        <v>28277.9</v>
      </c>
    </row>
    <row r="280" spans="1:28" hidden="1" x14ac:dyDescent="0.25">
      <c r="A280" s="168"/>
      <c r="B280" s="133" t="str">
        <f>'Công trình'!B175</f>
        <v>AF.11225</v>
      </c>
      <c r="C280" s="34"/>
      <c r="D280" s="133" t="str">
        <f>'Công trình'!C175</f>
        <v>Bê tông bản dẫn đá 1x2, vữa BT mác 300</v>
      </c>
      <c r="E280" s="168"/>
      <c r="F280" s="20">
        <v>1</v>
      </c>
      <c r="G280" s="169"/>
      <c r="H280" s="45">
        <f>'Hao phí vật tư'!J1312</f>
        <v>10.853999999999999</v>
      </c>
      <c r="I280" s="166"/>
      <c r="J280" s="156">
        <f>ROUND(H280*I275,2)</f>
        <v>5427</v>
      </c>
      <c r="K280" s="166"/>
      <c r="L280" s="156">
        <f>ROUND(H280*K275,2)</f>
        <v>5427</v>
      </c>
      <c r="M280" s="34"/>
      <c r="N280" s="166"/>
      <c r="O280" s="156">
        <f>ROUND(H280*N275,2)</f>
        <v>0</v>
      </c>
      <c r="P280" s="166"/>
      <c r="Q280" s="156">
        <f>ROUND(H280*P275,2)</f>
        <v>0</v>
      </c>
      <c r="R280" s="166"/>
      <c r="S280" s="156">
        <f>ROUND(H280*R275,2)</f>
        <v>0</v>
      </c>
      <c r="T280" s="34"/>
      <c r="U280" s="34"/>
      <c r="V280" s="166"/>
      <c r="W280" s="166"/>
      <c r="X280" s="166"/>
      <c r="Y280" s="156">
        <f>ROUND(H280*X275,2)</f>
        <v>0</v>
      </c>
      <c r="Z280" s="166"/>
      <c r="AA280" s="156">
        <f>ROUND(H280*Z275,2)</f>
        <v>0</v>
      </c>
      <c r="AB280" s="156">
        <f>ROUND(H280*W275,2)</f>
        <v>5427</v>
      </c>
    </row>
    <row r="281" spans="1:28" x14ac:dyDescent="0.25">
      <c r="A281" s="168">
        <v>45</v>
      </c>
      <c r="B281" s="84" t="s">
        <v>151</v>
      </c>
      <c r="C281" s="34">
        <v>438</v>
      </c>
      <c r="D281" s="144" t="s">
        <v>568</v>
      </c>
      <c r="E281" s="168" t="s">
        <v>414</v>
      </c>
      <c r="F281" s="34"/>
      <c r="G281" s="169"/>
      <c r="H281" s="60">
        <f>SUM(H282:H284)</f>
        <v>1.0760000000000001</v>
      </c>
      <c r="I281" s="166">
        <v>60000</v>
      </c>
      <c r="J281" s="166">
        <f>ROUND(H281*I281,0)</f>
        <v>64560</v>
      </c>
      <c r="K281" s="166">
        <f>'Tổng hợp VL,NC,M'!I291</f>
        <v>60000</v>
      </c>
      <c r="L281" s="166">
        <f>ROUND(H281*K281,0)</f>
        <v>64560</v>
      </c>
      <c r="M281" s="34">
        <v>1</v>
      </c>
      <c r="N281" s="166"/>
      <c r="O281" s="166">
        <f>ROUND(H281*N281,0)</f>
        <v>0</v>
      </c>
      <c r="P281" s="166"/>
      <c r="Q281" s="166">
        <f>ROUND(H281*P281,0)</f>
        <v>0</v>
      </c>
      <c r="R281" s="166"/>
      <c r="S281" s="166">
        <f>ROUND(H281*R281,0)</f>
        <v>0</v>
      </c>
      <c r="T281" s="34"/>
      <c r="U281" s="34"/>
      <c r="V281" s="166">
        <f>ROUND((K281+N281+P281+R281)*(U281+T281),0)</f>
        <v>0</v>
      </c>
      <c r="W281" s="166">
        <f>K281+N281+P281+R281+V281</f>
        <v>60000</v>
      </c>
      <c r="X281" s="166">
        <f>K281-I281</f>
        <v>0</v>
      </c>
      <c r="Y281" s="166">
        <f>ROUND(H281*X281,0)</f>
        <v>0</v>
      </c>
      <c r="Z281" s="166">
        <f>W281-I281</f>
        <v>0</v>
      </c>
      <c r="AA281" s="166">
        <f>ROUND(H281*Z281,0)</f>
        <v>0</v>
      </c>
      <c r="AB281" s="166">
        <f>ROUND(H281*W281,0)</f>
        <v>64560</v>
      </c>
    </row>
    <row r="282" spans="1:28" hidden="1" x14ac:dyDescent="0.25">
      <c r="A282" s="168"/>
      <c r="B282" s="133" t="str">
        <f>'Công trình'!B269</f>
        <v>AD.32411</v>
      </c>
      <c r="C282" s="34"/>
      <c r="D282" s="133" t="str">
        <f>'Công trình'!C269</f>
        <v>Biển báo (1.2 x 1.2)m</v>
      </c>
      <c r="E282" s="168"/>
      <c r="F282" s="20">
        <v>1</v>
      </c>
      <c r="G282" s="169"/>
      <c r="H282" s="45">
        <f>'Hao phí vật tư'!J2057</f>
        <v>1.02</v>
      </c>
      <c r="I282" s="166"/>
      <c r="J282" s="156">
        <f>ROUND(H282*I281,2)</f>
        <v>61200</v>
      </c>
      <c r="K282" s="166"/>
      <c r="L282" s="156">
        <f>ROUND(H282*K281,2)</f>
        <v>61200</v>
      </c>
      <c r="M282" s="34"/>
      <c r="N282" s="166"/>
      <c r="O282" s="156">
        <f>ROUND(H282*N281,2)</f>
        <v>0</v>
      </c>
      <c r="P282" s="166"/>
      <c r="Q282" s="156">
        <f>ROUND(H282*P281,2)</f>
        <v>0</v>
      </c>
      <c r="R282" s="166"/>
      <c r="S282" s="156">
        <f>ROUND(H282*R281,2)</f>
        <v>0</v>
      </c>
      <c r="T282" s="34"/>
      <c r="U282" s="34"/>
      <c r="V282" s="166"/>
      <c r="W282" s="166"/>
      <c r="X282" s="166"/>
      <c r="Y282" s="156">
        <f>ROUND(H282*X281,2)</f>
        <v>0</v>
      </c>
      <c r="Z282" s="166"/>
      <c r="AA282" s="156">
        <f>ROUND(H282*Z281,2)</f>
        <v>0</v>
      </c>
      <c r="AB282" s="156">
        <f>ROUND(H282*W281,2)</f>
        <v>61200</v>
      </c>
    </row>
    <row r="283" spans="1:28" ht="30" hidden="1" x14ac:dyDescent="0.25">
      <c r="A283" s="168"/>
      <c r="B283" s="133" t="str">
        <f>'Công trình'!B290</f>
        <v>AD.32421</v>
      </c>
      <c r="C283" s="34"/>
      <c r="D283" s="133" t="str">
        <f>'Công trình'!C290</f>
        <v>Biển báo bằng tôn hình tròn D70cm, dày 1.2mm, sơn phản quang (Biển 115)</v>
      </c>
      <c r="E283" s="168"/>
      <c r="F283" s="20">
        <v>1</v>
      </c>
      <c r="G283" s="169"/>
      <c r="H283" s="45">
        <f>'Hao phí vật tư'!J2173</f>
        <v>3.2000000000000001E-2</v>
      </c>
      <c r="I283" s="166"/>
      <c r="J283" s="156">
        <f>ROUND(H283*I281,2)</f>
        <v>1920</v>
      </c>
      <c r="K283" s="166"/>
      <c r="L283" s="156">
        <f>ROUND(H283*K281,2)</f>
        <v>1920</v>
      </c>
      <c r="M283" s="34"/>
      <c r="N283" s="166"/>
      <c r="O283" s="156">
        <f>ROUND(H283*N281,2)</f>
        <v>0</v>
      </c>
      <c r="P283" s="166"/>
      <c r="Q283" s="156">
        <f>ROUND(H283*P281,2)</f>
        <v>0</v>
      </c>
      <c r="R283" s="166"/>
      <c r="S283" s="156">
        <f>ROUND(H283*R281,2)</f>
        <v>0</v>
      </c>
      <c r="T283" s="34"/>
      <c r="U283" s="34"/>
      <c r="V283" s="166"/>
      <c r="W283" s="166"/>
      <c r="X283" s="166"/>
      <c r="Y283" s="156">
        <f>ROUND(H283*X281,2)</f>
        <v>0</v>
      </c>
      <c r="Z283" s="166"/>
      <c r="AA283" s="156">
        <f>ROUND(H283*Z281,2)</f>
        <v>0</v>
      </c>
      <c r="AB283" s="156">
        <f>ROUND(H283*W281,2)</f>
        <v>1920</v>
      </c>
    </row>
    <row r="284" spans="1:28" hidden="1" x14ac:dyDescent="0.25">
      <c r="A284" s="168"/>
      <c r="B284" s="133" t="str">
        <f>'Công trình'!B291</f>
        <v>AD.32441</v>
      </c>
      <c r="C284" s="34"/>
      <c r="D284" s="133" t="str">
        <f>'Công trình'!C291</f>
        <v>Biển hình chữ nhật (40x60) (biển 439)</v>
      </c>
      <c r="E284" s="168"/>
      <c r="F284" s="20">
        <v>1</v>
      </c>
      <c r="G284" s="169"/>
      <c r="H284" s="45">
        <f>'Hao phí vật tư'!J2185</f>
        <v>2.4E-2</v>
      </c>
      <c r="I284" s="166"/>
      <c r="J284" s="156">
        <f>ROUND(H284*I281,2)</f>
        <v>1440</v>
      </c>
      <c r="K284" s="166"/>
      <c r="L284" s="156">
        <f>ROUND(H284*K281,2)</f>
        <v>1440</v>
      </c>
      <c r="M284" s="34"/>
      <c r="N284" s="166"/>
      <c r="O284" s="156">
        <f>ROUND(H284*N281,2)</f>
        <v>0</v>
      </c>
      <c r="P284" s="166"/>
      <c r="Q284" s="156">
        <f>ROUND(H284*P281,2)</f>
        <v>0</v>
      </c>
      <c r="R284" s="166"/>
      <c r="S284" s="156">
        <f>ROUND(H284*R281,2)</f>
        <v>0</v>
      </c>
      <c r="T284" s="34"/>
      <c r="U284" s="34"/>
      <c r="V284" s="166"/>
      <c r="W284" s="166"/>
      <c r="X284" s="166"/>
      <c r="Y284" s="156">
        <f>ROUND(H284*X281,2)</f>
        <v>0</v>
      </c>
      <c r="Z284" s="166"/>
      <c r="AA284" s="156">
        <f>ROUND(H284*Z281,2)</f>
        <v>0</v>
      </c>
      <c r="AB284" s="156">
        <f>ROUND(H284*W281,2)</f>
        <v>1440</v>
      </c>
    </row>
    <row r="285" spans="1:28" x14ac:dyDescent="0.25">
      <c r="A285" s="168">
        <v>46</v>
      </c>
      <c r="B285" s="84" t="s">
        <v>1127</v>
      </c>
      <c r="C285" s="34">
        <v>133</v>
      </c>
      <c r="D285" s="144" t="s">
        <v>996</v>
      </c>
      <c r="E285" s="168" t="s">
        <v>414</v>
      </c>
      <c r="F285" s="34"/>
      <c r="G285" s="169"/>
      <c r="H285" s="60">
        <f>SUM(H286:H288)</f>
        <v>2.7280000000000002</v>
      </c>
      <c r="I285" s="166">
        <v>60000</v>
      </c>
      <c r="J285" s="166">
        <f>ROUND(H285*I285,0)</f>
        <v>163680</v>
      </c>
      <c r="K285" s="166">
        <f>'Tổng hợp VL,NC,M'!I295</f>
        <v>60000</v>
      </c>
      <c r="L285" s="166">
        <f>ROUND(H285*K285,0)</f>
        <v>163680</v>
      </c>
      <c r="M285" s="34">
        <v>1</v>
      </c>
      <c r="N285" s="166"/>
      <c r="O285" s="166">
        <f>ROUND(H285*N285,0)</f>
        <v>0</v>
      </c>
      <c r="P285" s="166"/>
      <c r="Q285" s="166">
        <f>ROUND(H285*P285,0)</f>
        <v>0</v>
      </c>
      <c r="R285" s="166"/>
      <c r="S285" s="166">
        <f>ROUND(H285*R285,0)</f>
        <v>0</v>
      </c>
      <c r="T285" s="34"/>
      <c r="U285" s="34"/>
      <c r="V285" s="166">
        <f>ROUND((K285+N285+P285+R285)*(U285+T285),0)</f>
        <v>0</v>
      </c>
      <c r="W285" s="166">
        <f>K285+N285+P285+R285+V285</f>
        <v>60000</v>
      </c>
      <c r="X285" s="166">
        <f>K285-I285</f>
        <v>0</v>
      </c>
      <c r="Y285" s="166">
        <f>ROUND(H285*X285,0)</f>
        <v>0</v>
      </c>
      <c r="Z285" s="166">
        <f>W285-I285</f>
        <v>0</v>
      </c>
      <c r="AA285" s="166">
        <f>ROUND(H285*Z285,0)</f>
        <v>0</v>
      </c>
      <c r="AB285" s="166">
        <f>ROUND(H285*W285,0)</f>
        <v>163680</v>
      </c>
    </row>
    <row r="286" spans="1:28" hidden="1" x14ac:dyDescent="0.25">
      <c r="A286" s="168"/>
      <c r="B286" s="133" t="str">
        <f>'Công trình'!B269</f>
        <v>AD.32411</v>
      </c>
      <c r="C286" s="34"/>
      <c r="D286" s="133" t="str">
        <f>'Công trình'!C269</f>
        <v>Biển báo (1.2 x 1.2)m</v>
      </c>
      <c r="E286" s="168"/>
      <c r="F286" s="20">
        <v>1</v>
      </c>
      <c r="G286" s="169"/>
      <c r="H286" s="45">
        <f>'Hao phí vật tư'!J2053</f>
        <v>2.5840000000000001</v>
      </c>
      <c r="I286" s="166"/>
      <c r="J286" s="156">
        <f>ROUND(H286*I285,2)</f>
        <v>155040</v>
      </c>
      <c r="K286" s="166"/>
      <c r="L286" s="156">
        <f>ROUND(H286*K285,2)</f>
        <v>155040</v>
      </c>
      <c r="M286" s="34"/>
      <c r="N286" s="166"/>
      <c r="O286" s="156">
        <f>ROUND(H286*N285,2)</f>
        <v>0</v>
      </c>
      <c r="P286" s="166"/>
      <c r="Q286" s="156">
        <f>ROUND(H286*P285,2)</f>
        <v>0</v>
      </c>
      <c r="R286" s="166"/>
      <c r="S286" s="156">
        <f>ROUND(H286*R285,2)</f>
        <v>0</v>
      </c>
      <c r="T286" s="34"/>
      <c r="U286" s="34"/>
      <c r="V286" s="166"/>
      <c r="W286" s="166"/>
      <c r="X286" s="166"/>
      <c r="Y286" s="156">
        <f>ROUND(H286*X285,2)</f>
        <v>0</v>
      </c>
      <c r="Z286" s="166"/>
      <c r="AA286" s="156">
        <f>ROUND(H286*Z285,2)</f>
        <v>0</v>
      </c>
      <c r="AB286" s="156">
        <f>ROUND(H286*W285,2)</f>
        <v>155040</v>
      </c>
    </row>
    <row r="287" spans="1:28" ht="30" hidden="1" x14ac:dyDescent="0.25">
      <c r="A287" s="168"/>
      <c r="B287" s="133" t="str">
        <f>'Công trình'!B290</f>
        <v>AD.32421</v>
      </c>
      <c r="C287" s="34"/>
      <c r="D287" s="133" t="str">
        <f>'Công trình'!C290</f>
        <v>Biển báo bằng tôn hình tròn D70cm, dày 1.2mm, sơn phản quang (Biển 115)</v>
      </c>
      <c r="E287" s="168"/>
      <c r="F287" s="20">
        <v>1</v>
      </c>
      <c r="G287" s="169"/>
      <c r="H287" s="45">
        <f>'Hao phí vật tư'!J2169</f>
        <v>0.08</v>
      </c>
      <c r="I287" s="166"/>
      <c r="J287" s="156">
        <f>ROUND(H287*I285,2)</f>
        <v>4800</v>
      </c>
      <c r="K287" s="166"/>
      <c r="L287" s="156">
        <f>ROUND(H287*K285,2)</f>
        <v>4800</v>
      </c>
      <c r="M287" s="34"/>
      <c r="N287" s="166"/>
      <c r="O287" s="156">
        <f>ROUND(H287*N285,2)</f>
        <v>0</v>
      </c>
      <c r="P287" s="166"/>
      <c r="Q287" s="156">
        <f>ROUND(H287*P285,2)</f>
        <v>0</v>
      </c>
      <c r="R287" s="166"/>
      <c r="S287" s="156">
        <f>ROUND(H287*R285,2)</f>
        <v>0</v>
      </c>
      <c r="T287" s="34"/>
      <c r="U287" s="34"/>
      <c r="V287" s="166"/>
      <c r="W287" s="166"/>
      <c r="X287" s="166"/>
      <c r="Y287" s="156">
        <f>ROUND(H287*X285,2)</f>
        <v>0</v>
      </c>
      <c r="Z287" s="166"/>
      <c r="AA287" s="156">
        <f>ROUND(H287*Z285,2)</f>
        <v>0</v>
      </c>
      <c r="AB287" s="156">
        <f>ROUND(H287*W285,2)</f>
        <v>4800</v>
      </c>
    </row>
    <row r="288" spans="1:28" hidden="1" x14ac:dyDescent="0.25">
      <c r="A288" s="168"/>
      <c r="B288" s="133" t="str">
        <f>'Công trình'!B291</f>
        <v>AD.32441</v>
      </c>
      <c r="C288" s="34"/>
      <c r="D288" s="133" t="str">
        <f>'Công trình'!C291</f>
        <v>Biển hình chữ nhật (40x60) (biển 439)</v>
      </c>
      <c r="E288" s="168"/>
      <c r="F288" s="20">
        <v>1</v>
      </c>
      <c r="G288" s="169"/>
      <c r="H288" s="45">
        <f>'Hao phí vật tư'!J2181</f>
        <v>6.4000000000000001E-2</v>
      </c>
      <c r="I288" s="166"/>
      <c r="J288" s="156">
        <f>ROUND(H288*I285,2)</f>
        <v>3840</v>
      </c>
      <c r="K288" s="166"/>
      <c r="L288" s="156">
        <f>ROUND(H288*K285,2)</f>
        <v>3840</v>
      </c>
      <c r="M288" s="34"/>
      <c r="N288" s="166"/>
      <c r="O288" s="156">
        <f>ROUND(H288*N285,2)</f>
        <v>0</v>
      </c>
      <c r="P288" s="166"/>
      <c r="Q288" s="156">
        <f>ROUND(H288*P285,2)</f>
        <v>0</v>
      </c>
      <c r="R288" s="166"/>
      <c r="S288" s="156">
        <f>ROUND(H288*R285,2)</f>
        <v>0</v>
      </c>
      <c r="T288" s="34"/>
      <c r="U288" s="34"/>
      <c r="V288" s="166"/>
      <c r="W288" s="166"/>
      <c r="X288" s="166"/>
      <c r="Y288" s="156">
        <f>ROUND(H288*X285,2)</f>
        <v>0</v>
      </c>
      <c r="Z288" s="166"/>
      <c r="AA288" s="156">
        <f>ROUND(H288*Z285,2)</f>
        <v>0</v>
      </c>
      <c r="AB288" s="156">
        <f>ROUND(H288*W285,2)</f>
        <v>3840</v>
      </c>
    </row>
    <row r="289" spans="1:28" x14ac:dyDescent="0.25">
      <c r="A289" s="168">
        <v>47</v>
      </c>
      <c r="B289" s="84" t="s">
        <v>1065</v>
      </c>
      <c r="C289" s="34">
        <v>136</v>
      </c>
      <c r="D289" s="144" t="s">
        <v>142</v>
      </c>
      <c r="E289" s="168" t="s">
        <v>555</v>
      </c>
      <c r="F289" s="34"/>
      <c r="G289" s="169"/>
      <c r="H289" s="60">
        <f>SUM(H290:H291)</f>
        <v>7.1302000000000003</v>
      </c>
      <c r="I289" s="166">
        <v>23068</v>
      </c>
      <c r="J289" s="166">
        <f>ROUND(H289*I289,0)</f>
        <v>164479</v>
      </c>
      <c r="K289" s="166">
        <f>'Tổng hợp VL,NC,M'!I299</f>
        <v>23068</v>
      </c>
      <c r="L289" s="166">
        <f>ROUND(H289*K289,0)</f>
        <v>164479</v>
      </c>
      <c r="M289" s="34">
        <v>1</v>
      </c>
      <c r="N289" s="166"/>
      <c r="O289" s="166">
        <f>ROUND(H289*N289,0)</f>
        <v>0</v>
      </c>
      <c r="P289" s="166"/>
      <c r="Q289" s="166">
        <f>ROUND(H289*P289,0)</f>
        <v>0</v>
      </c>
      <c r="R289" s="166"/>
      <c r="S289" s="166">
        <f>ROUND(H289*R289,0)</f>
        <v>0</v>
      </c>
      <c r="T289" s="34"/>
      <c r="U289" s="34"/>
      <c r="V289" s="166">
        <f>ROUND((K289+N289+P289+R289)*(U289+T289),0)</f>
        <v>0</v>
      </c>
      <c r="W289" s="166">
        <f>K289+N289+P289+R289+V289</f>
        <v>23068</v>
      </c>
      <c r="X289" s="166">
        <f>K289-I289</f>
        <v>0</v>
      </c>
      <c r="Y289" s="166">
        <f>ROUND(H289*X289,0)</f>
        <v>0</v>
      </c>
      <c r="Z289" s="166">
        <f>W289-I289</f>
        <v>0</v>
      </c>
      <c r="AA289" s="166">
        <f>ROUND(H289*Z289,0)</f>
        <v>0</v>
      </c>
      <c r="AB289" s="166">
        <f>ROUND(H289*W289,0)</f>
        <v>164479</v>
      </c>
    </row>
    <row r="290" spans="1:28" ht="30" hidden="1" x14ac:dyDescent="0.25">
      <c r="A290" s="168"/>
      <c r="B290" s="133" t="str">
        <f>'Công trình'!B179</f>
        <v>AF.87211</v>
      </c>
      <c r="C290" s="34"/>
      <c r="D290" s="133" t="str">
        <f>'Công trình'!C179</f>
        <v>Sản xuất, lắp dựng, tháo dỡ ván khuôn mố, trụ cầu trên cạn</v>
      </c>
      <c r="E290" s="168"/>
      <c r="F290" s="20">
        <v>1</v>
      </c>
      <c r="G290" s="169"/>
      <c r="H290" s="45">
        <f>'Hao phí vật tư'!J1354</f>
        <v>5.5422000000000002</v>
      </c>
      <c r="I290" s="166"/>
      <c r="J290" s="156">
        <f>ROUND(H290*I289,2)</f>
        <v>127847.47</v>
      </c>
      <c r="K290" s="166"/>
      <c r="L290" s="156">
        <f>ROUND(H290*K289,2)</f>
        <v>127847.47</v>
      </c>
      <c r="M290" s="34"/>
      <c r="N290" s="166"/>
      <c r="O290" s="156">
        <f>ROUND(H290*N289,2)</f>
        <v>0</v>
      </c>
      <c r="P290" s="166"/>
      <c r="Q290" s="156">
        <f>ROUND(H290*P289,2)</f>
        <v>0</v>
      </c>
      <c r="R290" s="166"/>
      <c r="S290" s="156">
        <f>ROUND(H290*R289,2)</f>
        <v>0</v>
      </c>
      <c r="T290" s="34"/>
      <c r="U290" s="34"/>
      <c r="V290" s="166"/>
      <c r="W290" s="166"/>
      <c r="X290" s="166"/>
      <c r="Y290" s="156">
        <f>ROUND(H290*X289,2)</f>
        <v>0</v>
      </c>
      <c r="Z290" s="166"/>
      <c r="AA290" s="156">
        <f>ROUND(H290*Z289,2)</f>
        <v>0</v>
      </c>
      <c r="AB290" s="156">
        <f>ROUND(H290*W289,2)</f>
        <v>127847.47</v>
      </c>
    </row>
    <row r="291" spans="1:28" ht="30" hidden="1" x14ac:dyDescent="0.25">
      <c r="A291" s="168"/>
      <c r="B291" s="133" t="str">
        <f>'Công trình'!B189</f>
        <v>AF.87211</v>
      </c>
      <c r="C291" s="34"/>
      <c r="D291" s="133" t="str">
        <f>'Công trình'!C189</f>
        <v>Sản xuất, lắp dựng, tháo dỡ ván khuôn mố, trụ cầu trên cạn</v>
      </c>
      <c r="E291" s="168"/>
      <c r="F291" s="20">
        <v>1</v>
      </c>
      <c r="G291" s="169"/>
      <c r="H291" s="45">
        <f>'Hao phí vật tư'!J1445</f>
        <v>1.5880000000000001</v>
      </c>
      <c r="I291" s="166"/>
      <c r="J291" s="156">
        <f>ROUND(H291*I289,2)</f>
        <v>36631.980000000003</v>
      </c>
      <c r="K291" s="166"/>
      <c r="L291" s="156">
        <f>ROUND(H291*K289,2)</f>
        <v>36631.980000000003</v>
      </c>
      <c r="M291" s="34"/>
      <c r="N291" s="166"/>
      <c r="O291" s="156">
        <f>ROUND(H291*N289,2)</f>
        <v>0</v>
      </c>
      <c r="P291" s="166"/>
      <c r="Q291" s="156">
        <f>ROUND(H291*P289,2)</f>
        <v>0</v>
      </c>
      <c r="R291" s="166"/>
      <c r="S291" s="156">
        <f>ROUND(H291*R289,2)</f>
        <v>0</v>
      </c>
      <c r="T291" s="34"/>
      <c r="U291" s="34"/>
      <c r="V291" s="166"/>
      <c r="W291" s="166"/>
      <c r="X291" s="166"/>
      <c r="Y291" s="156">
        <f>ROUND(H291*X289,2)</f>
        <v>0</v>
      </c>
      <c r="Z291" s="166"/>
      <c r="AA291" s="156">
        <f>ROUND(H291*Z289,2)</f>
        <v>0</v>
      </c>
      <c r="AB291" s="156">
        <f>ROUND(H291*W289,2)</f>
        <v>36631.980000000003</v>
      </c>
    </row>
    <row r="292" spans="1:28" x14ac:dyDescent="0.25">
      <c r="A292" s="168">
        <v>48</v>
      </c>
      <c r="B292" s="84" t="s">
        <v>501</v>
      </c>
      <c r="C292" s="34">
        <v>137</v>
      </c>
      <c r="D292" s="144" t="s">
        <v>1036</v>
      </c>
      <c r="E292" s="168" t="s">
        <v>205</v>
      </c>
      <c r="F292" s="34"/>
      <c r="G292" s="169"/>
      <c r="H292" s="60">
        <f>SUM(H293:H293)</f>
        <v>32.614400000000003</v>
      </c>
      <c r="I292" s="166">
        <v>4000</v>
      </c>
      <c r="J292" s="166">
        <f>ROUND(H292*I292,0)</f>
        <v>130458</v>
      </c>
      <c r="K292" s="166">
        <f>'Tổng hợp VL,NC,M'!I303</f>
        <v>4000</v>
      </c>
      <c r="L292" s="166">
        <f>ROUND(H292*K292,0)</f>
        <v>130458</v>
      </c>
      <c r="M292" s="34">
        <v>1</v>
      </c>
      <c r="N292" s="166"/>
      <c r="O292" s="166">
        <f>ROUND(H292*N292,0)</f>
        <v>0</v>
      </c>
      <c r="P292" s="166"/>
      <c r="Q292" s="166">
        <f>ROUND(H292*P292,0)</f>
        <v>0</v>
      </c>
      <c r="R292" s="166"/>
      <c r="S292" s="166">
        <f>ROUND(H292*R292,0)</f>
        <v>0</v>
      </c>
      <c r="T292" s="34"/>
      <c r="U292" s="34"/>
      <c r="V292" s="166">
        <f>ROUND((K292+N292+P292+R292)*(U292+T292),0)</f>
        <v>0</v>
      </c>
      <c r="W292" s="166">
        <f>K292+N292+P292+R292+V292</f>
        <v>4000</v>
      </c>
      <c r="X292" s="166">
        <f>K292-I292</f>
        <v>0</v>
      </c>
      <c r="Y292" s="166">
        <f>ROUND(H292*X292,0)</f>
        <v>0</v>
      </c>
      <c r="Z292" s="166">
        <f>W292-I292</f>
        <v>0</v>
      </c>
      <c r="AA292" s="166">
        <f>ROUND(H292*Z292,0)</f>
        <v>0</v>
      </c>
      <c r="AB292" s="166">
        <f>ROUND(H292*W292,0)</f>
        <v>130458</v>
      </c>
    </row>
    <row r="293" spans="1:28" hidden="1" x14ac:dyDescent="0.25">
      <c r="A293" s="168"/>
      <c r="B293" s="133" t="str">
        <f>'Công trình'!B222</f>
        <v>AL.16210</v>
      </c>
      <c r="C293" s="34"/>
      <c r="D293" s="133" t="str">
        <f>'Công trình'!C222</f>
        <v>Giấy dầu</v>
      </c>
      <c r="E293" s="168"/>
      <c r="F293" s="20">
        <v>1</v>
      </c>
      <c r="G293" s="169"/>
      <c r="H293" s="45">
        <f>'Hao phí vật tư'!J1673</f>
        <v>32.614400000000003</v>
      </c>
      <c r="I293" s="166"/>
      <c r="J293" s="156">
        <f>ROUND(H293*I292,2)</f>
        <v>130457.60000000001</v>
      </c>
      <c r="K293" s="166"/>
      <c r="L293" s="156">
        <f>ROUND(H293*K292,2)</f>
        <v>130457.60000000001</v>
      </c>
      <c r="M293" s="34"/>
      <c r="N293" s="166"/>
      <c r="O293" s="156">
        <f>ROUND(H293*N292,2)</f>
        <v>0</v>
      </c>
      <c r="P293" s="166"/>
      <c r="Q293" s="156">
        <f>ROUND(H293*P292,2)</f>
        <v>0</v>
      </c>
      <c r="R293" s="166"/>
      <c r="S293" s="156">
        <f>ROUND(H293*R292,2)</f>
        <v>0</v>
      </c>
      <c r="T293" s="34"/>
      <c r="U293" s="34"/>
      <c r="V293" s="166"/>
      <c r="W293" s="166"/>
      <c r="X293" s="166"/>
      <c r="Y293" s="156">
        <f>ROUND(H293*X292,2)</f>
        <v>0</v>
      </c>
      <c r="Z293" s="166"/>
      <c r="AA293" s="156">
        <f>ROUND(H293*Z292,2)</f>
        <v>0</v>
      </c>
      <c r="AB293" s="156">
        <f>ROUND(H293*W292,2)</f>
        <v>130457.60000000001</v>
      </c>
    </row>
    <row r="294" spans="1:28" x14ac:dyDescent="0.25">
      <c r="A294" s="168">
        <v>49</v>
      </c>
      <c r="B294" s="84" t="s">
        <v>854</v>
      </c>
      <c r="C294" s="34">
        <v>140</v>
      </c>
      <c r="D294" s="144" t="s">
        <v>725</v>
      </c>
      <c r="E294" s="168" t="s">
        <v>155</v>
      </c>
      <c r="F294" s="34"/>
      <c r="G294" s="169"/>
      <c r="H294" s="60">
        <f>SUM(H295:H304)</f>
        <v>8.8219999999999992</v>
      </c>
      <c r="I294" s="166">
        <v>3810000</v>
      </c>
      <c r="J294" s="166">
        <f>ROUND(H294*I294,0)</f>
        <v>33611820</v>
      </c>
      <c r="K294" s="139">
        <f>'Tổng hợp VL,NC,M'!I305</f>
        <v>3272727</v>
      </c>
      <c r="L294" s="166">
        <f>ROUND(H294*K294,0)</f>
        <v>28871998</v>
      </c>
      <c r="M294" s="34">
        <v>1</v>
      </c>
      <c r="N294" s="166"/>
      <c r="O294" s="166">
        <f>ROUND(H294*N294,0)</f>
        <v>0</v>
      </c>
      <c r="P294" s="166"/>
      <c r="Q294" s="166">
        <f>ROUND(H294*P294,0)</f>
        <v>0</v>
      </c>
      <c r="R294" s="166"/>
      <c r="S294" s="166">
        <f>ROUND(H294*R294,0)</f>
        <v>0</v>
      </c>
      <c r="T294" s="34"/>
      <c r="U294" s="34"/>
      <c r="V294" s="166">
        <f>ROUND((K294+N294+P294+R294)*(U294+T294),0)</f>
        <v>0</v>
      </c>
      <c r="W294" s="139">
        <f>K294+N294+P294+R294+V294</f>
        <v>3272727</v>
      </c>
      <c r="X294" s="166">
        <f>K294-I294</f>
        <v>-537273</v>
      </c>
      <c r="Y294" s="166">
        <f>ROUND(H294*X294,0)</f>
        <v>-4739822</v>
      </c>
      <c r="Z294" s="166">
        <f>W294-I294</f>
        <v>-537273</v>
      </c>
      <c r="AA294" s="166">
        <f>ROUND(H294*Z294,0)</f>
        <v>-4739822</v>
      </c>
      <c r="AB294" s="166">
        <f>ROUND(H294*W294,0)</f>
        <v>28871998</v>
      </c>
    </row>
    <row r="295" spans="1:28" ht="30" hidden="1" x14ac:dyDescent="0.25">
      <c r="A295" s="168"/>
      <c r="B295" s="133" t="str">
        <f>'Công trình'!B16</f>
        <v>AF.82111</v>
      </c>
      <c r="C295" s="34"/>
      <c r="D295" s="133" t="str">
        <f>'Công trình'!C16</f>
        <v>Sản xuất, lắp dựng tháo dỡ ván khuôn thép tường, chiều cao &lt;=16m</v>
      </c>
      <c r="E295" s="168"/>
      <c r="F295" s="20">
        <v>1</v>
      </c>
      <c r="G295" s="169"/>
      <c r="H295" s="45">
        <f>'Hao phí vật tư'!J111</f>
        <v>1.7753000000000001</v>
      </c>
      <c r="I295" s="166"/>
      <c r="J295" s="156">
        <f>ROUND(H295*I294,2)</f>
        <v>6763893</v>
      </c>
      <c r="K295" s="166"/>
      <c r="L295" s="156">
        <f>ROUND(H295*K294,2)</f>
        <v>5810072.2400000002</v>
      </c>
      <c r="M295" s="34"/>
      <c r="N295" s="166"/>
      <c r="O295" s="156">
        <f>ROUND(H295*N294,2)</f>
        <v>0</v>
      </c>
      <c r="P295" s="166"/>
      <c r="Q295" s="156">
        <f>ROUND(H295*P294,2)</f>
        <v>0</v>
      </c>
      <c r="R295" s="166"/>
      <c r="S295" s="156">
        <f>ROUND(H295*R294,2)</f>
        <v>0</v>
      </c>
      <c r="T295" s="34"/>
      <c r="U295" s="34"/>
      <c r="V295" s="166"/>
      <c r="W295" s="166"/>
      <c r="X295" s="166"/>
      <c r="Y295" s="156">
        <f>ROUND(H295*X294,2)</f>
        <v>-953820.76</v>
      </c>
      <c r="Z295" s="166"/>
      <c r="AA295" s="156">
        <f>ROUND(H295*Z294,2)</f>
        <v>-953820.76</v>
      </c>
      <c r="AB295" s="156">
        <f>ROUND(H295*W294,2)</f>
        <v>5810072.2400000002</v>
      </c>
    </row>
    <row r="296" spans="1:28" ht="30" hidden="1" x14ac:dyDescent="0.25">
      <c r="A296" s="168"/>
      <c r="B296" s="133" t="str">
        <f>'Công trình'!B19</f>
        <v>AF.82111</v>
      </c>
      <c r="C296" s="34"/>
      <c r="D296" s="133" t="str">
        <f>'Công trình'!C19</f>
        <v>Sản xuất, lắp dựng tháo dỡ ván khuôn thép dầm, giằng, chiều cao &lt;=16m</v>
      </c>
      <c r="E296" s="168"/>
      <c r="F296" s="20">
        <v>1</v>
      </c>
      <c r="G296" s="169"/>
      <c r="H296" s="45">
        <f>'Hao phí vật tư'!J137</f>
        <v>1.6165</v>
      </c>
      <c r="I296" s="166"/>
      <c r="J296" s="156">
        <f>ROUND(H296*I294,2)</f>
        <v>6158865</v>
      </c>
      <c r="K296" s="166"/>
      <c r="L296" s="156">
        <f>ROUND(H296*K294,2)</f>
        <v>5290363.2</v>
      </c>
      <c r="M296" s="34"/>
      <c r="N296" s="166"/>
      <c r="O296" s="156">
        <f>ROUND(H296*N294,2)</f>
        <v>0</v>
      </c>
      <c r="P296" s="166"/>
      <c r="Q296" s="156">
        <f>ROUND(H296*P294,2)</f>
        <v>0</v>
      </c>
      <c r="R296" s="166"/>
      <c r="S296" s="156">
        <f>ROUND(H296*R294,2)</f>
        <v>0</v>
      </c>
      <c r="T296" s="34"/>
      <c r="U296" s="34"/>
      <c r="V296" s="166"/>
      <c r="W296" s="166"/>
      <c r="X296" s="166"/>
      <c r="Y296" s="156">
        <f>ROUND(H296*X294,2)</f>
        <v>-868501.8</v>
      </c>
      <c r="Z296" s="166"/>
      <c r="AA296" s="156">
        <f>ROUND(H296*Z294,2)</f>
        <v>-868501.8</v>
      </c>
      <c r="AB296" s="156">
        <f>ROUND(H296*W294,2)</f>
        <v>5290363.2</v>
      </c>
    </row>
    <row r="297" spans="1:28" ht="30" hidden="1" x14ac:dyDescent="0.25">
      <c r="A297" s="168"/>
      <c r="B297" s="133" t="str">
        <f>'Công trình'!B31</f>
        <v>AF.82111</v>
      </c>
      <c r="C297" s="34"/>
      <c r="D297" s="133" t="str">
        <f>'Công trình'!C31</f>
        <v>Sản xuất, lắp dựng tháo dỡ ván khuôn thép tường, chiều cao &lt;=16m</v>
      </c>
      <c r="E297" s="168"/>
      <c r="F297" s="20">
        <v>1</v>
      </c>
      <c r="G297" s="169"/>
      <c r="H297" s="45">
        <f>'Hao phí vật tư'!J217</f>
        <v>0.57709999999999995</v>
      </c>
      <c r="I297" s="166"/>
      <c r="J297" s="156">
        <f>ROUND(H297*I294,2)</f>
        <v>2198751</v>
      </c>
      <c r="K297" s="166"/>
      <c r="L297" s="156">
        <f>ROUND(H297*K294,2)</f>
        <v>1888690.75</v>
      </c>
      <c r="M297" s="34"/>
      <c r="N297" s="166"/>
      <c r="O297" s="156">
        <f>ROUND(H297*N294,2)</f>
        <v>0</v>
      </c>
      <c r="P297" s="166"/>
      <c r="Q297" s="156">
        <f>ROUND(H297*P294,2)</f>
        <v>0</v>
      </c>
      <c r="R297" s="166"/>
      <c r="S297" s="156">
        <f>ROUND(H297*R294,2)</f>
        <v>0</v>
      </c>
      <c r="T297" s="34"/>
      <c r="U297" s="34"/>
      <c r="V297" s="166"/>
      <c r="W297" s="166"/>
      <c r="X297" s="166"/>
      <c r="Y297" s="156">
        <f>ROUND(H297*X294,2)</f>
        <v>-310060.25</v>
      </c>
      <c r="Z297" s="166"/>
      <c r="AA297" s="156">
        <f>ROUND(H297*Z294,2)</f>
        <v>-310060.25</v>
      </c>
      <c r="AB297" s="156">
        <f>ROUND(H297*W294,2)</f>
        <v>1888690.75</v>
      </c>
    </row>
    <row r="298" spans="1:28" ht="30" hidden="1" x14ac:dyDescent="0.25">
      <c r="A298" s="168"/>
      <c r="B298" s="133" t="str">
        <f>'Công trình'!B59</f>
        <v>AF.82111</v>
      </c>
      <c r="C298" s="34"/>
      <c r="D298" s="133" t="str">
        <f>'Công trình'!C59</f>
        <v>Sản xuất, lắp dựng tháo dỡ ván khuôn thép dầm, giằng, chiều cao &lt;=16m</v>
      </c>
      <c r="E298" s="168"/>
      <c r="F298" s="20">
        <v>1</v>
      </c>
      <c r="G298" s="169"/>
      <c r="H298" s="45">
        <f>'Hao phí vật tư'!J443</f>
        <v>1.1435</v>
      </c>
      <c r="I298" s="166"/>
      <c r="J298" s="156">
        <f>ROUND(H298*I294,2)</f>
        <v>4356735</v>
      </c>
      <c r="K298" s="166"/>
      <c r="L298" s="156">
        <f>ROUND(H298*K294,2)</f>
        <v>3742363.32</v>
      </c>
      <c r="M298" s="34"/>
      <c r="N298" s="166"/>
      <c r="O298" s="156">
        <f>ROUND(H298*N294,2)</f>
        <v>0</v>
      </c>
      <c r="P298" s="166"/>
      <c r="Q298" s="156">
        <f>ROUND(H298*P294,2)</f>
        <v>0</v>
      </c>
      <c r="R298" s="166"/>
      <c r="S298" s="156">
        <f>ROUND(H298*R294,2)</f>
        <v>0</v>
      </c>
      <c r="T298" s="34"/>
      <c r="U298" s="34"/>
      <c r="V298" s="166"/>
      <c r="W298" s="166"/>
      <c r="X298" s="166"/>
      <c r="Y298" s="156">
        <f>ROUND(H298*X294,2)</f>
        <v>-614371.68000000005</v>
      </c>
      <c r="Z298" s="166"/>
      <c r="AA298" s="156">
        <f>ROUND(H298*Z294,2)</f>
        <v>-614371.68000000005</v>
      </c>
      <c r="AB298" s="156">
        <f>ROUND(H298*W294,2)</f>
        <v>3742363.32</v>
      </c>
    </row>
    <row r="299" spans="1:28" hidden="1" x14ac:dyDescent="0.25">
      <c r="A299" s="168"/>
      <c r="B299" s="133" t="str">
        <f>'Công trình'!B65</f>
        <v>AF.82511</v>
      </c>
      <c r="C299" s="34"/>
      <c r="D299" s="133" t="str">
        <f>'Công trình'!C65</f>
        <v>Sản xuất, lắp dựng tháo dỡ ván khuôn lát mái</v>
      </c>
      <c r="E299" s="168"/>
      <c r="F299" s="20">
        <v>1</v>
      </c>
      <c r="G299" s="169"/>
      <c r="H299" s="45">
        <f>'Hao phí vật tư'!J498</f>
        <v>0.42820000000000003</v>
      </c>
      <c r="I299" s="166"/>
      <c r="J299" s="156">
        <f>ROUND(H299*I294,2)</f>
        <v>1631442</v>
      </c>
      <c r="K299" s="166"/>
      <c r="L299" s="156">
        <f>ROUND(H299*K294,2)</f>
        <v>1401381.7</v>
      </c>
      <c r="M299" s="34"/>
      <c r="N299" s="166"/>
      <c r="O299" s="156">
        <f>ROUND(H299*N294,2)</f>
        <v>0</v>
      </c>
      <c r="P299" s="166"/>
      <c r="Q299" s="156">
        <f>ROUND(H299*P294,2)</f>
        <v>0</v>
      </c>
      <c r="R299" s="166"/>
      <c r="S299" s="156">
        <f>ROUND(H299*R294,2)</f>
        <v>0</v>
      </c>
      <c r="T299" s="34"/>
      <c r="U299" s="34"/>
      <c r="V299" s="166"/>
      <c r="W299" s="166"/>
      <c r="X299" s="166"/>
      <c r="Y299" s="156">
        <f>ROUND(H299*X294,2)</f>
        <v>-230060.3</v>
      </c>
      <c r="Z299" s="166"/>
      <c r="AA299" s="156">
        <f>ROUND(H299*Z294,2)</f>
        <v>-230060.3</v>
      </c>
      <c r="AB299" s="156">
        <f>ROUND(H299*W294,2)</f>
        <v>1401381.7</v>
      </c>
    </row>
    <row r="300" spans="1:28" ht="30" hidden="1" x14ac:dyDescent="0.25">
      <c r="A300" s="168"/>
      <c r="B300" s="133" t="str">
        <f>'Công trình'!B200</f>
        <v>AF.82111</v>
      </c>
      <c r="C300" s="34"/>
      <c r="D300" s="133" t="str">
        <f>'Công trình'!C200</f>
        <v>Sản xuất, lắp dựng tháo dỡ ván khuôn thép, cây chống gỗ dầm ngang, chiều cao &lt;=16m</v>
      </c>
      <c r="E300" s="168"/>
      <c r="F300" s="20">
        <v>1</v>
      </c>
      <c r="G300" s="169"/>
      <c r="H300" s="45">
        <f>'Hao phí vật tư'!J1540</f>
        <v>0.192</v>
      </c>
      <c r="I300" s="166"/>
      <c r="J300" s="156">
        <f>ROUND(H300*I294,2)</f>
        <v>731520</v>
      </c>
      <c r="K300" s="166"/>
      <c r="L300" s="156">
        <f>ROUND(H300*K294,2)</f>
        <v>628363.57999999996</v>
      </c>
      <c r="M300" s="34"/>
      <c r="N300" s="166"/>
      <c r="O300" s="156">
        <f>ROUND(H300*N294,2)</f>
        <v>0</v>
      </c>
      <c r="P300" s="166"/>
      <c r="Q300" s="156">
        <f>ROUND(H300*P294,2)</f>
        <v>0</v>
      </c>
      <c r="R300" s="166"/>
      <c r="S300" s="156">
        <f>ROUND(H300*R294,2)</f>
        <v>0</v>
      </c>
      <c r="T300" s="34"/>
      <c r="U300" s="34"/>
      <c r="V300" s="166"/>
      <c r="W300" s="166"/>
      <c r="X300" s="166"/>
      <c r="Y300" s="156">
        <f>ROUND(H300*X294,2)</f>
        <v>-103156.42</v>
      </c>
      <c r="Z300" s="166"/>
      <c r="AA300" s="156">
        <f>ROUND(H300*Z294,2)</f>
        <v>-103156.42</v>
      </c>
      <c r="AB300" s="156">
        <f>ROUND(H300*W294,2)</f>
        <v>628363.57999999996</v>
      </c>
    </row>
    <row r="301" spans="1:28" ht="30" hidden="1" x14ac:dyDescent="0.25">
      <c r="A301" s="168"/>
      <c r="B301" s="133" t="str">
        <f>'Công trình'!B249</f>
        <v>AF.82111</v>
      </c>
      <c r="C301" s="34"/>
      <c r="D301" s="133" t="str">
        <f>'Công trình'!C249</f>
        <v>Sản xuất, lắp dựng tháo dỡ ván khuôn thép, cây chống gỗ dầm, giằng, chiều cao &lt;=16m</v>
      </c>
      <c r="E301" s="168"/>
      <c r="F301" s="20">
        <v>1</v>
      </c>
      <c r="G301" s="169"/>
      <c r="H301" s="45">
        <f>'Hao phí vật tư'!J1888</f>
        <v>0.35389999999999999</v>
      </c>
      <c r="I301" s="166"/>
      <c r="J301" s="156">
        <f>ROUND(H301*I294,2)</f>
        <v>1348359</v>
      </c>
      <c r="K301" s="166"/>
      <c r="L301" s="156">
        <f>ROUND(H301*K294,2)</f>
        <v>1158218.0900000001</v>
      </c>
      <c r="M301" s="34"/>
      <c r="N301" s="166"/>
      <c r="O301" s="156">
        <f>ROUND(H301*N294,2)</f>
        <v>0</v>
      </c>
      <c r="P301" s="166"/>
      <c r="Q301" s="156">
        <f>ROUND(H301*P294,2)</f>
        <v>0</v>
      </c>
      <c r="R301" s="166"/>
      <c r="S301" s="156">
        <f>ROUND(H301*R294,2)</f>
        <v>0</v>
      </c>
      <c r="T301" s="34"/>
      <c r="U301" s="34"/>
      <c r="V301" s="166"/>
      <c r="W301" s="166"/>
      <c r="X301" s="166"/>
      <c r="Y301" s="156">
        <f>ROUND(H301*X294,2)</f>
        <v>-190140.91</v>
      </c>
      <c r="Z301" s="166"/>
      <c r="AA301" s="156">
        <f>ROUND(H301*Z294,2)</f>
        <v>-190140.91</v>
      </c>
      <c r="AB301" s="156">
        <f>ROUND(H301*W294,2)</f>
        <v>1158218.0900000001</v>
      </c>
    </row>
    <row r="302" spans="1:28" ht="30" hidden="1" x14ac:dyDescent="0.25">
      <c r="A302" s="168"/>
      <c r="B302" s="133" t="str">
        <f>'Công trình'!B256</f>
        <v>AF.82111</v>
      </c>
      <c r="C302" s="34"/>
      <c r="D302" s="133" t="str">
        <f>'Công trình'!C256</f>
        <v>Sản xuất, lắp dựng tháo dỡ ván khuôn thép lan can</v>
      </c>
      <c r="E302" s="168"/>
      <c r="F302" s="20">
        <v>1</v>
      </c>
      <c r="G302" s="169"/>
      <c r="H302" s="45">
        <f>'Hao phí vật tư'!J1949</f>
        <v>0.75880000000000003</v>
      </c>
      <c r="I302" s="166"/>
      <c r="J302" s="156">
        <f>ROUND(H302*I294,2)</f>
        <v>2891028</v>
      </c>
      <c r="K302" s="166"/>
      <c r="L302" s="156">
        <f>ROUND(H302*K294,2)</f>
        <v>2483345.25</v>
      </c>
      <c r="M302" s="34"/>
      <c r="N302" s="166"/>
      <c r="O302" s="156">
        <f>ROUND(H302*N294,2)</f>
        <v>0</v>
      </c>
      <c r="P302" s="166"/>
      <c r="Q302" s="156">
        <f>ROUND(H302*P294,2)</f>
        <v>0</v>
      </c>
      <c r="R302" s="166"/>
      <c r="S302" s="156">
        <f>ROUND(H302*R294,2)</f>
        <v>0</v>
      </c>
      <c r="T302" s="34"/>
      <c r="U302" s="34"/>
      <c r="V302" s="166"/>
      <c r="W302" s="166"/>
      <c r="X302" s="166"/>
      <c r="Y302" s="156">
        <f>ROUND(H302*X294,2)</f>
        <v>-407682.75</v>
      </c>
      <c r="Z302" s="166"/>
      <c r="AA302" s="156">
        <f>ROUND(H302*Z294,2)</f>
        <v>-407682.75</v>
      </c>
      <c r="AB302" s="156">
        <f>ROUND(H302*W294,2)</f>
        <v>2483345.25</v>
      </c>
    </row>
    <row r="303" spans="1:28" ht="30" hidden="1" x14ac:dyDescent="0.25">
      <c r="A303" s="168"/>
      <c r="B303" s="133" t="str">
        <f>'Công trình'!B201</f>
        <v>AF.82311</v>
      </c>
      <c r="C303" s="34"/>
      <c r="D303" s="133" t="str">
        <f>'Công trình'!C201</f>
        <v>Sản xuất, lắp dựng tháo dỡ ván khuôn thép, cây chống gỗ mặt cầu, chiều cao &lt;=16m</v>
      </c>
      <c r="E303" s="168"/>
      <c r="F303" s="20">
        <v>1</v>
      </c>
      <c r="G303" s="169"/>
      <c r="H303" s="45">
        <f>'Hao phí vật tư'!J1553</f>
        <v>1.6881999999999999</v>
      </c>
      <c r="I303" s="166"/>
      <c r="J303" s="156">
        <f>ROUND(H303*I294,2)</f>
        <v>6432042</v>
      </c>
      <c r="K303" s="166"/>
      <c r="L303" s="156">
        <f>ROUND(H303*K294,2)</f>
        <v>5525017.7199999997</v>
      </c>
      <c r="M303" s="34"/>
      <c r="N303" s="166"/>
      <c r="O303" s="156">
        <f>ROUND(H303*N294,2)</f>
        <v>0</v>
      </c>
      <c r="P303" s="166"/>
      <c r="Q303" s="156">
        <f>ROUND(H303*P294,2)</f>
        <v>0</v>
      </c>
      <c r="R303" s="166"/>
      <c r="S303" s="156">
        <f>ROUND(H303*R294,2)</f>
        <v>0</v>
      </c>
      <c r="T303" s="34"/>
      <c r="U303" s="34"/>
      <c r="V303" s="166"/>
      <c r="W303" s="166"/>
      <c r="X303" s="166"/>
      <c r="Y303" s="156">
        <f>ROUND(H303*X294,2)</f>
        <v>-907024.28</v>
      </c>
      <c r="Z303" s="166"/>
      <c r="AA303" s="156">
        <f>ROUND(H303*Z294,2)</f>
        <v>-907024.28</v>
      </c>
      <c r="AB303" s="156">
        <f>ROUND(H303*W294,2)</f>
        <v>5525017.7199999997</v>
      </c>
    </row>
    <row r="304" spans="1:28" ht="45" hidden="1" x14ac:dyDescent="0.25">
      <c r="A304" s="168"/>
      <c r="B304" s="133" t="str">
        <f>'Công trình'!B35</f>
        <v>AF.82111</v>
      </c>
      <c r="C304" s="34"/>
      <c r="D304" s="133" t="str">
        <f>'Công trình'!C35</f>
        <v>Sản xuất, lắp dựng tháo dỡ ván khuôn thép, cây chống gỗ tường, cột vuông (chữ nhật), xà dầm, giằng, chiều cao &lt;=16m</v>
      </c>
      <c r="E304" s="168"/>
      <c r="F304" s="20">
        <v>1</v>
      </c>
      <c r="G304" s="169"/>
      <c r="H304" s="45">
        <f>'Hao phí vật tư'!J261</f>
        <v>0.28849999999999998</v>
      </c>
      <c r="I304" s="166"/>
      <c r="J304" s="156">
        <f>ROUND(H304*I294,2)</f>
        <v>1099185</v>
      </c>
      <c r="K304" s="166"/>
      <c r="L304" s="156">
        <f>ROUND(H304*K294,2)</f>
        <v>944181.74</v>
      </c>
      <c r="M304" s="34"/>
      <c r="N304" s="166"/>
      <c r="O304" s="156">
        <f>ROUND(H304*N294,2)</f>
        <v>0</v>
      </c>
      <c r="P304" s="166"/>
      <c r="Q304" s="156">
        <f>ROUND(H304*P294,2)</f>
        <v>0</v>
      </c>
      <c r="R304" s="166"/>
      <c r="S304" s="156">
        <f>ROUND(H304*R294,2)</f>
        <v>0</v>
      </c>
      <c r="T304" s="34"/>
      <c r="U304" s="34"/>
      <c r="V304" s="166"/>
      <c r="W304" s="166"/>
      <c r="X304" s="166"/>
      <c r="Y304" s="156">
        <f>ROUND(H304*X294,2)</f>
        <v>-155003.26</v>
      </c>
      <c r="Z304" s="166"/>
      <c r="AA304" s="156">
        <f>ROUND(H304*Z294,2)</f>
        <v>-155003.26</v>
      </c>
      <c r="AB304" s="156">
        <f>ROUND(H304*W294,2)</f>
        <v>944181.74</v>
      </c>
    </row>
    <row r="305" spans="1:28" x14ac:dyDescent="0.25">
      <c r="A305" s="168">
        <v>50</v>
      </c>
      <c r="B305" s="84" t="s">
        <v>91</v>
      </c>
      <c r="C305" s="34">
        <v>423</v>
      </c>
      <c r="D305" s="144" t="s">
        <v>696</v>
      </c>
      <c r="E305" s="168" t="s">
        <v>155</v>
      </c>
      <c r="F305" s="34"/>
      <c r="G305" s="169"/>
      <c r="H305" s="60">
        <f>SUM(H306:H306)</f>
        <v>8.0699999999999994E-2</v>
      </c>
      <c r="I305" s="166">
        <v>3810000</v>
      </c>
      <c r="J305" s="166">
        <f>ROUND(H305*I305,0)</f>
        <v>307467</v>
      </c>
      <c r="K305" s="139">
        <f>'Tổng hợp VL,NC,M'!I316</f>
        <v>3272727</v>
      </c>
      <c r="L305" s="166">
        <f>ROUND(H305*K305,0)</f>
        <v>264109</v>
      </c>
      <c r="M305" s="34">
        <v>1</v>
      </c>
      <c r="N305" s="166"/>
      <c r="O305" s="166">
        <f>ROUND(H305*N305,0)</f>
        <v>0</v>
      </c>
      <c r="P305" s="166"/>
      <c r="Q305" s="166">
        <f>ROUND(H305*P305,0)</f>
        <v>0</v>
      </c>
      <c r="R305" s="166"/>
      <c r="S305" s="166">
        <f>ROUND(H305*R305,0)</f>
        <v>0</v>
      </c>
      <c r="T305" s="34"/>
      <c r="U305" s="34"/>
      <c r="V305" s="166">
        <f>ROUND((K305+N305+P305+R305)*(U305+T305),0)</f>
        <v>0</v>
      </c>
      <c r="W305" s="139">
        <f>K305+N305+P305+R305+V305</f>
        <v>3272727</v>
      </c>
      <c r="X305" s="166">
        <f>K305-I305</f>
        <v>-537273</v>
      </c>
      <c r="Y305" s="166">
        <f>ROUND(H305*X305,0)</f>
        <v>-43358</v>
      </c>
      <c r="Z305" s="166">
        <f>W305-I305</f>
        <v>-537273</v>
      </c>
      <c r="AA305" s="166">
        <f>ROUND(H305*Z305,0)</f>
        <v>-43358</v>
      </c>
      <c r="AB305" s="166">
        <f>ROUND(H305*W305,0)</f>
        <v>264109</v>
      </c>
    </row>
    <row r="306" spans="1:28" hidden="1" x14ac:dyDescent="0.25">
      <c r="A306" s="168"/>
      <c r="B306" s="133" t="str">
        <f>'Công trình'!B65</f>
        <v>AF.82511</v>
      </c>
      <c r="C306" s="34"/>
      <c r="D306" s="133" t="str">
        <f>'Công trình'!C65</f>
        <v>Sản xuất, lắp dựng tháo dỡ ván khuôn lát mái</v>
      </c>
      <c r="E306" s="168"/>
      <c r="F306" s="20">
        <v>1</v>
      </c>
      <c r="G306" s="169"/>
      <c r="H306" s="45">
        <f>'Hao phí vật tư'!J500</f>
        <v>8.0699999999999994E-2</v>
      </c>
      <c r="I306" s="166"/>
      <c r="J306" s="156">
        <f>ROUND(H306*I305,2)</f>
        <v>307467</v>
      </c>
      <c r="K306" s="166"/>
      <c r="L306" s="156">
        <f>ROUND(H306*K305,2)</f>
        <v>264109.07</v>
      </c>
      <c r="M306" s="34"/>
      <c r="N306" s="166"/>
      <c r="O306" s="156">
        <f>ROUND(H306*N305,2)</f>
        <v>0</v>
      </c>
      <c r="P306" s="166"/>
      <c r="Q306" s="156">
        <f>ROUND(H306*P305,2)</f>
        <v>0</v>
      </c>
      <c r="R306" s="166"/>
      <c r="S306" s="156">
        <f>ROUND(H306*R305,2)</f>
        <v>0</v>
      </c>
      <c r="T306" s="34"/>
      <c r="U306" s="34"/>
      <c r="V306" s="166"/>
      <c r="W306" s="166"/>
      <c r="X306" s="166"/>
      <c r="Y306" s="156">
        <f>ROUND(H306*X305,2)</f>
        <v>-43357.93</v>
      </c>
      <c r="Z306" s="166"/>
      <c r="AA306" s="156">
        <f>ROUND(H306*Z305,2)</f>
        <v>-43357.93</v>
      </c>
      <c r="AB306" s="156">
        <f>ROUND(H306*W305,2)</f>
        <v>264109.07</v>
      </c>
    </row>
    <row r="307" spans="1:28" x14ac:dyDescent="0.25">
      <c r="A307" s="168">
        <v>51</v>
      </c>
      <c r="B307" s="84" t="s">
        <v>136</v>
      </c>
      <c r="C307" s="34">
        <v>142</v>
      </c>
      <c r="D307" s="144" t="s">
        <v>252</v>
      </c>
      <c r="E307" s="168" t="s">
        <v>155</v>
      </c>
      <c r="F307" s="34"/>
      <c r="G307" s="169"/>
      <c r="H307" s="60">
        <f>SUM(H308:H313)</f>
        <v>2.5190000000000001</v>
      </c>
      <c r="I307" s="166">
        <v>3810000</v>
      </c>
      <c r="J307" s="166">
        <f>ROUND(H307*I307,0)</f>
        <v>9597390</v>
      </c>
      <c r="K307" s="139">
        <f>'Tổng hợp VL,NC,M'!I318</f>
        <v>3272727</v>
      </c>
      <c r="L307" s="166">
        <f>ROUND(H307*K307,0)</f>
        <v>8243999</v>
      </c>
      <c r="M307" s="34">
        <v>1</v>
      </c>
      <c r="N307" s="166"/>
      <c r="O307" s="166">
        <f>ROUND(H307*N307,0)</f>
        <v>0</v>
      </c>
      <c r="P307" s="166"/>
      <c r="Q307" s="166">
        <f>ROUND(H307*P307,0)</f>
        <v>0</v>
      </c>
      <c r="R307" s="166"/>
      <c r="S307" s="166">
        <f>ROUND(H307*R307,0)</f>
        <v>0</v>
      </c>
      <c r="T307" s="34"/>
      <c r="U307" s="34"/>
      <c r="V307" s="166">
        <f>ROUND((K307+N307+P307+R307)*(U307+T307),0)</f>
        <v>0</v>
      </c>
      <c r="W307" s="139">
        <f>K307+N307+P307+R307+V307</f>
        <v>3272727</v>
      </c>
      <c r="X307" s="166">
        <f>K307-I307</f>
        <v>-537273</v>
      </c>
      <c r="Y307" s="166">
        <f>ROUND(H307*X307,0)</f>
        <v>-1353391</v>
      </c>
      <c r="Z307" s="166">
        <f>W307-I307</f>
        <v>-537273</v>
      </c>
      <c r="AA307" s="166">
        <f>ROUND(H307*Z307,0)</f>
        <v>-1353391</v>
      </c>
      <c r="AB307" s="166">
        <f>ROUND(H307*W307,0)</f>
        <v>8243999</v>
      </c>
    </row>
    <row r="308" spans="1:28" ht="30" hidden="1" x14ac:dyDescent="0.25">
      <c r="A308" s="168"/>
      <c r="B308" s="133" t="str">
        <f>'Công trình'!B42</f>
        <v>AC.11121</v>
      </c>
      <c r="C308" s="34"/>
      <c r="D308" s="133" t="str">
        <f>'Công trình'!C42</f>
        <v>Đóng cọc tràm chiều dài cọc ngập đất &gt;2,5m đất cấp I</v>
      </c>
      <c r="E308" s="168"/>
      <c r="F308" s="20">
        <v>1</v>
      </c>
      <c r="G308" s="169"/>
      <c r="H308" s="45">
        <f>'Hao phí vật tư'!J313</f>
        <v>2.7000000000000001E-3</v>
      </c>
      <c r="I308" s="166"/>
      <c r="J308" s="156">
        <f>ROUND(H308*I307,2)</f>
        <v>10287</v>
      </c>
      <c r="K308" s="166"/>
      <c r="L308" s="156">
        <f>ROUND(H308*K307,2)</f>
        <v>8836.36</v>
      </c>
      <c r="M308" s="34"/>
      <c r="N308" s="166"/>
      <c r="O308" s="156">
        <f>ROUND(H308*N307,2)</f>
        <v>0</v>
      </c>
      <c r="P308" s="166"/>
      <c r="Q308" s="156">
        <f>ROUND(H308*P307,2)</f>
        <v>0</v>
      </c>
      <c r="R308" s="166"/>
      <c r="S308" s="156">
        <f>ROUND(H308*R307,2)</f>
        <v>0</v>
      </c>
      <c r="T308" s="34"/>
      <c r="U308" s="34"/>
      <c r="V308" s="166"/>
      <c r="W308" s="166"/>
      <c r="X308" s="166"/>
      <c r="Y308" s="156">
        <f>ROUND(H308*X307,2)</f>
        <v>-1450.64</v>
      </c>
      <c r="Z308" s="166"/>
      <c r="AA308" s="156">
        <f>ROUND(H308*Z307,2)</f>
        <v>-1450.64</v>
      </c>
      <c r="AB308" s="156">
        <f>ROUND(H308*W307,2)</f>
        <v>8836.36</v>
      </c>
    </row>
    <row r="309" spans="1:28" ht="30" hidden="1" x14ac:dyDescent="0.25">
      <c r="A309" s="168"/>
      <c r="B309" s="133" t="str">
        <f>'Công trình'!B50</f>
        <v>AC.11121</v>
      </c>
      <c r="C309" s="34"/>
      <c r="D309" s="133" t="str">
        <f>'Công trình'!C50</f>
        <v>Đóng cọc tràm chiều dài cọc ngập đất &gt;2,5m đất cấp I</v>
      </c>
      <c r="E309" s="168"/>
      <c r="F309" s="20">
        <v>1</v>
      </c>
      <c r="G309" s="169"/>
      <c r="H309" s="45">
        <f>'Hao phí vật tư'!J370</f>
        <v>1.3379000000000001</v>
      </c>
      <c r="I309" s="166"/>
      <c r="J309" s="156">
        <f>ROUND(H309*I307,2)</f>
        <v>5097399</v>
      </c>
      <c r="K309" s="166"/>
      <c r="L309" s="156">
        <f>ROUND(H309*K307,2)</f>
        <v>4378581.45</v>
      </c>
      <c r="M309" s="34"/>
      <c r="N309" s="166"/>
      <c r="O309" s="156">
        <f>ROUND(H309*N307,2)</f>
        <v>0</v>
      </c>
      <c r="P309" s="166"/>
      <c r="Q309" s="156">
        <f>ROUND(H309*P307,2)</f>
        <v>0</v>
      </c>
      <c r="R309" s="166"/>
      <c r="S309" s="156">
        <f>ROUND(H309*R307,2)</f>
        <v>0</v>
      </c>
      <c r="T309" s="34"/>
      <c r="U309" s="34"/>
      <c r="V309" s="166"/>
      <c r="W309" s="166"/>
      <c r="X309" s="166"/>
      <c r="Y309" s="156">
        <f>ROUND(H309*X307,2)</f>
        <v>-718817.55</v>
      </c>
      <c r="Z309" s="166"/>
      <c r="AA309" s="156">
        <f>ROUND(H309*Z307,2)</f>
        <v>-718817.55</v>
      </c>
      <c r="AB309" s="156">
        <f>ROUND(H309*W307,2)</f>
        <v>4378581.45</v>
      </c>
    </row>
    <row r="310" spans="1:28" hidden="1" x14ac:dyDescent="0.25">
      <c r="A310" s="168"/>
      <c r="B310" s="133" t="str">
        <f>'Công trình'!B65</f>
        <v>AF.82511</v>
      </c>
      <c r="C310" s="34"/>
      <c r="D310" s="133" t="str">
        <f>'Công trình'!C65</f>
        <v>Sản xuất, lắp dựng tháo dỡ ván khuôn lát mái</v>
      </c>
      <c r="E310" s="168"/>
      <c r="F310" s="20">
        <v>1</v>
      </c>
      <c r="G310" s="169"/>
      <c r="H310" s="45">
        <f>'Hao phí vật tư'!J499</f>
        <v>0.7389</v>
      </c>
      <c r="I310" s="166"/>
      <c r="J310" s="156">
        <f>ROUND(H310*I307,2)</f>
        <v>2815209</v>
      </c>
      <c r="K310" s="166"/>
      <c r="L310" s="156">
        <f>ROUND(H310*K307,2)</f>
        <v>2418217.98</v>
      </c>
      <c r="M310" s="34"/>
      <c r="N310" s="166"/>
      <c r="O310" s="156">
        <f>ROUND(H310*N307,2)</f>
        <v>0</v>
      </c>
      <c r="P310" s="166"/>
      <c r="Q310" s="156">
        <f>ROUND(H310*P307,2)</f>
        <v>0</v>
      </c>
      <c r="R310" s="166"/>
      <c r="S310" s="156">
        <f>ROUND(H310*R307,2)</f>
        <v>0</v>
      </c>
      <c r="T310" s="34"/>
      <c r="U310" s="34"/>
      <c r="V310" s="166"/>
      <c r="W310" s="166"/>
      <c r="X310" s="166"/>
      <c r="Y310" s="156">
        <f>ROUND(H310*X307,2)</f>
        <v>-396991.02</v>
      </c>
      <c r="Z310" s="166"/>
      <c r="AA310" s="156">
        <f>ROUND(H310*Z307,2)</f>
        <v>-396991.02</v>
      </c>
      <c r="AB310" s="156">
        <f>ROUND(H310*W307,2)</f>
        <v>2418217.98</v>
      </c>
    </row>
    <row r="311" spans="1:28" ht="30" hidden="1" x14ac:dyDescent="0.25">
      <c r="A311" s="168"/>
      <c r="B311" s="133" t="str">
        <f>'Công trình'!B96</f>
        <v>AC.11121</v>
      </c>
      <c r="C311" s="34"/>
      <c r="D311" s="133" t="str">
        <f>'Công trình'!C96</f>
        <v>Đóng cọc tràm chiều dài cọc ngập đất &gt;2,5m đất cấp I</v>
      </c>
      <c r="E311" s="168"/>
      <c r="F311" s="20">
        <v>1</v>
      </c>
      <c r="G311" s="169"/>
      <c r="H311" s="45">
        <f>'Hao phí vật tư'!J775</f>
        <v>0.216</v>
      </c>
      <c r="I311" s="166"/>
      <c r="J311" s="156">
        <f>ROUND(H311*I307,2)</f>
        <v>822960</v>
      </c>
      <c r="K311" s="166"/>
      <c r="L311" s="156">
        <f>ROUND(H311*K307,2)</f>
        <v>706909.03</v>
      </c>
      <c r="M311" s="34"/>
      <c r="N311" s="166"/>
      <c r="O311" s="156">
        <f>ROUND(H311*N307,2)</f>
        <v>0</v>
      </c>
      <c r="P311" s="166"/>
      <c r="Q311" s="156">
        <f>ROUND(H311*P307,2)</f>
        <v>0</v>
      </c>
      <c r="R311" s="166"/>
      <c r="S311" s="156">
        <f>ROUND(H311*R307,2)</f>
        <v>0</v>
      </c>
      <c r="T311" s="34"/>
      <c r="U311" s="34"/>
      <c r="V311" s="166"/>
      <c r="W311" s="166"/>
      <c r="X311" s="166"/>
      <c r="Y311" s="156">
        <f>ROUND(H311*X307,2)</f>
        <v>-116050.97</v>
      </c>
      <c r="Z311" s="166"/>
      <c r="AA311" s="156">
        <f>ROUND(H311*Z307,2)</f>
        <v>-116050.97</v>
      </c>
      <c r="AB311" s="156">
        <f>ROUND(H311*W307,2)</f>
        <v>706909.03</v>
      </c>
    </row>
    <row r="312" spans="1:28" ht="30" hidden="1" x14ac:dyDescent="0.25">
      <c r="A312" s="168"/>
      <c r="B312" s="133" t="str">
        <f>'Công trình'!B149</f>
        <v>AC.11121</v>
      </c>
      <c r="C312" s="34"/>
      <c r="D312" s="133" t="str">
        <f>'Công trình'!C149</f>
        <v>Đóng cọc tràm chiều dài cọc ngập đất &gt;2,5m đất cấp I</v>
      </c>
      <c r="E312" s="168"/>
      <c r="F312" s="20">
        <v>1</v>
      </c>
      <c r="G312" s="169"/>
      <c r="H312" s="45">
        <f>'Hao phí vật tư'!J1135</f>
        <v>0.21149999999999999</v>
      </c>
      <c r="I312" s="166"/>
      <c r="J312" s="156">
        <f>ROUND(H312*I307,2)</f>
        <v>805815</v>
      </c>
      <c r="K312" s="166"/>
      <c r="L312" s="156">
        <f>ROUND(H312*K307,2)</f>
        <v>692181.76</v>
      </c>
      <c r="M312" s="34"/>
      <c r="N312" s="166"/>
      <c r="O312" s="156">
        <f>ROUND(H312*N307,2)</f>
        <v>0</v>
      </c>
      <c r="P312" s="166"/>
      <c r="Q312" s="156">
        <f>ROUND(H312*P307,2)</f>
        <v>0</v>
      </c>
      <c r="R312" s="166"/>
      <c r="S312" s="156">
        <f>ROUND(H312*R307,2)</f>
        <v>0</v>
      </c>
      <c r="T312" s="34"/>
      <c r="U312" s="34"/>
      <c r="V312" s="166"/>
      <c r="W312" s="166"/>
      <c r="X312" s="166"/>
      <c r="Y312" s="156">
        <f>ROUND(H312*X307,2)</f>
        <v>-113633.24</v>
      </c>
      <c r="Z312" s="166"/>
      <c r="AA312" s="156">
        <f>ROUND(H312*Z307,2)</f>
        <v>-113633.24</v>
      </c>
      <c r="AB312" s="156">
        <f>ROUND(H312*W307,2)</f>
        <v>692181.76</v>
      </c>
    </row>
    <row r="313" spans="1:28" ht="30" hidden="1" x14ac:dyDescent="0.25">
      <c r="A313" s="168"/>
      <c r="B313" s="133" t="str">
        <f>'Công trình'!B271</f>
        <v>AC.11121</v>
      </c>
      <c r="C313" s="34"/>
      <c r="D313" s="133" t="str">
        <f>'Công trình'!C271</f>
        <v>Đóng cọc tràm chiều dài cọc ngập đất &gt;2,5m đất cấp I</v>
      </c>
      <c r="E313" s="168"/>
      <c r="F313" s="20">
        <v>1</v>
      </c>
      <c r="G313" s="169"/>
      <c r="H313" s="45">
        <f>'Hao phí vật tư'!J2068</f>
        <v>1.2E-2</v>
      </c>
      <c r="I313" s="166"/>
      <c r="J313" s="156">
        <f>ROUND(H313*I307,2)</f>
        <v>45720</v>
      </c>
      <c r="K313" s="166"/>
      <c r="L313" s="156">
        <f>ROUND(H313*K307,2)</f>
        <v>39272.720000000001</v>
      </c>
      <c r="M313" s="34"/>
      <c r="N313" s="166"/>
      <c r="O313" s="156">
        <f>ROUND(H313*N307,2)</f>
        <v>0</v>
      </c>
      <c r="P313" s="166"/>
      <c r="Q313" s="156">
        <f>ROUND(H313*P307,2)</f>
        <v>0</v>
      </c>
      <c r="R313" s="166"/>
      <c r="S313" s="156">
        <f>ROUND(H313*R307,2)</f>
        <v>0</v>
      </c>
      <c r="T313" s="34"/>
      <c r="U313" s="34"/>
      <c r="V313" s="166"/>
      <c r="W313" s="166"/>
      <c r="X313" s="166"/>
      <c r="Y313" s="156">
        <f>ROUND(H313*X307,2)</f>
        <v>-6447.28</v>
      </c>
      <c r="Z313" s="166"/>
      <c r="AA313" s="156">
        <f>ROUND(H313*Z307,2)</f>
        <v>-6447.28</v>
      </c>
      <c r="AB313" s="156">
        <f>ROUND(H313*W307,2)</f>
        <v>39272.720000000001</v>
      </c>
    </row>
    <row r="314" spans="1:28" x14ac:dyDescent="0.25">
      <c r="A314" s="168">
        <v>52</v>
      </c>
      <c r="B314" s="84" t="s">
        <v>34</v>
      </c>
      <c r="C314" s="34">
        <v>144</v>
      </c>
      <c r="D314" s="144" t="s">
        <v>353</v>
      </c>
      <c r="E314" s="168" t="s">
        <v>155</v>
      </c>
      <c r="F314" s="34"/>
      <c r="G314" s="169"/>
      <c r="H314" s="60">
        <f>SUM(H315:H319)</f>
        <v>9.676499999999999</v>
      </c>
      <c r="I314" s="166">
        <v>3810000</v>
      </c>
      <c r="J314" s="166">
        <f>ROUND(H314*I314,0)</f>
        <v>36867465</v>
      </c>
      <c r="K314" s="139">
        <f>'Tổng hợp VL,NC,M'!I328</f>
        <v>3272727</v>
      </c>
      <c r="L314" s="166">
        <f>ROUND(H314*K314,0)</f>
        <v>31668543</v>
      </c>
      <c r="M314" s="34">
        <v>1</v>
      </c>
      <c r="N314" s="166"/>
      <c r="O314" s="166">
        <f>ROUND(H314*N314,0)</f>
        <v>0</v>
      </c>
      <c r="P314" s="166"/>
      <c r="Q314" s="166">
        <f>ROUND(H314*P314,0)</f>
        <v>0</v>
      </c>
      <c r="R314" s="166"/>
      <c r="S314" s="166">
        <f>ROUND(H314*R314,0)</f>
        <v>0</v>
      </c>
      <c r="T314" s="34"/>
      <c r="U314" s="34"/>
      <c r="V314" s="166">
        <f>ROUND((K314+N314+P314+R314)*(U314+T314),0)</f>
        <v>0</v>
      </c>
      <c r="W314" s="139">
        <f>K314+N314+P314+R314+V314</f>
        <v>3272727</v>
      </c>
      <c r="X314" s="166">
        <f>K314-I314</f>
        <v>-537273</v>
      </c>
      <c r="Y314" s="166">
        <f>ROUND(H314*X314,0)</f>
        <v>-5198922</v>
      </c>
      <c r="Z314" s="166">
        <f>W314-I314</f>
        <v>-537273</v>
      </c>
      <c r="AA314" s="166">
        <f>ROUND(H314*Z314,0)</f>
        <v>-5198922</v>
      </c>
      <c r="AB314" s="166">
        <f>ROUND(H314*W314,0)</f>
        <v>31668543</v>
      </c>
    </row>
    <row r="315" spans="1:28" ht="30" hidden="1" x14ac:dyDescent="0.25">
      <c r="A315" s="168"/>
      <c r="B315" s="133" t="str">
        <f>'Công trình'!B30</f>
        <v>AF.12113</v>
      </c>
      <c r="C315" s="34"/>
      <c r="D315" s="133" t="str">
        <f>'Công trình'!C30</f>
        <v>Bê tông tường dày &lt;=45cm, chiều cao &lt;=4m đá 1x2, vữa BT mác 200</v>
      </c>
      <c r="E315" s="168"/>
      <c r="F315" s="20">
        <v>1</v>
      </c>
      <c r="G315" s="169"/>
      <c r="H315" s="45">
        <f>'Hao phí vật tư'!J207</f>
        <v>1.2827999999999999</v>
      </c>
      <c r="I315" s="166"/>
      <c r="J315" s="156">
        <f>ROUND(H315*I314,2)</f>
        <v>4887468</v>
      </c>
      <c r="K315" s="166"/>
      <c r="L315" s="156">
        <f>ROUND(H315*K314,2)</f>
        <v>4198254.2</v>
      </c>
      <c r="M315" s="34"/>
      <c r="N315" s="166"/>
      <c r="O315" s="156">
        <f>ROUND(H315*N314,2)</f>
        <v>0</v>
      </c>
      <c r="P315" s="166"/>
      <c r="Q315" s="156">
        <f>ROUND(H315*P314,2)</f>
        <v>0</v>
      </c>
      <c r="R315" s="166"/>
      <c r="S315" s="156">
        <f>ROUND(H315*R314,2)</f>
        <v>0</v>
      </c>
      <c r="T315" s="34"/>
      <c r="U315" s="34"/>
      <c r="V315" s="166"/>
      <c r="W315" s="166"/>
      <c r="X315" s="166"/>
      <c r="Y315" s="156">
        <f>ROUND(H315*X314,2)</f>
        <v>-689213.8</v>
      </c>
      <c r="Z315" s="166"/>
      <c r="AA315" s="156">
        <f>ROUND(H315*Z314,2)</f>
        <v>-689213.8</v>
      </c>
      <c r="AB315" s="156">
        <f>ROUND(H315*W314,2)</f>
        <v>4198254.2</v>
      </c>
    </row>
    <row r="316" spans="1:28" ht="30" hidden="1" x14ac:dyDescent="0.25">
      <c r="A316" s="168"/>
      <c r="B316" s="133" t="str">
        <f>'Công trình'!B63</f>
        <v>AF.11223</v>
      </c>
      <c r="C316" s="34"/>
      <c r="D316" s="133" t="str">
        <f>'Công trình'!C63</f>
        <v>Bê tông lát mái rộng &gt;250cm đá 1x2, vữa BT mác 200</v>
      </c>
      <c r="E316" s="168"/>
      <c r="F316" s="20">
        <v>1</v>
      </c>
      <c r="G316" s="169"/>
      <c r="H316" s="45">
        <f>'Hao phí vật tư'!J479</f>
        <v>2.4451999999999998</v>
      </c>
      <c r="I316" s="166"/>
      <c r="J316" s="156">
        <f>ROUND(H316*I314,2)</f>
        <v>9316212</v>
      </c>
      <c r="K316" s="166"/>
      <c r="L316" s="156">
        <f>ROUND(H316*K314,2)</f>
        <v>8002472.0599999996</v>
      </c>
      <c r="M316" s="34"/>
      <c r="N316" s="166"/>
      <c r="O316" s="156">
        <f>ROUND(H316*N314,2)</f>
        <v>0</v>
      </c>
      <c r="P316" s="166"/>
      <c r="Q316" s="156">
        <f>ROUND(H316*P314,2)</f>
        <v>0</v>
      </c>
      <c r="R316" s="166"/>
      <c r="S316" s="156">
        <f>ROUND(H316*R314,2)</f>
        <v>0</v>
      </c>
      <c r="T316" s="34"/>
      <c r="U316" s="34"/>
      <c r="V316" s="166"/>
      <c r="W316" s="166"/>
      <c r="X316" s="166"/>
      <c r="Y316" s="156">
        <f>ROUND(H316*X314,2)</f>
        <v>-1313739.94</v>
      </c>
      <c r="Z316" s="166"/>
      <c r="AA316" s="156">
        <f>ROUND(H316*Z314,2)</f>
        <v>-1313739.94</v>
      </c>
      <c r="AB316" s="156">
        <f>ROUND(H316*W314,2)</f>
        <v>8002472.0599999996</v>
      </c>
    </row>
    <row r="317" spans="1:28" ht="30" hidden="1" x14ac:dyDescent="0.25">
      <c r="A317" s="168"/>
      <c r="B317" s="133" t="str">
        <f>'Công trình'!B7</f>
        <v>AF.11224</v>
      </c>
      <c r="C317" s="34"/>
      <c r="D317" s="133" t="str">
        <f>'Công trình'!C7</f>
        <v>Bê tông móng rộng &gt;250cm đá 1x2, vữa BT mác 250</v>
      </c>
      <c r="E317" s="168"/>
      <c r="F317" s="20">
        <v>1</v>
      </c>
      <c r="G317" s="169"/>
      <c r="H317" s="45">
        <f>'Hao phí vật tư'!J15</f>
        <v>2.4651000000000001</v>
      </c>
      <c r="I317" s="166"/>
      <c r="J317" s="156">
        <f>ROUND(H317*I314,2)</f>
        <v>9392031</v>
      </c>
      <c r="K317" s="166"/>
      <c r="L317" s="156">
        <f>ROUND(H317*K314,2)</f>
        <v>8067599.3300000001</v>
      </c>
      <c r="M317" s="34"/>
      <c r="N317" s="166"/>
      <c r="O317" s="156">
        <f>ROUND(H317*N314,2)</f>
        <v>0</v>
      </c>
      <c r="P317" s="166"/>
      <c r="Q317" s="156">
        <f>ROUND(H317*P314,2)</f>
        <v>0</v>
      </c>
      <c r="R317" s="166"/>
      <c r="S317" s="156">
        <f>ROUND(H317*R314,2)</f>
        <v>0</v>
      </c>
      <c r="T317" s="34"/>
      <c r="U317" s="34"/>
      <c r="V317" s="166"/>
      <c r="W317" s="166"/>
      <c r="X317" s="166"/>
      <c r="Y317" s="156">
        <f>ROUND(H317*X314,2)</f>
        <v>-1324431.67</v>
      </c>
      <c r="Z317" s="166"/>
      <c r="AA317" s="156">
        <f>ROUND(H317*Z314,2)</f>
        <v>-1324431.67</v>
      </c>
      <c r="AB317" s="156">
        <f>ROUND(H317*W314,2)</f>
        <v>8067599.3300000001</v>
      </c>
    </row>
    <row r="318" spans="1:28" ht="30" hidden="1" x14ac:dyDescent="0.25">
      <c r="A318" s="168"/>
      <c r="B318" s="133" t="str">
        <f>'Công trình'!B8</f>
        <v>AF.12144</v>
      </c>
      <c r="C318" s="34"/>
      <c r="D318" s="133" t="str">
        <f>'Công trình'!C8</f>
        <v>Bê tông tường dày &gt;45cm, chiều cao &lt;=16m đá 1x2, vữa BT mác 250</v>
      </c>
      <c r="E318" s="168"/>
      <c r="F318" s="20">
        <v>1</v>
      </c>
      <c r="G318" s="169"/>
      <c r="H318" s="45">
        <f>'Hao phí vật tư'!J30</f>
        <v>3.2134</v>
      </c>
      <c r="I318" s="166"/>
      <c r="J318" s="156">
        <f>ROUND(H318*I314,2)</f>
        <v>12243054</v>
      </c>
      <c r="K318" s="166"/>
      <c r="L318" s="156">
        <f>ROUND(H318*K314,2)</f>
        <v>10516580.939999999</v>
      </c>
      <c r="M318" s="34"/>
      <c r="N318" s="166"/>
      <c r="O318" s="156">
        <f>ROUND(H318*N314,2)</f>
        <v>0</v>
      </c>
      <c r="P318" s="166"/>
      <c r="Q318" s="156">
        <f>ROUND(H318*P314,2)</f>
        <v>0</v>
      </c>
      <c r="R318" s="166"/>
      <c r="S318" s="156">
        <f>ROUND(H318*R314,2)</f>
        <v>0</v>
      </c>
      <c r="T318" s="34"/>
      <c r="U318" s="34"/>
      <c r="V318" s="166"/>
      <c r="W318" s="166"/>
      <c r="X318" s="166"/>
      <c r="Y318" s="156">
        <f>ROUND(H318*X314,2)</f>
        <v>-1726473.06</v>
      </c>
      <c r="Z318" s="166"/>
      <c r="AA318" s="156">
        <f>ROUND(H318*Z314,2)</f>
        <v>-1726473.06</v>
      </c>
      <c r="AB318" s="156">
        <f>ROUND(H318*W314,2)</f>
        <v>10516580.939999999</v>
      </c>
    </row>
    <row r="319" spans="1:28" hidden="1" x14ac:dyDescent="0.25">
      <c r="A319" s="168"/>
      <c r="B319" s="133" t="str">
        <f>'Công trình'!B175</f>
        <v>AF.11225</v>
      </c>
      <c r="C319" s="34"/>
      <c r="D319" s="133" t="str">
        <f>'Công trình'!C175</f>
        <v>Bê tông bản dẫn đá 1x2, vữa BT mác 300</v>
      </c>
      <c r="E319" s="168"/>
      <c r="F319" s="20">
        <v>1</v>
      </c>
      <c r="G319" s="169"/>
      <c r="H319" s="45">
        <f>'Hao phí vật tư'!J1318</f>
        <v>0.27</v>
      </c>
      <c r="I319" s="166"/>
      <c r="J319" s="156">
        <f>ROUND(H319*I314,2)</f>
        <v>1028700</v>
      </c>
      <c r="K319" s="166"/>
      <c r="L319" s="156">
        <f>ROUND(H319*K314,2)</f>
        <v>883636.29</v>
      </c>
      <c r="M319" s="34"/>
      <c r="N319" s="166"/>
      <c r="O319" s="156">
        <f>ROUND(H319*N314,2)</f>
        <v>0</v>
      </c>
      <c r="P319" s="166"/>
      <c r="Q319" s="156">
        <f>ROUND(H319*P314,2)</f>
        <v>0</v>
      </c>
      <c r="R319" s="166"/>
      <c r="S319" s="156">
        <f>ROUND(H319*R314,2)</f>
        <v>0</v>
      </c>
      <c r="T319" s="34"/>
      <c r="U319" s="34"/>
      <c r="V319" s="166"/>
      <c r="W319" s="166"/>
      <c r="X319" s="166"/>
      <c r="Y319" s="156">
        <f>ROUND(H319*X314,2)</f>
        <v>-145063.71</v>
      </c>
      <c r="Z319" s="166"/>
      <c r="AA319" s="156">
        <f>ROUND(H319*Z314,2)</f>
        <v>-145063.71</v>
      </c>
      <c r="AB319" s="156">
        <f>ROUND(H319*W314,2)</f>
        <v>883636.29</v>
      </c>
    </row>
    <row r="320" spans="1:28" x14ac:dyDescent="0.25">
      <c r="A320" s="168">
        <v>53</v>
      </c>
      <c r="B320" s="84" t="s">
        <v>1103</v>
      </c>
      <c r="C320" s="34">
        <v>139</v>
      </c>
      <c r="D320" s="144" t="s">
        <v>1137</v>
      </c>
      <c r="E320" s="168" t="s">
        <v>75</v>
      </c>
      <c r="F320" s="34"/>
      <c r="G320" s="169"/>
      <c r="H320" s="60">
        <f>SUM(H321:H322)</f>
        <v>36</v>
      </c>
      <c r="I320" s="166">
        <v>230727</v>
      </c>
      <c r="J320" s="166">
        <f>ROUND(H320*I320,0)</f>
        <v>8306172</v>
      </c>
      <c r="K320" s="156">
        <f>'Tổng hợp VL,NC,M'!I334</f>
        <v>350000</v>
      </c>
      <c r="L320" s="166">
        <f>ROUND(H320*K320,0)</f>
        <v>12600000</v>
      </c>
      <c r="M320" s="34">
        <v>1</v>
      </c>
      <c r="N320" s="166"/>
      <c r="O320" s="166">
        <f>ROUND(H320*N320,0)</f>
        <v>0</v>
      </c>
      <c r="P320" s="166"/>
      <c r="Q320" s="166">
        <f>ROUND(H320*P320,0)</f>
        <v>0</v>
      </c>
      <c r="R320" s="166"/>
      <c r="S320" s="166">
        <f>ROUND(H320*R320,0)</f>
        <v>0</v>
      </c>
      <c r="T320" s="34"/>
      <c r="U320" s="34"/>
      <c r="V320" s="166">
        <f>ROUND((K320+N320+P320+R320)*(U320+T320),0)</f>
        <v>0</v>
      </c>
      <c r="W320" s="156">
        <f>K320+N320+P320+R320+V320</f>
        <v>350000</v>
      </c>
      <c r="X320" s="166">
        <f>K320-I320</f>
        <v>119273</v>
      </c>
      <c r="Y320" s="166">
        <f>ROUND(H320*X320,0)</f>
        <v>4293828</v>
      </c>
      <c r="Z320" s="166">
        <f>W320-I320</f>
        <v>119273</v>
      </c>
      <c r="AA320" s="166">
        <f>ROUND(H320*Z320,0)</f>
        <v>4293828</v>
      </c>
      <c r="AB320" s="166">
        <f>ROUND(H320*W320,0)</f>
        <v>12600000</v>
      </c>
    </row>
    <row r="321" spans="1:28" hidden="1" x14ac:dyDescent="0.25">
      <c r="A321" s="168"/>
      <c r="B321" s="133" t="str">
        <f>'Công trình'!B178</f>
        <v>AL.25112</v>
      </c>
      <c r="C321" s="34"/>
      <c r="D321" s="133" t="str">
        <f>'Công trình'!C178</f>
        <v>Gối cao su (56x20.3x5)cm</v>
      </c>
      <c r="E321" s="168"/>
      <c r="F321" s="20">
        <v>1</v>
      </c>
      <c r="G321" s="169"/>
      <c r="H321" s="45">
        <f>'Hao phí vật tư'!J1347</f>
        <v>12</v>
      </c>
      <c r="I321" s="166"/>
      <c r="J321" s="156">
        <f>ROUND(H321*I320,2)</f>
        <v>2768724</v>
      </c>
      <c r="K321" s="166"/>
      <c r="L321" s="156">
        <f>ROUND(H321*K320,2)</f>
        <v>4200000</v>
      </c>
      <c r="M321" s="34"/>
      <c r="N321" s="166"/>
      <c r="O321" s="156">
        <f>ROUND(H321*N320,2)</f>
        <v>0</v>
      </c>
      <c r="P321" s="166"/>
      <c r="Q321" s="156">
        <f>ROUND(H321*P320,2)</f>
        <v>0</v>
      </c>
      <c r="R321" s="166"/>
      <c r="S321" s="156">
        <f>ROUND(H321*R320,2)</f>
        <v>0</v>
      </c>
      <c r="T321" s="34"/>
      <c r="U321" s="34"/>
      <c r="V321" s="166"/>
      <c r="W321" s="166"/>
      <c r="X321" s="166"/>
      <c r="Y321" s="156">
        <f>ROUND(H321*X320,2)</f>
        <v>1431276</v>
      </c>
      <c r="Z321" s="166"/>
      <c r="AA321" s="156">
        <f>ROUND(H321*Z320,2)</f>
        <v>1431276</v>
      </c>
      <c r="AB321" s="156">
        <f>ROUND(H321*W320,2)</f>
        <v>4200000</v>
      </c>
    </row>
    <row r="322" spans="1:28" hidden="1" x14ac:dyDescent="0.25">
      <c r="A322" s="168"/>
      <c r="B322" s="133" t="str">
        <f>'Công trình'!B188</f>
        <v>AL.25112</v>
      </c>
      <c r="C322" s="34"/>
      <c r="D322" s="133" t="str">
        <f>'Công trình'!C188</f>
        <v>Gối cao su (56x20.3x5)cm</v>
      </c>
      <c r="E322" s="168"/>
      <c r="F322" s="20">
        <v>1</v>
      </c>
      <c r="G322" s="169"/>
      <c r="H322" s="45">
        <f>'Hao phí vật tư'!J1438</f>
        <v>24</v>
      </c>
      <c r="I322" s="166"/>
      <c r="J322" s="156">
        <f>ROUND(H322*I320,2)</f>
        <v>5537448</v>
      </c>
      <c r="K322" s="166"/>
      <c r="L322" s="156">
        <f>ROUND(H322*K320,2)</f>
        <v>8400000</v>
      </c>
      <c r="M322" s="34"/>
      <c r="N322" s="166"/>
      <c r="O322" s="156">
        <f>ROUND(H322*N320,2)</f>
        <v>0</v>
      </c>
      <c r="P322" s="166"/>
      <c r="Q322" s="156">
        <f>ROUND(H322*P320,2)</f>
        <v>0</v>
      </c>
      <c r="R322" s="166"/>
      <c r="S322" s="156">
        <f>ROUND(H322*R320,2)</f>
        <v>0</v>
      </c>
      <c r="T322" s="34"/>
      <c r="U322" s="34"/>
      <c r="V322" s="166"/>
      <c r="W322" s="166"/>
      <c r="X322" s="166"/>
      <c r="Y322" s="156">
        <f>ROUND(H322*X320,2)</f>
        <v>2862552</v>
      </c>
      <c r="Z322" s="166"/>
      <c r="AA322" s="156">
        <f>ROUND(H322*Z320,2)</f>
        <v>2862552</v>
      </c>
      <c r="AB322" s="156">
        <f>ROUND(H322*W320,2)</f>
        <v>8400000</v>
      </c>
    </row>
    <row r="323" spans="1:28" x14ac:dyDescent="0.25">
      <c r="A323" s="168">
        <v>54</v>
      </c>
      <c r="B323" s="84" t="s">
        <v>29</v>
      </c>
      <c r="C323" s="34">
        <v>433</v>
      </c>
      <c r="D323" s="144" t="s">
        <v>216</v>
      </c>
      <c r="E323" s="168" t="s">
        <v>113</v>
      </c>
      <c r="F323" s="34"/>
      <c r="G323" s="169"/>
      <c r="H323" s="60">
        <f>SUM(H324:H326)</f>
        <v>25.24</v>
      </c>
      <c r="I323" s="166">
        <v>842975</v>
      </c>
      <c r="J323" s="166">
        <f>ROUND(H323*I323,0)</f>
        <v>21276689</v>
      </c>
      <c r="K323" s="156">
        <f>'Tổng hợp VL,NC,M'!I337</f>
        <v>1548220</v>
      </c>
      <c r="L323" s="166">
        <f>ROUND(H323*K323,0)</f>
        <v>39077073</v>
      </c>
      <c r="M323" s="34">
        <v>1</v>
      </c>
      <c r="N323" s="166"/>
      <c r="O323" s="166">
        <f>ROUND(H323*N323,0)</f>
        <v>0</v>
      </c>
      <c r="P323" s="166"/>
      <c r="Q323" s="166">
        <f>ROUND(H323*P323,0)</f>
        <v>0</v>
      </c>
      <c r="R323" s="166"/>
      <c r="S323" s="166">
        <f>ROUND(H323*R323,0)</f>
        <v>0</v>
      </c>
      <c r="T323" s="34"/>
      <c r="U323" s="34"/>
      <c r="V323" s="166">
        <f>ROUND((K323+N323+P323+R323)*(U323+T323),0)</f>
        <v>0</v>
      </c>
      <c r="W323" s="156">
        <f>K323+N323+P323+R323+V323</f>
        <v>1548220</v>
      </c>
      <c r="X323" s="166">
        <f>K323-I323</f>
        <v>705245</v>
      </c>
      <c r="Y323" s="166">
        <f>ROUND(H323*X323,0)</f>
        <v>17800384</v>
      </c>
      <c r="Z323" s="166">
        <f>W323-I323</f>
        <v>705245</v>
      </c>
      <c r="AA323" s="166">
        <f>ROUND(H323*Z323,0)</f>
        <v>17800384</v>
      </c>
      <c r="AB323" s="166">
        <f>ROUND(H323*W323,0)</f>
        <v>39077073</v>
      </c>
    </row>
    <row r="324" spans="1:28" ht="30" hidden="1" x14ac:dyDescent="0.25">
      <c r="A324" s="168"/>
      <c r="B324" s="133" t="str">
        <f>'Công trình'!B142</f>
        <v>AC.22522</v>
      </c>
      <c r="C324" s="34"/>
      <c r="D324" s="133" t="str">
        <f>'Công trình'!C142</f>
        <v>Đóng cọc thép hình H300 trên mặt đất, chiều dài cọc &gt;10m, đất cấp II, phần ngập đất</v>
      </c>
      <c r="E324" s="168"/>
      <c r="F324" s="20">
        <v>1</v>
      </c>
      <c r="G324" s="169"/>
      <c r="H324" s="45">
        <f>'Hao phí vật tư'!J1085</f>
        <v>0</v>
      </c>
      <c r="I324" s="166"/>
      <c r="J324" s="156">
        <f>ROUND(H324*I323,2)</f>
        <v>0</v>
      </c>
      <c r="K324" s="166"/>
      <c r="L324" s="156">
        <f>ROUND(H324*K323,2)</f>
        <v>0</v>
      </c>
      <c r="M324" s="34"/>
      <c r="N324" s="166"/>
      <c r="O324" s="156">
        <f>ROUND(H324*N323,2)</f>
        <v>0</v>
      </c>
      <c r="P324" s="166"/>
      <c r="Q324" s="156">
        <f>ROUND(H324*P323,2)</f>
        <v>0</v>
      </c>
      <c r="R324" s="166"/>
      <c r="S324" s="156">
        <f>ROUND(H324*R323,2)</f>
        <v>0</v>
      </c>
      <c r="T324" s="34"/>
      <c r="U324" s="34"/>
      <c r="V324" s="166"/>
      <c r="W324" s="166"/>
      <c r="X324" s="166"/>
      <c r="Y324" s="156">
        <f>ROUND(H324*X323,2)</f>
        <v>0</v>
      </c>
      <c r="Z324" s="166"/>
      <c r="AA324" s="156">
        <f>ROUND(H324*Z323,2)</f>
        <v>0</v>
      </c>
      <c r="AB324" s="156">
        <f>ROUND(H324*W323,2)</f>
        <v>0</v>
      </c>
    </row>
    <row r="325" spans="1:28" ht="45" hidden="1" x14ac:dyDescent="0.25">
      <c r="A325" s="168"/>
      <c r="B325" s="133" t="str">
        <f>'Công trình'!B143</f>
        <v>AC.22522</v>
      </c>
      <c r="C325" s="34"/>
      <c r="D325" s="133" t="str">
        <f>'Công trình'!C143</f>
        <v>Đóng cọc thép hình H300 trên mặt đất, chiều dài cọc &gt;10m, đất cấp II, phần không ngập đất (NC, MTC * 0,75)</v>
      </c>
      <c r="E325" s="168"/>
      <c r="F325" s="20">
        <v>1</v>
      </c>
      <c r="G325" s="169"/>
      <c r="H325" s="45">
        <f>'Hao phí vật tư'!J1094</f>
        <v>0</v>
      </c>
      <c r="I325" s="166"/>
      <c r="J325" s="156">
        <f>ROUND(H325*I323,2)</f>
        <v>0</v>
      </c>
      <c r="K325" s="166"/>
      <c r="L325" s="156">
        <f>ROUND(H325*K323,2)</f>
        <v>0</v>
      </c>
      <c r="M325" s="34"/>
      <c r="N325" s="166"/>
      <c r="O325" s="156">
        <f>ROUND(H325*N323,2)</f>
        <v>0</v>
      </c>
      <c r="P325" s="166"/>
      <c r="Q325" s="156">
        <f>ROUND(H325*P323,2)</f>
        <v>0</v>
      </c>
      <c r="R325" s="166"/>
      <c r="S325" s="156">
        <f>ROUND(H325*R323,2)</f>
        <v>0</v>
      </c>
      <c r="T325" s="34"/>
      <c r="U325" s="34"/>
      <c r="V325" s="166"/>
      <c r="W325" s="166"/>
      <c r="X325" s="166"/>
      <c r="Y325" s="156">
        <f>ROUND(H325*X323,2)</f>
        <v>0</v>
      </c>
      <c r="Z325" s="166"/>
      <c r="AA325" s="156">
        <f>ROUND(H325*Z323,2)</f>
        <v>0</v>
      </c>
      <c r="AB325" s="156">
        <f>ROUND(H325*W323,2)</f>
        <v>0</v>
      </c>
    </row>
    <row r="326" spans="1:28" ht="30" hidden="1" x14ac:dyDescent="0.25">
      <c r="A326" s="168"/>
      <c r="B326" s="133" t="str">
        <f>'Công trình'!B144</f>
        <v>TT</v>
      </c>
      <c r="C326" s="34"/>
      <c r="D326" s="133" t="str">
        <f>'Công trình'!C144</f>
        <v>Khấu hao cọc thép hình (Thi công trong vòng 3 tháng và 1 lần đóng nhổ)</v>
      </c>
      <c r="E326" s="168"/>
      <c r="F326" s="20">
        <v>1</v>
      </c>
      <c r="G326" s="169"/>
      <c r="H326" s="45">
        <f>'Hao phí vật tư'!J1103</f>
        <v>25.24</v>
      </c>
      <c r="I326" s="166"/>
      <c r="J326" s="156">
        <f>ROUND(H326*I323,2)</f>
        <v>21276689</v>
      </c>
      <c r="K326" s="166"/>
      <c r="L326" s="156">
        <f>ROUND(H326*K323,2)</f>
        <v>39077072.799999997</v>
      </c>
      <c r="M326" s="34"/>
      <c r="N326" s="166"/>
      <c r="O326" s="156">
        <f>ROUND(H326*N323,2)</f>
        <v>0</v>
      </c>
      <c r="P326" s="166"/>
      <c r="Q326" s="156">
        <f>ROUND(H326*P323,2)</f>
        <v>0</v>
      </c>
      <c r="R326" s="166"/>
      <c r="S326" s="156">
        <f>ROUND(H326*R323,2)</f>
        <v>0</v>
      </c>
      <c r="T326" s="34"/>
      <c r="U326" s="34"/>
      <c r="V326" s="166"/>
      <c r="W326" s="166"/>
      <c r="X326" s="166"/>
      <c r="Y326" s="156">
        <f>ROUND(H326*X323,2)</f>
        <v>17800383.800000001</v>
      </c>
      <c r="Z326" s="166"/>
      <c r="AA326" s="156">
        <f>ROUND(H326*Z323,2)</f>
        <v>17800383.800000001</v>
      </c>
      <c r="AB326" s="156">
        <f>ROUND(H326*W323,2)</f>
        <v>39077072.799999997</v>
      </c>
    </row>
    <row r="327" spans="1:28" x14ac:dyDescent="0.25">
      <c r="A327" s="168">
        <v>55</v>
      </c>
      <c r="B327" s="84" t="s">
        <v>29</v>
      </c>
      <c r="C327" s="34">
        <v>432</v>
      </c>
      <c r="D327" s="144" t="s">
        <v>572</v>
      </c>
      <c r="E327" s="168" t="s">
        <v>113</v>
      </c>
      <c r="F327" s="34"/>
      <c r="G327" s="169"/>
      <c r="H327" s="60">
        <f>SUM(H328:H330)</f>
        <v>27.48</v>
      </c>
      <c r="I327" s="166">
        <v>842975</v>
      </c>
      <c r="J327" s="166">
        <f>ROUND(H327*I327,0)</f>
        <v>23164953</v>
      </c>
      <c r="K327" s="156">
        <f>'Tổng hợp VL,NC,M'!I341</f>
        <v>1830000</v>
      </c>
      <c r="L327" s="166">
        <f>ROUND(H327*K327,0)</f>
        <v>50288400</v>
      </c>
      <c r="M327" s="34">
        <v>1</v>
      </c>
      <c r="N327" s="166"/>
      <c r="O327" s="166">
        <f>ROUND(H327*N327,0)</f>
        <v>0</v>
      </c>
      <c r="P327" s="166"/>
      <c r="Q327" s="166">
        <f>ROUND(H327*P327,0)</f>
        <v>0</v>
      </c>
      <c r="R327" s="166"/>
      <c r="S327" s="166">
        <f>ROUND(H327*R327,0)</f>
        <v>0</v>
      </c>
      <c r="T327" s="34"/>
      <c r="U327" s="34"/>
      <c r="V327" s="166">
        <f>ROUND((K327+N327+P327+R327)*(U327+T327),0)</f>
        <v>0</v>
      </c>
      <c r="W327" s="156">
        <f>K327+N327+P327+R327+V327</f>
        <v>1830000</v>
      </c>
      <c r="X327" s="166">
        <f>K327-I327</f>
        <v>987025</v>
      </c>
      <c r="Y327" s="166">
        <f>ROUND(H327*X327,0)</f>
        <v>27123447</v>
      </c>
      <c r="Z327" s="166">
        <f>W327-I327</f>
        <v>987025</v>
      </c>
      <c r="AA327" s="166">
        <f>ROUND(H327*Z327,0)</f>
        <v>27123447</v>
      </c>
      <c r="AB327" s="166">
        <f>ROUND(H327*W327,0)</f>
        <v>50288400</v>
      </c>
    </row>
    <row r="328" spans="1:28" ht="45" hidden="1" x14ac:dyDescent="0.25">
      <c r="A328" s="168"/>
      <c r="B328" s="133" t="str">
        <f>'Công trình'!B162</f>
        <v>AC.22522</v>
      </c>
      <c r="C328" s="34"/>
      <c r="D328" s="133" t="str">
        <f>'Công trình'!C162</f>
        <v>Đóng cọc thép hình I350x150, dài 14m đóng ngập đất 11m trên mặt đất, đất cấp II, phần ngập đất</v>
      </c>
      <c r="E328" s="168"/>
      <c r="F328" s="20">
        <v>1</v>
      </c>
      <c r="G328" s="169"/>
      <c r="H328" s="45">
        <f>'Hao phí vật tư'!J1231</f>
        <v>0</v>
      </c>
      <c r="I328" s="166"/>
      <c r="J328" s="156">
        <f>ROUND(H328*I327,2)</f>
        <v>0</v>
      </c>
      <c r="K328" s="166"/>
      <c r="L328" s="156">
        <f>ROUND(H328*K327,2)</f>
        <v>0</v>
      </c>
      <c r="M328" s="34"/>
      <c r="N328" s="166"/>
      <c r="O328" s="156">
        <f>ROUND(H328*N327,2)</f>
        <v>0</v>
      </c>
      <c r="P328" s="166"/>
      <c r="Q328" s="156">
        <f>ROUND(H328*P327,2)</f>
        <v>0</v>
      </c>
      <c r="R328" s="166"/>
      <c r="S328" s="156">
        <f>ROUND(H328*R327,2)</f>
        <v>0</v>
      </c>
      <c r="T328" s="34"/>
      <c r="U328" s="34"/>
      <c r="V328" s="166"/>
      <c r="W328" s="166"/>
      <c r="X328" s="166"/>
      <c r="Y328" s="156">
        <f>ROUND(H328*X327,2)</f>
        <v>0</v>
      </c>
      <c r="Z328" s="166"/>
      <c r="AA328" s="156">
        <f>ROUND(H328*Z327,2)</f>
        <v>0</v>
      </c>
      <c r="AB328" s="156">
        <f>ROUND(H328*W327,2)</f>
        <v>0</v>
      </c>
    </row>
    <row r="329" spans="1:28" ht="45" hidden="1" x14ac:dyDescent="0.25">
      <c r="A329" s="168"/>
      <c r="B329" s="133" t="str">
        <f>'Công trình'!B163</f>
        <v>AC.22522</v>
      </c>
      <c r="C329" s="34"/>
      <c r="D329" s="133" t="str">
        <f>'Công trình'!C163</f>
        <v>Đóng cọc thép hình I350x150, dài 14m đóng không ngập đất 3m, đất cấp II, phần không ngập đất (NC, MTC * 0,75)</v>
      </c>
      <c r="E329" s="168"/>
      <c r="F329" s="20">
        <v>1</v>
      </c>
      <c r="G329" s="169"/>
      <c r="H329" s="45">
        <f>'Hao phí vật tư'!J1240</f>
        <v>0</v>
      </c>
      <c r="I329" s="166"/>
      <c r="J329" s="156">
        <f>ROUND(H329*I327,2)</f>
        <v>0</v>
      </c>
      <c r="K329" s="166"/>
      <c r="L329" s="156">
        <f>ROUND(H329*K327,2)</f>
        <v>0</v>
      </c>
      <c r="M329" s="34"/>
      <c r="N329" s="166"/>
      <c r="O329" s="156">
        <f>ROUND(H329*N327,2)</f>
        <v>0</v>
      </c>
      <c r="P329" s="166"/>
      <c r="Q329" s="156">
        <f>ROUND(H329*P327,2)</f>
        <v>0</v>
      </c>
      <c r="R329" s="166"/>
      <c r="S329" s="156">
        <f>ROUND(H329*R327,2)</f>
        <v>0</v>
      </c>
      <c r="T329" s="34"/>
      <c r="U329" s="34"/>
      <c r="V329" s="166"/>
      <c r="W329" s="166"/>
      <c r="X329" s="166"/>
      <c r="Y329" s="156">
        <f>ROUND(H329*X327,2)</f>
        <v>0</v>
      </c>
      <c r="Z329" s="166"/>
      <c r="AA329" s="156">
        <f>ROUND(H329*Z327,2)</f>
        <v>0</v>
      </c>
      <c r="AB329" s="156">
        <f>ROUND(H329*W327,2)</f>
        <v>0</v>
      </c>
    </row>
    <row r="330" spans="1:28" ht="30" hidden="1" x14ac:dyDescent="0.25">
      <c r="A330" s="168"/>
      <c r="B330" s="133" t="str">
        <f>'Công trình'!B164</f>
        <v>TT</v>
      </c>
      <c r="C330" s="34"/>
      <c r="D330" s="133" t="str">
        <f>'Công trình'!C164</f>
        <v>Khấu hao cọc thép hình (Thi công trong vòng 3 tháng và 1 lần đóng nhổ)</v>
      </c>
      <c r="E330" s="168"/>
      <c r="F330" s="20">
        <v>1</v>
      </c>
      <c r="G330" s="169"/>
      <c r="H330" s="45">
        <f>'Hao phí vật tư'!J1249</f>
        <v>27.48</v>
      </c>
      <c r="I330" s="166"/>
      <c r="J330" s="156">
        <f>ROUND(H330*I327,2)</f>
        <v>23164953</v>
      </c>
      <c r="K330" s="166"/>
      <c r="L330" s="156">
        <f>ROUND(H330*K327,2)</f>
        <v>50288400</v>
      </c>
      <c r="M330" s="34"/>
      <c r="N330" s="166"/>
      <c r="O330" s="156">
        <f>ROUND(H330*N327,2)</f>
        <v>0</v>
      </c>
      <c r="P330" s="166"/>
      <c r="Q330" s="156">
        <f>ROUND(H330*P327,2)</f>
        <v>0</v>
      </c>
      <c r="R330" s="166"/>
      <c r="S330" s="156">
        <f>ROUND(H330*R327,2)</f>
        <v>0</v>
      </c>
      <c r="T330" s="34"/>
      <c r="U330" s="34"/>
      <c r="V330" s="166"/>
      <c r="W330" s="166"/>
      <c r="X330" s="166"/>
      <c r="Y330" s="156">
        <f>ROUND(H330*X327,2)</f>
        <v>27123447</v>
      </c>
      <c r="Z330" s="166"/>
      <c r="AA330" s="156">
        <f>ROUND(H330*Z327,2)</f>
        <v>27123447</v>
      </c>
      <c r="AB330" s="156">
        <f>ROUND(H330*W327,2)</f>
        <v>50288400</v>
      </c>
    </row>
    <row r="331" spans="1:28" x14ac:dyDescent="0.25">
      <c r="A331" s="168">
        <v>56</v>
      </c>
      <c r="B331" s="84" t="s">
        <v>1078</v>
      </c>
      <c r="C331" s="34">
        <v>528</v>
      </c>
      <c r="D331" s="144" t="s">
        <v>139</v>
      </c>
      <c r="E331" s="168" t="s">
        <v>367</v>
      </c>
      <c r="F331" s="34"/>
      <c r="G331" s="169"/>
      <c r="H331" s="60">
        <f>SUM(H332:H332)</f>
        <v>0.37</v>
      </c>
      <c r="I331" s="166">
        <v>250000</v>
      </c>
      <c r="J331" s="166">
        <f>ROUND(H331*I331,0)</f>
        <v>92500</v>
      </c>
      <c r="K331" s="166">
        <f>'Tổng hợp VL,NC,M'!I345</f>
        <v>250000</v>
      </c>
      <c r="L331" s="166">
        <f>ROUND(H331*K331,0)</f>
        <v>92500</v>
      </c>
      <c r="M331" s="34">
        <v>1</v>
      </c>
      <c r="N331" s="166"/>
      <c r="O331" s="166">
        <f>ROUND(H331*N331,0)</f>
        <v>0</v>
      </c>
      <c r="P331" s="166"/>
      <c r="Q331" s="166">
        <f>ROUND(H331*P331,0)</f>
        <v>0</v>
      </c>
      <c r="R331" s="166"/>
      <c r="S331" s="166">
        <f>ROUND(H331*R331,0)</f>
        <v>0</v>
      </c>
      <c r="T331" s="34"/>
      <c r="U331" s="34"/>
      <c r="V331" s="166">
        <f>ROUND((K331+N331+P331+R331)*(U331+T331),0)</f>
        <v>0</v>
      </c>
      <c r="W331" s="166">
        <f>K331+N331+P331+R331+V331</f>
        <v>250000</v>
      </c>
      <c r="X331" s="166">
        <f>K331-I331</f>
        <v>0</v>
      </c>
      <c r="Y331" s="166">
        <f>ROUND(H331*X331,0)</f>
        <v>0</v>
      </c>
      <c r="Z331" s="166">
        <f>W331-I331</f>
        <v>0</v>
      </c>
      <c r="AA331" s="166">
        <f>ROUND(H331*Z331,0)</f>
        <v>0</v>
      </c>
      <c r="AB331" s="166">
        <f>ROUND(H331*W331,0)</f>
        <v>92500</v>
      </c>
    </row>
    <row r="332" spans="1:28" hidden="1" x14ac:dyDescent="0.25">
      <c r="A332" s="168"/>
      <c r="B332" s="133" t="str">
        <f>'Công trình'!B215</f>
        <v>TT</v>
      </c>
      <c r="C332" s="34"/>
      <c r="D332" s="133" t="str">
        <f>'Công trình'!C215</f>
        <v>Keo Epoxy</v>
      </c>
      <c r="E332" s="168"/>
      <c r="F332" s="20">
        <v>1</v>
      </c>
      <c r="G332" s="169"/>
      <c r="H332" s="45">
        <f>'Hao phí vật tư'!J1626</f>
        <v>0.37</v>
      </c>
      <c r="I332" s="166"/>
      <c r="J332" s="156">
        <f>ROUND(H332*I331,2)</f>
        <v>92500</v>
      </c>
      <c r="K332" s="166"/>
      <c r="L332" s="156">
        <f>ROUND(H332*K331,2)</f>
        <v>92500</v>
      </c>
      <c r="M332" s="34"/>
      <c r="N332" s="166"/>
      <c r="O332" s="156">
        <f>ROUND(H332*N331,2)</f>
        <v>0</v>
      </c>
      <c r="P332" s="166"/>
      <c r="Q332" s="156">
        <f>ROUND(H332*P331,2)</f>
        <v>0</v>
      </c>
      <c r="R332" s="166"/>
      <c r="S332" s="156">
        <f>ROUND(H332*R331,2)</f>
        <v>0</v>
      </c>
      <c r="T332" s="34"/>
      <c r="U332" s="34"/>
      <c r="V332" s="166"/>
      <c r="W332" s="166"/>
      <c r="X332" s="166"/>
      <c r="Y332" s="156">
        <f>ROUND(H332*X331,2)</f>
        <v>0</v>
      </c>
      <c r="Z332" s="166"/>
      <c r="AA332" s="156">
        <f>ROUND(H332*Z331,2)</f>
        <v>0</v>
      </c>
      <c r="AB332" s="156">
        <f>ROUND(H332*W331,2)</f>
        <v>92500</v>
      </c>
    </row>
    <row r="333" spans="1:28" x14ac:dyDescent="0.25">
      <c r="A333" s="168">
        <v>57</v>
      </c>
      <c r="B333" s="84" t="s">
        <v>371</v>
      </c>
      <c r="C333" s="34">
        <v>439</v>
      </c>
      <c r="D333" s="144" t="s">
        <v>1138</v>
      </c>
      <c r="E333" s="168" t="s">
        <v>113</v>
      </c>
      <c r="F333" s="34"/>
      <c r="G333" s="169"/>
      <c r="H333" s="60">
        <f>SUM(H334:H334)</f>
        <v>12.6</v>
      </c>
      <c r="I333" s="166">
        <v>1500000</v>
      </c>
      <c r="J333" s="166">
        <f>ROUND(H333*I333,0)</f>
        <v>18900000</v>
      </c>
      <c r="K333" s="166">
        <f>'Tổng hợp VL,NC,M'!I347</f>
        <v>1500000</v>
      </c>
      <c r="L333" s="166">
        <f>ROUND(H333*K333,0)</f>
        <v>18900000</v>
      </c>
      <c r="M333" s="34">
        <v>1</v>
      </c>
      <c r="N333" s="166"/>
      <c r="O333" s="166">
        <f>ROUND(H333*N333,0)</f>
        <v>0</v>
      </c>
      <c r="P333" s="166"/>
      <c r="Q333" s="166">
        <f>ROUND(H333*P333,0)</f>
        <v>0</v>
      </c>
      <c r="R333" s="166"/>
      <c r="S333" s="166">
        <f>ROUND(H333*R333,0)</f>
        <v>0</v>
      </c>
      <c r="T333" s="34"/>
      <c r="U333" s="34"/>
      <c r="V333" s="166">
        <f>ROUND((K333+N333+P333+R333)*(U333+T333),0)</f>
        <v>0</v>
      </c>
      <c r="W333" s="166">
        <f>K333+N333+P333+R333+V333</f>
        <v>1500000</v>
      </c>
      <c r="X333" s="166">
        <f>K333-I333</f>
        <v>0</v>
      </c>
      <c r="Y333" s="166">
        <f>ROUND(H333*X333,0)</f>
        <v>0</v>
      </c>
      <c r="Z333" s="166">
        <f>W333-I333</f>
        <v>0</v>
      </c>
      <c r="AA333" s="166">
        <f>ROUND(H333*Z333,0)</f>
        <v>0</v>
      </c>
      <c r="AB333" s="166">
        <f>ROUND(H333*W333,0)</f>
        <v>18900000</v>
      </c>
    </row>
    <row r="334" spans="1:28" hidden="1" x14ac:dyDescent="0.25">
      <c r="A334" s="168"/>
      <c r="B334" s="133" t="str">
        <f>'Công trình'!B213</f>
        <v>AL.25121</v>
      </c>
      <c r="C334" s="34"/>
      <c r="D334" s="133" t="str">
        <f>'Công trình'!C213</f>
        <v>Lắp đặt khe co giãn dầm liên tục</v>
      </c>
      <c r="E334" s="168"/>
      <c r="F334" s="20">
        <v>1</v>
      </c>
      <c r="G334" s="169"/>
      <c r="H334" s="45">
        <f>'Hao phí vật tư'!J1617</f>
        <v>12.6</v>
      </c>
      <c r="I334" s="166"/>
      <c r="J334" s="156">
        <f>ROUND(H334*I333,2)</f>
        <v>18900000</v>
      </c>
      <c r="K334" s="166"/>
      <c r="L334" s="156">
        <f>ROUND(H334*K333,2)</f>
        <v>18900000</v>
      </c>
      <c r="M334" s="34"/>
      <c r="N334" s="166"/>
      <c r="O334" s="156">
        <f>ROUND(H334*N333,2)</f>
        <v>0</v>
      </c>
      <c r="P334" s="166"/>
      <c r="Q334" s="156">
        <f>ROUND(H334*P333,2)</f>
        <v>0</v>
      </c>
      <c r="R334" s="166"/>
      <c r="S334" s="156">
        <f>ROUND(H334*R333,2)</f>
        <v>0</v>
      </c>
      <c r="T334" s="34"/>
      <c r="U334" s="34"/>
      <c r="V334" s="166"/>
      <c r="W334" s="166"/>
      <c r="X334" s="166"/>
      <c r="Y334" s="156">
        <f>ROUND(H334*X333,2)</f>
        <v>0</v>
      </c>
      <c r="Z334" s="166"/>
      <c r="AA334" s="156">
        <f>ROUND(H334*Z333,2)</f>
        <v>0</v>
      </c>
      <c r="AB334" s="156">
        <f>ROUND(H334*W333,2)</f>
        <v>18900000</v>
      </c>
    </row>
    <row r="335" spans="1:28" x14ac:dyDescent="0.25">
      <c r="A335" s="168">
        <v>58</v>
      </c>
      <c r="B335" s="84" t="s">
        <v>204</v>
      </c>
      <c r="C335" s="34">
        <v>540</v>
      </c>
      <c r="D335" s="144" t="s">
        <v>1164</v>
      </c>
      <c r="E335" s="168" t="s">
        <v>205</v>
      </c>
      <c r="F335" s="34"/>
      <c r="G335" s="169"/>
      <c r="H335" s="60">
        <f>SUM(H336:H336)</f>
        <v>16.2</v>
      </c>
      <c r="I335" s="166">
        <v>75000</v>
      </c>
      <c r="J335" s="166">
        <f>ROUND(H335*I335,0)</f>
        <v>1215000</v>
      </c>
      <c r="K335" s="166">
        <f>'Tổng hợp VL,NC,M'!I349</f>
        <v>75000</v>
      </c>
      <c r="L335" s="166">
        <f>ROUND(H335*K335,0)</f>
        <v>1215000</v>
      </c>
      <c r="M335" s="34">
        <v>1</v>
      </c>
      <c r="N335" s="166"/>
      <c r="O335" s="166">
        <f>ROUND(H335*N335,0)</f>
        <v>0</v>
      </c>
      <c r="P335" s="166"/>
      <c r="Q335" s="166">
        <f>ROUND(H335*P335,0)</f>
        <v>0</v>
      </c>
      <c r="R335" s="166"/>
      <c r="S335" s="166">
        <f>ROUND(H335*R335,0)</f>
        <v>0</v>
      </c>
      <c r="T335" s="34"/>
      <c r="U335" s="34"/>
      <c r="V335" s="166">
        <f>ROUND((K335+N335+P335+R335)*(U335+T335),0)</f>
        <v>0</v>
      </c>
      <c r="W335" s="166">
        <f>K335+N335+P335+R335+V335</f>
        <v>75000</v>
      </c>
      <c r="X335" s="166">
        <f>K335-I335</f>
        <v>0</v>
      </c>
      <c r="Y335" s="166">
        <f>ROUND(H335*X335,0)</f>
        <v>0</v>
      </c>
      <c r="Z335" s="166">
        <f>W335-I335</f>
        <v>0</v>
      </c>
      <c r="AA335" s="166">
        <f>ROUND(H335*Z335,0)</f>
        <v>0</v>
      </c>
      <c r="AB335" s="166">
        <f>ROUND(H335*W335,0)</f>
        <v>1215000</v>
      </c>
    </row>
    <row r="336" spans="1:28" hidden="1" x14ac:dyDescent="0.25">
      <c r="A336" s="168"/>
      <c r="B336" s="133" t="str">
        <f>'Công trình'!B199</f>
        <v>TT</v>
      </c>
      <c r="C336" s="34"/>
      <c r="D336" s="133" t="str">
        <f>'Công trình'!C199</f>
        <v>Lớp phòng nước dày 4mm</v>
      </c>
      <c r="E336" s="168"/>
      <c r="F336" s="20">
        <v>1</v>
      </c>
      <c r="G336" s="169"/>
      <c r="H336" s="45">
        <f>'Hao phí vật tư'!J1536</f>
        <v>16.2</v>
      </c>
      <c r="I336" s="166"/>
      <c r="J336" s="156">
        <f>ROUND(H336*I335,2)</f>
        <v>1215000</v>
      </c>
      <c r="K336" s="166"/>
      <c r="L336" s="156">
        <f>ROUND(H336*K335,2)</f>
        <v>1215000</v>
      </c>
      <c r="M336" s="34"/>
      <c r="N336" s="166"/>
      <c r="O336" s="156">
        <f>ROUND(H336*N335,2)</f>
        <v>0</v>
      </c>
      <c r="P336" s="166"/>
      <c r="Q336" s="156">
        <f>ROUND(H336*P335,2)</f>
        <v>0</v>
      </c>
      <c r="R336" s="166"/>
      <c r="S336" s="156">
        <f>ROUND(H336*R335,2)</f>
        <v>0</v>
      </c>
      <c r="T336" s="34"/>
      <c r="U336" s="34"/>
      <c r="V336" s="166"/>
      <c r="W336" s="166"/>
      <c r="X336" s="166"/>
      <c r="Y336" s="156">
        <f>ROUND(H336*X335,2)</f>
        <v>0</v>
      </c>
      <c r="Z336" s="166"/>
      <c r="AA336" s="156">
        <f>ROUND(H336*Z335,2)</f>
        <v>0</v>
      </c>
      <c r="AB336" s="156">
        <f>ROUND(H336*W335,2)</f>
        <v>1215000</v>
      </c>
    </row>
    <row r="337" spans="1:28" x14ac:dyDescent="0.25">
      <c r="A337" s="168">
        <v>59</v>
      </c>
      <c r="B337" s="84" t="s">
        <v>78</v>
      </c>
      <c r="C337" s="34">
        <v>146</v>
      </c>
      <c r="D337" s="144" t="s">
        <v>245</v>
      </c>
      <c r="E337" s="168" t="s">
        <v>205</v>
      </c>
      <c r="F337" s="34"/>
      <c r="G337" s="169"/>
      <c r="H337" s="60">
        <f>SUM(H338:H340)</f>
        <v>32.54</v>
      </c>
      <c r="I337" s="166">
        <v>200000</v>
      </c>
      <c r="J337" s="166">
        <f>ROUND(H337*I337,0)</f>
        <v>6508000</v>
      </c>
      <c r="K337" s="166">
        <f>'Tổng hợp VL,NC,M'!I351</f>
        <v>200000</v>
      </c>
      <c r="L337" s="166">
        <f>ROUND(H337*K337,0)</f>
        <v>6508000</v>
      </c>
      <c r="M337" s="34">
        <v>1</v>
      </c>
      <c r="N337" s="166"/>
      <c r="O337" s="166">
        <f>ROUND(H337*N337,0)</f>
        <v>0</v>
      </c>
      <c r="P337" s="166"/>
      <c r="Q337" s="166">
        <f>ROUND(H337*P337,0)</f>
        <v>0</v>
      </c>
      <c r="R337" s="166"/>
      <c r="S337" s="166">
        <f>ROUND(H337*R337,0)</f>
        <v>0</v>
      </c>
      <c r="T337" s="34"/>
      <c r="U337" s="34"/>
      <c r="V337" s="166">
        <f>ROUND((K337+N337+P337+R337)*(U337+T337),0)</f>
        <v>0</v>
      </c>
      <c r="W337" s="166">
        <f>K337+N337+P337+R337+V337</f>
        <v>200000</v>
      </c>
      <c r="X337" s="166">
        <f>K337-I337</f>
        <v>0</v>
      </c>
      <c r="Y337" s="166">
        <f>ROUND(H337*X337,0)</f>
        <v>0</v>
      </c>
      <c r="Z337" s="166">
        <f>W337-I337</f>
        <v>0</v>
      </c>
      <c r="AA337" s="166">
        <f>ROUND(H337*Z337,0)</f>
        <v>0</v>
      </c>
      <c r="AB337" s="166">
        <f>ROUND(H337*W337,0)</f>
        <v>6508000</v>
      </c>
    </row>
    <row r="338" spans="1:28" hidden="1" x14ac:dyDescent="0.25">
      <c r="A338" s="168"/>
      <c r="B338" s="133" t="str">
        <f>'Công trình'!B269</f>
        <v>AD.32411</v>
      </c>
      <c r="C338" s="34"/>
      <c r="D338" s="133" t="str">
        <f>'Công trình'!C269</f>
        <v>Biển báo (1.2 x 1.2)m</v>
      </c>
      <c r="E338" s="168"/>
      <c r="F338" s="20">
        <v>1</v>
      </c>
      <c r="G338" s="169"/>
      <c r="H338" s="45">
        <f>'Hao phí vật tư'!J2055</f>
        <v>30.667999999999999</v>
      </c>
      <c r="I338" s="166"/>
      <c r="J338" s="156">
        <f>ROUND(H338*I337,2)</f>
        <v>6133600</v>
      </c>
      <c r="K338" s="166"/>
      <c r="L338" s="156">
        <f>ROUND(H338*K337,2)</f>
        <v>6133600</v>
      </c>
      <c r="M338" s="34"/>
      <c r="N338" s="166"/>
      <c r="O338" s="156">
        <f>ROUND(H338*N337,2)</f>
        <v>0</v>
      </c>
      <c r="P338" s="166"/>
      <c r="Q338" s="156">
        <f>ROUND(H338*P337,2)</f>
        <v>0</v>
      </c>
      <c r="R338" s="166"/>
      <c r="S338" s="156">
        <f>ROUND(H338*R337,2)</f>
        <v>0</v>
      </c>
      <c r="T338" s="34"/>
      <c r="U338" s="34"/>
      <c r="V338" s="166"/>
      <c r="W338" s="166"/>
      <c r="X338" s="166"/>
      <c r="Y338" s="156">
        <f>ROUND(H338*X337,2)</f>
        <v>0</v>
      </c>
      <c r="Z338" s="166"/>
      <c r="AA338" s="156">
        <f>ROUND(H338*Z337,2)</f>
        <v>0</v>
      </c>
      <c r="AB338" s="156">
        <f>ROUND(H338*W337,2)</f>
        <v>6133600</v>
      </c>
    </row>
    <row r="339" spans="1:28" ht="30" hidden="1" x14ac:dyDescent="0.25">
      <c r="A339" s="168"/>
      <c r="B339" s="133" t="str">
        <f>'Công trình'!B290</f>
        <v>AD.32421</v>
      </c>
      <c r="C339" s="34"/>
      <c r="D339" s="133" t="str">
        <f>'Công trình'!C290</f>
        <v>Biển báo bằng tôn hình tròn D70cm, dày 1.2mm, sơn phản quang (Biển 115)</v>
      </c>
      <c r="E339" s="168"/>
      <c r="F339" s="20">
        <v>1</v>
      </c>
      <c r="G339" s="169"/>
      <c r="H339" s="45">
        <f>'Hao phí vật tư'!J2171</f>
        <v>1.1399999999999999</v>
      </c>
      <c r="I339" s="166"/>
      <c r="J339" s="156">
        <f>ROUND(H339*I337,2)</f>
        <v>228000</v>
      </c>
      <c r="K339" s="166"/>
      <c r="L339" s="156">
        <f>ROUND(H339*K337,2)</f>
        <v>228000</v>
      </c>
      <c r="M339" s="34"/>
      <c r="N339" s="166"/>
      <c r="O339" s="156">
        <f>ROUND(H339*N337,2)</f>
        <v>0</v>
      </c>
      <c r="P339" s="166"/>
      <c r="Q339" s="156">
        <f>ROUND(H339*P337,2)</f>
        <v>0</v>
      </c>
      <c r="R339" s="166"/>
      <c r="S339" s="156">
        <f>ROUND(H339*R337,2)</f>
        <v>0</v>
      </c>
      <c r="T339" s="34"/>
      <c r="U339" s="34"/>
      <c r="V339" s="166"/>
      <c r="W339" s="166"/>
      <c r="X339" s="166"/>
      <c r="Y339" s="156">
        <f>ROUND(H339*X337,2)</f>
        <v>0</v>
      </c>
      <c r="Z339" s="166"/>
      <c r="AA339" s="156">
        <f>ROUND(H339*Z337,2)</f>
        <v>0</v>
      </c>
      <c r="AB339" s="156">
        <f>ROUND(H339*W337,2)</f>
        <v>228000</v>
      </c>
    </row>
    <row r="340" spans="1:28" hidden="1" x14ac:dyDescent="0.25">
      <c r="A340" s="168"/>
      <c r="B340" s="133" t="str">
        <f>'Công trình'!B291</f>
        <v>AD.32441</v>
      </c>
      <c r="C340" s="34"/>
      <c r="D340" s="133" t="str">
        <f>'Công trình'!C291</f>
        <v>Biển hình chữ nhật (40x60) (biển 439)</v>
      </c>
      <c r="E340" s="168"/>
      <c r="F340" s="20">
        <v>1</v>
      </c>
      <c r="G340" s="169"/>
      <c r="H340" s="45">
        <f>'Hao phí vật tư'!J2183</f>
        <v>0.73199999999999998</v>
      </c>
      <c r="I340" s="166"/>
      <c r="J340" s="156">
        <f>ROUND(H340*I337,2)</f>
        <v>146400</v>
      </c>
      <c r="K340" s="166"/>
      <c r="L340" s="156">
        <f>ROUND(H340*K337,2)</f>
        <v>146400</v>
      </c>
      <c r="M340" s="34"/>
      <c r="N340" s="166"/>
      <c r="O340" s="156">
        <f>ROUND(H340*N337,2)</f>
        <v>0</v>
      </c>
      <c r="P340" s="166"/>
      <c r="Q340" s="156">
        <f>ROUND(H340*P337,2)</f>
        <v>0</v>
      </c>
      <c r="R340" s="166"/>
      <c r="S340" s="156">
        <f>ROUND(H340*R337,2)</f>
        <v>0</v>
      </c>
      <c r="T340" s="34"/>
      <c r="U340" s="34"/>
      <c r="V340" s="166"/>
      <c r="W340" s="166"/>
      <c r="X340" s="166"/>
      <c r="Y340" s="156">
        <f>ROUND(H340*X337,2)</f>
        <v>0</v>
      </c>
      <c r="Z340" s="166"/>
      <c r="AA340" s="156">
        <f>ROUND(H340*Z337,2)</f>
        <v>0</v>
      </c>
      <c r="AB340" s="156">
        <f>ROUND(H340*W337,2)</f>
        <v>146400</v>
      </c>
    </row>
    <row r="341" spans="1:28" x14ac:dyDescent="0.25">
      <c r="A341" s="168">
        <v>60</v>
      </c>
      <c r="B341" s="84" t="s">
        <v>790</v>
      </c>
      <c r="C341" s="34">
        <v>479</v>
      </c>
      <c r="D341" s="144" t="s">
        <v>766</v>
      </c>
      <c r="E341" s="168" t="s">
        <v>1123</v>
      </c>
      <c r="F341" s="34"/>
      <c r="G341" s="169"/>
      <c r="H341" s="60">
        <f>SUM(H342:H342)</f>
        <v>3.6</v>
      </c>
      <c r="I341" s="166">
        <v>96250</v>
      </c>
      <c r="J341" s="166">
        <f>ROUND(H341*I341,0)</f>
        <v>346500</v>
      </c>
      <c r="K341" s="166">
        <f>'Tổng hợp VL,NC,M'!I355</f>
        <v>96250</v>
      </c>
      <c r="L341" s="166">
        <f>ROUND(H341*K341,0)</f>
        <v>346500</v>
      </c>
      <c r="M341" s="34">
        <v>1</v>
      </c>
      <c r="N341" s="166"/>
      <c r="O341" s="166">
        <f>ROUND(H341*N341,0)</f>
        <v>0</v>
      </c>
      <c r="P341" s="166"/>
      <c r="Q341" s="166">
        <f>ROUND(H341*P341,0)</f>
        <v>0</v>
      </c>
      <c r="R341" s="166"/>
      <c r="S341" s="166">
        <f>ROUND(H341*R341,0)</f>
        <v>0</v>
      </c>
      <c r="T341" s="34"/>
      <c r="U341" s="34"/>
      <c r="V341" s="166">
        <f>ROUND((K341+N341+P341+R341)*(U341+T341),0)</f>
        <v>0</v>
      </c>
      <c r="W341" s="166">
        <f>K341+N341+P341+R341+V341</f>
        <v>96250</v>
      </c>
      <c r="X341" s="166">
        <f>K341-I341</f>
        <v>0</v>
      </c>
      <c r="Y341" s="166">
        <f>ROUND(H341*X341,0)</f>
        <v>0</v>
      </c>
      <c r="Z341" s="166">
        <f>W341-I341</f>
        <v>0</v>
      </c>
      <c r="AA341" s="166">
        <f>ROUND(H341*Z341,0)</f>
        <v>0</v>
      </c>
      <c r="AB341" s="166">
        <f>ROUND(H341*W341,0)</f>
        <v>346500</v>
      </c>
    </row>
    <row r="342" spans="1:28" ht="30" hidden="1" x14ac:dyDescent="0.25">
      <c r="A342" s="168"/>
      <c r="B342" s="133" t="str">
        <f>'Công trình'!B259</f>
        <v>BB.14309</v>
      </c>
      <c r="C342" s="34"/>
      <c r="D342" s="133" t="str">
        <f>'Công trình'!C259</f>
        <v>Lắp đặt ống thép tráng kẽm, đoạn ống dài 8m, đk=110mm</v>
      </c>
      <c r="E342" s="168"/>
      <c r="F342" s="20">
        <v>1</v>
      </c>
      <c r="G342" s="169"/>
      <c r="H342" s="45">
        <f>'Hao phí vật tư'!J1979</f>
        <v>3.6</v>
      </c>
      <c r="I342" s="166"/>
      <c r="J342" s="156">
        <f>ROUND(H342*I341,2)</f>
        <v>346500</v>
      </c>
      <c r="K342" s="166"/>
      <c r="L342" s="156">
        <f>ROUND(H342*K341,2)</f>
        <v>346500</v>
      </c>
      <c r="M342" s="34"/>
      <c r="N342" s="166"/>
      <c r="O342" s="156">
        <f>ROUND(H342*N341,2)</f>
        <v>0</v>
      </c>
      <c r="P342" s="166"/>
      <c r="Q342" s="156">
        <f>ROUND(H342*P341,2)</f>
        <v>0</v>
      </c>
      <c r="R342" s="166"/>
      <c r="S342" s="156">
        <f>ROUND(H342*R341,2)</f>
        <v>0</v>
      </c>
      <c r="T342" s="34"/>
      <c r="U342" s="34"/>
      <c r="V342" s="166"/>
      <c r="W342" s="166"/>
      <c r="X342" s="166"/>
      <c r="Y342" s="156">
        <f>ROUND(H342*X341,2)</f>
        <v>0</v>
      </c>
      <c r="Z342" s="166"/>
      <c r="AA342" s="156">
        <f>ROUND(H342*Z341,2)</f>
        <v>0</v>
      </c>
      <c r="AB342" s="156">
        <f>ROUND(H342*W341,2)</f>
        <v>346500</v>
      </c>
    </row>
    <row r="343" spans="1:28" x14ac:dyDescent="0.25">
      <c r="A343" s="168">
        <v>61</v>
      </c>
      <c r="B343" s="84" t="s">
        <v>1105</v>
      </c>
      <c r="C343" s="34">
        <v>481</v>
      </c>
      <c r="D343" s="144" t="s">
        <v>380</v>
      </c>
      <c r="E343" s="168" t="s">
        <v>1123</v>
      </c>
      <c r="F343" s="34"/>
      <c r="G343" s="169"/>
      <c r="H343" s="60">
        <f>SUM(H344:H344)</f>
        <v>0.84</v>
      </c>
      <c r="I343" s="166">
        <v>45100</v>
      </c>
      <c r="J343" s="166">
        <f>ROUND(H343*I343,0)</f>
        <v>37884</v>
      </c>
      <c r="K343" s="166">
        <f>'Tổng hợp VL,NC,M'!I357</f>
        <v>45100</v>
      </c>
      <c r="L343" s="166">
        <f>ROUND(H343*K343,0)</f>
        <v>37884</v>
      </c>
      <c r="M343" s="34">
        <v>1</v>
      </c>
      <c r="N343" s="166"/>
      <c r="O343" s="166">
        <f>ROUND(H343*N343,0)</f>
        <v>0</v>
      </c>
      <c r="P343" s="166"/>
      <c r="Q343" s="166">
        <f>ROUND(H343*P343,0)</f>
        <v>0</v>
      </c>
      <c r="R343" s="166"/>
      <c r="S343" s="166">
        <f>ROUND(H343*R343,0)</f>
        <v>0</v>
      </c>
      <c r="T343" s="34"/>
      <c r="U343" s="34"/>
      <c r="V343" s="166">
        <f>ROUND((K343+N343+P343+R343)*(U343+T343),0)</f>
        <v>0</v>
      </c>
      <c r="W343" s="166">
        <f>K343+N343+P343+R343+V343</f>
        <v>45100</v>
      </c>
      <c r="X343" s="166">
        <f>K343-I343</f>
        <v>0</v>
      </c>
      <c r="Y343" s="166">
        <f>ROUND(H343*X343,0)</f>
        <v>0</v>
      </c>
      <c r="Z343" s="166">
        <f>W343-I343</f>
        <v>0</v>
      </c>
      <c r="AA343" s="166">
        <f>ROUND(H343*Z343,0)</f>
        <v>0</v>
      </c>
      <c r="AB343" s="166">
        <f>ROUND(H343*W343,0)</f>
        <v>37884</v>
      </c>
    </row>
    <row r="344" spans="1:28" hidden="1" x14ac:dyDescent="0.25">
      <c r="A344" s="168"/>
      <c r="B344" s="133" t="str">
        <f>'Công trình'!B289</f>
        <v>BB.14306</v>
      </c>
      <c r="C344" s="34"/>
      <c r="D344" s="133" t="str">
        <f>'Công trình'!C289</f>
        <v>Ống thép D80mm, dày 2.9mm, mạ kẽm</v>
      </c>
      <c r="E344" s="168"/>
      <c r="F344" s="20">
        <v>1</v>
      </c>
      <c r="G344" s="169"/>
      <c r="H344" s="45">
        <f>'Hao phí vật tư'!J2162</f>
        <v>0.84</v>
      </c>
      <c r="I344" s="166"/>
      <c r="J344" s="156">
        <f>ROUND(H344*I343,2)</f>
        <v>37884</v>
      </c>
      <c r="K344" s="166"/>
      <c r="L344" s="156">
        <f>ROUND(H344*K343,2)</f>
        <v>37884</v>
      </c>
      <c r="M344" s="34"/>
      <c r="N344" s="166"/>
      <c r="O344" s="156">
        <f>ROUND(H344*N343,2)</f>
        <v>0</v>
      </c>
      <c r="P344" s="166"/>
      <c r="Q344" s="156">
        <f>ROUND(H344*P343,2)</f>
        <v>0</v>
      </c>
      <c r="R344" s="166"/>
      <c r="S344" s="156">
        <f>ROUND(H344*R343,2)</f>
        <v>0</v>
      </c>
      <c r="T344" s="34"/>
      <c r="U344" s="34"/>
      <c r="V344" s="166"/>
      <c r="W344" s="166"/>
      <c r="X344" s="166"/>
      <c r="Y344" s="156">
        <f>ROUND(H344*X343,2)</f>
        <v>0</v>
      </c>
      <c r="Z344" s="166"/>
      <c r="AA344" s="156">
        <f>ROUND(H344*Z343,2)</f>
        <v>0</v>
      </c>
      <c r="AB344" s="156">
        <f>ROUND(H344*W343,2)</f>
        <v>37884</v>
      </c>
    </row>
    <row r="345" spans="1:28" x14ac:dyDescent="0.25">
      <c r="A345" s="168">
        <v>62</v>
      </c>
      <c r="B345" s="84" t="s">
        <v>70</v>
      </c>
      <c r="C345" s="34">
        <v>519</v>
      </c>
      <c r="D345" s="144" t="s">
        <v>519</v>
      </c>
      <c r="E345" s="168" t="s">
        <v>75</v>
      </c>
      <c r="F345" s="34"/>
      <c r="G345" s="169"/>
      <c r="H345" s="60">
        <f>SUM(H346:H346)</f>
        <v>16</v>
      </c>
      <c r="I345" s="166">
        <v>50000</v>
      </c>
      <c r="J345" s="166">
        <f>ROUND(H345*I345,0)</f>
        <v>800000</v>
      </c>
      <c r="K345" s="166">
        <f>'Tổng hợp VL,NC,M'!I359</f>
        <v>50000</v>
      </c>
      <c r="L345" s="166">
        <f>ROUND(H345*K345,0)</f>
        <v>800000</v>
      </c>
      <c r="M345" s="34">
        <v>1</v>
      </c>
      <c r="N345" s="166"/>
      <c r="O345" s="166">
        <f>ROUND(H345*N345,0)</f>
        <v>0</v>
      </c>
      <c r="P345" s="166"/>
      <c r="Q345" s="166">
        <f>ROUND(H345*P345,0)</f>
        <v>0</v>
      </c>
      <c r="R345" s="166"/>
      <c r="S345" s="166">
        <f>ROUND(H345*R345,0)</f>
        <v>0</v>
      </c>
      <c r="T345" s="34"/>
      <c r="U345" s="34"/>
      <c r="V345" s="166">
        <f>ROUND((K345+N345+P345+R345)*(U345+T345),0)</f>
        <v>0</v>
      </c>
      <c r="W345" s="166">
        <f>K345+N345+P345+R345+V345</f>
        <v>50000</v>
      </c>
      <c r="X345" s="166">
        <f>K345-I345</f>
        <v>0</v>
      </c>
      <c r="Y345" s="166">
        <f>ROUND(H345*X345,0)</f>
        <v>0</v>
      </c>
      <c r="Z345" s="166">
        <f>W345-I345</f>
        <v>0</v>
      </c>
      <c r="AA345" s="166">
        <f>ROUND(H345*Z345,0)</f>
        <v>0</v>
      </c>
      <c r="AB345" s="166">
        <f>ROUND(H345*W345,0)</f>
        <v>800000</v>
      </c>
    </row>
    <row r="346" spans="1:28" ht="30" hidden="1" x14ac:dyDescent="0.25">
      <c r="A346" s="168"/>
      <c r="B346" s="133" t="str">
        <f>'Công trình'!B273</f>
        <v>TH.01.05.20</v>
      </c>
      <c r="C346" s="34"/>
      <c r="D346" s="133" t="str">
        <f>'Công trình'!C273</f>
        <v>Đèn tín hiệu thông thuyền</v>
      </c>
      <c r="E346" s="168"/>
      <c r="F346" s="20">
        <v>1</v>
      </c>
      <c r="G346" s="169"/>
      <c r="H346" s="45">
        <f>'Hao phí vật tư'!J2079</f>
        <v>16</v>
      </c>
      <c r="I346" s="166"/>
      <c r="J346" s="156">
        <f>ROUND(H346*I345,2)</f>
        <v>800000</v>
      </c>
      <c r="K346" s="166"/>
      <c r="L346" s="156">
        <f>ROUND(H346*K345,2)</f>
        <v>800000</v>
      </c>
      <c r="M346" s="34"/>
      <c r="N346" s="166"/>
      <c r="O346" s="156">
        <f>ROUND(H346*N345,2)</f>
        <v>0</v>
      </c>
      <c r="P346" s="166"/>
      <c r="Q346" s="156">
        <f>ROUND(H346*P345,2)</f>
        <v>0</v>
      </c>
      <c r="R346" s="166"/>
      <c r="S346" s="156">
        <f>ROUND(H346*R345,2)</f>
        <v>0</v>
      </c>
      <c r="T346" s="34"/>
      <c r="U346" s="34"/>
      <c r="V346" s="166"/>
      <c r="W346" s="166"/>
      <c r="X346" s="166"/>
      <c r="Y346" s="156">
        <f>ROUND(H346*X345,2)</f>
        <v>0</v>
      </c>
      <c r="Z346" s="166"/>
      <c r="AA346" s="156">
        <f>ROUND(H346*Z345,2)</f>
        <v>0</v>
      </c>
      <c r="AB346" s="156">
        <f>ROUND(H346*W345,2)</f>
        <v>800000</v>
      </c>
    </row>
    <row r="347" spans="1:28" x14ac:dyDescent="0.25">
      <c r="A347" s="168">
        <v>63</v>
      </c>
      <c r="B347" s="84" t="s">
        <v>446</v>
      </c>
      <c r="C347" s="34">
        <v>536</v>
      </c>
      <c r="D347" s="144" t="s">
        <v>69</v>
      </c>
      <c r="E347" s="168" t="s">
        <v>555</v>
      </c>
      <c r="F347" s="34"/>
      <c r="G347" s="169"/>
      <c r="H347" s="60">
        <f>SUM(H348:H348)</f>
        <v>11.75</v>
      </c>
      <c r="I347" s="166">
        <v>222600</v>
      </c>
      <c r="J347" s="166">
        <f>ROUND(H347*I347,0)</f>
        <v>2615550</v>
      </c>
      <c r="K347" s="166">
        <f>'Tổng hợp VL,NC,M'!I363</f>
        <v>222600</v>
      </c>
      <c r="L347" s="166">
        <f>ROUND(H347*K347,0)</f>
        <v>2615550</v>
      </c>
      <c r="M347" s="34">
        <v>1</v>
      </c>
      <c r="N347" s="166"/>
      <c r="O347" s="166">
        <f>ROUND(H347*N347,0)</f>
        <v>0</v>
      </c>
      <c r="P347" s="166"/>
      <c r="Q347" s="166">
        <f>ROUND(H347*P347,0)</f>
        <v>0</v>
      </c>
      <c r="R347" s="166"/>
      <c r="S347" s="166">
        <f>ROUND(H347*R347,0)</f>
        <v>0</v>
      </c>
      <c r="T347" s="34"/>
      <c r="U347" s="34"/>
      <c r="V347" s="166">
        <f>ROUND((K347+N347+P347+R347)*(U347+T347),0)</f>
        <v>0</v>
      </c>
      <c r="W347" s="166">
        <f>K347+N347+P347+R347+V347</f>
        <v>222600</v>
      </c>
      <c r="X347" s="166">
        <f>K347-I347</f>
        <v>0</v>
      </c>
      <c r="Y347" s="166">
        <f>ROUND(H347*X347,0)</f>
        <v>0</v>
      </c>
      <c r="Z347" s="166">
        <f>W347-I347</f>
        <v>0</v>
      </c>
      <c r="AA347" s="166">
        <f>ROUND(H347*Z347,0)</f>
        <v>0</v>
      </c>
      <c r="AB347" s="166">
        <f>ROUND(H347*W347,0)</f>
        <v>2615550</v>
      </c>
    </row>
    <row r="348" spans="1:28" hidden="1" x14ac:dyDescent="0.25">
      <c r="A348" s="168"/>
      <c r="B348" s="133" t="str">
        <f>'Công trình'!B41</f>
        <v>TT</v>
      </c>
      <c r="C348" s="34"/>
      <c r="D348" s="133" t="str">
        <f>'Công trình'!C41</f>
        <v xml:space="preserve">Mốc đồng </v>
      </c>
      <c r="E348" s="168"/>
      <c r="F348" s="20">
        <v>1</v>
      </c>
      <c r="G348" s="169"/>
      <c r="H348" s="45">
        <f>'Hao phí vật tư'!J310</f>
        <v>11.75</v>
      </c>
      <c r="I348" s="166"/>
      <c r="J348" s="156">
        <f>ROUND(H348*I347,2)</f>
        <v>2615550</v>
      </c>
      <c r="K348" s="166"/>
      <c r="L348" s="156">
        <f>ROUND(H348*K347,2)</f>
        <v>2615550</v>
      </c>
      <c r="M348" s="34"/>
      <c r="N348" s="166"/>
      <c r="O348" s="156">
        <f>ROUND(H348*N347,2)</f>
        <v>0</v>
      </c>
      <c r="P348" s="166"/>
      <c r="Q348" s="156">
        <f>ROUND(H348*P347,2)</f>
        <v>0</v>
      </c>
      <c r="R348" s="166"/>
      <c r="S348" s="156">
        <f>ROUND(H348*R347,2)</f>
        <v>0</v>
      </c>
      <c r="T348" s="34"/>
      <c r="U348" s="34"/>
      <c r="V348" s="166"/>
      <c r="W348" s="166"/>
      <c r="X348" s="166"/>
      <c r="Y348" s="156">
        <f>ROUND(H348*X347,2)</f>
        <v>0</v>
      </c>
      <c r="Z348" s="166"/>
      <c r="AA348" s="156">
        <f>ROUND(H348*Z347,2)</f>
        <v>0</v>
      </c>
      <c r="AB348" s="156">
        <f>ROUND(H348*W347,2)</f>
        <v>2615550</v>
      </c>
    </row>
    <row r="349" spans="1:28" x14ac:dyDescent="0.25">
      <c r="A349" s="168">
        <v>64</v>
      </c>
      <c r="B349" s="84" t="s">
        <v>1110</v>
      </c>
      <c r="C349" s="34">
        <v>147</v>
      </c>
      <c r="D349" s="144" t="s">
        <v>704</v>
      </c>
      <c r="E349" s="168" t="s">
        <v>414</v>
      </c>
      <c r="F349" s="34"/>
      <c r="G349" s="169"/>
      <c r="H349" s="60">
        <f>SUM(H350:H352)</f>
        <v>2.7280000000000002</v>
      </c>
      <c r="I349" s="166">
        <v>100000</v>
      </c>
      <c r="J349" s="166">
        <f>ROUND(H349*I349,0)</f>
        <v>272800</v>
      </c>
      <c r="K349" s="166">
        <f>'Tổng hợp VL,NC,M'!I365</f>
        <v>100000</v>
      </c>
      <c r="L349" s="166">
        <f>ROUND(H349*K349,0)</f>
        <v>272800</v>
      </c>
      <c r="M349" s="34">
        <v>1</v>
      </c>
      <c r="N349" s="166"/>
      <c r="O349" s="166">
        <f>ROUND(H349*N349,0)</f>
        <v>0</v>
      </c>
      <c r="P349" s="166"/>
      <c r="Q349" s="166">
        <f>ROUND(H349*P349,0)</f>
        <v>0</v>
      </c>
      <c r="R349" s="166"/>
      <c r="S349" s="166">
        <f>ROUND(H349*R349,0)</f>
        <v>0</v>
      </c>
      <c r="T349" s="34"/>
      <c r="U349" s="34"/>
      <c r="V349" s="166">
        <f>ROUND((K349+N349+P349+R349)*(U349+T349),0)</f>
        <v>0</v>
      </c>
      <c r="W349" s="166">
        <f>K349+N349+P349+R349+V349</f>
        <v>100000</v>
      </c>
      <c r="X349" s="166">
        <f>K349-I349</f>
        <v>0</v>
      </c>
      <c r="Y349" s="166">
        <f>ROUND(H349*X349,0)</f>
        <v>0</v>
      </c>
      <c r="Z349" s="166">
        <f>W349-I349</f>
        <v>0</v>
      </c>
      <c r="AA349" s="166">
        <f>ROUND(H349*Z349,0)</f>
        <v>0</v>
      </c>
      <c r="AB349" s="166">
        <f>ROUND(H349*W349,0)</f>
        <v>272800</v>
      </c>
    </row>
    <row r="350" spans="1:28" hidden="1" x14ac:dyDescent="0.25">
      <c r="A350" s="168"/>
      <c r="B350" s="133" t="str">
        <f>'Công trình'!B269</f>
        <v>AD.32411</v>
      </c>
      <c r="C350" s="34"/>
      <c r="D350" s="133" t="str">
        <f>'Công trình'!C269</f>
        <v>Biển báo (1.2 x 1.2)m</v>
      </c>
      <c r="E350" s="168"/>
      <c r="F350" s="20">
        <v>1</v>
      </c>
      <c r="G350" s="169"/>
      <c r="H350" s="45">
        <f>'Hao phí vật tư'!J2056</f>
        <v>2.5840000000000001</v>
      </c>
      <c r="I350" s="166"/>
      <c r="J350" s="156">
        <f>ROUND(H350*I349,2)</f>
        <v>258400</v>
      </c>
      <c r="K350" s="166"/>
      <c r="L350" s="156">
        <f>ROUND(H350*K349,2)</f>
        <v>258400</v>
      </c>
      <c r="M350" s="34"/>
      <c r="N350" s="166"/>
      <c r="O350" s="156">
        <f>ROUND(H350*N349,2)</f>
        <v>0</v>
      </c>
      <c r="P350" s="166"/>
      <c r="Q350" s="156">
        <f>ROUND(H350*P349,2)</f>
        <v>0</v>
      </c>
      <c r="R350" s="166"/>
      <c r="S350" s="156">
        <f>ROUND(H350*R349,2)</f>
        <v>0</v>
      </c>
      <c r="T350" s="34"/>
      <c r="U350" s="34"/>
      <c r="V350" s="166"/>
      <c r="W350" s="166"/>
      <c r="X350" s="166"/>
      <c r="Y350" s="156">
        <f>ROUND(H350*X349,2)</f>
        <v>0</v>
      </c>
      <c r="Z350" s="166"/>
      <c r="AA350" s="156">
        <f>ROUND(H350*Z349,2)</f>
        <v>0</v>
      </c>
      <c r="AB350" s="156">
        <f>ROUND(H350*W349,2)</f>
        <v>258400</v>
      </c>
    </row>
    <row r="351" spans="1:28" ht="30" hidden="1" x14ac:dyDescent="0.25">
      <c r="A351" s="168"/>
      <c r="B351" s="133" t="str">
        <f>'Công trình'!B290</f>
        <v>AD.32421</v>
      </c>
      <c r="C351" s="34"/>
      <c r="D351" s="133" t="str">
        <f>'Công trình'!C290</f>
        <v>Biển báo bằng tôn hình tròn D70cm, dày 1.2mm, sơn phản quang (Biển 115)</v>
      </c>
      <c r="E351" s="168"/>
      <c r="F351" s="20">
        <v>1</v>
      </c>
      <c r="G351" s="169"/>
      <c r="H351" s="45">
        <f>'Hao phí vật tư'!J2172</f>
        <v>0.08</v>
      </c>
      <c r="I351" s="166"/>
      <c r="J351" s="156">
        <f>ROUND(H351*I349,2)</f>
        <v>8000</v>
      </c>
      <c r="K351" s="166"/>
      <c r="L351" s="156">
        <f>ROUND(H351*K349,2)</f>
        <v>8000</v>
      </c>
      <c r="M351" s="34"/>
      <c r="N351" s="166"/>
      <c r="O351" s="156">
        <f>ROUND(H351*N349,2)</f>
        <v>0</v>
      </c>
      <c r="P351" s="166"/>
      <c r="Q351" s="156">
        <f>ROUND(H351*P349,2)</f>
        <v>0</v>
      </c>
      <c r="R351" s="166"/>
      <c r="S351" s="156">
        <f>ROUND(H351*R349,2)</f>
        <v>0</v>
      </c>
      <c r="T351" s="34"/>
      <c r="U351" s="34"/>
      <c r="V351" s="166"/>
      <c r="W351" s="166"/>
      <c r="X351" s="166"/>
      <c r="Y351" s="156">
        <f>ROUND(H351*X349,2)</f>
        <v>0</v>
      </c>
      <c r="Z351" s="166"/>
      <c r="AA351" s="156">
        <f>ROUND(H351*Z349,2)</f>
        <v>0</v>
      </c>
      <c r="AB351" s="156">
        <f>ROUND(H351*W349,2)</f>
        <v>8000</v>
      </c>
    </row>
    <row r="352" spans="1:28" hidden="1" x14ac:dyDescent="0.25">
      <c r="A352" s="168"/>
      <c r="B352" s="133" t="str">
        <f>'Công trình'!B291</f>
        <v>AD.32441</v>
      </c>
      <c r="C352" s="34"/>
      <c r="D352" s="133" t="str">
        <f>'Công trình'!C291</f>
        <v>Biển hình chữ nhật (40x60) (biển 439)</v>
      </c>
      <c r="E352" s="168"/>
      <c r="F352" s="20">
        <v>1</v>
      </c>
      <c r="G352" s="169"/>
      <c r="H352" s="45">
        <f>'Hao phí vật tư'!J2184</f>
        <v>6.4000000000000001E-2</v>
      </c>
      <c r="I352" s="166"/>
      <c r="J352" s="156">
        <f>ROUND(H352*I349,2)</f>
        <v>6400</v>
      </c>
      <c r="K352" s="166"/>
      <c r="L352" s="156">
        <f>ROUND(H352*K349,2)</f>
        <v>6400</v>
      </c>
      <c r="M352" s="34"/>
      <c r="N352" s="166"/>
      <c r="O352" s="156">
        <f>ROUND(H352*N349,2)</f>
        <v>0</v>
      </c>
      <c r="P352" s="166"/>
      <c r="Q352" s="156">
        <f>ROUND(H352*P349,2)</f>
        <v>0</v>
      </c>
      <c r="R352" s="166"/>
      <c r="S352" s="156">
        <f>ROUND(H352*R349,2)</f>
        <v>0</v>
      </c>
      <c r="T352" s="34"/>
      <c r="U352" s="34"/>
      <c r="V352" s="166"/>
      <c r="W352" s="166"/>
      <c r="X352" s="166"/>
      <c r="Y352" s="156">
        <f>ROUND(H352*X349,2)</f>
        <v>0</v>
      </c>
      <c r="Z352" s="166"/>
      <c r="AA352" s="156">
        <f>ROUND(H352*Z349,2)</f>
        <v>0</v>
      </c>
      <c r="AB352" s="156">
        <f>ROUND(H352*W349,2)</f>
        <v>6400</v>
      </c>
    </row>
    <row r="353" spans="1:28" x14ac:dyDescent="0.25">
      <c r="A353" s="168">
        <v>65</v>
      </c>
      <c r="B353" s="84" t="s">
        <v>325</v>
      </c>
      <c r="C353" s="34">
        <v>148</v>
      </c>
      <c r="D353" s="144" t="s">
        <v>434</v>
      </c>
      <c r="E353" s="168" t="s">
        <v>414</v>
      </c>
      <c r="F353" s="34"/>
      <c r="G353" s="169"/>
      <c r="H353" s="60">
        <f>SUM(H354:H400)</f>
        <v>327655.61619999999</v>
      </c>
      <c r="I353" s="166">
        <v>10</v>
      </c>
      <c r="J353" s="166">
        <f>ROUND(H353*I353,0)</f>
        <v>3276556</v>
      </c>
      <c r="K353" s="166">
        <f>'Tổng hợp VL,NC,M'!I369</f>
        <v>10</v>
      </c>
      <c r="L353" s="166">
        <f>ROUND(H353*K353,0)</f>
        <v>3276556</v>
      </c>
      <c r="M353" s="34">
        <v>1</v>
      </c>
      <c r="N353" s="166"/>
      <c r="O353" s="166">
        <f>ROUND(H353*N353,0)</f>
        <v>0</v>
      </c>
      <c r="P353" s="166"/>
      <c r="Q353" s="166">
        <f>ROUND(H353*P353,0)</f>
        <v>0</v>
      </c>
      <c r="R353" s="166"/>
      <c r="S353" s="166">
        <f>ROUND(H353*R353,0)</f>
        <v>0</v>
      </c>
      <c r="T353" s="34"/>
      <c r="U353" s="34"/>
      <c r="V353" s="166">
        <f>ROUND((K353+N353+P353+R353)*(U353+T353),0)</f>
        <v>0</v>
      </c>
      <c r="W353" s="166">
        <f>K353+N353+P353+R353+V353</f>
        <v>10</v>
      </c>
      <c r="X353" s="166">
        <f>K353-I353</f>
        <v>0</v>
      </c>
      <c r="Y353" s="166">
        <f>ROUND(H353*X353,0)</f>
        <v>0</v>
      </c>
      <c r="Z353" s="166">
        <f>W353-I353</f>
        <v>0</v>
      </c>
      <c r="AA353" s="166">
        <f>ROUND(H353*Z353,0)</f>
        <v>0</v>
      </c>
      <c r="AB353" s="166">
        <f>ROUND(H353*W353,0)</f>
        <v>3276556</v>
      </c>
    </row>
    <row r="354" spans="1:28" ht="30" hidden="1" x14ac:dyDescent="0.25">
      <c r="A354" s="168"/>
      <c r="B354" s="133" t="str">
        <f>'Công trình'!B18</f>
        <v>AF.12314</v>
      </c>
      <c r="C354" s="34"/>
      <c r="D354" s="133" t="str">
        <f>'Công trình'!C18</f>
        <v>Bê tông xà dầm, giằng nhà đá 1x2, vữa BT mác 250</v>
      </c>
      <c r="E354" s="168"/>
      <c r="F354" s="20">
        <v>1</v>
      </c>
      <c r="G354" s="169"/>
      <c r="H354" s="45">
        <f>'Hao phí vật tư'!J126</f>
        <v>12289.596299999999</v>
      </c>
      <c r="I354" s="166"/>
      <c r="J354" s="156">
        <f>ROUND(H354*I353,2)</f>
        <v>122895.96</v>
      </c>
      <c r="K354" s="166"/>
      <c r="L354" s="156">
        <f>ROUND(H354*K353,2)</f>
        <v>122895.96</v>
      </c>
      <c r="M354" s="34"/>
      <c r="N354" s="166"/>
      <c r="O354" s="156">
        <f>ROUND(H354*N353,2)</f>
        <v>0</v>
      </c>
      <c r="P354" s="166"/>
      <c r="Q354" s="156">
        <f>ROUND(H354*P353,2)</f>
        <v>0</v>
      </c>
      <c r="R354" s="166"/>
      <c r="S354" s="156">
        <f>ROUND(H354*R353,2)</f>
        <v>0</v>
      </c>
      <c r="T354" s="34"/>
      <c r="U354" s="34"/>
      <c r="V354" s="166"/>
      <c r="W354" s="166"/>
      <c r="X354" s="166"/>
      <c r="Y354" s="156">
        <f>ROUND(H354*X353,2)</f>
        <v>0</v>
      </c>
      <c r="Z354" s="166"/>
      <c r="AA354" s="156">
        <f>ROUND(H354*Z353,2)</f>
        <v>0</v>
      </c>
      <c r="AB354" s="156">
        <f>ROUND(H354*W353,2)</f>
        <v>122895.96</v>
      </c>
    </row>
    <row r="355" spans="1:28" ht="30" hidden="1" x14ac:dyDescent="0.25">
      <c r="A355" s="168"/>
      <c r="B355" s="133" t="str">
        <f>'Công trình'!B30</f>
        <v>AF.12113</v>
      </c>
      <c r="C355" s="34"/>
      <c r="D355" s="133" t="str">
        <f>'Công trình'!C30</f>
        <v>Bê tông tường dày &lt;=45cm, chiều cao &lt;=4m đá 1x2, vữa BT mác 200</v>
      </c>
      <c r="E355" s="168"/>
      <c r="F355" s="20">
        <v>1</v>
      </c>
      <c r="G355" s="169"/>
      <c r="H355" s="45">
        <f>'Hao phí vật tư'!J206</f>
        <v>4964.3824999999997</v>
      </c>
      <c r="I355" s="166"/>
      <c r="J355" s="156">
        <f>ROUND(H355*I353,2)</f>
        <v>49643.83</v>
      </c>
      <c r="K355" s="166"/>
      <c r="L355" s="156">
        <f>ROUND(H355*K353,2)</f>
        <v>49643.83</v>
      </c>
      <c r="M355" s="34"/>
      <c r="N355" s="166"/>
      <c r="O355" s="156">
        <f>ROUND(H355*N353,2)</f>
        <v>0</v>
      </c>
      <c r="P355" s="166"/>
      <c r="Q355" s="156">
        <f>ROUND(H355*P353,2)</f>
        <v>0</v>
      </c>
      <c r="R355" s="166"/>
      <c r="S355" s="156">
        <f>ROUND(H355*R353,2)</f>
        <v>0</v>
      </c>
      <c r="T355" s="34"/>
      <c r="U355" s="34"/>
      <c r="V355" s="166"/>
      <c r="W355" s="166"/>
      <c r="X355" s="166"/>
      <c r="Y355" s="156">
        <f>ROUND(H355*X353,2)</f>
        <v>0</v>
      </c>
      <c r="Z355" s="166"/>
      <c r="AA355" s="156">
        <f>ROUND(H355*Z353,2)</f>
        <v>0</v>
      </c>
      <c r="AB355" s="156">
        <f>ROUND(H355*W353,2)</f>
        <v>49643.83</v>
      </c>
    </row>
    <row r="356" spans="1:28" ht="30" hidden="1" x14ac:dyDescent="0.25">
      <c r="A356" s="168"/>
      <c r="B356" s="133" t="str">
        <f>'Công trình'!B43</f>
        <v>AF.11212</v>
      </c>
      <c r="C356" s="34"/>
      <c r="D356" s="133" t="str">
        <f>'Công trình'!C43</f>
        <v>Bê tông móng rộng &lt;=250cm đá 1x2, vữa BT mác 150</v>
      </c>
      <c r="E356" s="168"/>
      <c r="F356" s="20">
        <v>1</v>
      </c>
      <c r="G356" s="169"/>
      <c r="H356" s="45">
        <f>'Hao phí vật tư'!J324</f>
        <v>11.3775</v>
      </c>
      <c r="I356" s="166"/>
      <c r="J356" s="156">
        <f>ROUND(H356*I353,2)</f>
        <v>113.78</v>
      </c>
      <c r="K356" s="166"/>
      <c r="L356" s="156">
        <f>ROUND(H356*K353,2)</f>
        <v>113.78</v>
      </c>
      <c r="M356" s="34"/>
      <c r="N356" s="166"/>
      <c r="O356" s="156">
        <f>ROUND(H356*N353,2)</f>
        <v>0</v>
      </c>
      <c r="P356" s="166"/>
      <c r="Q356" s="156">
        <f>ROUND(H356*P353,2)</f>
        <v>0</v>
      </c>
      <c r="R356" s="166"/>
      <c r="S356" s="156">
        <f>ROUND(H356*R353,2)</f>
        <v>0</v>
      </c>
      <c r="T356" s="34"/>
      <c r="U356" s="34"/>
      <c r="V356" s="166"/>
      <c r="W356" s="166"/>
      <c r="X356" s="166"/>
      <c r="Y356" s="156">
        <f>ROUND(H356*X353,2)</f>
        <v>0</v>
      </c>
      <c r="Z356" s="166"/>
      <c r="AA356" s="156">
        <f>ROUND(H356*Z353,2)</f>
        <v>0</v>
      </c>
      <c r="AB356" s="156">
        <f>ROUND(H356*W353,2)</f>
        <v>113.78</v>
      </c>
    </row>
    <row r="357" spans="1:28" ht="30" hidden="1" x14ac:dyDescent="0.25">
      <c r="A357" s="168"/>
      <c r="B357" s="133" t="str">
        <f>'Công trình'!B44</f>
        <v>AF.11213</v>
      </c>
      <c r="C357" s="34"/>
      <c r="D357" s="133" t="str">
        <f>'Công trình'!C44</f>
        <v>Bê tông móng rộng &lt;=250cm đá 1x2, vữa BT mác 200</v>
      </c>
      <c r="E357" s="168"/>
      <c r="F357" s="20">
        <v>1</v>
      </c>
      <c r="G357" s="169"/>
      <c r="H357" s="45">
        <f>'Hao phí vật tư'!J336</f>
        <v>37.924999999999997</v>
      </c>
      <c r="I357" s="166"/>
      <c r="J357" s="156">
        <f>ROUND(H357*I353,2)</f>
        <v>379.25</v>
      </c>
      <c r="K357" s="166"/>
      <c r="L357" s="156">
        <f>ROUND(H357*K353,2)</f>
        <v>379.25</v>
      </c>
      <c r="M357" s="34"/>
      <c r="N357" s="166"/>
      <c r="O357" s="156">
        <f>ROUND(H357*N353,2)</f>
        <v>0</v>
      </c>
      <c r="P357" s="166"/>
      <c r="Q357" s="156">
        <f>ROUND(H357*P353,2)</f>
        <v>0</v>
      </c>
      <c r="R357" s="166"/>
      <c r="S357" s="156">
        <f>ROUND(H357*R353,2)</f>
        <v>0</v>
      </c>
      <c r="T357" s="34"/>
      <c r="U357" s="34"/>
      <c r="V357" s="166"/>
      <c r="W357" s="166"/>
      <c r="X357" s="166"/>
      <c r="Y357" s="156">
        <f>ROUND(H357*X353,2)</f>
        <v>0</v>
      </c>
      <c r="Z357" s="166"/>
      <c r="AA357" s="156">
        <f>ROUND(H357*Z353,2)</f>
        <v>0</v>
      </c>
      <c r="AB357" s="156">
        <f>ROUND(H357*W353,2)</f>
        <v>379.25</v>
      </c>
    </row>
    <row r="358" spans="1:28" ht="30" hidden="1" x14ac:dyDescent="0.25">
      <c r="A358" s="168"/>
      <c r="B358" s="133" t="str">
        <f>'Công trình'!B52</f>
        <v>AG.11412</v>
      </c>
      <c r="C358" s="34"/>
      <c r="D358" s="133" t="str">
        <f>'Công trình'!C52</f>
        <v>Sản xuất bê tông tấm BT tự chèn đúc sẵn đá 1x2, vữa BT mác 150</v>
      </c>
      <c r="E358" s="168"/>
      <c r="F358" s="20">
        <v>1</v>
      </c>
      <c r="G358" s="169"/>
      <c r="H358" s="45">
        <f>'Hao phí vật tư'!J381</f>
        <v>17240.674299999999</v>
      </c>
      <c r="I358" s="166"/>
      <c r="J358" s="156">
        <f>ROUND(H358*I353,2)</f>
        <v>172406.74</v>
      </c>
      <c r="K358" s="166"/>
      <c r="L358" s="156">
        <f>ROUND(H358*K353,2)</f>
        <v>172406.74</v>
      </c>
      <c r="M358" s="34"/>
      <c r="N358" s="166"/>
      <c r="O358" s="156">
        <f>ROUND(H358*N353,2)</f>
        <v>0</v>
      </c>
      <c r="P358" s="166"/>
      <c r="Q358" s="156">
        <f>ROUND(H358*P353,2)</f>
        <v>0</v>
      </c>
      <c r="R358" s="166"/>
      <c r="S358" s="156">
        <f>ROUND(H358*R353,2)</f>
        <v>0</v>
      </c>
      <c r="T358" s="34"/>
      <c r="U358" s="34"/>
      <c r="V358" s="166"/>
      <c r="W358" s="166"/>
      <c r="X358" s="166"/>
      <c r="Y358" s="156">
        <f>ROUND(H358*X353,2)</f>
        <v>0</v>
      </c>
      <c r="Z358" s="166"/>
      <c r="AA358" s="156">
        <f>ROUND(H358*Z353,2)</f>
        <v>0</v>
      </c>
      <c r="AB358" s="156">
        <f>ROUND(H358*W353,2)</f>
        <v>172406.74</v>
      </c>
    </row>
    <row r="359" spans="1:28" ht="30" hidden="1" x14ac:dyDescent="0.25">
      <c r="A359" s="168"/>
      <c r="B359" s="133" t="str">
        <f>'Công trình'!B55</f>
        <v>AG.42111</v>
      </c>
      <c r="C359" s="34"/>
      <c r="D359" s="133" t="str">
        <f>'Công trình'!C55</f>
        <v>Lắp các loại cấu kiện BT đúc sẵn bằng thủ công trọng lượng &lt;=50kg, vữa XM mác 100</v>
      </c>
      <c r="E359" s="168"/>
      <c r="F359" s="20">
        <v>1</v>
      </c>
      <c r="G359" s="169"/>
      <c r="H359" s="45">
        <f>'Hao phí vật tư'!J403</f>
        <v>3767.6855999999998</v>
      </c>
      <c r="I359" s="166"/>
      <c r="J359" s="156">
        <f>ROUND(H359*I353,2)</f>
        <v>37676.86</v>
      </c>
      <c r="K359" s="166"/>
      <c r="L359" s="156">
        <f>ROUND(H359*K353,2)</f>
        <v>37676.86</v>
      </c>
      <c r="M359" s="34"/>
      <c r="N359" s="166"/>
      <c r="O359" s="156">
        <f>ROUND(H359*N353,2)</f>
        <v>0</v>
      </c>
      <c r="P359" s="166"/>
      <c r="Q359" s="156">
        <f>ROUND(H359*P353,2)</f>
        <v>0</v>
      </c>
      <c r="R359" s="166"/>
      <c r="S359" s="156">
        <f>ROUND(H359*R353,2)</f>
        <v>0</v>
      </c>
      <c r="T359" s="34"/>
      <c r="U359" s="34"/>
      <c r="V359" s="166"/>
      <c r="W359" s="166"/>
      <c r="X359" s="166"/>
      <c r="Y359" s="156">
        <f>ROUND(H359*X353,2)</f>
        <v>0</v>
      </c>
      <c r="Z359" s="166"/>
      <c r="AA359" s="156">
        <f>ROUND(H359*Z353,2)</f>
        <v>0</v>
      </c>
      <c r="AB359" s="156">
        <f>ROUND(H359*W353,2)</f>
        <v>37676.86</v>
      </c>
    </row>
    <row r="360" spans="1:28" hidden="1" x14ac:dyDescent="0.25">
      <c r="A360" s="168"/>
      <c r="B360" s="133" t="str">
        <f>'Công trình'!B57</f>
        <v>AF.12313</v>
      </c>
      <c r="C360" s="34"/>
      <c r="D360" s="133" t="str">
        <f>'Công trình'!C57</f>
        <v>Bê tông xà dầm, giằng đá 1x2, vữa BT mác 200</v>
      </c>
      <c r="E360" s="168"/>
      <c r="F360" s="20">
        <v>1</v>
      </c>
      <c r="G360" s="169"/>
      <c r="H360" s="45">
        <f>'Hao phí vật tư'!J423</f>
        <v>6612.2237999999998</v>
      </c>
      <c r="I360" s="166"/>
      <c r="J360" s="156">
        <f>ROUND(H360*I353,2)</f>
        <v>66122.240000000005</v>
      </c>
      <c r="K360" s="166"/>
      <c r="L360" s="156">
        <f>ROUND(H360*K353,2)</f>
        <v>66122.240000000005</v>
      </c>
      <c r="M360" s="34"/>
      <c r="N360" s="166"/>
      <c r="O360" s="156">
        <f>ROUND(H360*N353,2)</f>
        <v>0</v>
      </c>
      <c r="P360" s="166"/>
      <c r="Q360" s="156">
        <f>ROUND(H360*P353,2)</f>
        <v>0</v>
      </c>
      <c r="R360" s="166"/>
      <c r="S360" s="156">
        <f>ROUND(H360*R353,2)</f>
        <v>0</v>
      </c>
      <c r="T360" s="34"/>
      <c r="U360" s="34"/>
      <c r="V360" s="166"/>
      <c r="W360" s="166"/>
      <c r="X360" s="166"/>
      <c r="Y360" s="156">
        <f>ROUND(H360*X353,2)</f>
        <v>0</v>
      </c>
      <c r="Z360" s="166"/>
      <c r="AA360" s="156">
        <f>ROUND(H360*Z353,2)</f>
        <v>0</v>
      </c>
      <c r="AB360" s="156">
        <f>ROUND(H360*W353,2)</f>
        <v>66122.240000000005</v>
      </c>
    </row>
    <row r="361" spans="1:28" hidden="1" x14ac:dyDescent="0.25">
      <c r="A361" s="168"/>
      <c r="B361" s="133" t="str">
        <f>'Công trình'!B58</f>
        <v>AK.41124</v>
      </c>
      <c r="C361" s="34"/>
      <c r="D361" s="133" t="str">
        <f>'Công trình'!C58</f>
        <v>Vữa lót M75 dày 3cm</v>
      </c>
      <c r="E361" s="168"/>
      <c r="F361" s="20">
        <v>1</v>
      </c>
      <c r="G361" s="169"/>
      <c r="H361" s="45">
        <f>'Hao phí vật tư'!J435</f>
        <v>793.25609999999995</v>
      </c>
      <c r="I361" s="166"/>
      <c r="J361" s="156">
        <f>ROUND(H361*I353,2)</f>
        <v>7932.56</v>
      </c>
      <c r="K361" s="166"/>
      <c r="L361" s="156">
        <f>ROUND(H361*K353,2)</f>
        <v>7932.56</v>
      </c>
      <c r="M361" s="34"/>
      <c r="N361" s="166"/>
      <c r="O361" s="156">
        <f>ROUND(H361*N353,2)</f>
        <v>0</v>
      </c>
      <c r="P361" s="166"/>
      <c r="Q361" s="156">
        <f>ROUND(H361*P353,2)</f>
        <v>0</v>
      </c>
      <c r="R361" s="166"/>
      <c r="S361" s="156">
        <f>ROUND(H361*R353,2)</f>
        <v>0</v>
      </c>
      <c r="T361" s="34"/>
      <c r="U361" s="34"/>
      <c r="V361" s="166"/>
      <c r="W361" s="166"/>
      <c r="X361" s="166"/>
      <c r="Y361" s="156">
        <f>ROUND(H361*X353,2)</f>
        <v>0</v>
      </c>
      <c r="Z361" s="166"/>
      <c r="AA361" s="156">
        <f>ROUND(H361*Z353,2)</f>
        <v>0</v>
      </c>
      <c r="AB361" s="156">
        <f>ROUND(H361*W353,2)</f>
        <v>7932.56</v>
      </c>
    </row>
    <row r="362" spans="1:28" ht="30" hidden="1" x14ac:dyDescent="0.25">
      <c r="A362" s="168"/>
      <c r="B362" s="133" t="str">
        <f>'Công trình'!B63</f>
        <v>AF.11223</v>
      </c>
      <c r="C362" s="34"/>
      <c r="D362" s="133" t="str">
        <f>'Công trình'!C63</f>
        <v>Bê tông lát mái rộng &gt;250cm đá 1x2, vữa BT mác 200</v>
      </c>
      <c r="E362" s="168"/>
      <c r="F362" s="20">
        <v>1</v>
      </c>
      <c r="G362" s="169"/>
      <c r="H362" s="45">
        <f>'Hao phí vật tư'!J478</f>
        <v>30910.7713</v>
      </c>
      <c r="I362" s="166"/>
      <c r="J362" s="156">
        <f>ROUND(H362*I353,2)</f>
        <v>309107.71000000002</v>
      </c>
      <c r="K362" s="166"/>
      <c r="L362" s="156">
        <f>ROUND(H362*K353,2)</f>
        <v>309107.71000000002</v>
      </c>
      <c r="M362" s="34"/>
      <c r="N362" s="166"/>
      <c r="O362" s="156">
        <f>ROUND(H362*N353,2)</f>
        <v>0</v>
      </c>
      <c r="P362" s="166"/>
      <c r="Q362" s="156">
        <f>ROUND(H362*P353,2)</f>
        <v>0</v>
      </c>
      <c r="R362" s="166"/>
      <c r="S362" s="156">
        <f>ROUND(H362*R353,2)</f>
        <v>0</v>
      </c>
      <c r="T362" s="34"/>
      <c r="U362" s="34"/>
      <c r="V362" s="166"/>
      <c r="W362" s="166"/>
      <c r="X362" s="166"/>
      <c r="Y362" s="156">
        <f>ROUND(H362*X353,2)</f>
        <v>0</v>
      </c>
      <c r="Z362" s="166"/>
      <c r="AA362" s="156">
        <f>ROUND(H362*Z353,2)</f>
        <v>0</v>
      </c>
      <c r="AB362" s="156">
        <f>ROUND(H362*W353,2)</f>
        <v>309107.71000000002</v>
      </c>
    </row>
    <row r="363" spans="1:28" hidden="1" x14ac:dyDescent="0.25">
      <c r="A363" s="168"/>
      <c r="B363" s="133" t="str">
        <f>'Công trình'!B64</f>
        <v>AK.41124</v>
      </c>
      <c r="C363" s="34"/>
      <c r="D363" s="133" t="str">
        <f>'Công trình'!C64</f>
        <v>Vữa lót M75 dày 3cm</v>
      </c>
      <c r="E363" s="168"/>
      <c r="F363" s="20">
        <v>1</v>
      </c>
      <c r="G363" s="169"/>
      <c r="H363" s="45">
        <f>'Hao phí vật tư'!J490</f>
        <v>12360.833000000001</v>
      </c>
      <c r="I363" s="166"/>
      <c r="J363" s="156">
        <f>ROUND(H363*I353,2)</f>
        <v>123608.33</v>
      </c>
      <c r="K363" s="166"/>
      <c r="L363" s="156">
        <f>ROUND(H363*K353,2)</f>
        <v>123608.33</v>
      </c>
      <c r="M363" s="34"/>
      <c r="N363" s="166"/>
      <c r="O363" s="156">
        <f>ROUND(H363*N353,2)</f>
        <v>0</v>
      </c>
      <c r="P363" s="166"/>
      <c r="Q363" s="156">
        <f>ROUND(H363*P353,2)</f>
        <v>0</v>
      </c>
      <c r="R363" s="166"/>
      <c r="S363" s="156">
        <f>ROUND(H363*R353,2)</f>
        <v>0</v>
      </c>
      <c r="T363" s="34"/>
      <c r="U363" s="34"/>
      <c r="V363" s="166"/>
      <c r="W363" s="166"/>
      <c r="X363" s="166"/>
      <c r="Y363" s="156">
        <f>ROUND(H363*X353,2)</f>
        <v>0</v>
      </c>
      <c r="Z363" s="166"/>
      <c r="AA363" s="156">
        <f>ROUND(H363*Z353,2)</f>
        <v>0</v>
      </c>
      <c r="AB363" s="156">
        <f>ROUND(H363*W353,2)</f>
        <v>123608.33</v>
      </c>
    </row>
    <row r="364" spans="1:28" ht="30" hidden="1" x14ac:dyDescent="0.25">
      <c r="A364" s="168"/>
      <c r="B364" s="133" t="str">
        <f>'Công trình'!B68</f>
        <v>AG.11125</v>
      </c>
      <c r="C364" s="34"/>
      <c r="D364" s="133" t="str">
        <f>'Công trình'!C68</f>
        <v>Sản xuất bê tông cọc cừ đúc sẵn đá 1x2, vữa BT mác 300</v>
      </c>
      <c r="E364" s="168"/>
      <c r="F364" s="20">
        <v>1</v>
      </c>
      <c r="G364" s="169"/>
      <c r="H364" s="45">
        <f>'Hao phí vật tư'!J509</f>
        <v>13409.0128</v>
      </c>
      <c r="I364" s="166"/>
      <c r="J364" s="156">
        <f>ROUND(H364*I353,2)</f>
        <v>134090.13</v>
      </c>
      <c r="K364" s="166"/>
      <c r="L364" s="156">
        <f>ROUND(H364*K353,2)</f>
        <v>134090.13</v>
      </c>
      <c r="M364" s="34"/>
      <c r="N364" s="166"/>
      <c r="O364" s="156">
        <f>ROUND(H364*N353,2)</f>
        <v>0</v>
      </c>
      <c r="P364" s="166"/>
      <c r="Q364" s="156">
        <f>ROUND(H364*P353,2)</f>
        <v>0</v>
      </c>
      <c r="R364" s="166"/>
      <c r="S364" s="156">
        <f>ROUND(H364*R353,2)</f>
        <v>0</v>
      </c>
      <c r="T364" s="34"/>
      <c r="U364" s="34"/>
      <c r="V364" s="166"/>
      <c r="W364" s="166"/>
      <c r="X364" s="166"/>
      <c r="Y364" s="156">
        <f>ROUND(H364*X353,2)</f>
        <v>0</v>
      </c>
      <c r="Z364" s="166"/>
      <c r="AA364" s="156">
        <f>ROUND(H364*Z353,2)</f>
        <v>0</v>
      </c>
      <c r="AB364" s="156">
        <f>ROUND(H364*W353,2)</f>
        <v>134090.13</v>
      </c>
    </row>
    <row r="365" spans="1:28" ht="30" hidden="1" x14ac:dyDescent="0.25">
      <c r="A365" s="168"/>
      <c r="B365" s="133" t="str">
        <f>'Công trình'!B79</f>
        <v>AG.11125</v>
      </c>
      <c r="C365" s="34"/>
      <c r="D365" s="133" t="str">
        <f>'Công trình'!C79</f>
        <v>Sản xuất bê tông cọc cừ đúc sẵn đá 1x2, vữa BT mác 300</v>
      </c>
      <c r="E365" s="168"/>
      <c r="F365" s="20">
        <v>1</v>
      </c>
      <c r="G365" s="169"/>
      <c r="H365" s="45">
        <f>'Hao phí vật tư'!J625</f>
        <v>5252.0667999999996</v>
      </c>
      <c r="I365" s="166"/>
      <c r="J365" s="156">
        <f>ROUND(H365*I353,2)</f>
        <v>52520.67</v>
      </c>
      <c r="K365" s="166"/>
      <c r="L365" s="156">
        <f>ROUND(H365*K353,2)</f>
        <v>52520.67</v>
      </c>
      <c r="M365" s="34"/>
      <c r="N365" s="166"/>
      <c r="O365" s="156">
        <f>ROUND(H365*N353,2)</f>
        <v>0</v>
      </c>
      <c r="P365" s="166"/>
      <c r="Q365" s="156">
        <f>ROUND(H365*P353,2)</f>
        <v>0</v>
      </c>
      <c r="R365" s="166"/>
      <c r="S365" s="156">
        <f>ROUND(H365*R353,2)</f>
        <v>0</v>
      </c>
      <c r="T365" s="34"/>
      <c r="U365" s="34"/>
      <c r="V365" s="166"/>
      <c r="W365" s="166"/>
      <c r="X365" s="166"/>
      <c r="Y365" s="156">
        <f>ROUND(H365*X353,2)</f>
        <v>0</v>
      </c>
      <c r="Z365" s="166"/>
      <c r="AA365" s="156">
        <f>ROUND(H365*Z353,2)</f>
        <v>0</v>
      </c>
      <c r="AB365" s="156">
        <f>ROUND(H365*W353,2)</f>
        <v>52520.67</v>
      </c>
    </row>
    <row r="366" spans="1:28" hidden="1" x14ac:dyDescent="0.25">
      <c r="A366" s="168"/>
      <c r="B366" s="133" t="str">
        <f>'Công trình'!B92</f>
        <v>AF.11121</v>
      </c>
      <c r="C366" s="34"/>
      <c r="D366" s="133" t="str">
        <f>'Công trình'!C92</f>
        <v>Bê tông M100 đá 4x6</v>
      </c>
      <c r="E366" s="168"/>
      <c r="F366" s="20">
        <v>1</v>
      </c>
      <c r="G366" s="169"/>
      <c r="H366" s="45">
        <f>'Hao phí vật tư'!J747</f>
        <v>17504.849999999999</v>
      </c>
      <c r="I366" s="166"/>
      <c r="J366" s="156">
        <f>ROUND(H366*I353,2)</f>
        <v>175048.5</v>
      </c>
      <c r="K366" s="166"/>
      <c r="L366" s="156">
        <f>ROUND(H366*K353,2)</f>
        <v>175048.5</v>
      </c>
      <c r="M366" s="34"/>
      <c r="N366" s="166"/>
      <c r="O366" s="156">
        <f>ROUND(H366*N353,2)</f>
        <v>0</v>
      </c>
      <c r="P366" s="166"/>
      <c r="Q366" s="156">
        <f>ROUND(H366*P353,2)</f>
        <v>0</v>
      </c>
      <c r="R366" s="166"/>
      <c r="S366" s="156">
        <f>ROUND(H366*R353,2)</f>
        <v>0</v>
      </c>
      <c r="T366" s="34"/>
      <c r="U366" s="34"/>
      <c r="V366" s="166"/>
      <c r="W366" s="166"/>
      <c r="X366" s="166"/>
      <c r="Y366" s="156">
        <f>ROUND(H366*X353,2)</f>
        <v>0</v>
      </c>
      <c r="Z366" s="166"/>
      <c r="AA366" s="156">
        <f>ROUND(H366*Z353,2)</f>
        <v>0</v>
      </c>
      <c r="AB366" s="156">
        <f>ROUND(H366*W353,2)</f>
        <v>175048.5</v>
      </c>
    </row>
    <row r="367" spans="1:28" ht="30" hidden="1" x14ac:dyDescent="0.25">
      <c r="A367" s="168"/>
      <c r="B367" s="133" t="str">
        <f>'Công trình'!B167</f>
        <v>AG.11413</v>
      </c>
      <c r="C367" s="34"/>
      <c r="D367" s="133" t="str">
        <f>'Công trình'!C167</f>
        <v>Bê tông tấm đan đúc sẵn đá 1x2, vữa BT mác 200</v>
      </c>
      <c r="E367" s="168"/>
      <c r="F367" s="20">
        <v>1</v>
      </c>
      <c r="G367" s="169"/>
      <c r="H367" s="45">
        <f>'Hao phí vật tư'!J1262</f>
        <v>1648.6645000000001</v>
      </c>
      <c r="I367" s="166"/>
      <c r="J367" s="156">
        <f>ROUND(H367*I353,2)</f>
        <v>16486.650000000001</v>
      </c>
      <c r="K367" s="166"/>
      <c r="L367" s="156">
        <f>ROUND(H367*K353,2)</f>
        <v>16486.650000000001</v>
      </c>
      <c r="M367" s="34"/>
      <c r="N367" s="166"/>
      <c r="O367" s="156">
        <f>ROUND(H367*N353,2)</f>
        <v>0</v>
      </c>
      <c r="P367" s="166"/>
      <c r="Q367" s="156">
        <f>ROUND(H367*P353,2)</f>
        <v>0</v>
      </c>
      <c r="R367" s="166"/>
      <c r="S367" s="156">
        <f>ROUND(H367*R353,2)</f>
        <v>0</v>
      </c>
      <c r="T367" s="34"/>
      <c r="U367" s="34"/>
      <c r="V367" s="166"/>
      <c r="W367" s="166"/>
      <c r="X367" s="166"/>
      <c r="Y367" s="156">
        <f>ROUND(H367*X353,2)</f>
        <v>0</v>
      </c>
      <c r="Z367" s="166"/>
      <c r="AA367" s="156">
        <f>ROUND(H367*Z353,2)</f>
        <v>0</v>
      </c>
      <c r="AB367" s="156">
        <f>ROUND(H367*W353,2)</f>
        <v>16486.650000000001</v>
      </c>
    </row>
    <row r="368" spans="1:28" ht="30" hidden="1" x14ac:dyDescent="0.25">
      <c r="A368" s="168"/>
      <c r="B368" s="133" t="str">
        <f>'Công trình'!B169</f>
        <v>AG.42141</v>
      </c>
      <c r="C368" s="34"/>
      <c r="D368" s="133" t="str">
        <f>'Công trình'!C169</f>
        <v>Lắp các loại cấu kiện BT đúc sẵn bằng thủ công trọng lượng &gt;250kg, vữa XM mác 100</v>
      </c>
      <c r="E368" s="168"/>
      <c r="F368" s="20">
        <v>1</v>
      </c>
      <c r="G368" s="169"/>
      <c r="H368" s="45">
        <f>'Hao phí vật tư'!J1283</f>
        <v>158.6</v>
      </c>
      <c r="I368" s="166"/>
      <c r="J368" s="156">
        <f>ROUND(H368*I353,2)</f>
        <v>1586</v>
      </c>
      <c r="K368" s="166"/>
      <c r="L368" s="156">
        <f>ROUND(H368*K353,2)</f>
        <v>1586</v>
      </c>
      <c r="M368" s="34"/>
      <c r="N368" s="166"/>
      <c r="O368" s="156">
        <f>ROUND(H368*N353,2)</f>
        <v>0</v>
      </c>
      <c r="P368" s="166"/>
      <c r="Q368" s="156">
        <f>ROUND(H368*P353,2)</f>
        <v>0</v>
      </c>
      <c r="R368" s="166"/>
      <c r="S368" s="156">
        <f>ROUND(H368*R353,2)</f>
        <v>0</v>
      </c>
      <c r="T368" s="34"/>
      <c r="U368" s="34"/>
      <c r="V368" s="166"/>
      <c r="W368" s="166"/>
      <c r="X368" s="166"/>
      <c r="Y368" s="156">
        <f>ROUND(H368*X353,2)</f>
        <v>0</v>
      </c>
      <c r="Z368" s="166"/>
      <c r="AA368" s="156">
        <f>ROUND(H368*Z353,2)</f>
        <v>0</v>
      </c>
      <c r="AB368" s="156">
        <f>ROUND(H368*W353,2)</f>
        <v>1586</v>
      </c>
    </row>
    <row r="369" spans="1:28" ht="30" hidden="1" x14ac:dyDescent="0.25">
      <c r="A369" s="168"/>
      <c r="B369" s="133" t="str">
        <f>'Công trình'!B174</f>
        <v>AF.14115</v>
      </c>
      <c r="C369" s="34"/>
      <c r="D369" s="133" t="str">
        <f>'Công trình'!C174</f>
        <v>Bê tông móng, mố trụ cầu trên cạn đá 1x2, vữa BT mác 300</v>
      </c>
      <c r="E369" s="168"/>
      <c r="F369" s="20">
        <v>1</v>
      </c>
      <c r="G369" s="169"/>
      <c r="H369" s="45">
        <f>'Hao phí vật tư'!J1301</f>
        <v>18672.373800000001</v>
      </c>
      <c r="I369" s="166"/>
      <c r="J369" s="156">
        <f>ROUND(H369*I353,2)</f>
        <v>186723.74</v>
      </c>
      <c r="K369" s="166"/>
      <c r="L369" s="156">
        <f>ROUND(H369*K353,2)</f>
        <v>186723.74</v>
      </c>
      <c r="M369" s="34"/>
      <c r="N369" s="166"/>
      <c r="O369" s="156">
        <f>ROUND(H369*N353,2)</f>
        <v>0</v>
      </c>
      <c r="P369" s="166"/>
      <c r="Q369" s="156">
        <f>ROUND(H369*P353,2)</f>
        <v>0</v>
      </c>
      <c r="R369" s="166"/>
      <c r="S369" s="156">
        <f>ROUND(H369*R353,2)</f>
        <v>0</v>
      </c>
      <c r="T369" s="34"/>
      <c r="U369" s="34"/>
      <c r="V369" s="166"/>
      <c r="W369" s="166"/>
      <c r="X369" s="166"/>
      <c r="Y369" s="156">
        <f>ROUND(H369*X353,2)</f>
        <v>0</v>
      </c>
      <c r="Z369" s="166"/>
      <c r="AA369" s="156">
        <f>ROUND(H369*Z353,2)</f>
        <v>0</v>
      </c>
      <c r="AB369" s="156">
        <f>ROUND(H369*W353,2)</f>
        <v>186723.74</v>
      </c>
    </row>
    <row r="370" spans="1:28" hidden="1" x14ac:dyDescent="0.25">
      <c r="A370" s="168"/>
      <c r="B370" s="133" t="str">
        <f>'Công trình'!B176</f>
        <v>AK.41125</v>
      </c>
      <c r="C370" s="34"/>
      <c r="D370" s="133" t="str">
        <f>'Công trình'!C176</f>
        <v>Vữa xi măng M100 độ dốc 10%</v>
      </c>
      <c r="E370" s="168"/>
      <c r="F370" s="20">
        <v>1</v>
      </c>
      <c r="G370" s="169"/>
      <c r="H370" s="45">
        <f>'Hao phí vật tư'!J1329</f>
        <v>42.806399999999996</v>
      </c>
      <c r="I370" s="166"/>
      <c r="J370" s="156">
        <f>ROUND(H370*I353,2)</f>
        <v>428.06</v>
      </c>
      <c r="K370" s="166"/>
      <c r="L370" s="156">
        <f>ROUND(H370*K353,2)</f>
        <v>428.06</v>
      </c>
      <c r="M370" s="34"/>
      <c r="N370" s="166"/>
      <c r="O370" s="156">
        <f>ROUND(H370*N353,2)</f>
        <v>0</v>
      </c>
      <c r="P370" s="166"/>
      <c r="Q370" s="156">
        <f>ROUND(H370*P353,2)</f>
        <v>0</v>
      </c>
      <c r="R370" s="166"/>
      <c r="S370" s="156">
        <f>ROUND(H370*R353,2)</f>
        <v>0</v>
      </c>
      <c r="T370" s="34"/>
      <c r="U370" s="34"/>
      <c r="V370" s="166"/>
      <c r="W370" s="166"/>
      <c r="X370" s="166"/>
      <c r="Y370" s="156">
        <f>ROUND(H370*X353,2)</f>
        <v>0</v>
      </c>
      <c r="Z370" s="166"/>
      <c r="AA370" s="156">
        <f>ROUND(H370*Z353,2)</f>
        <v>0</v>
      </c>
      <c r="AB370" s="156">
        <f>ROUND(H370*W353,2)</f>
        <v>428.06</v>
      </c>
    </row>
    <row r="371" spans="1:28" ht="30" hidden="1" x14ac:dyDescent="0.25">
      <c r="A371" s="168"/>
      <c r="B371" s="133" t="str">
        <f>'Công trình'!B177</f>
        <v>AF.11121</v>
      </c>
      <c r="C371" s="34"/>
      <c r="D371" s="133" t="str">
        <f>'Công trình'!C177</f>
        <v>Bê tông lót móng rộng &gt;250cm đá 4x6, vữa BT mác 100</v>
      </c>
      <c r="E371" s="168"/>
      <c r="F371" s="20">
        <v>1</v>
      </c>
      <c r="G371" s="169"/>
      <c r="H371" s="45">
        <f>'Hao phí vật tư'!J1339</f>
        <v>1405.4865</v>
      </c>
      <c r="I371" s="166"/>
      <c r="J371" s="156">
        <f>ROUND(H371*I353,2)</f>
        <v>14054.87</v>
      </c>
      <c r="K371" s="166"/>
      <c r="L371" s="156">
        <f>ROUND(H371*K353,2)</f>
        <v>14054.87</v>
      </c>
      <c r="M371" s="34"/>
      <c r="N371" s="166"/>
      <c r="O371" s="156">
        <f>ROUND(H371*N353,2)</f>
        <v>0</v>
      </c>
      <c r="P371" s="166"/>
      <c r="Q371" s="156">
        <f>ROUND(H371*P353,2)</f>
        <v>0</v>
      </c>
      <c r="R371" s="166"/>
      <c r="S371" s="156">
        <f>ROUND(H371*R353,2)</f>
        <v>0</v>
      </c>
      <c r="T371" s="34"/>
      <c r="U371" s="34"/>
      <c r="V371" s="166"/>
      <c r="W371" s="166"/>
      <c r="X371" s="166"/>
      <c r="Y371" s="156">
        <f>ROUND(H371*X353,2)</f>
        <v>0</v>
      </c>
      <c r="Z371" s="166"/>
      <c r="AA371" s="156">
        <f>ROUND(H371*Z353,2)</f>
        <v>0</v>
      </c>
      <c r="AB371" s="156">
        <f>ROUND(H371*W353,2)</f>
        <v>14054.87</v>
      </c>
    </row>
    <row r="372" spans="1:28" ht="30" hidden="1" x14ac:dyDescent="0.25">
      <c r="A372" s="168"/>
      <c r="B372" s="133" t="str">
        <f>'Công trình'!B186</f>
        <v>AF.14115</v>
      </c>
      <c r="C372" s="34"/>
      <c r="D372" s="133" t="str">
        <f>'Công trình'!C186</f>
        <v>Bê tông móng, mố trụ cầu trên cạn đá 1x2, vữa BT mác 300</v>
      </c>
      <c r="E372" s="168"/>
      <c r="F372" s="20">
        <v>1</v>
      </c>
      <c r="G372" s="169"/>
      <c r="H372" s="45">
        <f>'Hao phí vật tư'!J1418</f>
        <v>667.48</v>
      </c>
      <c r="I372" s="166"/>
      <c r="J372" s="156">
        <f>ROUND(H372*I353,2)</f>
        <v>6674.8</v>
      </c>
      <c r="K372" s="166"/>
      <c r="L372" s="156">
        <f>ROUND(H372*K353,2)</f>
        <v>6674.8</v>
      </c>
      <c r="M372" s="34"/>
      <c r="N372" s="166"/>
      <c r="O372" s="156">
        <f>ROUND(H372*N353,2)</f>
        <v>0</v>
      </c>
      <c r="P372" s="166"/>
      <c r="Q372" s="156">
        <f>ROUND(H372*P353,2)</f>
        <v>0</v>
      </c>
      <c r="R372" s="166"/>
      <c r="S372" s="156">
        <f>ROUND(H372*R353,2)</f>
        <v>0</v>
      </c>
      <c r="T372" s="34"/>
      <c r="U372" s="34"/>
      <c r="V372" s="166"/>
      <c r="W372" s="166"/>
      <c r="X372" s="166"/>
      <c r="Y372" s="156">
        <f>ROUND(H372*X353,2)</f>
        <v>0</v>
      </c>
      <c r="Z372" s="166"/>
      <c r="AA372" s="156">
        <f>ROUND(H372*Z353,2)</f>
        <v>0</v>
      </c>
      <c r="AB372" s="156">
        <f>ROUND(H372*W353,2)</f>
        <v>6674.8</v>
      </c>
    </row>
    <row r="373" spans="1:28" hidden="1" x14ac:dyDescent="0.25">
      <c r="A373" s="168"/>
      <c r="B373" s="133" t="str">
        <f>'Công trình'!B187</f>
        <v>AK.41125</v>
      </c>
      <c r="C373" s="34"/>
      <c r="D373" s="133" t="str">
        <f>'Công trình'!C187</f>
        <v>Vữa xi măng dày 3cm, vữa XM mác 100</v>
      </c>
      <c r="E373" s="168"/>
      <c r="F373" s="20">
        <v>1</v>
      </c>
      <c r="G373" s="169"/>
      <c r="H373" s="45">
        <f>'Hao phí vật tư'!J1431</f>
        <v>8.7360000000000007</v>
      </c>
      <c r="I373" s="166"/>
      <c r="J373" s="156">
        <f>ROUND(H373*I353,2)</f>
        <v>87.36</v>
      </c>
      <c r="K373" s="166"/>
      <c r="L373" s="156">
        <f>ROUND(H373*K353,2)</f>
        <v>87.36</v>
      </c>
      <c r="M373" s="34"/>
      <c r="N373" s="166"/>
      <c r="O373" s="156">
        <f>ROUND(H373*N353,2)</f>
        <v>0</v>
      </c>
      <c r="P373" s="166"/>
      <c r="Q373" s="156">
        <f>ROUND(H373*P353,2)</f>
        <v>0</v>
      </c>
      <c r="R373" s="166"/>
      <c r="S373" s="156">
        <f>ROUND(H373*R353,2)</f>
        <v>0</v>
      </c>
      <c r="T373" s="34"/>
      <c r="U373" s="34"/>
      <c r="V373" s="166"/>
      <c r="W373" s="166"/>
      <c r="X373" s="166"/>
      <c r="Y373" s="156">
        <f>ROUND(H373*X353,2)</f>
        <v>0</v>
      </c>
      <c r="Z373" s="166"/>
      <c r="AA373" s="156">
        <f>ROUND(H373*Z353,2)</f>
        <v>0</v>
      </c>
      <c r="AB373" s="156">
        <f>ROUND(H373*W353,2)</f>
        <v>87.36</v>
      </c>
    </row>
    <row r="374" spans="1:28" hidden="1" x14ac:dyDescent="0.25">
      <c r="A374" s="168"/>
      <c r="B374" s="133" t="str">
        <f>'Công trình'!B196</f>
        <v>AF.14315</v>
      </c>
      <c r="C374" s="34"/>
      <c r="D374" s="133" t="str">
        <f>'Công trình'!C196</f>
        <v>Bê tông mặt cầu đá 1x2, vữa BT mác 300</v>
      </c>
      <c r="E374" s="168"/>
      <c r="F374" s="20">
        <v>1</v>
      </c>
      <c r="G374" s="169"/>
      <c r="H374" s="45">
        <f>'Hao phí vật tư'!J1499</f>
        <v>10033.971</v>
      </c>
      <c r="I374" s="166"/>
      <c r="J374" s="156">
        <f>ROUND(H374*I353,2)</f>
        <v>100339.71</v>
      </c>
      <c r="K374" s="166"/>
      <c r="L374" s="156">
        <f>ROUND(H374*K353,2)</f>
        <v>100339.71</v>
      </c>
      <c r="M374" s="34"/>
      <c r="N374" s="166"/>
      <c r="O374" s="156">
        <f>ROUND(H374*N353,2)</f>
        <v>0</v>
      </c>
      <c r="P374" s="166"/>
      <c r="Q374" s="156">
        <f>ROUND(H374*P353,2)</f>
        <v>0</v>
      </c>
      <c r="R374" s="166"/>
      <c r="S374" s="156">
        <f>ROUND(H374*R353,2)</f>
        <v>0</v>
      </c>
      <c r="T374" s="34"/>
      <c r="U374" s="34"/>
      <c r="V374" s="166"/>
      <c r="W374" s="166"/>
      <c r="X374" s="166"/>
      <c r="Y374" s="156">
        <f>ROUND(H374*X353,2)</f>
        <v>0</v>
      </c>
      <c r="Z374" s="166"/>
      <c r="AA374" s="156">
        <f>ROUND(H374*Z353,2)</f>
        <v>0</v>
      </c>
      <c r="AB374" s="156">
        <f>ROUND(H374*W353,2)</f>
        <v>100339.71</v>
      </c>
    </row>
    <row r="375" spans="1:28" hidden="1" x14ac:dyDescent="0.25">
      <c r="A375" s="168"/>
      <c r="B375" s="133" t="str">
        <f>'Công trình'!B197</f>
        <v>AF.15225</v>
      </c>
      <c r="C375" s="34"/>
      <c r="D375" s="133" t="str">
        <f>'Công trình'!C197</f>
        <v>Bê tông dầm cầu đá 1x2, vữa BT mác 300</v>
      </c>
      <c r="E375" s="168"/>
      <c r="F375" s="20">
        <v>1</v>
      </c>
      <c r="G375" s="169"/>
      <c r="H375" s="45">
        <f>'Hao phí vật tư'!J1513</f>
        <v>582.14880000000005</v>
      </c>
      <c r="I375" s="166"/>
      <c r="J375" s="156">
        <f>ROUND(H375*I353,2)</f>
        <v>5821.49</v>
      </c>
      <c r="K375" s="166"/>
      <c r="L375" s="156">
        <f>ROUND(H375*K353,2)</f>
        <v>5821.49</v>
      </c>
      <c r="M375" s="34"/>
      <c r="N375" s="166"/>
      <c r="O375" s="156">
        <f>ROUND(H375*N353,2)</f>
        <v>0</v>
      </c>
      <c r="P375" s="166"/>
      <c r="Q375" s="156">
        <f>ROUND(H375*P353,2)</f>
        <v>0</v>
      </c>
      <c r="R375" s="166"/>
      <c r="S375" s="156">
        <f>ROUND(H375*R353,2)</f>
        <v>0</v>
      </c>
      <c r="T375" s="34"/>
      <c r="U375" s="34"/>
      <c r="V375" s="166"/>
      <c r="W375" s="166"/>
      <c r="X375" s="166"/>
      <c r="Y375" s="156">
        <f>ROUND(H375*X353,2)</f>
        <v>0</v>
      </c>
      <c r="Z375" s="166"/>
      <c r="AA375" s="156">
        <f>ROUND(H375*Z353,2)</f>
        <v>0</v>
      </c>
      <c r="AB375" s="156">
        <f>ROUND(H375*W353,2)</f>
        <v>5821.49</v>
      </c>
    </row>
    <row r="376" spans="1:28" hidden="1" x14ac:dyDescent="0.25">
      <c r="A376" s="168"/>
      <c r="B376" s="133" t="str">
        <f>'Công trình'!B217</f>
        <v>AF.11215</v>
      </c>
      <c r="C376" s="34"/>
      <c r="D376" s="133" t="str">
        <f>'Công trình'!C217</f>
        <v>BT M300 đổ sau có phụ gia</v>
      </c>
      <c r="E376" s="168"/>
      <c r="F376" s="20">
        <v>1</v>
      </c>
      <c r="G376" s="169"/>
      <c r="H376" s="45">
        <f>'Hao phí vật tư'!J1635</f>
        <v>225.8588</v>
      </c>
      <c r="I376" s="166"/>
      <c r="J376" s="156">
        <f>ROUND(H376*I353,2)</f>
        <v>2258.59</v>
      </c>
      <c r="K376" s="166"/>
      <c r="L376" s="156">
        <f>ROUND(H376*K353,2)</f>
        <v>2258.59</v>
      </c>
      <c r="M376" s="34"/>
      <c r="N376" s="166"/>
      <c r="O376" s="156">
        <f>ROUND(H376*N353,2)</f>
        <v>0</v>
      </c>
      <c r="P376" s="166"/>
      <c r="Q376" s="156">
        <f>ROUND(H376*P353,2)</f>
        <v>0</v>
      </c>
      <c r="R376" s="166"/>
      <c r="S376" s="156">
        <f>ROUND(H376*R353,2)</f>
        <v>0</v>
      </c>
      <c r="T376" s="34"/>
      <c r="U376" s="34"/>
      <c r="V376" s="166"/>
      <c r="W376" s="166"/>
      <c r="X376" s="166"/>
      <c r="Y376" s="156">
        <f>ROUND(H376*X353,2)</f>
        <v>0</v>
      </c>
      <c r="Z376" s="166"/>
      <c r="AA376" s="156">
        <f>ROUND(H376*Z353,2)</f>
        <v>0</v>
      </c>
      <c r="AB376" s="156">
        <f>ROUND(H376*W353,2)</f>
        <v>2258.59</v>
      </c>
    </row>
    <row r="377" spans="1:28" ht="30" hidden="1" x14ac:dyDescent="0.25">
      <c r="A377" s="168"/>
      <c r="B377" s="133" t="str">
        <f>'Công trình'!B225</f>
        <v>AG.11125</v>
      </c>
      <c r="C377" s="34"/>
      <c r="D377" s="133" t="str">
        <f>'Công trình'!C225</f>
        <v>Sản xuất bê tông cọc cừ đúc sẵn đá 1x2, vữa BT mác 300</v>
      </c>
      <c r="E377" s="168"/>
      <c r="F377" s="20">
        <v>1</v>
      </c>
      <c r="G377" s="169"/>
      <c r="H377" s="45">
        <f>'Hao phí vật tư'!J1685</f>
        <v>14492.4745</v>
      </c>
      <c r="I377" s="166"/>
      <c r="J377" s="156">
        <f>ROUND(H377*I353,2)</f>
        <v>144924.75</v>
      </c>
      <c r="K377" s="166"/>
      <c r="L377" s="156">
        <f>ROUND(H377*K353,2)</f>
        <v>144924.75</v>
      </c>
      <c r="M377" s="34"/>
      <c r="N377" s="166"/>
      <c r="O377" s="156">
        <f>ROUND(H377*N353,2)</f>
        <v>0</v>
      </c>
      <c r="P377" s="166"/>
      <c r="Q377" s="156">
        <f>ROUND(H377*P353,2)</f>
        <v>0</v>
      </c>
      <c r="R377" s="166"/>
      <c r="S377" s="156">
        <f>ROUND(H377*R353,2)</f>
        <v>0</v>
      </c>
      <c r="T377" s="34"/>
      <c r="U377" s="34"/>
      <c r="V377" s="166"/>
      <c r="W377" s="166"/>
      <c r="X377" s="166"/>
      <c r="Y377" s="156">
        <f>ROUND(H377*X353,2)</f>
        <v>0</v>
      </c>
      <c r="Z377" s="166"/>
      <c r="AA377" s="156">
        <f>ROUND(H377*Z353,2)</f>
        <v>0</v>
      </c>
      <c r="AB377" s="156">
        <f>ROUND(H377*W353,2)</f>
        <v>144924.75</v>
      </c>
    </row>
    <row r="378" spans="1:28" ht="30" hidden="1" x14ac:dyDescent="0.25">
      <c r="A378" s="168"/>
      <c r="B378" s="133" t="str">
        <f>'Công trình'!B247</f>
        <v>AF.12313</v>
      </c>
      <c r="C378" s="34"/>
      <c r="D378" s="133" t="str">
        <f>'Công trình'!C247</f>
        <v>Bê tông dầm chặn chân, đá 1x2, vữa BT mác 200</v>
      </c>
      <c r="E378" s="168"/>
      <c r="F378" s="20">
        <v>1</v>
      </c>
      <c r="G378" s="169"/>
      <c r="H378" s="45">
        <f>'Hao phí vật tư'!J1868</f>
        <v>3382.91</v>
      </c>
      <c r="I378" s="166"/>
      <c r="J378" s="156">
        <f>ROUND(H378*I353,2)</f>
        <v>33829.1</v>
      </c>
      <c r="K378" s="166"/>
      <c r="L378" s="156">
        <f>ROUND(H378*K353,2)</f>
        <v>33829.1</v>
      </c>
      <c r="M378" s="34"/>
      <c r="N378" s="166"/>
      <c r="O378" s="156">
        <f>ROUND(H378*N353,2)</f>
        <v>0</v>
      </c>
      <c r="P378" s="166"/>
      <c r="Q378" s="156">
        <f>ROUND(H378*P353,2)</f>
        <v>0</v>
      </c>
      <c r="R378" s="166"/>
      <c r="S378" s="156">
        <f>ROUND(H378*R353,2)</f>
        <v>0</v>
      </c>
      <c r="T378" s="34"/>
      <c r="U378" s="34"/>
      <c r="V378" s="166"/>
      <c r="W378" s="166"/>
      <c r="X378" s="166"/>
      <c r="Y378" s="156">
        <f>ROUND(H378*X353,2)</f>
        <v>0</v>
      </c>
      <c r="Z378" s="166"/>
      <c r="AA378" s="156">
        <f>ROUND(H378*Z353,2)</f>
        <v>0</v>
      </c>
      <c r="AB378" s="156">
        <f>ROUND(H378*W353,2)</f>
        <v>33829.1</v>
      </c>
    </row>
    <row r="379" spans="1:28" hidden="1" x14ac:dyDescent="0.25">
      <c r="A379" s="168"/>
      <c r="B379" s="133" t="str">
        <f>'Công trình'!B248</f>
        <v>AK.41124</v>
      </c>
      <c r="C379" s="34"/>
      <c r="D379" s="133" t="str">
        <f>'Công trình'!C248</f>
        <v>Vữa lót M75-3cm</v>
      </c>
      <c r="E379" s="168"/>
      <c r="F379" s="20">
        <v>1</v>
      </c>
      <c r="G379" s="169"/>
      <c r="H379" s="45">
        <f>'Hao phí vật tư'!J1880</f>
        <v>649.37599999999998</v>
      </c>
      <c r="I379" s="166"/>
      <c r="J379" s="156">
        <f>ROUND(H379*I353,2)</f>
        <v>6493.76</v>
      </c>
      <c r="K379" s="166"/>
      <c r="L379" s="156">
        <f>ROUND(H379*K353,2)</f>
        <v>6493.76</v>
      </c>
      <c r="M379" s="34"/>
      <c r="N379" s="166"/>
      <c r="O379" s="156">
        <f>ROUND(H379*N353,2)</f>
        <v>0</v>
      </c>
      <c r="P379" s="166"/>
      <c r="Q379" s="156">
        <f>ROUND(H379*P353,2)</f>
        <v>0</v>
      </c>
      <c r="R379" s="166"/>
      <c r="S379" s="156">
        <f>ROUND(H379*R353,2)</f>
        <v>0</v>
      </c>
      <c r="T379" s="34"/>
      <c r="U379" s="34"/>
      <c r="V379" s="166"/>
      <c r="W379" s="166"/>
      <c r="X379" s="166"/>
      <c r="Y379" s="156">
        <f>ROUND(H379*X353,2)</f>
        <v>0</v>
      </c>
      <c r="Z379" s="166"/>
      <c r="AA379" s="156">
        <f>ROUND(H379*Z353,2)</f>
        <v>0</v>
      </c>
      <c r="AB379" s="156">
        <f>ROUND(H379*W353,2)</f>
        <v>6493.76</v>
      </c>
    </row>
    <row r="380" spans="1:28" ht="30" hidden="1" x14ac:dyDescent="0.25">
      <c r="A380" s="168"/>
      <c r="B380" s="133" t="str">
        <f>'Công trình'!B250</f>
        <v>AG.11413</v>
      </c>
      <c r="C380" s="34"/>
      <c r="D380" s="133" t="str">
        <f>'Công trình'!C250</f>
        <v>Sản xuất bê tông lục giác, đá 1x2, vữa BT mác 200</v>
      </c>
      <c r="E380" s="168"/>
      <c r="F380" s="20">
        <v>1</v>
      </c>
      <c r="G380" s="169"/>
      <c r="H380" s="45">
        <f>'Hao phí vật tư'!J1903</f>
        <v>13606.1765</v>
      </c>
      <c r="I380" s="166"/>
      <c r="J380" s="156">
        <f>ROUND(H380*I353,2)</f>
        <v>136061.76999999999</v>
      </c>
      <c r="K380" s="166"/>
      <c r="L380" s="156">
        <f>ROUND(H380*K353,2)</f>
        <v>136061.76999999999</v>
      </c>
      <c r="M380" s="34"/>
      <c r="N380" s="166"/>
      <c r="O380" s="156">
        <f>ROUND(H380*N353,2)</f>
        <v>0</v>
      </c>
      <c r="P380" s="166"/>
      <c r="Q380" s="156">
        <f>ROUND(H380*P353,2)</f>
        <v>0</v>
      </c>
      <c r="R380" s="166"/>
      <c r="S380" s="156">
        <f>ROUND(H380*R353,2)</f>
        <v>0</v>
      </c>
      <c r="T380" s="34"/>
      <c r="U380" s="34"/>
      <c r="V380" s="166"/>
      <c r="W380" s="166"/>
      <c r="X380" s="166"/>
      <c r="Y380" s="156">
        <f>ROUND(H380*X353,2)</f>
        <v>0</v>
      </c>
      <c r="Z380" s="166"/>
      <c r="AA380" s="156">
        <f>ROUND(H380*Z353,2)</f>
        <v>0</v>
      </c>
      <c r="AB380" s="156">
        <f>ROUND(H380*W353,2)</f>
        <v>136061.76999999999</v>
      </c>
    </row>
    <row r="381" spans="1:28" ht="30" hidden="1" x14ac:dyDescent="0.25">
      <c r="A381" s="168"/>
      <c r="B381" s="133" t="str">
        <f>'Công trình'!B255</f>
        <v>AF.14325</v>
      </c>
      <c r="C381" s="34"/>
      <c r="D381" s="133" t="str">
        <f>'Công trình'!C255</f>
        <v>Bê tông lan can, gờ chắn đá 1x2, vữa BT mác 300</v>
      </c>
      <c r="E381" s="168"/>
      <c r="F381" s="20">
        <v>1</v>
      </c>
      <c r="G381" s="169"/>
      <c r="H381" s="45">
        <f>'Hao phí vật tư'!J1939</f>
        <v>4063.6637999999998</v>
      </c>
      <c r="I381" s="166"/>
      <c r="J381" s="156">
        <f>ROUND(H381*I353,2)</f>
        <v>40636.639999999999</v>
      </c>
      <c r="K381" s="166"/>
      <c r="L381" s="156">
        <f>ROUND(H381*K353,2)</f>
        <v>40636.639999999999</v>
      </c>
      <c r="M381" s="34"/>
      <c r="N381" s="166"/>
      <c r="O381" s="156">
        <f>ROUND(H381*N353,2)</f>
        <v>0</v>
      </c>
      <c r="P381" s="166"/>
      <c r="Q381" s="156">
        <f>ROUND(H381*P353,2)</f>
        <v>0</v>
      </c>
      <c r="R381" s="166"/>
      <c r="S381" s="156">
        <f>ROUND(H381*R353,2)</f>
        <v>0</v>
      </c>
      <c r="T381" s="34"/>
      <c r="U381" s="34"/>
      <c r="V381" s="166"/>
      <c r="W381" s="166"/>
      <c r="X381" s="166"/>
      <c r="Y381" s="156">
        <f>ROUND(H381*X353,2)</f>
        <v>0</v>
      </c>
      <c r="Z381" s="166"/>
      <c r="AA381" s="156">
        <f>ROUND(H381*Z353,2)</f>
        <v>0</v>
      </c>
      <c r="AB381" s="156">
        <f>ROUND(H381*W353,2)</f>
        <v>40636.639999999999</v>
      </c>
    </row>
    <row r="382" spans="1:28" hidden="1" x14ac:dyDescent="0.25">
      <c r="A382" s="168"/>
      <c r="B382" s="133" t="str">
        <f>'Công trình'!B263</f>
        <v>AI.63211</v>
      </c>
      <c r="C382" s="34"/>
      <c r="D382" s="133" t="str">
        <f>'Công trình'!C263</f>
        <v>Lắp dựng lan can sắt, vữa XM mác 75</v>
      </c>
      <c r="E382" s="168"/>
      <c r="F382" s="20">
        <v>1</v>
      </c>
      <c r="G382" s="169"/>
      <c r="H382" s="45">
        <f>'Hao phí vật tư'!J2011</f>
        <v>68.444999999999993</v>
      </c>
      <c r="I382" s="166"/>
      <c r="J382" s="156">
        <f>ROUND(H382*I353,2)</f>
        <v>684.45</v>
      </c>
      <c r="K382" s="166"/>
      <c r="L382" s="156">
        <f>ROUND(H382*K353,2)</f>
        <v>684.45</v>
      </c>
      <c r="M382" s="34"/>
      <c r="N382" s="166"/>
      <c r="O382" s="156">
        <f>ROUND(H382*N353,2)</f>
        <v>0</v>
      </c>
      <c r="P382" s="166"/>
      <c r="Q382" s="156">
        <f>ROUND(H382*P353,2)</f>
        <v>0</v>
      </c>
      <c r="R382" s="166"/>
      <c r="S382" s="156">
        <f>ROUND(H382*R353,2)</f>
        <v>0</v>
      </c>
      <c r="T382" s="34"/>
      <c r="U382" s="34"/>
      <c r="V382" s="166"/>
      <c r="W382" s="166"/>
      <c r="X382" s="166"/>
      <c r="Y382" s="156">
        <f>ROUND(H382*X353,2)</f>
        <v>0</v>
      </c>
      <c r="Z382" s="166"/>
      <c r="AA382" s="156">
        <f>ROUND(H382*Z353,2)</f>
        <v>0</v>
      </c>
      <c r="AB382" s="156">
        <f>ROUND(H382*W353,2)</f>
        <v>684.45</v>
      </c>
    </row>
    <row r="383" spans="1:28" ht="30" hidden="1" x14ac:dyDescent="0.25">
      <c r="A383" s="168"/>
      <c r="B383" s="133" t="str">
        <f>'Công trình'!B267</f>
        <v>AF.11212</v>
      </c>
      <c r="C383" s="34"/>
      <c r="D383" s="133" t="str">
        <f>'Công trình'!C267</f>
        <v>Bê tông móng rộng &lt;=250cm đá 1x2, vữa BT mác 150</v>
      </c>
      <c r="E383" s="168"/>
      <c r="F383" s="20">
        <v>1</v>
      </c>
      <c r="G383" s="169"/>
      <c r="H383" s="45">
        <f>'Hao phí vật tư'!J2034</f>
        <v>644.72500000000002</v>
      </c>
      <c r="I383" s="166"/>
      <c r="J383" s="156">
        <f>ROUND(H383*I353,2)</f>
        <v>6447.25</v>
      </c>
      <c r="K383" s="166"/>
      <c r="L383" s="156">
        <f>ROUND(H383*K353,2)</f>
        <v>6447.25</v>
      </c>
      <c r="M383" s="34"/>
      <c r="N383" s="166"/>
      <c r="O383" s="156">
        <f>ROUND(H383*N353,2)</f>
        <v>0</v>
      </c>
      <c r="P383" s="166"/>
      <c r="Q383" s="156">
        <f>ROUND(H383*P353,2)</f>
        <v>0</v>
      </c>
      <c r="R383" s="166"/>
      <c r="S383" s="156">
        <f>ROUND(H383*R353,2)</f>
        <v>0</v>
      </c>
      <c r="T383" s="34"/>
      <c r="U383" s="34"/>
      <c r="V383" s="166"/>
      <c r="W383" s="166"/>
      <c r="X383" s="166"/>
      <c r="Y383" s="156">
        <f>ROUND(H383*X353,2)</f>
        <v>0</v>
      </c>
      <c r="Z383" s="166"/>
      <c r="AA383" s="156">
        <f>ROUND(H383*Z353,2)</f>
        <v>0</v>
      </c>
      <c r="AB383" s="156">
        <f>ROUND(H383*W353,2)</f>
        <v>6447.25</v>
      </c>
    </row>
    <row r="384" spans="1:28" ht="30" hidden="1" x14ac:dyDescent="0.25">
      <c r="A384" s="168"/>
      <c r="B384" s="133" t="str">
        <f>'Công trình'!B284</f>
        <v>AF.11213</v>
      </c>
      <c r="C384" s="34"/>
      <c r="D384" s="133" t="str">
        <f>'Công trình'!C284</f>
        <v>Bê tông móng rộng &lt;=250cm đá 1x2, vữa BT mác 200</v>
      </c>
      <c r="E384" s="168"/>
      <c r="F384" s="20">
        <v>1</v>
      </c>
      <c r="G384" s="169"/>
      <c r="H384" s="45">
        <f>'Hao phí vật tư'!J2125</f>
        <v>1486.66</v>
      </c>
      <c r="I384" s="166"/>
      <c r="J384" s="156">
        <f>ROUND(H384*I353,2)</f>
        <v>14866.6</v>
      </c>
      <c r="K384" s="166"/>
      <c r="L384" s="156">
        <f>ROUND(H384*K353,2)</f>
        <v>14866.6</v>
      </c>
      <c r="M384" s="34"/>
      <c r="N384" s="166"/>
      <c r="O384" s="156">
        <f>ROUND(H384*N353,2)</f>
        <v>0</v>
      </c>
      <c r="P384" s="166"/>
      <c r="Q384" s="156">
        <f>ROUND(H384*P353,2)</f>
        <v>0</v>
      </c>
      <c r="R384" s="166"/>
      <c r="S384" s="156">
        <f>ROUND(H384*R353,2)</f>
        <v>0</v>
      </c>
      <c r="T384" s="34"/>
      <c r="U384" s="34"/>
      <c r="V384" s="166"/>
      <c r="W384" s="166"/>
      <c r="X384" s="166"/>
      <c r="Y384" s="156">
        <f>ROUND(H384*X353,2)</f>
        <v>0</v>
      </c>
      <c r="Z384" s="166"/>
      <c r="AA384" s="156">
        <f>ROUND(H384*Z353,2)</f>
        <v>0</v>
      </c>
      <c r="AB384" s="156">
        <f>ROUND(H384*W353,2)</f>
        <v>14866.6</v>
      </c>
    </row>
    <row r="385" spans="1:28" ht="30" hidden="1" x14ac:dyDescent="0.25">
      <c r="A385" s="168"/>
      <c r="B385" s="133" t="str">
        <f>'Công trình'!B285</f>
        <v>AF.11212</v>
      </c>
      <c r="C385" s="34"/>
      <c r="D385" s="133" t="str">
        <f>'Công trình'!C285</f>
        <v>Bê tông móng rộng &lt;=250cm đá 1x2, vữa BT mác 150</v>
      </c>
      <c r="E385" s="168"/>
      <c r="F385" s="20">
        <v>1</v>
      </c>
      <c r="G385" s="169"/>
      <c r="H385" s="45">
        <f>'Hao phí vật tư'!J2137</f>
        <v>265.47500000000002</v>
      </c>
      <c r="I385" s="166"/>
      <c r="J385" s="156">
        <f>ROUND(H385*I353,2)</f>
        <v>2654.75</v>
      </c>
      <c r="K385" s="166"/>
      <c r="L385" s="156">
        <f>ROUND(H385*K353,2)</f>
        <v>2654.75</v>
      </c>
      <c r="M385" s="34"/>
      <c r="N385" s="166"/>
      <c r="O385" s="156">
        <f>ROUND(H385*N353,2)</f>
        <v>0</v>
      </c>
      <c r="P385" s="166"/>
      <c r="Q385" s="156">
        <f>ROUND(H385*P353,2)</f>
        <v>0</v>
      </c>
      <c r="R385" s="166"/>
      <c r="S385" s="156">
        <f>ROUND(H385*R353,2)</f>
        <v>0</v>
      </c>
      <c r="T385" s="34"/>
      <c r="U385" s="34"/>
      <c r="V385" s="166"/>
      <c r="W385" s="166"/>
      <c r="X385" s="166"/>
      <c r="Y385" s="156">
        <f>ROUND(H385*X353,2)</f>
        <v>0</v>
      </c>
      <c r="Z385" s="166"/>
      <c r="AA385" s="156">
        <f>ROUND(H385*Z353,2)</f>
        <v>0</v>
      </c>
      <c r="AB385" s="156">
        <f>ROUND(H385*W353,2)</f>
        <v>2654.75</v>
      </c>
    </row>
    <row r="386" spans="1:28" hidden="1" x14ac:dyDescent="0.25">
      <c r="A386" s="168"/>
      <c r="B386" s="133" t="str">
        <f>'Công trình'!B286</f>
        <v>AK.41124</v>
      </c>
      <c r="C386" s="34"/>
      <c r="D386" s="133" t="str">
        <f>'Công trình'!C286</f>
        <v>Vữa lót M75 dày 3cm</v>
      </c>
      <c r="E386" s="168"/>
      <c r="F386" s="20">
        <v>1</v>
      </c>
      <c r="G386" s="169"/>
      <c r="H386" s="45">
        <f>'Hao phí vật tư'!J2148</f>
        <v>103.194</v>
      </c>
      <c r="I386" s="166"/>
      <c r="J386" s="156">
        <f>ROUND(H386*I353,2)</f>
        <v>1031.94</v>
      </c>
      <c r="K386" s="166"/>
      <c r="L386" s="156">
        <f>ROUND(H386*K353,2)</f>
        <v>1031.94</v>
      </c>
      <c r="M386" s="34"/>
      <c r="N386" s="166"/>
      <c r="O386" s="156">
        <f>ROUND(H386*N353,2)</f>
        <v>0</v>
      </c>
      <c r="P386" s="166"/>
      <c r="Q386" s="156">
        <f>ROUND(H386*P353,2)</f>
        <v>0</v>
      </c>
      <c r="R386" s="166"/>
      <c r="S386" s="156">
        <f>ROUND(H386*R353,2)</f>
        <v>0</v>
      </c>
      <c r="T386" s="34"/>
      <c r="U386" s="34"/>
      <c r="V386" s="166"/>
      <c r="W386" s="166"/>
      <c r="X386" s="166"/>
      <c r="Y386" s="156">
        <f>ROUND(H386*X353,2)</f>
        <v>0</v>
      </c>
      <c r="Z386" s="166"/>
      <c r="AA386" s="156">
        <f>ROUND(H386*Z353,2)</f>
        <v>0</v>
      </c>
      <c r="AB386" s="156">
        <f>ROUND(H386*W353,2)</f>
        <v>1031.94</v>
      </c>
    </row>
    <row r="387" spans="1:28" ht="30" hidden="1" x14ac:dyDescent="0.25">
      <c r="A387" s="168"/>
      <c r="B387" s="133" t="str">
        <f>'Công trình'!B252</f>
        <v>AG.42111</v>
      </c>
      <c r="C387" s="34"/>
      <c r="D387" s="133" t="str">
        <f>'Công trình'!C252</f>
        <v>Lắp các loại cấu kiện BT đúc sẵn bằng thủ công trọng lượng &lt;=50kg, vữa XM mác 100</v>
      </c>
      <c r="E387" s="168"/>
      <c r="F387" s="20">
        <v>1</v>
      </c>
      <c r="G387" s="169"/>
      <c r="H387" s="45">
        <f>'Hao phí vật tư'!J1924</f>
        <v>5435.04</v>
      </c>
      <c r="I387" s="166"/>
      <c r="J387" s="156">
        <f>ROUND(H387*I353,2)</f>
        <v>54350.400000000001</v>
      </c>
      <c r="K387" s="166"/>
      <c r="L387" s="156">
        <f>ROUND(H387*K353,2)</f>
        <v>54350.400000000001</v>
      </c>
      <c r="M387" s="34"/>
      <c r="N387" s="166"/>
      <c r="O387" s="156">
        <f>ROUND(H387*N353,2)</f>
        <v>0</v>
      </c>
      <c r="P387" s="166"/>
      <c r="Q387" s="156">
        <f>ROUND(H387*P353,2)</f>
        <v>0</v>
      </c>
      <c r="R387" s="166"/>
      <c r="S387" s="156">
        <f>ROUND(H387*R353,2)</f>
        <v>0</v>
      </c>
      <c r="T387" s="34"/>
      <c r="U387" s="34"/>
      <c r="V387" s="166"/>
      <c r="W387" s="166"/>
      <c r="X387" s="166"/>
      <c r="Y387" s="156">
        <f>ROUND(H387*X353,2)</f>
        <v>0</v>
      </c>
      <c r="Z387" s="166"/>
      <c r="AA387" s="156">
        <f>ROUND(H387*Z353,2)</f>
        <v>0</v>
      </c>
      <c r="AB387" s="156">
        <f>ROUND(H387*W353,2)</f>
        <v>54350.400000000001</v>
      </c>
    </row>
    <row r="388" spans="1:28" hidden="1" x14ac:dyDescent="0.25">
      <c r="A388" s="168"/>
      <c r="B388" s="133" t="str">
        <f>'Công trình'!B265</f>
        <v>AK.41115</v>
      </c>
      <c r="C388" s="34"/>
      <c r="D388" s="133" t="str">
        <f>'Công trình'!C265</f>
        <v>Vữa xi măng M100</v>
      </c>
      <c r="E388" s="168"/>
      <c r="F388" s="20">
        <v>1</v>
      </c>
      <c r="G388" s="169"/>
      <c r="H388" s="45">
        <f>'Hao phí vật tư'!J2024</f>
        <v>104</v>
      </c>
      <c r="I388" s="166"/>
      <c r="J388" s="156">
        <f>ROUND(H388*I353,2)</f>
        <v>1040</v>
      </c>
      <c r="K388" s="166"/>
      <c r="L388" s="156">
        <f>ROUND(H388*K353,2)</f>
        <v>1040</v>
      </c>
      <c r="M388" s="34"/>
      <c r="N388" s="166"/>
      <c r="O388" s="156">
        <f>ROUND(H388*N353,2)</f>
        <v>0</v>
      </c>
      <c r="P388" s="166"/>
      <c r="Q388" s="156">
        <f>ROUND(H388*P353,2)</f>
        <v>0</v>
      </c>
      <c r="R388" s="166"/>
      <c r="S388" s="156">
        <f>ROUND(H388*R353,2)</f>
        <v>0</v>
      </c>
      <c r="T388" s="34"/>
      <c r="U388" s="34"/>
      <c r="V388" s="166"/>
      <c r="W388" s="166"/>
      <c r="X388" s="166"/>
      <c r="Y388" s="156">
        <f>ROUND(H388*X353,2)</f>
        <v>0</v>
      </c>
      <c r="Z388" s="166"/>
      <c r="AA388" s="156">
        <f>ROUND(H388*Z353,2)</f>
        <v>0</v>
      </c>
      <c r="AB388" s="156">
        <f>ROUND(H388*W353,2)</f>
        <v>1040</v>
      </c>
    </row>
    <row r="389" spans="1:28" ht="30" hidden="1" x14ac:dyDescent="0.25">
      <c r="A389" s="168"/>
      <c r="B389" s="133" t="str">
        <f>'Công trình'!B295</f>
        <v>AF.11213</v>
      </c>
      <c r="C389" s="34"/>
      <c r="D389" s="133" t="str">
        <f>'Công trình'!C295</f>
        <v>Bê tông móng rộng &lt;=250cm đá 1x2, vữa BT mác 200</v>
      </c>
      <c r="E389" s="168"/>
      <c r="F389" s="20">
        <v>1</v>
      </c>
      <c r="G389" s="169"/>
      <c r="H389" s="45">
        <f>'Hao phí vật tư'!J2209</f>
        <v>32.2363</v>
      </c>
      <c r="I389" s="166"/>
      <c r="J389" s="156">
        <f>ROUND(H389*I353,2)</f>
        <v>322.36</v>
      </c>
      <c r="K389" s="166"/>
      <c r="L389" s="156">
        <f>ROUND(H389*K353,2)</f>
        <v>322.36</v>
      </c>
      <c r="M389" s="34"/>
      <c r="N389" s="166"/>
      <c r="O389" s="156">
        <f>ROUND(H389*N353,2)</f>
        <v>0</v>
      </c>
      <c r="P389" s="166"/>
      <c r="Q389" s="156">
        <f>ROUND(H389*P353,2)</f>
        <v>0</v>
      </c>
      <c r="R389" s="166"/>
      <c r="S389" s="156">
        <f>ROUND(H389*R353,2)</f>
        <v>0</v>
      </c>
      <c r="T389" s="34"/>
      <c r="U389" s="34"/>
      <c r="V389" s="166"/>
      <c r="W389" s="166"/>
      <c r="X389" s="166"/>
      <c r="Y389" s="156">
        <f>ROUND(H389*X353,2)</f>
        <v>0</v>
      </c>
      <c r="Z389" s="166"/>
      <c r="AA389" s="156">
        <f>ROUND(H389*Z353,2)</f>
        <v>0</v>
      </c>
      <c r="AB389" s="156">
        <f>ROUND(H389*W353,2)</f>
        <v>322.36</v>
      </c>
    </row>
    <row r="390" spans="1:28" ht="30" hidden="1" x14ac:dyDescent="0.25">
      <c r="A390" s="168"/>
      <c r="B390" s="133" t="str">
        <f>'Công trình'!B296</f>
        <v>AF.11212</v>
      </c>
      <c r="C390" s="34"/>
      <c r="D390" s="133" t="str">
        <f>'Công trình'!C296</f>
        <v>Bê tông móng rộng &lt;=250cm đá 1x2, vữa BT mác 150</v>
      </c>
      <c r="E390" s="168"/>
      <c r="F390" s="20">
        <v>1</v>
      </c>
      <c r="G390" s="169"/>
      <c r="H390" s="45">
        <f>'Hao phí vật tư'!J2221</f>
        <v>11.3775</v>
      </c>
      <c r="I390" s="166"/>
      <c r="J390" s="156">
        <f>ROUND(H390*I353,2)</f>
        <v>113.78</v>
      </c>
      <c r="K390" s="166"/>
      <c r="L390" s="156">
        <f>ROUND(H390*K353,2)</f>
        <v>113.78</v>
      </c>
      <c r="M390" s="34"/>
      <c r="N390" s="166"/>
      <c r="O390" s="156">
        <f>ROUND(H390*N353,2)</f>
        <v>0</v>
      </c>
      <c r="P390" s="166"/>
      <c r="Q390" s="156">
        <f>ROUND(H390*P353,2)</f>
        <v>0</v>
      </c>
      <c r="R390" s="166"/>
      <c r="S390" s="156">
        <f>ROUND(H390*R353,2)</f>
        <v>0</v>
      </c>
      <c r="T390" s="34"/>
      <c r="U390" s="34"/>
      <c r="V390" s="166"/>
      <c r="W390" s="166"/>
      <c r="X390" s="166"/>
      <c r="Y390" s="156">
        <f>ROUND(H390*X353,2)</f>
        <v>0</v>
      </c>
      <c r="Z390" s="166"/>
      <c r="AA390" s="156">
        <f>ROUND(H390*Z353,2)</f>
        <v>0</v>
      </c>
      <c r="AB390" s="156">
        <f>ROUND(H390*W353,2)</f>
        <v>113.78</v>
      </c>
    </row>
    <row r="391" spans="1:28" ht="30" hidden="1" x14ac:dyDescent="0.25">
      <c r="A391" s="168"/>
      <c r="B391" s="133" t="str">
        <f>'Công trình'!B300</f>
        <v>AG.11113</v>
      </c>
      <c r="C391" s="34"/>
      <c r="D391" s="133" t="str">
        <f>'Công trình'!C300</f>
        <v>Sản xuất bê tông cọc, cột đúc sẵn đá 1x2, vữa BT mác 200</v>
      </c>
      <c r="E391" s="168"/>
      <c r="F391" s="20">
        <v>1</v>
      </c>
      <c r="G391" s="169"/>
      <c r="H391" s="45">
        <f>'Hao phí vật tư'!J2243</f>
        <v>168.9975</v>
      </c>
      <c r="I391" s="166"/>
      <c r="J391" s="156">
        <f>ROUND(H391*I353,2)</f>
        <v>1689.98</v>
      </c>
      <c r="K391" s="166"/>
      <c r="L391" s="156">
        <f>ROUND(H391*K353,2)</f>
        <v>1689.98</v>
      </c>
      <c r="M391" s="34"/>
      <c r="N391" s="166"/>
      <c r="O391" s="156">
        <f>ROUND(H391*N353,2)</f>
        <v>0</v>
      </c>
      <c r="P391" s="166"/>
      <c r="Q391" s="156">
        <f>ROUND(H391*P353,2)</f>
        <v>0</v>
      </c>
      <c r="R391" s="166"/>
      <c r="S391" s="156">
        <f>ROUND(H391*R353,2)</f>
        <v>0</v>
      </c>
      <c r="T391" s="34"/>
      <c r="U391" s="34"/>
      <c r="V391" s="166"/>
      <c r="W391" s="166"/>
      <c r="X391" s="166"/>
      <c r="Y391" s="156">
        <f>ROUND(H391*X353,2)</f>
        <v>0</v>
      </c>
      <c r="Z391" s="166"/>
      <c r="AA391" s="156">
        <f>ROUND(H391*Z353,2)</f>
        <v>0</v>
      </c>
      <c r="AB391" s="156">
        <f>ROUND(H391*W353,2)</f>
        <v>1689.98</v>
      </c>
    </row>
    <row r="392" spans="1:28" ht="30" hidden="1" x14ac:dyDescent="0.25">
      <c r="A392" s="168"/>
      <c r="B392" s="133" t="str">
        <f>'Công trình'!B301</f>
        <v>AF.11212</v>
      </c>
      <c r="C392" s="34"/>
      <c r="D392" s="133" t="str">
        <f>'Công trình'!C301</f>
        <v>Bê tông móng rộng &lt;=250cm đá 1x2, vữa BT mác 150</v>
      </c>
      <c r="E392" s="168"/>
      <c r="F392" s="20">
        <v>1</v>
      </c>
      <c r="G392" s="169"/>
      <c r="H392" s="45">
        <f>'Hao phí vật tư'!J2256</f>
        <v>273.06</v>
      </c>
      <c r="I392" s="166"/>
      <c r="J392" s="156">
        <f>ROUND(H392*I353,2)</f>
        <v>2730.6</v>
      </c>
      <c r="K392" s="166"/>
      <c r="L392" s="156">
        <f>ROUND(H392*K353,2)</f>
        <v>2730.6</v>
      </c>
      <c r="M392" s="34"/>
      <c r="N392" s="166"/>
      <c r="O392" s="156">
        <f>ROUND(H392*N353,2)</f>
        <v>0</v>
      </c>
      <c r="P392" s="166"/>
      <c r="Q392" s="156">
        <f>ROUND(H392*P353,2)</f>
        <v>0</v>
      </c>
      <c r="R392" s="166"/>
      <c r="S392" s="156">
        <f>ROUND(H392*R353,2)</f>
        <v>0</v>
      </c>
      <c r="T392" s="34"/>
      <c r="U392" s="34"/>
      <c r="V392" s="166"/>
      <c r="W392" s="166"/>
      <c r="X392" s="166"/>
      <c r="Y392" s="156">
        <f>ROUND(H392*X353,2)</f>
        <v>0</v>
      </c>
      <c r="Z392" s="166"/>
      <c r="AA392" s="156">
        <f>ROUND(H392*Z353,2)</f>
        <v>0</v>
      </c>
      <c r="AB392" s="156">
        <f>ROUND(H392*W353,2)</f>
        <v>2730.6</v>
      </c>
    </row>
    <row r="393" spans="1:28" ht="30" hidden="1" x14ac:dyDescent="0.25">
      <c r="A393" s="168"/>
      <c r="B393" s="133" t="str">
        <f>'Công trình'!B303</f>
        <v>AG.42111</v>
      </c>
      <c r="C393" s="34"/>
      <c r="D393" s="133" t="str">
        <f>'Công trình'!C303</f>
        <v>Lắp các loại cấu kiện BT đúc sẵn bằng thủ công trọng lượng &lt;=50kg, vữa XM mác 100</v>
      </c>
      <c r="E393" s="168"/>
      <c r="F393" s="20">
        <v>1</v>
      </c>
      <c r="G393" s="169"/>
      <c r="H393" s="45">
        <f>'Hao phí vật tư'!J2275</f>
        <v>31.2</v>
      </c>
      <c r="I393" s="166"/>
      <c r="J393" s="156">
        <f>ROUND(H393*I353,2)</f>
        <v>312</v>
      </c>
      <c r="K393" s="166"/>
      <c r="L393" s="156">
        <f>ROUND(H393*K353,2)</f>
        <v>312</v>
      </c>
      <c r="M393" s="34"/>
      <c r="N393" s="166"/>
      <c r="O393" s="156">
        <f>ROUND(H393*N353,2)</f>
        <v>0</v>
      </c>
      <c r="P393" s="166"/>
      <c r="Q393" s="156">
        <f>ROUND(H393*P353,2)</f>
        <v>0</v>
      </c>
      <c r="R393" s="166"/>
      <c r="S393" s="156">
        <f>ROUND(H393*R353,2)</f>
        <v>0</v>
      </c>
      <c r="T393" s="34"/>
      <c r="U393" s="34"/>
      <c r="V393" s="166"/>
      <c r="W393" s="166"/>
      <c r="X393" s="166"/>
      <c r="Y393" s="156">
        <f>ROUND(H393*X353,2)</f>
        <v>0</v>
      </c>
      <c r="Z393" s="166"/>
      <c r="AA393" s="156">
        <f>ROUND(H393*Z353,2)</f>
        <v>0</v>
      </c>
      <c r="AB393" s="156">
        <f>ROUND(H393*W353,2)</f>
        <v>312</v>
      </c>
    </row>
    <row r="394" spans="1:28" ht="30" hidden="1" x14ac:dyDescent="0.25">
      <c r="A394" s="168"/>
      <c r="B394" s="133" t="str">
        <f>'Công trình'!B7</f>
        <v>AF.11224</v>
      </c>
      <c r="C394" s="34"/>
      <c r="D394" s="133" t="str">
        <f>'Công trình'!C7</f>
        <v>Bê tông móng rộng &gt;250cm đá 1x2, vữa BT mác 250</v>
      </c>
      <c r="E394" s="168"/>
      <c r="F394" s="20">
        <v>1</v>
      </c>
      <c r="G394" s="169"/>
      <c r="H394" s="45">
        <f>'Hao phí vật tư'!J14</f>
        <v>31162.9725</v>
      </c>
      <c r="I394" s="166"/>
      <c r="J394" s="156">
        <f>ROUND(H394*I353,2)</f>
        <v>311629.73</v>
      </c>
      <c r="K394" s="166"/>
      <c r="L394" s="156">
        <f>ROUND(H394*K353,2)</f>
        <v>311629.73</v>
      </c>
      <c r="M394" s="34"/>
      <c r="N394" s="166"/>
      <c r="O394" s="156">
        <f>ROUND(H394*N353,2)</f>
        <v>0</v>
      </c>
      <c r="P394" s="166"/>
      <c r="Q394" s="156">
        <f>ROUND(H394*P353,2)</f>
        <v>0</v>
      </c>
      <c r="R394" s="166"/>
      <c r="S394" s="156">
        <f>ROUND(H394*R353,2)</f>
        <v>0</v>
      </c>
      <c r="T394" s="34"/>
      <c r="U394" s="34"/>
      <c r="V394" s="166"/>
      <c r="W394" s="166"/>
      <c r="X394" s="166"/>
      <c r="Y394" s="156">
        <f>ROUND(H394*X353,2)</f>
        <v>0</v>
      </c>
      <c r="Z394" s="166"/>
      <c r="AA394" s="156">
        <f>ROUND(H394*Z353,2)</f>
        <v>0</v>
      </c>
      <c r="AB394" s="156">
        <f>ROUND(H394*W353,2)</f>
        <v>311629.73</v>
      </c>
    </row>
    <row r="395" spans="1:28" ht="30" hidden="1" x14ac:dyDescent="0.25">
      <c r="A395" s="168"/>
      <c r="B395" s="133" t="str">
        <f>'Công trình'!B8</f>
        <v>AF.12144</v>
      </c>
      <c r="C395" s="34"/>
      <c r="D395" s="133" t="str">
        <f>'Công trình'!C8</f>
        <v>Bê tông tường dày &gt;45cm, chiều cao &lt;=16m đá 1x2, vữa BT mác 250</v>
      </c>
      <c r="E395" s="168"/>
      <c r="F395" s="20">
        <v>1</v>
      </c>
      <c r="G395" s="169"/>
      <c r="H395" s="45">
        <f>'Hao phí vật tư'!J29</f>
        <v>30467.0488</v>
      </c>
      <c r="I395" s="166"/>
      <c r="J395" s="156">
        <f>ROUND(H395*I353,2)</f>
        <v>304670.49</v>
      </c>
      <c r="K395" s="166"/>
      <c r="L395" s="156">
        <f>ROUND(H395*K353,2)</f>
        <v>304670.49</v>
      </c>
      <c r="M395" s="34"/>
      <c r="N395" s="166"/>
      <c r="O395" s="156">
        <f>ROUND(H395*N353,2)</f>
        <v>0</v>
      </c>
      <c r="P395" s="166"/>
      <c r="Q395" s="156">
        <f>ROUND(H395*P353,2)</f>
        <v>0</v>
      </c>
      <c r="R395" s="166"/>
      <c r="S395" s="156">
        <f>ROUND(H395*R353,2)</f>
        <v>0</v>
      </c>
      <c r="T395" s="34"/>
      <c r="U395" s="34"/>
      <c r="V395" s="166"/>
      <c r="W395" s="166"/>
      <c r="X395" s="166"/>
      <c r="Y395" s="156">
        <f>ROUND(H395*X353,2)</f>
        <v>0</v>
      </c>
      <c r="Z395" s="166"/>
      <c r="AA395" s="156">
        <f>ROUND(H395*Z353,2)</f>
        <v>0</v>
      </c>
      <c r="AB395" s="156">
        <f>ROUND(H395*W353,2)</f>
        <v>304670.49</v>
      </c>
    </row>
    <row r="396" spans="1:28" hidden="1" x14ac:dyDescent="0.25">
      <c r="A396" s="168"/>
      <c r="B396" s="133" t="str">
        <f>'Công trình'!B198</f>
        <v>TT</v>
      </c>
      <c r="C396" s="34"/>
      <c r="D396" s="133" t="str">
        <f>'Công trình'!C198</f>
        <v>Vữa xi măng dày 7cm, vữa XM mác 400</v>
      </c>
      <c r="E396" s="168"/>
      <c r="F396" s="20">
        <v>1</v>
      </c>
      <c r="G396" s="169"/>
      <c r="H396" s="45">
        <f>'Hao phí vật tư'!J1528</f>
        <v>3769.3530000000001</v>
      </c>
      <c r="I396" s="166"/>
      <c r="J396" s="156">
        <f>ROUND(H396*I353,2)</f>
        <v>37693.53</v>
      </c>
      <c r="K396" s="166"/>
      <c r="L396" s="156">
        <f>ROUND(H396*K353,2)</f>
        <v>37693.53</v>
      </c>
      <c r="M396" s="34"/>
      <c r="N396" s="166"/>
      <c r="O396" s="156">
        <f>ROUND(H396*N353,2)</f>
        <v>0</v>
      </c>
      <c r="P396" s="166"/>
      <c r="Q396" s="156">
        <f>ROUND(H396*P353,2)</f>
        <v>0</v>
      </c>
      <c r="R396" s="166"/>
      <c r="S396" s="156">
        <f>ROUND(H396*R353,2)</f>
        <v>0</v>
      </c>
      <c r="T396" s="34"/>
      <c r="U396" s="34"/>
      <c r="V396" s="166"/>
      <c r="W396" s="166"/>
      <c r="X396" s="166"/>
      <c r="Y396" s="156">
        <f>ROUND(H396*X353,2)</f>
        <v>0</v>
      </c>
      <c r="Z396" s="166"/>
      <c r="AA396" s="156">
        <f>ROUND(H396*Z353,2)</f>
        <v>0</v>
      </c>
      <c r="AB396" s="156">
        <f>ROUND(H396*W353,2)</f>
        <v>37693.53</v>
      </c>
    </row>
    <row r="397" spans="1:28" hidden="1" x14ac:dyDescent="0.25">
      <c r="A397" s="168"/>
      <c r="B397" s="133" t="str">
        <f>'Công trình'!B175</f>
        <v>AF.11225</v>
      </c>
      <c r="C397" s="34"/>
      <c r="D397" s="133" t="str">
        <f>'Công trình'!C175</f>
        <v>Bê tông bản dẫn đá 1x2, vữa BT mác 300</v>
      </c>
      <c r="E397" s="168"/>
      <c r="F397" s="20">
        <v>1</v>
      </c>
      <c r="G397" s="169"/>
      <c r="H397" s="45">
        <f>'Hao phí vật tư'!J1317</f>
        <v>3413.25</v>
      </c>
      <c r="I397" s="166"/>
      <c r="J397" s="156">
        <f>ROUND(H397*I353,2)</f>
        <v>34132.5</v>
      </c>
      <c r="K397" s="166"/>
      <c r="L397" s="156">
        <f>ROUND(H397*K353,2)</f>
        <v>34132.5</v>
      </c>
      <c r="M397" s="34"/>
      <c r="N397" s="166"/>
      <c r="O397" s="156">
        <f>ROUND(H397*N353,2)</f>
        <v>0</v>
      </c>
      <c r="P397" s="166"/>
      <c r="Q397" s="156">
        <f>ROUND(H397*P353,2)</f>
        <v>0</v>
      </c>
      <c r="R397" s="166"/>
      <c r="S397" s="156">
        <f>ROUND(H397*R353,2)</f>
        <v>0</v>
      </c>
      <c r="T397" s="34"/>
      <c r="U397" s="34"/>
      <c r="V397" s="166"/>
      <c r="W397" s="166"/>
      <c r="X397" s="166"/>
      <c r="Y397" s="156">
        <f>ROUND(H397*X353,2)</f>
        <v>0</v>
      </c>
      <c r="Z397" s="166"/>
      <c r="AA397" s="156">
        <f>ROUND(H397*Z353,2)</f>
        <v>0</v>
      </c>
      <c r="AB397" s="156">
        <f>ROUND(H397*W353,2)</f>
        <v>34132.5</v>
      </c>
    </row>
    <row r="398" spans="1:28" hidden="1" x14ac:dyDescent="0.25">
      <c r="A398" s="168"/>
      <c r="B398" s="133" t="str">
        <f>'Công trình'!B9</f>
        <v>AF.11333</v>
      </c>
      <c r="C398" s="34"/>
      <c r="D398" s="133" t="str">
        <f>'Công trình'!C9</f>
        <v>Bê tông bịt đáy đá 4x6, vữa BT mác 200</v>
      </c>
      <c r="E398" s="168"/>
      <c r="F398" s="20">
        <v>1</v>
      </c>
      <c r="G398" s="169"/>
      <c r="H398" s="45">
        <f>'Hao phí vật tư'!J43</f>
        <v>44187</v>
      </c>
      <c r="I398" s="166"/>
      <c r="J398" s="156">
        <f>ROUND(H398*I353,2)</f>
        <v>441870</v>
      </c>
      <c r="K398" s="166"/>
      <c r="L398" s="156">
        <f>ROUND(H398*K353,2)</f>
        <v>441870</v>
      </c>
      <c r="M398" s="34"/>
      <c r="N398" s="166"/>
      <c r="O398" s="156">
        <f>ROUND(H398*N353,2)</f>
        <v>0</v>
      </c>
      <c r="P398" s="166"/>
      <c r="Q398" s="156">
        <f>ROUND(H398*P353,2)</f>
        <v>0</v>
      </c>
      <c r="R398" s="166"/>
      <c r="S398" s="156">
        <f>ROUND(H398*R353,2)</f>
        <v>0</v>
      </c>
      <c r="T398" s="34"/>
      <c r="U398" s="34"/>
      <c r="V398" s="166"/>
      <c r="W398" s="166"/>
      <c r="X398" s="166"/>
      <c r="Y398" s="156">
        <f>ROUND(H398*X353,2)</f>
        <v>0</v>
      </c>
      <c r="Z398" s="166"/>
      <c r="AA398" s="156">
        <f>ROUND(H398*Z353,2)</f>
        <v>0</v>
      </c>
      <c r="AB398" s="156">
        <f>ROUND(H398*W353,2)</f>
        <v>441870</v>
      </c>
    </row>
    <row r="399" spans="1:28" ht="30" hidden="1" x14ac:dyDescent="0.25">
      <c r="A399" s="168"/>
      <c r="B399" s="133" t="str">
        <f>'Công trình'!B10</f>
        <v>AF.11121</v>
      </c>
      <c r="C399" s="34"/>
      <c r="D399" s="133" t="str">
        <f>'Công trình'!C10</f>
        <v>Bê tông lót móng rộng &gt;250cm đá 4x6, vữa BT mác 100</v>
      </c>
      <c r="E399" s="168"/>
      <c r="F399" s="20">
        <v>1</v>
      </c>
      <c r="G399" s="169"/>
      <c r="H399" s="45">
        <f>'Hao phí vật tư'!J55</f>
        <v>9279.27</v>
      </c>
      <c r="I399" s="166"/>
      <c r="J399" s="156">
        <f>ROUND(H399*I353,2)</f>
        <v>92792.7</v>
      </c>
      <c r="K399" s="166"/>
      <c r="L399" s="156">
        <f>ROUND(H399*K353,2)</f>
        <v>92792.7</v>
      </c>
      <c r="M399" s="34"/>
      <c r="N399" s="166"/>
      <c r="O399" s="156">
        <f>ROUND(H399*N353,2)</f>
        <v>0</v>
      </c>
      <c r="P399" s="166"/>
      <c r="Q399" s="156">
        <f>ROUND(H399*P353,2)</f>
        <v>0</v>
      </c>
      <c r="R399" s="166"/>
      <c r="S399" s="156">
        <f>ROUND(H399*R353,2)</f>
        <v>0</v>
      </c>
      <c r="T399" s="34"/>
      <c r="U399" s="34"/>
      <c r="V399" s="166"/>
      <c r="W399" s="166"/>
      <c r="X399" s="166"/>
      <c r="Y399" s="156">
        <f>ROUND(H399*X353,2)</f>
        <v>0</v>
      </c>
      <c r="Z399" s="166"/>
      <c r="AA399" s="156">
        <f>ROUND(H399*Z353,2)</f>
        <v>0</v>
      </c>
      <c r="AB399" s="156">
        <f>ROUND(H399*W353,2)</f>
        <v>92792.7</v>
      </c>
    </row>
    <row r="400" spans="1:28" hidden="1" x14ac:dyDescent="0.25">
      <c r="A400" s="168"/>
      <c r="B400" s="133" t="str">
        <f>'Công trình'!B34</f>
        <v>AF.12313</v>
      </c>
      <c r="C400" s="34"/>
      <c r="D400" s="133" t="str">
        <f>'Công trình'!C34</f>
        <v>Bê tông dầm, giằng đá 1x2, vữa BT mác 200</v>
      </c>
      <c r="E400" s="168"/>
      <c r="F400" s="20">
        <v>1</v>
      </c>
      <c r="G400" s="169"/>
      <c r="H400" s="45">
        <f>'Hao phí vật tư'!J250</f>
        <v>1956.93</v>
      </c>
      <c r="I400" s="166"/>
      <c r="J400" s="156">
        <f>ROUND(H400*I353,2)</f>
        <v>19569.3</v>
      </c>
      <c r="K400" s="166"/>
      <c r="L400" s="156">
        <f>ROUND(H400*K353,2)</f>
        <v>19569.3</v>
      </c>
      <c r="M400" s="34"/>
      <c r="N400" s="166"/>
      <c r="O400" s="156">
        <f>ROUND(H400*N353,2)</f>
        <v>0</v>
      </c>
      <c r="P400" s="166"/>
      <c r="Q400" s="156">
        <f>ROUND(H400*P353,2)</f>
        <v>0</v>
      </c>
      <c r="R400" s="166"/>
      <c r="S400" s="156">
        <f>ROUND(H400*R353,2)</f>
        <v>0</v>
      </c>
      <c r="T400" s="34"/>
      <c r="U400" s="34"/>
      <c r="V400" s="166"/>
      <c r="W400" s="166"/>
      <c r="X400" s="166"/>
      <c r="Y400" s="156">
        <f>ROUND(H400*X353,2)</f>
        <v>0</v>
      </c>
      <c r="Z400" s="166"/>
      <c r="AA400" s="156">
        <f>ROUND(H400*Z353,2)</f>
        <v>0</v>
      </c>
      <c r="AB400" s="156">
        <f>ROUND(H400*W353,2)</f>
        <v>19569.3</v>
      </c>
    </row>
    <row r="401" spans="1:28" x14ac:dyDescent="0.25">
      <c r="A401" s="168">
        <v>66</v>
      </c>
      <c r="B401" s="84" t="s">
        <v>201</v>
      </c>
      <c r="C401" s="34">
        <v>400</v>
      </c>
      <c r="D401" s="144" t="s">
        <v>405</v>
      </c>
      <c r="E401" s="168" t="s">
        <v>339</v>
      </c>
      <c r="F401" s="34"/>
      <c r="G401" s="169"/>
      <c r="H401" s="60">
        <f>SUM(H402:H422)</f>
        <v>323.99209999999999</v>
      </c>
      <c r="I401" s="166">
        <v>72000</v>
      </c>
      <c r="J401" s="166">
        <f>ROUND(H401*I401,0)</f>
        <v>23327431</v>
      </c>
      <c r="K401" s="166">
        <f>'Tổng hợp VL,NC,M'!I417</f>
        <v>72000</v>
      </c>
      <c r="L401" s="166">
        <f>ROUND(H401*K401,0)</f>
        <v>23327431</v>
      </c>
      <c r="M401" s="34">
        <v>1</v>
      </c>
      <c r="N401" s="166"/>
      <c r="O401" s="166">
        <f>ROUND(H401*N401,0)</f>
        <v>0</v>
      </c>
      <c r="P401" s="166"/>
      <c r="Q401" s="166">
        <f>ROUND(H401*P401,0)</f>
        <v>0</v>
      </c>
      <c r="R401" s="166"/>
      <c r="S401" s="166">
        <f>ROUND(H401*R401,0)</f>
        <v>0</v>
      </c>
      <c r="T401" s="34"/>
      <c r="U401" s="34"/>
      <c r="V401" s="166">
        <f>ROUND((K401+N401+P401+R401)*(U401+T401),0)</f>
        <v>0</v>
      </c>
      <c r="W401" s="166">
        <f>K401+N401+P401+R401+V401</f>
        <v>72000</v>
      </c>
      <c r="X401" s="166">
        <f>K401-I401</f>
        <v>0</v>
      </c>
      <c r="Y401" s="166">
        <f>ROUND(H401*X401,0)</f>
        <v>0</v>
      </c>
      <c r="Z401" s="166">
        <f>W401-I401</f>
        <v>0</v>
      </c>
      <c r="AA401" s="166">
        <f>ROUND(H401*Z401,0)</f>
        <v>0</v>
      </c>
      <c r="AB401" s="166">
        <f>ROUND(H401*W401,0)</f>
        <v>23327431</v>
      </c>
    </row>
    <row r="402" spans="1:28" ht="30" hidden="1" x14ac:dyDescent="0.25">
      <c r="A402" s="168"/>
      <c r="B402" s="133" t="str">
        <f>'Công trình'!B39</f>
        <v>AI.13111</v>
      </c>
      <c r="C402" s="34"/>
      <c r="D402" s="133" t="str">
        <f>'Công trình'!C39</f>
        <v>Sản xuất cấu kiện thép đặt sẵn trong bê tông, khối lượng &lt;=10kg/cấu kiện</v>
      </c>
      <c r="E402" s="168"/>
      <c r="F402" s="20">
        <v>1</v>
      </c>
      <c r="G402" s="169"/>
      <c r="H402" s="45">
        <f>'Hao phí vật tư'!J296</f>
        <v>3.4299999999999997E-2</v>
      </c>
      <c r="I402" s="166"/>
      <c r="J402" s="156">
        <f>ROUND(H402*I401,2)</f>
        <v>2469.6</v>
      </c>
      <c r="K402" s="166"/>
      <c r="L402" s="156">
        <f>ROUND(H402*K401,2)</f>
        <v>2469.6</v>
      </c>
      <c r="M402" s="34"/>
      <c r="N402" s="166"/>
      <c r="O402" s="156">
        <f>ROUND(H402*N401,2)</f>
        <v>0</v>
      </c>
      <c r="P402" s="166"/>
      <c r="Q402" s="156">
        <f>ROUND(H402*P401,2)</f>
        <v>0</v>
      </c>
      <c r="R402" s="166"/>
      <c r="S402" s="156">
        <f>ROUND(H402*R401,2)</f>
        <v>0</v>
      </c>
      <c r="T402" s="34"/>
      <c r="U402" s="34"/>
      <c r="V402" s="166"/>
      <c r="W402" s="166"/>
      <c r="X402" s="166"/>
      <c r="Y402" s="156">
        <f>ROUND(H402*X401,2)</f>
        <v>0</v>
      </c>
      <c r="Z402" s="166"/>
      <c r="AA402" s="156">
        <f>ROUND(H402*Z401,2)</f>
        <v>0</v>
      </c>
      <c r="AB402" s="156">
        <f>ROUND(H402*W401,2)</f>
        <v>2469.6</v>
      </c>
    </row>
    <row r="403" spans="1:28" ht="30" hidden="1" x14ac:dyDescent="0.25">
      <c r="A403" s="168"/>
      <c r="B403" s="133" t="str">
        <f>'Công trình'!B72</f>
        <v>AI.13111</v>
      </c>
      <c r="C403" s="34"/>
      <c r="D403" s="133" t="str">
        <f>'Công trình'!C72</f>
        <v>Sản xuất cấu kiện thép đặt sẵn trong bê tông, khối lượng &lt;=10kg/cấu kiện</v>
      </c>
      <c r="E403" s="168"/>
      <c r="F403" s="20">
        <v>1</v>
      </c>
      <c r="G403" s="169"/>
      <c r="H403" s="45">
        <f>'Hao phí vật tư'!J552</f>
        <v>3.5798000000000001</v>
      </c>
      <c r="I403" s="166"/>
      <c r="J403" s="156">
        <f>ROUND(H403*I401,2)</f>
        <v>257745.6</v>
      </c>
      <c r="K403" s="166"/>
      <c r="L403" s="156">
        <f>ROUND(H403*K401,2)</f>
        <v>257745.6</v>
      </c>
      <c r="M403" s="34"/>
      <c r="N403" s="166"/>
      <c r="O403" s="156">
        <f>ROUND(H403*N401,2)</f>
        <v>0</v>
      </c>
      <c r="P403" s="166"/>
      <c r="Q403" s="156">
        <f>ROUND(H403*P401,2)</f>
        <v>0</v>
      </c>
      <c r="R403" s="166"/>
      <c r="S403" s="156">
        <f>ROUND(H403*R401,2)</f>
        <v>0</v>
      </c>
      <c r="T403" s="34"/>
      <c r="U403" s="34"/>
      <c r="V403" s="166"/>
      <c r="W403" s="166"/>
      <c r="X403" s="166"/>
      <c r="Y403" s="156">
        <f>ROUND(H403*X401,2)</f>
        <v>0</v>
      </c>
      <c r="Z403" s="166"/>
      <c r="AA403" s="156">
        <f>ROUND(H403*Z401,2)</f>
        <v>0</v>
      </c>
      <c r="AB403" s="156">
        <f>ROUND(H403*W401,2)</f>
        <v>257745.6</v>
      </c>
    </row>
    <row r="404" spans="1:28" hidden="1" x14ac:dyDescent="0.25">
      <c r="A404" s="168"/>
      <c r="B404" s="133" t="str">
        <f>'Công trình'!B74</f>
        <v>AI.52211</v>
      </c>
      <c r="C404" s="34"/>
      <c r="D404" s="133" t="str">
        <f>'Công trình'!C74</f>
        <v>Sản xuất kết cấu thép hộp nối cọc</v>
      </c>
      <c r="E404" s="168"/>
      <c r="F404" s="20">
        <v>1</v>
      </c>
      <c r="G404" s="169"/>
      <c r="H404" s="45">
        <f>'Hao phí vật tư'!J576</f>
        <v>4.6093000000000002</v>
      </c>
      <c r="I404" s="166"/>
      <c r="J404" s="156">
        <f>ROUND(H404*I401,2)</f>
        <v>331869.59999999998</v>
      </c>
      <c r="K404" s="166"/>
      <c r="L404" s="156">
        <f>ROUND(H404*K401,2)</f>
        <v>331869.59999999998</v>
      </c>
      <c r="M404" s="34"/>
      <c r="N404" s="166"/>
      <c r="O404" s="156">
        <f>ROUND(H404*N401,2)</f>
        <v>0</v>
      </c>
      <c r="P404" s="166"/>
      <c r="Q404" s="156">
        <f>ROUND(H404*P401,2)</f>
        <v>0</v>
      </c>
      <c r="R404" s="166"/>
      <c r="S404" s="156">
        <f>ROUND(H404*R401,2)</f>
        <v>0</v>
      </c>
      <c r="T404" s="34"/>
      <c r="U404" s="34"/>
      <c r="V404" s="166"/>
      <c r="W404" s="166"/>
      <c r="X404" s="166"/>
      <c r="Y404" s="156">
        <f>ROUND(H404*X401,2)</f>
        <v>0</v>
      </c>
      <c r="Z404" s="166"/>
      <c r="AA404" s="156">
        <f>ROUND(H404*Z401,2)</f>
        <v>0</v>
      </c>
      <c r="AB404" s="156">
        <f>ROUND(H404*W401,2)</f>
        <v>331869.59999999998</v>
      </c>
    </row>
    <row r="405" spans="1:28" ht="30" hidden="1" x14ac:dyDescent="0.25">
      <c r="A405" s="168"/>
      <c r="B405" s="133" t="str">
        <f>'Công trình'!B83</f>
        <v>AI.13111</v>
      </c>
      <c r="C405" s="34"/>
      <c r="D405" s="133" t="str">
        <f>'Công trình'!C83</f>
        <v>Sản xuất cấu kiện thép đặt sẵn trong bê tông, khối lượng &lt;=10kg/cấu kiện</v>
      </c>
      <c r="E405" s="168"/>
      <c r="F405" s="20">
        <v>1</v>
      </c>
      <c r="G405" s="169"/>
      <c r="H405" s="45">
        <f>'Hao phí vật tư'!J668</f>
        <v>1.6906000000000001</v>
      </c>
      <c r="I405" s="166"/>
      <c r="J405" s="156">
        <f>ROUND(H405*I401,2)</f>
        <v>121723.2</v>
      </c>
      <c r="K405" s="166"/>
      <c r="L405" s="156">
        <f>ROUND(H405*K401,2)</f>
        <v>121723.2</v>
      </c>
      <c r="M405" s="34"/>
      <c r="N405" s="166"/>
      <c r="O405" s="156">
        <f>ROUND(H405*N401,2)</f>
        <v>0</v>
      </c>
      <c r="P405" s="166"/>
      <c r="Q405" s="156">
        <f>ROUND(H405*P401,2)</f>
        <v>0</v>
      </c>
      <c r="R405" s="166"/>
      <c r="S405" s="156">
        <f>ROUND(H405*R401,2)</f>
        <v>0</v>
      </c>
      <c r="T405" s="34"/>
      <c r="U405" s="34"/>
      <c r="V405" s="166"/>
      <c r="W405" s="166"/>
      <c r="X405" s="166"/>
      <c r="Y405" s="156">
        <f>ROUND(H405*X401,2)</f>
        <v>0</v>
      </c>
      <c r="Z405" s="166"/>
      <c r="AA405" s="156">
        <f>ROUND(H405*Z401,2)</f>
        <v>0</v>
      </c>
      <c r="AB405" s="156">
        <f>ROUND(H405*W401,2)</f>
        <v>121723.2</v>
      </c>
    </row>
    <row r="406" spans="1:28" hidden="1" x14ac:dyDescent="0.25">
      <c r="A406" s="168"/>
      <c r="B406" s="133" t="str">
        <f>'Công trình'!B85</f>
        <v>AI.52211</v>
      </c>
      <c r="C406" s="34"/>
      <c r="D406" s="133" t="str">
        <f>'Công trình'!C85</f>
        <v>Sản xuất kết cấu thép hộp nối cọc</v>
      </c>
      <c r="E406" s="168"/>
      <c r="F406" s="20">
        <v>1</v>
      </c>
      <c r="G406" s="169"/>
      <c r="H406" s="45">
        <f>'Hao phí vật tư'!J692</f>
        <v>2.0047999999999999</v>
      </c>
      <c r="I406" s="166"/>
      <c r="J406" s="156">
        <f>ROUND(H406*I401,2)</f>
        <v>144345.60000000001</v>
      </c>
      <c r="K406" s="166"/>
      <c r="L406" s="156">
        <f>ROUND(H406*K401,2)</f>
        <v>144345.60000000001</v>
      </c>
      <c r="M406" s="34"/>
      <c r="N406" s="166"/>
      <c r="O406" s="156">
        <f>ROUND(H406*N401,2)</f>
        <v>0</v>
      </c>
      <c r="P406" s="166"/>
      <c r="Q406" s="156">
        <f>ROUND(H406*P401,2)</f>
        <v>0</v>
      </c>
      <c r="R406" s="166"/>
      <c r="S406" s="156">
        <f>ROUND(H406*R401,2)</f>
        <v>0</v>
      </c>
      <c r="T406" s="34"/>
      <c r="U406" s="34"/>
      <c r="V406" s="166"/>
      <c r="W406" s="166"/>
      <c r="X406" s="166"/>
      <c r="Y406" s="156">
        <f>ROUND(H406*X401,2)</f>
        <v>0</v>
      </c>
      <c r="Z406" s="166"/>
      <c r="AA406" s="156">
        <f>ROUND(H406*Z401,2)</f>
        <v>0</v>
      </c>
      <c r="AB406" s="156">
        <f>ROUND(H406*W401,2)</f>
        <v>144345.60000000001</v>
      </c>
    </row>
    <row r="407" spans="1:28" ht="30" hidden="1" x14ac:dyDescent="0.25">
      <c r="A407" s="168"/>
      <c r="B407" s="133" t="str">
        <f>'Công trình'!B105</f>
        <v>AI.11131</v>
      </c>
      <c r="C407" s="34"/>
      <c r="D407" s="133" t="str">
        <f>'Công trình'!C105</f>
        <v>Khấu hao cọc dẫn bằng thép hình (đóng nhổ 40 lần trong 1 tháng)</v>
      </c>
      <c r="E407" s="168"/>
      <c r="F407" s="20">
        <v>1</v>
      </c>
      <c r="G407" s="169"/>
      <c r="H407" s="45">
        <f>'Hao phí vật tư'!J849</f>
        <v>0</v>
      </c>
      <c r="I407" s="166"/>
      <c r="J407" s="156">
        <f>ROUND(H407*I401,2)</f>
        <v>0</v>
      </c>
      <c r="K407" s="166"/>
      <c r="L407" s="156">
        <f>ROUND(H407*K401,2)</f>
        <v>0</v>
      </c>
      <c r="M407" s="34"/>
      <c r="N407" s="166"/>
      <c r="O407" s="156">
        <f>ROUND(H407*N401,2)</f>
        <v>0</v>
      </c>
      <c r="P407" s="166"/>
      <c r="Q407" s="156">
        <f>ROUND(H407*P401,2)</f>
        <v>0</v>
      </c>
      <c r="R407" s="166"/>
      <c r="S407" s="156">
        <f>ROUND(H407*R401,2)</f>
        <v>0</v>
      </c>
      <c r="T407" s="34"/>
      <c r="U407" s="34"/>
      <c r="V407" s="166"/>
      <c r="W407" s="166"/>
      <c r="X407" s="166"/>
      <c r="Y407" s="156">
        <f>ROUND(H407*X401,2)</f>
        <v>0</v>
      </c>
      <c r="Z407" s="166"/>
      <c r="AA407" s="156">
        <f>ROUND(H407*Z401,2)</f>
        <v>0</v>
      </c>
      <c r="AB407" s="156">
        <f>ROUND(H407*W401,2)</f>
        <v>0</v>
      </c>
    </row>
    <row r="408" spans="1:28" hidden="1" x14ac:dyDescent="0.25">
      <c r="A408" s="168"/>
      <c r="B408" s="133" t="str">
        <f>'Công trình'!B109</f>
        <v>AI.11912</v>
      </c>
      <c r="C408" s="34"/>
      <c r="D408" s="133" t="str">
        <f>'Công trình'!C109</f>
        <v>Sản xuất hệ sàn đạo, sàn thao tác</v>
      </c>
      <c r="E408" s="168"/>
      <c r="F408" s="20">
        <v>1</v>
      </c>
      <c r="G408" s="169"/>
      <c r="H408" s="45">
        <f>'Hao phí vật tư'!J865</f>
        <v>5.3049999999999997</v>
      </c>
      <c r="I408" s="166"/>
      <c r="J408" s="156">
        <f>ROUND(H408*I401,2)</f>
        <v>381960</v>
      </c>
      <c r="K408" s="166"/>
      <c r="L408" s="156">
        <f>ROUND(H408*K401,2)</f>
        <v>381960</v>
      </c>
      <c r="M408" s="34"/>
      <c r="N408" s="166"/>
      <c r="O408" s="156">
        <f>ROUND(H408*N401,2)</f>
        <v>0</v>
      </c>
      <c r="P408" s="166"/>
      <c r="Q408" s="156">
        <f>ROUND(H408*P401,2)</f>
        <v>0</v>
      </c>
      <c r="R408" s="166"/>
      <c r="S408" s="156">
        <f>ROUND(H408*R401,2)</f>
        <v>0</v>
      </c>
      <c r="T408" s="34"/>
      <c r="U408" s="34"/>
      <c r="V408" s="166"/>
      <c r="W408" s="166"/>
      <c r="X408" s="166"/>
      <c r="Y408" s="156">
        <f>ROUND(H408*X401,2)</f>
        <v>0</v>
      </c>
      <c r="Z408" s="166"/>
      <c r="AA408" s="156">
        <f>ROUND(H408*Z401,2)</f>
        <v>0</v>
      </c>
      <c r="AB408" s="156">
        <f>ROUND(H408*W401,2)</f>
        <v>381960</v>
      </c>
    </row>
    <row r="409" spans="1:28" ht="30" hidden="1" x14ac:dyDescent="0.25">
      <c r="A409" s="168"/>
      <c r="B409" s="133" t="str">
        <f>'Công trình'!B110</f>
        <v>TT</v>
      </c>
      <c r="C409" s="34"/>
      <c r="D409" s="133" t="str">
        <f>'Công trình'!C110</f>
        <v>Khấu hao hệ sàn đạo, sàn thao tác (Thi công trong vòng 1 tháng và 5 lần đóng nhổ)</v>
      </c>
      <c r="E409" s="168"/>
      <c r="F409" s="20">
        <v>1</v>
      </c>
      <c r="G409" s="169"/>
      <c r="H409" s="45">
        <f>'Hao phí vật tư'!J879</f>
        <v>0</v>
      </c>
      <c r="I409" s="166"/>
      <c r="J409" s="156">
        <f>ROUND(H409*I401,2)</f>
        <v>0</v>
      </c>
      <c r="K409" s="166"/>
      <c r="L409" s="156">
        <f>ROUND(H409*K401,2)</f>
        <v>0</v>
      </c>
      <c r="M409" s="34"/>
      <c r="N409" s="166"/>
      <c r="O409" s="156">
        <f>ROUND(H409*N401,2)</f>
        <v>0</v>
      </c>
      <c r="P409" s="166"/>
      <c r="Q409" s="156">
        <f>ROUND(H409*P401,2)</f>
        <v>0</v>
      </c>
      <c r="R409" s="166"/>
      <c r="S409" s="156">
        <f>ROUND(H409*R401,2)</f>
        <v>0</v>
      </c>
      <c r="T409" s="34"/>
      <c r="U409" s="34"/>
      <c r="V409" s="166"/>
      <c r="W409" s="166"/>
      <c r="X409" s="166"/>
      <c r="Y409" s="156">
        <f>ROUND(H409*X401,2)</f>
        <v>0</v>
      </c>
      <c r="Z409" s="166"/>
      <c r="AA409" s="156">
        <f>ROUND(H409*Z401,2)</f>
        <v>0</v>
      </c>
      <c r="AB409" s="156">
        <f>ROUND(H409*W401,2)</f>
        <v>0</v>
      </c>
    </row>
    <row r="410" spans="1:28" hidden="1" x14ac:dyDescent="0.25">
      <c r="A410" s="168"/>
      <c r="B410" s="133" t="str">
        <f>'Công trình'!B104</f>
        <v>AI.11131</v>
      </c>
      <c r="C410" s="34"/>
      <c r="D410" s="133" t="str">
        <f>'Công trình'!C104</f>
        <v>Sản xuất cọc dẫn bằng thép hình</v>
      </c>
      <c r="E410" s="168"/>
      <c r="F410" s="20">
        <v>1</v>
      </c>
      <c r="G410" s="169"/>
      <c r="H410" s="45">
        <f>'Hao phí vật tư'!J833</f>
        <v>3.5569999999999999</v>
      </c>
      <c r="I410" s="166"/>
      <c r="J410" s="156">
        <f>ROUND(H410*I401,2)</f>
        <v>256104</v>
      </c>
      <c r="K410" s="166"/>
      <c r="L410" s="156">
        <f>ROUND(H410*K401,2)</f>
        <v>256104</v>
      </c>
      <c r="M410" s="34"/>
      <c r="N410" s="166"/>
      <c r="O410" s="156">
        <f>ROUND(H410*N401,2)</f>
        <v>0</v>
      </c>
      <c r="P410" s="166"/>
      <c r="Q410" s="156">
        <f>ROUND(H410*P401,2)</f>
        <v>0</v>
      </c>
      <c r="R410" s="166"/>
      <c r="S410" s="156">
        <f>ROUND(H410*R401,2)</f>
        <v>0</v>
      </c>
      <c r="T410" s="34"/>
      <c r="U410" s="34"/>
      <c r="V410" s="166"/>
      <c r="W410" s="166"/>
      <c r="X410" s="166"/>
      <c r="Y410" s="156">
        <f>ROUND(H410*X401,2)</f>
        <v>0</v>
      </c>
      <c r="Z410" s="166"/>
      <c r="AA410" s="156">
        <f>ROUND(H410*Z401,2)</f>
        <v>0</v>
      </c>
      <c r="AB410" s="156">
        <f>ROUND(H410*W401,2)</f>
        <v>256104</v>
      </c>
    </row>
    <row r="411" spans="1:28" hidden="1" x14ac:dyDescent="0.25">
      <c r="A411" s="168"/>
      <c r="B411" s="133" t="str">
        <f>'Công trình'!B120</f>
        <v>AI.11912</v>
      </c>
      <c r="C411" s="34"/>
      <c r="D411" s="133" t="str">
        <f>'Công trình'!C120</f>
        <v>Sản xuất hệ sàn đạo, sàn thao tác</v>
      </c>
      <c r="E411" s="168"/>
      <c r="F411" s="20">
        <v>1</v>
      </c>
      <c r="G411" s="169"/>
      <c r="H411" s="45">
        <f>'Hao phí vật tư'!J937</f>
        <v>10.9316</v>
      </c>
      <c r="I411" s="166"/>
      <c r="J411" s="156">
        <f>ROUND(H411*I401,2)</f>
        <v>787075.2</v>
      </c>
      <c r="K411" s="166"/>
      <c r="L411" s="156">
        <f>ROUND(H411*K401,2)</f>
        <v>787075.2</v>
      </c>
      <c r="M411" s="34"/>
      <c r="N411" s="166"/>
      <c r="O411" s="156">
        <f>ROUND(H411*N401,2)</f>
        <v>0</v>
      </c>
      <c r="P411" s="166"/>
      <c r="Q411" s="156">
        <f>ROUND(H411*P401,2)</f>
        <v>0</v>
      </c>
      <c r="R411" s="166"/>
      <c r="S411" s="156">
        <f>ROUND(H411*R401,2)</f>
        <v>0</v>
      </c>
      <c r="T411" s="34"/>
      <c r="U411" s="34"/>
      <c r="V411" s="166"/>
      <c r="W411" s="166"/>
      <c r="X411" s="166"/>
      <c r="Y411" s="156">
        <f>ROUND(H411*X401,2)</f>
        <v>0</v>
      </c>
      <c r="Z411" s="166"/>
      <c r="AA411" s="156">
        <f>ROUND(H411*Z401,2)</f>
        <v>0</v>
      </c>
      <c r="AB411" s="156">
        <f>ROUND(H411*W401,2)</f>
        <v>787075.2</v>
      </c>
    </row>
    <row r="412" spans="1:28" ht="30" hidden="1" x14ac:dyDescent="0.25">
      <c r="A412" s="168"/>
      <c r="B412" s="133" t="str">
        <f>'Công trình'!B121</f>
        <v>TT</v>
      </c>
      <c r="C412" s="34"/>
      <c r="D412" s="133" t="str">
        <f>'Công trình'!C121</f>
        <v>Khấu hao hệ sàn đạo, sàn thao tác (Thi công trong vòng 1 tháng và 4 lần đóng nhổ)</v>
      </c>
      <c r="E412" s="168"/>
      <c r="F412" s="20">
        <v>1</v>
      </c>
      <c r="G412" s="169"/>
      <c r="H412" s="45">
        <f>'Hao phí vật tư'!J951</f>
        <v>0</v>
      </c>
      <c r="I412" s="166"/>
      <c r="J412" s="156">
        <f>ROUND(H412*I401,2)</f>
        <v>0</v>
      </c>
      <c r="K412" s="166"/>
      <c r="L412" s="156">
        <f>ROUND(H412*K401,2)</f>
        <v>0</v>
      </c>
      <c r="M412" s="34"/>
      <c r="N412" s="166"/>
      <c r="O412" s="156">
        <f>ROUND(H412*N401,2)</f>
        <v>0</v>
      </c>
      <c r="P412" s="166"/>
      <c r="Q412" s="156">
        <f>ROUND(H412*P401,2)</f>
        <v>0</v>
      </c>
      <c r="R412" s="166"/>
      <c r="S412" s="156">
        <f>ROUND(H412*R401,2)</f>
        <v>0</v>
      </c>
      <c r="T412" s="34"/>
      <c r="U412" s="34"/>
      <c r="V412" s="166"/>
      <c r="W412" s="166"/>
      <c r="X412" s="166"/>
      <c r="Y412" s="156">
        <f>ROUND(H412*X401,2)</f>
        <v>0</v>
      </c>
      <c r="Z412" s="166"/>
      <c r="AA412" s="156">
        <f>ROUND(H412*Z401,2)</f>
        <v>0</v>
      </c>
      <c r="AB412" s="156">
        <f>ROUND(H412*W401,2)</f>
        <v>0</v>
      </c>
    </row>
    <row r="413" spans="1:28" hidden="1" x14ac:dyDescent="0.25">
      <c r="A413" s="168"/>
      <c r="B413" s="133" t="str">
        <f>'Công trình'!B136</f>
        <v>AI.11912</v>
      </c>
      <c r="C413" s="34"/>
      <c r="D413" s="133" t="str">
        <f>'Công trình'!C136</f>
        <v>Sản xuất hệ sàn đạo, sàn thao tác</v>
      </c>
      <c r="E413" s="168"/>
      <c r="F413" s="20">
        <v>1</v>
      </c>
      <c r="G413" s="169"/>
      <c r="H413" s="45">
        <f>'Hao phí vật tư'!J1038</f>
        <v>173.09540000000001</v>
      </c>
      <c r="I413" s="166"/>
      <c r="J413" s="156">
        <f>ROUND(H413*I401,2)</f>
        <v>12462868.800000001</v>
      </c>
      <c r="K413" s="166"/>
      <c r="L413" s="156">
        <f>ROUND(H413*K401,2)</f>
        <v>12462868.800000001</v>
      </c>
      <c r="M413" s="34"/>
      <c r="N413" s="166"/>
      <c r="O413" s="156">
        <f>ROUND(H413*N401,2)</f>
        <v>0</v>
      </c>
      <c r="P413" s="166"/>
      <c r="Q413" s="156">
        <f>ROUND(H413*P401,2)</f>
        <v>0</v>
      </c>
      <c r="R413" s="166"/>
      <c r="S413" s="156">
        <f>ROUND(H413*R401,2)</f>
        <v>0</v>
      </c>
      <c r="T413" s="34"/>
      <c r="U413" s="34"/>
      <c r="V413" s="166"/>
      <c r="W413" s="166"/>
      <c r="X413" s="166"/>
      <c r="Y413" s="156">
        <f>ROUND(H413*X401,2)</f>
        <v>0</v>
      </c>
      <c r="Z413" s="166"/>
      <c r="AA413" s="156">
        <f>ROUND(H413*Z401,2)</f>
        <v>0</v>
      </c>
      <c r="AB413" s="156">
        <f>ROUND(H413*W401,2)</f>
        <v>12462868.800000001</v>
      </c>
    </row>
    <row r="414" spans="1:28" ht="30" hidden="1" x14ac:dyDescent="0.25">
      <c r="A414" s="168"/>
      <c r="B414" s="133" t="str">
        <f>'Công trình'!B137</f>
        <v>TT</v>
      </c>
      <c r="C414" s="34"/>
      <c r="D414" s="133" t="str">
        <f>'Công trình'!C137</f>
        <v>Khấu hao hệ sàn đạo, sàn thao tác (Thi công trong vòng 3 tháng và 1 lần đóng nhổ)</v>
      </c>
      <c r="E414" s="168"/>
      <c r="F414" s="20">
        <v>1</v>
      </c>
      <c r="G414" s="169"/>
      <c r="H414" s="45">
        <f>'Hao phí vật tư'!J1052</f>
        <v>0</v>
      </c>
      <c r="I414" s="166"/>
      <c r="J414" s="156">
        <f>ROUND(H414*I401,2)</f>
        <v>0</v>
      </c>
      <c r="K414" s="166"/>
      <c r="L414" s="156">
        <f>ROUND(H414*K401,2)</f>
        <v>0</v>
      </c>
      <c r="M414" s="34"/>
      <c r="N414" s="166"/>
      <c r="O414" s="156">
        <f>ROUND(H414*N401,2)</f>
        <v>0</v>
      </c>
      <c r="P414" s="166"/>
      <c r="Q414" s="156">
        <f>ROUND(H414*P401,2)</f>
        <v>0</v>
      </c>
      <c r="R414" s="166"/>
      <c r="S414" s="156">
        <f>ROUND(H414*R401,2)</f>
        <v>0</v>
      </c>
      <c r="T414" s="34"/>
      <c r="U414" s="34"/>
      <c r="V414" s="166"/>
      <c r="W414" s="166"/>
      <c r="X414" s="166"/>
      <c r="Y414" s="156">
        <f>ROUND(H414*X401,2)</f>
        <v>0</v>
      </c>
      <c r="Z414" s="166"/>
      <c r="AA414" s="156">
        <f>ROUND(H414*Z401,2)</f>
        <v>0</v>
      </c>
      <c r="AB414" s="156">
        <f>ROUND(H414*W401,2)</f>
        <v>0</v>
      </c>
    </row>
    <row r="415" spans="1:28" hidden="1" x14ac:dyDescent="0.25">
      <c r="A415" s="168"/>
      <c r="B415" s="133" t="str">
        <f>'Công trình'!B147</f>
        <v>AI.11411</v>
      </c>
      <c r="C415" s="34"/>
      <c r="D415" s="133" t="str">
        <f>'Công trình'!C147</f>
        <v>Sản xuất thang sắt</v>
      </c>
      <c r="E415" s="168"/>
      <c r="F415" s="20">
        <v>1</v>
      </c>
      <c r="G415" s="169"/>
      <c r="H415" s="45">
        <f>'Hao phí vật tư'!J1113</f>
        <v>3.56E-2</v>
      </c>
      <c r="I415" s="166"/>
      <c r="J415" s="156">
        <f>ROUND(H415*I401,2)</f>
        <v>2563.1999999999998</v>
      </c>
      <c r="K415" s="166"/>
      <c r="L415" s="156">
        <f>ROUND(H415*K401,2)</f>
        <v>2563.1999999999998</v>
      </c>
      <c r="M415" s="34"/>
      <c r="N415" s="166"/>
      <c r="O415" s="156">
        <f>ROUND(H415*N401,2)</f>
        <v>0</v>
      </c>
      <c r="P415" s="166"/>
      <c r="Q415" s="156">
        <f>ROUND(H415*P401,2)</f>
        <v>0</v>
      </c>
      <c r="R415" s="166"/>
      <c r="S415" s="156">
        <f>ROUND(H415*R401,2)</f>
        <v>0</v>
      </c>
      <c r="T415" s="34"/>
      <c r="U415" s="34"/>
      <c r="V415" s="166"/>
      <c r="W415" s="166"/>
      <c r="X415" s="166"/>
      <c r="Y415" s="156">
        <f>ROUND(H415*X401,2)</f>
        <v>0</v>
      </c>
      <c r="Z415" s="166"/>
      <c r="AA415" s="156">
        <f>ROUND(H415*Z401,2)</f>
        <v>0</v>
      </c>
      <c r="AB415" s="156">
        <f>ROUND(H415*W401,2)</f>
        <v>2563.1999999999998</v>
      </c>
    </row>
    <row r="416" spans="1:28" ht="30" hidden="1" x14ac:dyDescent="0.25">
      <c r="A416" s="168"/>
      <c r="B416" s="133" t="str">
        <f>'Công trình'!B158</f>
        <v>TT</v>
      </c>
      <c r="C416" s="34"/>
      <c r="D416" s="133" t="str">
        <f>'Công trình'!C158</f>
        <v>Khấu hao hệ sàn đạo, sàn thao tác (Thi công trong vòng 3 tháng và 1 lần đóng nhổ)</v>
      </c>
      <c r="E416" s="168"/>
      <c r="F416" s="20">
        <v>1</v>
      </c>
      <c r="G416" s="169"/>
      <c r="H416" s="45">
        <f>'Hao phí vật tư'!J1201</f>
        <v>0</v>
      </c>
      <c r="I416" s="166"/>
      <c r="J416" s="156">
        <f>ROUND(H416*I401,2)</f>
        <v>0</v>
      </c>
      <c r="K416" s="166"/>
      <c r="L416" s="156">
        <f>ROUND(H416*K401,2)</f>
        <v>0</v>
      </c>
      <c r="M416" s="34"/>
      <c r="N416" s="166"/>
      <c r="O416" s="156">
        <f>ROUND(H416*N401,2)</f>
        <v>0</v>
      </c>
      <c r="P416" s="166"/>
      <c r="Q416" s="156">
        <f>ROUND(H416*P401,2)</f>
        <v>0</v>
      </c>
      <c r="R416" s="166"/>
      <c r="S416" s="156">
        <f>ROUND(H416*R401,2)</f>
        <v>0</v>
      </c>
      <c r="T416" s="34"/>
      <c r="U416" s="34"/>
      <c r="V416" s="166"/>
      <c r="W416" s="166"/>
      <c r="X416" s="166"/>
      <c r="Y416" s="156">
        <f>ROUND(H416*X401,2)</f>
        <v>0</v>
      </c>
      <c r="Z416" s="166"/>
      <c r="AA416" s="156">
        <f>ROUND(H416*Z401,2)</f>
        <v>0</v>
      </c>
      <c r="AB416" s="156">
        <f>ROUND(H416*W401,2)</f>
        <v>0</v>
      </c>
    </row>
    <row r="417" spans="1:28" hidden="1" x14ac:dyDescent="0.25">
      <c r="A417" s="168"/>
      <c r="B417" s="133" t="str">
        <f>'Công trình'!B157</f>
        <v>AI.11912</v>
      </c>
      <c r="C417" s="34"/>
      <c r="D417" s="133" t="str">
        <f>'Công trình'!C157</f>
        <v>Sản xuất cầu công tác</v>
      </c>
      <c r="E417" s="168"/>
      <c r="F417" s="20">
        <v>1</v>
      </c>
      <c r="G417" s="169"/>
      <c r="H417" s="45">
        <f>'Hao phí vật tư'!J1187</f>
        <v>84.388300000000001</v>
      </c>
      <c r="I417" s="166"/>
      <c r="J417" s="156">
        <f>ROUND(H417*I401,2)</f>
        <v>6075957.5999999996</v>
      </c>
      <c r="K417" s="166"/>
      <c r="L417" s="156">
        <f>ROUND(H417*K401,2)</f>
        <v>6075957.5999999996</v>
      </c>
      <c r="M417" s="34"/>
      <c r="N417" s="166"/>
      <c r="O417" s="156">
        <f>ROUND(H417*N401,2)</f>
        <v>0</v>
      </c>
      <c r="P417" s="166"/>
      <c r="Q417" s="156">
        <f>ROUND(H417*P401,2)</f>
        <v>0</v>
      </c>
      <c r="R417" s="166"/>
      <c r="S417" s="156">
        <f>ROUND(H417*R401,2)</f>
        <v>0</v>
      </c>
      <c r="T417" s="34"/>
      <c r="U417" s="34"/>
      <c r="V417" s="166"/>
      <c r="W417" s="166"/>
      <c r="X417" s="166"/>
      <c r="Y417" s="156">
        <f>ROUND(H417*X401,2)</f>
        <v>0</v>
      </c>
      <c r="Z417" s="166"/>
      <c r="AA417" s="156">
        <f>ROUND(H417*Z401,2)</f>
        <v>0</v>
      </c>
      <c r="AB417" s="156">
        <f>ROUND(H417*W401,2)</f>
        <v>6075957.5999999996</v>
      </c>
    </row>
    <row r="418" spans="1:28" ht="30" hidden="1" x14ac:dyDescent="0.25">
      <c r="A418" s="168"/>
      <c r="B418" s="133" t="str">
        <f>'Công trình'!B229</f>
        <v>AI.13111</v>
      </c>
      <c r="C418" s="34"/>
      <c r="D418" s="133" t="str">
        <f>'Công trình'!C229</f>
        <v>Sản xuất cấu kiện thép đặt sẵn trong bê tông, khối lượng &lt;=10kg/cấu kiện</v>
      </c>
      <c r="E418" s="168"/>
      <c r="F418" s="20">
        <v>1</v>
      </c>
      <c r="G418" s="169"/>
      <c r="H418" s="45">
        <f>'Hao phí vật tư'!J1728</f>
        <v>3.2709999999999999</v>
      </c>
      <c r="I418" s="166"/>
      <c r="J418" s="156">
        <f>ROUND(H418*I401,2)</f>
        <v>235512</v>
      </c>
      <c r="K418" s="166"/>
      <c r="L418" s="156">
        <f>ROUND(H418*K401,2)</f>
        <v>235512</v>
      </c>
      <c r="M418" s="34"/>
      <c r="N418" s="166"/>
      <c r="O418" s="156">
        <f>ROUND(H418*N401,2)</f>
        <v>0</v>
      </c>
      <c r="P418" s="166"/>
      <c r="Q418" s="156">
        <f>ROUND(H418*P401,2)</f>
        <v>0</v>
      </c>
      <c r="R418" s="166"/>
      <c r="S418" s="156">
        <f>ROUND(H418*R401,2)</f>
        <v>0</v>
      </c>
      <c r="T418" s="34"/>
      <c r="U418" s="34"/>
      <c r="V418" s="166"/>
      <c r="W418" s="166"/>
      <c r="X418" s="166"/>
      <c r="Y418" s="156">
        <f>ROUND(H418*X401,2)</f>
        <v>0</v>
      </c>
      <c r="Z418" s="166"/>
      <c r="AA418" s="156">
        <f>ROUND(H418*Z401,2)</f>
        <v>0</v>
      </c>
      <c r="AB418" s="156">
        <f>ROUND(H418*W401,2)</f>
        <v>235512</v>
      </c>
    </row>
    <row r="419" spans="1:28" hidden="1" x14ac:dyDescent="0.25">
      <c r="A419" s="168"/>
      <c r="B419" s="133" t="str">
        <f>'Công trình'!B231</f>
        <v>AI.52211</v>
      </c>
      <c r="C419" s="34"/>
      <c r="D419" s="133" t="str">
        <f>'Công trình'!C231</f>
        <v>Thép hình hộp nối cọc</v>
      </c>
      <c r="E419" s="168"/>
      <c r="F419" s="20">
        <v>1</v>
      </c>
      <c r="G419" s="169"/>
      <c r="H419" s="45">
        <f>'Hao phí vật tư'!J1752</f>
        <v>4.3212999999999999</v>
      </c>
      <c r="I419" s="166"/>
      <c r="J419" s="156">
        <f>ROUND(H419*I401,2)</f>
        <v>311133.59999999998</v>
      </c>
      <c r="K419" s="166"/>
      <c r="L419" s="156">
        <f>ROUND(H419*K401,2)</f>
        <v>311133.59999999998</v>
      </c>
      <c r="M419" s="34"/>
      <c r="N419" s="166"/>
      <c r="O419" s="156">
        <f>ROUND(H419*N401,2)</f>
        <v>0</v>
      </c>
      <c r="P419" s="166"/>
      <c r="Q419" s="156">
        <f>ROUND(H419*P401,2)</f>
        <v>0</v>
      </c>
      <c r="R419" s="166"/>
      <c r="S419" s="156">
        <f>ROUND(H419*R401,2)</f>
        <v>0</v>
      </c>
      <c r="T419" s="34"/>
      <c r="U419" s="34"/>
      <c r="V419" s="166"/>
      <c r="W419" s="166"/>
      <c r="X419" s="166"/>
      <c r="Y419" s="156">
        <f>ROUND(H419*X401,2)</f>
        <v>0</v>
      </c>
      <c r="Z419" s="166"/>
      <c r="AA419" s="156">
        <f>ROUND(H419*Z401,2)</f>
        <v>0</v>
      </c>
      <c r="AB419" s="156">
        <f>ROUND(H419*W401,2)</f>
        <v>311133.59999999998</v>
      </c>
    </row>
    <row r="420" spans="1:28" ht="30" hidden="1" x14ac:dyDescent="0.25">
      <c r="A420" s="168"/>
      <c r="B420" s="133" t="str">
        <f>'Công trình'!B179</f>
        <v>AF.87211</v>
      </c>
      <c r="C420" s="34"/>
      <c r="D420" s="133" t="str">
        <f>'Công trình'!C179</f>
        <v>Sản xuất, lắp dựng, tháo dỡ ván khuôn mố, trụ cầu trên cạn</v>
      </c>
      <c r="E420" s="168"/>
      <c r="F420" s="20">
        <v>1</v>
      </c>
      <c r="G420" s="169"/>
      <c r="H420" s="45">
        <f>'Hao phí vật tư'!J1353</f>
        <v>2.7711000000000001</v>
      </c>
      <c r="I420" s="166"/>
      <c r="J420" s="156">
        <f>ROUND(H420*I401,2)</f>
        <v>199519.2</v>
      </c>
      <c r="K420" s="166"/>
      <c r="L420" s="156">
        <f>ROUND(H420*K401,2)</f>
        <v>199519.2</v>
      </c>
      <c r="M420" s="34"/>
      <c r="N420" s="166"/>
      <c r="O420" s="156">
        <f>ROUND(H420*N401,2)</f>
        <v>0</v>
      </c>
      <c r="P420" s="166"/>
      <c r="Q420" s="156">
        <f>ROUND(H420*P401,2)</f>
        <v>0</v>
      </c>
      <c r="R420" s="166"/>
      <c r="S420" s="156">
        <f>ROUND(H420*R401,2)</f>
        <v>0</v>
      </c>
      <c r="T420" s="34"/>
      <c r="U420" s="34"/>
      <c r="V420" s="166"/>
      <c r="W420" s="166"/>
      <c r="X420" s="166"/>
      <c r="Y420" s="156">
        <f>ROUND(H420*X401,2)</f>
        <v>0</v>
      </c>
      <c r="Z420" s="166"/>
      <c r="AA420" s="156">
        <f>ROUND(H420*Z401,2)</f>
        <v>0</v>
      </c>
      <c r="AB420" s="156">
        <f>ROUND(H420*W401,2)</f>
        <v>199519.2</v>
      </c>
    </row>
    <row r="421" spans="1:28" ht="30" hidden="1" x14ac:dyDescent="0.25">
      <c r="A421" s="168"/>
      <c r="B421" s="133" t="str">
        <f>'Công trình'!B189</f>
        <v>AF.87211</v>
      </c>
      <c r="C421" s="34"/>
      <c r="D421" s="133" t="str">
        <f>'Công trình'!C189</f>
        <v>Sản xuất, lắp dựng, tháo dỡ ván khuôn mố, trụ cầu trên cạn</v>
      </c>
      <c r="E421" s="168"/>
      <c r="F421" s="20">
        <v>1</v>
      </c>
      <c r="G421" s="169"/>
      <c r="H421" s="45">
        <f>'Hao phí vật tư'!J1444</f>
        <v>0.79400000000000004</v>
      </c>
      <c r="I421" s="166"/>
      <c r="J421" s="156">
        <f>ROUND(H421*I401,2)</f>
        <v>57168</v>
      </c>
      <c r="K421" s="166"/>
      <c r="L421" s="156">
        <f>ROUND(H421*K401,2)</f>
        <v>57168</v>
      </c>
      <c r="M421" s="34"/>
      <c r="N421" s="166"/>
      <c r="O421" s="156">
        <f>ROUND(H421*N401,2)</f>
        <v>0</v>
      </c>
      <c r="P421" s="166"/>
      <c r="Q421" s="156">
        <f>ROUND(H421*P401,2)</f>
        <v>0</v>
      </c>
      <c r="R421" s="166"/>
      <c r="S421" s="156">
        <f>ROUND(H421*R401,2)</f>
        <v>0</v>
      </c>
      <c r="T421" s="34"/>
      <c r="U421" s="34"/>
      <c r="V421" s="166"/>
      <c r="W421" s="166"/>
      <c r="X421" s="166"/>
      <c r="Y421" s="156">
        <f>ROUND(H421*X401,2)</f>
        <v>0</v>
      </c>
      <c r="Z421" s="166"/>
      <c r="AA421" s="156">
        <f>ROUND(H421*Z401,2)</f>
        <v>0</v>
      </c>
      <c r="AB421" s="156">
        <f>ROUND(H421*W401,2)</f>
        <v>57168</v>
      </c>
    </row>
    <row r="422" spans="1:28" hidden="1" x14ac:dyDescent="0.25">
      <c r="A422" s="168"/>
      <c r="B422" s="133" t="str">
        <f>'Công trình'!B262</f>
        <v>AI.21152</v>
      </c>
      <c r="C422" s="34"/>
      <c r="D422" s="133" t="str">
        <f>'Công trình'!C262</f>
        <v>Sản xuất kết cấu thép lan can cầu đường bộ</v>
      </c>
      <c r="E422" s="168"/>
      <c r="F422" s="20">
        <v>1</v>
      </c>
      <c r="G422" s="169"/>
      <c r="H422" s="45">
        <f>'Hao phí vật tư'!J1992</f>
        <v>23.603000000000002</v>
      </c>
      <c r="I422" s="166"/>
      <c r="J422" s="156">
        <f>ROUND(H422*I401,2)</f>
        <v>1699416</v>
      </c>
      <c r="K422" s="166"/>
      <c r="L422" s="156">
        <f>ROUND(H422*K401,2)</f>
        <v>1699416</v>
      </c>
      <c r="M422" s="34"/>
      <c r="N422" s="166"/>
      <c r="O422" s="156">
        <f>ROUND(H422*N401,2)</f>
        <v>0</v>
      </c>
      <c r="P422" s="166"/>
      <c r="Q422" s="156">
        <f>ROUND(H422*P401,2)</f>
        <v>0</v>
      </c>
      <c r="R422" s="166"/>
      <c r="S422" s="156">
        <f>ROUND(H422*R401,2)</f>
        <v>0</v>
      </c>
      <c r="T422" s="34"/>
      <c r="U422" s="34"/>
      <c r="V422" s="166"/>
      <c r="W422" s="166"/>
      <c r="X422" s="166"/>
      <c r="Y422" s="156">
        <f>ROUND(H422*X401,2)</f>
        <v>0</v>
      </c>
      <c r="Z422" s="166"/>
      <c r="AA422" s="156">
        <f>ROUND(H422*Z401,2)</f>
        <v>0</v>
      </c>
      <c r="AB422" s="156">
        <f>ROUND(H422*W401,2)</f>
        <v>1699416</v>
      </c>
    </row>
    <row r="423" spans="1:28" x14ac:dyDescent="0.25">
      <c r="A423" s="168">
        <v>67</v>
      </c>
      <c r="B423" s="84" t="s">
        <v>1009</v>
      </c>
      <c r="C423" s="34">
        <v>464</v>
      </c>
      <c r="D423" s="144" t="s">
        <v>13</v>
      </c>
      <c r="E423" s="168" t="s">
        <v>113</v>
      </c>
      <c r="F423" s="34"/>
      <c r="G423" s="169"/>
      <c r="H423" s="60">
        <f>SUM(H424:H424)</f>
        <v>129.5676</v>
      </c>
      <c r="I423" s="166">
        <v>126000</v>
      </c>
      <c r="J423" s="166">
        <f>ROUND(H423*I423,0)</f>
        <v>16325518</v>
      </c>
      <c r="K423" s="166">
        <f>'Tổng hợp VL,NC,M'!I445</f>
        <v>126000</v>
      </c>
      <c r="L423" s="166">
        <f>ROUND(H423*K423,0)</f>
        <v>16325518</v>
      </c>
      <c r="M423" s="34">
        <v>1</v>
      </c>
      <c r="N423" s="166"/>
      <c r="O423" s="166">
        <f>ROUND(H423*N423,0)</f>
        <v>0</v>
      </c>
      <c r="P423" s="166"/>
      <c r="Q423" s="166">
        <f>ROUND(H423*P423,0)</f>
        <v>0</v>
      </c>
      <c r="R423" s="166"/>
      <c r="S423" s="166">
        <f>ROUND(H423*R423,0)</f>
        <v>0</v>
      </c>
      <c r="T423" s="34"/>
      <c r="U423" s="34"/>
      <c r="V423" s="166">
        <f>ROUND((K423+N423+P423+R423)*(U423+T423),0)</f>
        <v>0</v>
      </c>
      <c r="W423" s="166">
        <f>K423+N423+P423+R423+V423</f>
        <v>126000</v>
      </c>
      <c r="X423" s="166">
        <f>K423-I423</f>
        <v>0</v>
      </c>
      <c r="Y423" s="166">
        <f>ROUND(H423*X423,0)</f>
        <v>0</v>
      </c>
      <c r="Z423" s="166">
        <f>W423-I423</f>
        <v>0</v>
      </c>
      <c r="AA423" s="166">
        <f>ROUND(H423*Z423,0)</f>
        <v>0</v>
      </c>
      <c r="AB423" s="166">
        <f>ROUND(H423*W423,0)</f>
        <v>16325518</v>
      </c>
    </row>
    <row r="424" spans="1:28" ht="60" hidden="1" x14ac:dyDescent="0.25">
      <c r="A424" s="168"/>
      <c r="B424" s="133" t="str">
        <f>'Công trình'!B26</f>
        <v>AC.12412</v>
      </c>
      <c r="C424" s="34"/>
      <c r="D424" s="133" t="str">
        <f>'Công trình'!C26</f>
        <v>Đóng cọc cừ máng bê tông dự ứng lực trên cạn bằng búa rung kết hợp tách mũi nước áp lực SW600A, chiều cao máng cọc 60-84cm, L=18M</v>
      </c>
      <c r="E424" s="168"/>
      <c r="F424" s="20">
        <v>1</v>
      </c>
      <c r="G424" s="169"/>
      <c r="H424" s="45">
        <f>'Hao phí vật tư'!J180</f>
        <v>129.5676</v>
      </c>
      <c r="I424" s="166"/>
      <c r="J424" s="156">
        <f>ROUND(H424*I423,2)</f>
        <v>16325517.6</v>
      </c>
      <c r="K424" s="166"/>
      <c r="L424" s="156">
        <f>ROUND(H424*K423,2)</f>
        <v>16325517.6</v>
      </c>
      <c r="M424" s="34"/>
      <c r="N424" s="166"/>
      <c r="O424" s="156">
        <f>ROUND(H424*N423,2)</f>
        <v>0</v>
      </c>
      <c r="P424" s="166"/>
      <c r="Q424" s="156">
        <f>ROUND(H424*P423,2)</f>
        <v>0</v>
      </c>
      <c r="R424" s="166"/>
      <c r="S424" s="156">
        <f>ROUND(H424*R423,2)</f>
        <v>0</v>
      </c>
      <c r="T424" s="34"/>
      <c r="U424" s="34"/>
      <c r="V424" s="166"/>
      <c r="W424" s="166"/>
      <c r="X424" s="166"/>
      <c r="Y424" s="156">
        <f>ROUND(H424*X423,2)</f>
        <v>0</v>
      </c>
      <c r="Z424" s="166"/>
      <c r="AA424" s="156">
        <f>ROUND(H424*Z423,2)</f>
        <v>0</v>
      </c>
      <c r="AB424" s="156">
        <f>ROUND(H424*W423,2)</f>
        <v>16325517.6</v>
      </c>
    </row>
    <row r="425" spans="1:28" x14ac:dyDescent="0.25">
      <c r="A425" s="168">
        <v>68</v>
      </c>
      <c r="B425" s="84" t="s">
        <v>351</v>
      </c>
      <c r="C425" s="34">
        <v>463</v>
      </c>
      <c r="D425" s="144" t="s">
        <v>957</v>
      </c>
      <c r="E425" s="168" t="s">
        <v>113</v>
      </c>
      <c r="F425" s="34"/>
      <c r="G425" s="169"/>
      <c r="H425" s="60">
        <f>SUM(H426:H426)</f>
        <v>16.232399999999998</v>
      </c>
      <c r="I425" s="166">
        <v>148000</v>
      </c>
      <c r="J425" s="166">
        <f>ROUND(H425*I425,0)</f>
        <v>2402395</v>
      </c>
      <c r="K425" s="166">
        <f>'Tổng hợp VL,NC,M'!I447</f>
        <v>148000</v>
      </c>
      <c r="L425" s="166">
        <f>ROUND(H425*K425,0)</f>
        <v>2402395</v>
      </c>
      <c r="M425" s="34">
        <v>1</v>
      </c>
      <c r="N425" s="166"/>
      <c r="O425" s="166">
        <f>ROUND(H425*N425,0)</f>
        <v>0</v>
      </c>
      <c r="P425" s="166"/>
      <c r="Q425" s="166">
        <f>ROUND(H425*P425,0)</f>
        <v>0</v>
      </c>
      <c r="R425" s="166"/>
      <c r="S425" s="166">
        <f>ROUND(H425*R425,0)</f>
        <v>0</v>
      </c>
      <c r="T425" s="34"/>
      <c r="U425" s="34"/>
      <c r="V425" s="166">
        <f>ROUND((K425+N425+P425+R425)*(U425+T425),0)</f>
        <v>0</v>
      </c>
      <c r="W425" s="166">
        <f>K425+N425+P425+R425+V425</f>
        <v>148000</v>
      </c>
      <c r="X425" s="166">
        <f>K425-I425</f>
        <v>0</v>
      </c>
      <c r="Y425" s="166">
        <f>ROUND(H425*X425,0)</f>
        <v>0</v>
      </c>
      <c r="Z425" s="166">
        <f>W425-I425</f>
        <v>0</v>
      </c>
      <c r="AA425" s="166">
        <f>ROUND(H425*Z425,0)</f>
        <v>0</v>
      </c>
      <c r="AB425" s="166">
        <f>ROUND(H425*W425,0)</f>
        <v>2402395</v>
      </c>
    </row>
    <row r="426" spans="1:28" ht="60" hidden="1" x14ac:dyDescent="0.25">
      <c r="A426" s="168"/>
      <c r="B426" s="133" t="str">
        <f>'Công trình'!B26</f>
        <v>AC.12412</v>
      </c>
      <c r="C426" s="34"/>
      <c r="D426" s="133" t="str">
        <f>'Công trình'!C26</f>
        <v>Đóng cọc cừ máng bê tông dự ứng lực trên cạn bằng búa rung kết hợp tách mũi nước áp lực SW600A, chiều cao máng cọc 60-84cm, L=18M</v>
      </c>
      <c r="E426" s="168"/>
      <c r="F426" s="20">
        <v>1</v>
      </c>
      <c r="G426" s="169"/>
      <c r="H426" s="45">
        <f>'Hao phí vật tư'!J184</f>
        <v>16.232399999999998</v>
      </c>
      <c r="I426" s="166"/>
      <c r="J426" s="156">
        <f>ROUND(H426*I425,2)</f>
        <v>2402395.2000000002</v>
      </c>
      <c r="K426" s="166"/>
      <c r="L426" s="156">
        <f>ROUND(H426*K425,2)</f>
        <v>2402395.2000000002</v>
      </c>
      <c r="M426" s="34"/>
      <c r="N426" s="166"/>
      <c r="O426" s="156">
        <f>ROUND(H426*N425,2)</f>
        <v>0</v>
      </c>
      <c r="P426" s="166"/>
      <c r="Q426" s="156">
        <f>ROUND(H426*P425,2)</f>
        <v>0</v>
      </c>
      <c r="R426" s="166"/>
      <c r="S426" s="156">
        <f>ROUND(H426*R425,2)</f>
        <v>0</v>
      </c>
      <c r="T426" s="34"/>
      <c r="U426" s="34"/>
      <c r="V426" s="166"/>
      <c r="W426" s="166"/>
      <c r="X426" s="166"/>
      <c r="Y426" s="156">
        <f>ROUND(H426*X425,2)</f>
        <v>0</v>
      </c>
      <c r="Z426" s="166"/>
      <c r="AA426" s="156">
        <f>ROUND(H426*Z425,2)</f>
        <v>0</v>
      </c>
      <c r="AB426" s="156">
        <f>ROUND(H426*W425,2)</f>
        <v>2402395.2000000002</v>
      </c>
    </row>
    <row r="427" spans="1:28" x14ac:dyDescent="0.25">
      <c r="A427" s="168">
        <v>69</v>
      </c>
      <c r="B427" s="84" t="s">
        <v>1017</v>
      </c>
      <c r="C427" s="34">
        <v>494</v>
      </c>
      <c r="D427" s="144" t="s">
        <v>191</v>
      </c>
      <c r="E427" s="168" t="s">
        <v>113</v>
      </c>
      <c r="F427" s="34"/>
      <c r="G427" s="169"/>
      <c r="H427" s="60">
        <f>SUM(H428:H429)</f>
        <v>106</v>
      </c>
      <c r="I427" s="166">
        <v>48788</v>
      </c>
      <c r="J427" s="166">
        <f>ROUND(H427*I427,0)</f>
        <v>5171528</v>
      </c>
      <c r="K427" s="166">
        <f>'Tổng hợp VL,NC,M'!I449</f>
        <v>48788</v>
      </c>
      <c r="L427" s="166">
        <f>ROUND(H427*K427,0)</f>
        <v>5171528</v>
      </c>
      <c r="M427" s="34">
        <v>1</v>
      </c>
      <c r="N427" s="166"/>
      <c r="O427" s="166">
        <f>ROUND(H427*N427,0)</f>
        <v>0</v>
      </c>
      <c r="P427" s="166"/>
      <c r="Q427" s="166">
        <f>ROUND(H427*P427,0)</f>
        <v>0</v>
      </c>
      <c r="R427" s="166"/>
      <c r="S427" s="166">
        <f>ROUND(H427*R427,0)</f>
        <v>0</v>
      </c>
      <c r="T427" s="34"/>
      <c r="U427" s="34"/>
      <c r="V427" s="166">
        <f>ROUND((K427+N427+P427+R427)*(U427+T427),0)</f>
        <v>0</v>
      </c>
      <c r="W427" s="166">
        <f>K427+N427+P427+R427+V427</f>
        <v>48788</v>
      </c>
      <c r="X427" s="166">
        <f>K427-I427</f>
        <v>0</v>
      </c>
      <c r="Y427" s="166">
        <f>ROUND(H427*X427,0)</f>
        <v>0</v>
      </c>
      <c r="Z427" s="166">
        <f>W427-I427</f>
        <v>0</v>
      </c>
      <c r="AA427" s="166">
        <f>ROUND(H427*Z427,0)</f>
        <v>0</v>
      </c>
      <c r="AB427" s="166">
        <f>ROUND(H427*W427,0)</f>
        <v>5171528</v>
      </c>
    </row>
    <row r="428" spans="1:28" hidden="1" x14ac:dyDescent="0.25">
      <c r="A428" s="168"/>
      <c r="B428" s="133" t="str">
        <f>'Công trình'!B276</f>
        <v>TT</v>
      </c>
      <c r="C428" s="34"/>
      <c r="D428" s="133" t="str">
        <f>'Công trình'!C276</f>
        <v>Thép ống mã kẽm Ø90</v>
      </c>
      <c r="E428" s="168"/>
      <c r="F428" s="20">
        <v>1</v>
      </c>
      <c r="G428" s="169"/>
      <c r="H428" s="45">
        <f>'Hao phí vật tư'!J2094</f>
        <v>78</v>
      </c>
      <c r="I428" s="166"/>
      <c r="J428" s="156">
        <f>ROUND(H428*I427,2)</f>
        <v>3805464</v>
      </c>
      <c r="K428" s="166"/>
      <c r="L428" s="156">
        <f>ROUND(H428*K427,2)</f>
        <v>3805464</v>
      </c>
      <c r="M428" s="34"/>
      <c r="N428" s="166"/>
      <c r="O428" s="156">
        <f>ROUND(H428*N427,2)</f>
        <v>0</v>
      </c>
      <c r="P428" s="166"/>
      <c r="Q428" s="156">
        <f>ROUND(H428*P427,2)</f>
        <v>0</v>
      </c>
      <c r="R428" s="166"/>
      <c r="S428" s="156">
        <f>ROUND(H428*R427,2)</f>
        <v>0</v>
      </c>
      <c r="T428" s="34"/>
      <c r="U428" s="34"/>
      <c r="V428" s="166"/>
      <c r="W428" s="166"/>
      <c r="X428" s="166"/>
      <c r="Y428" s="156">
        <f>ROUND(H428*X427,2)</f>
        <v>0</v>
      </c>
      <c r="Z428" s="166"/>
      <c r="AA428" s="156">
        <f>ROUND(H428*Z427,2)</f>
        <v>0</v>
      </c>
      <c r="AB428" s="156">
        <f>ROUND(H428*W427,2)</f>
        <v>3805464</v>
      </c>
    </row>
    <row r="429" spans="1:28" hidden="1" x14ac:dyDescent="0.25">
      <c r="A429" s="168"/>
      <c r="B429" s="133" t="str">
        <f>'Công trình'!B279</f>
        <v>TT</v>
      </c>
      <c r="C429" s="34"/>
      <c r="D429" s="133" t="str">
        <f>'Công trình'!C279</f>
        <v>Thép ống mã kẽm Ø90</v>
      </c>
      <c r="E429" s="168"/>
      <c r="F429" s="20">
        <v>1</v>
      </c>
      <c r="G429" s="169"/>
      <c r="H429" s="45">
        <f>'Hao phí vật tư'!J2103</f>
        <v>28</v>
      </c>
      <c r="I429" s="166"/>
      <c r="J429" s="156">
        <f>ROUND(H429*I427,2)</f>
        <v>1366064</v>
      </c>
      <c r="K429" s="166"/>
      <c r="L429" s="156">
        <f>ROUND(H429*K427,2)</f>
        <v>1366064</v>
      </c>
      <c r="M429" s="34"/>
      <c r="N429" s="166"/>
      <c r="O429" s="156">
        <f>ROUND(H429*N427,2)</f>
        <v>0</v>
      </c>
      <c r="P429" s="166"/>
      <c r="Q429" s="156">
        <f>ROUND(H429*P427,2)</f>
        <v>0</v>
      </c>
      <c r="R429" s="166"/>
      <c r="S429" s="156">
        <f>ROUND(H429*R427,2)</f>
        <v>0</v>
      </c>
      <c r="T429" s="34"/>
      <c r="U429" s="34"/>
      <c r="V429" s="166"/>
      <c r="W429" s="166"/>
      <c r="X429" s="166"/>
      <c r="Y429" s="156">
        <f>ROUND(H429*X427,2)</f>
        <v>0</v>
      </c>
      <c r="Z429" s="166"/>
      <c r="AA429" s="156">
        <f>ROUND(H429*Z427,2)</f>
        <v>0</v>
      </c>
      <c r="AB429" s="156">
        <f>ROUND(H429*W427,2)</f>
        <v>1366064</v>
      </c>
    </row>
    <row r="430" spans="1:28" x14ac:dyDescent="0.25">
      <c r="A430" s="168">
        <v>70</v>
      </c>
      <c r="B430" s="84" t="s">
        <v>534</v>
      </c>
      <c r="C430" s="34">
        <v>508</v>
      </c>
      <c r="D430" s="144" t="s">
        <v>358</v>
      </c>
      <c r="E430" s="168" t="s">
        <v>113</v>
      </c>
      <c r="F430" s="34"/>
      <c r="G430" s="169"/>
      <c r="H430" s="60">
        <f>SUM(H431:H431)</f>
        <v>71.355000000000004</v>
      </c>
      <c r="I430" s="166">
        <v>80737</v>
      </c>
      <c r="J430" s="166">
        <f>ROUND(H430*I430,0)</f>
        <v>5760989</v>
      </c>
      <c r="K430" s="166">
        <f>'Tổng hợp VL,NC,M'!I452</f>
        <v>80737</v>
      </c>
      <c r="L430" s="166">
        <f>ROUND(H430*K430,0)</f>
        <v>5760989</v>
      </c>
      <c r="M430" s="34">
        <v>1</v>
      </c>
      <c r="N430" s="166"/>
      <c r="O430" s="166">
        <f>ROUND(H430*N430,0)</f>
        <v>0</v>
      </c>
      <c r="P430" s="166"/>
      <c r="Q430" s="166">
        <f>ROUND(H430*P430,0)</f>
        <v>0</v>
      </c>
      <c r="R430" s="166"/>
      <c r="S430" s="166">
        <f>ROUND(H430*R430,0)</f>
        <v>0</v>
      </c>
      <c r="T430" s="34"/>
      <c r="U430" s="34"/>
      <c r="V430" s="166">
        <f>ROUND((K430+N430+P430+R430)*(U430+T430),0)</f>
        <v>0</v>
      </c>
      <c r="W430" s="166">
        <f>K430+N430+P430+R430+V430</f>
        <v>80737</v>
      </c>
      <c r="X430" s="166">
        <f>K430-I430</f>
        <v>0</v>
      </c>
      <c r="Y430" s="166">
        <f>ROUND(H430*X430,0)</f>
        <v>0</v>
      </c>
      <c r="Z430" s="166">
        <f>W430-I430</f>
        <v>0</v>
      </c>
      <c r="AA430" s="166">
        <f>ROUND(H430*Z430,0)</f>
        <v>0</v>
      </c>
      <c r="AB430" s="166">
        <f>ROUND(H430*W430,0)</f>
        <v>5760989</v>
      </c>
    </row>
    <row r="431" spans="1:28" hidden="1" x14ac:dyDescent="0.25">
      <c r="A431" s="168"/>
      <c r="B431" s="133" t="str">
        <f>'Công trình'!B268</f>
        <v>BB.14211</v>
      </c>
      <c r="C431" s="34"/>
      <c r="D431" s="133" t="str">
        <f>'Công trình'!C268</f>
        <v>Ống thép Þ120 dày 2 mm</v>
      </c>
      <c r="E431" s="168"/>
      <c r="F431" s="20">
        <v>1</v>
      </c>
      <c r="G431" s="169"/>
      <c r="H431" s="45">
        <f>'Hao phí vật tư'!J2044</f>
        <v>71.355000000000004</v>
      </c>
      <c r="I431" s="166"/>
      <c r="J431" s="156">
        <f>ROUND(H431*I430,2)</f>
        <v>5760988.6399999997</v>
      </c>
      <c r="K431" s="166"/>
      <c r="L431" s="156">
        <f>ROUND(H431*K430,2)</f>
        <v>5760988.6399999997</v>
      </c>
      <c r="M431" s="34"/>
      <c r="N431" s="166"/>
      <c r="O431" s="156">
        <f>ROUND(H431*N430,2)</f>
        <v>0</v>
      </c>
      <c r="P431" s="166"/>
      <c r="Q431" s="156">
        <f>ROUND(H431*P430,2)</f>
        <v>0</v>
      </c>
      <c r="R431" s="166"/>
      <c r="S431" s="156">
        <f>ROUND(H431*R430,2)</f>
        <v>0</v>
      </c>
      <c r="T431" s="34"/>
      <c r="U431" s="34"/>
      <c r="V431" s="166"/>
      <c r="W431" s="166"/>
      <c r="X431" s="166"/>
      <c r="Y431" s="156">
        <f>ROUND(H431*X430,2)</f>
        <v>0</v>
      </c>
      <c r="Z431" s="166"/>
      <c r="AA431" s="156">
        <f>ROUND(H431*Z430,2)</f>
        <v>0</v>
      </c>
      <c r="AB431" s="156">
        <f>ROUND(H431*W430,2)</f>
        <v>5760988.6399999997</v>
      </c>
    </row>
    <row r="432" spans="1:28" x14ac:dyDescent="0.25">
      <c r="A432" s="168">
        <v>71</v>
      </c>
      <c r="B432" s="84" t="s">
        <v>260</v>
      </c>
      <c r="C432" s="34">
        <v>511</v>
      </c>
      <c r="D432" s="144" t="s">
        <v>969</v>
      </c>
      <c r="E432" s="168" t="s">
        <v>113</v>
      </c>
      <c r="F432" s="34"/>
      <c r="G432" s="169"/>
      <c r="H432" s="60">
        <f>SUM(H433:H433)</f>
        <v>30.15</v>
      </c>
      <c r="I432" s="166">
        <v>80737</v>
      </c>
      <c r="J432" s="166">
        <f>ROUND(H432*I432,0)</f>
        <v>2434221</v>
      </c>
      <c r="K432" s="166">
        <f>'Tổng hợp VL,NC,M'!I454</f>
        <v>80737</v>
      </c>
      <c r="L432" s="166">
        <f>ROUND(H432*K432,0)</f>
        <v>2434221</v>
      </c>
      <c r="M432" s="34">
        <v>1</v>
      </c>
      <c r="N432" s="166"/>
      <c r="O432" s="166">
        <f>ROUND(H432*N432,0)</f>
        <v>0</v>
      </c>
      <c r="P432" s="166"/>
      <c r="Q432" s="166">
        <f>ROUND(H432*P432,0)</f>
        <v>0</v>
      </c>
      <c r="R432" s="166"/>
      <c r="S432" s="166">
        <f>ROUND(H432*R432,0)</f>
        <v>0</v>
      </c>
      <c r="T432" s="34"/>
      <c r="U432" s="34"/>
      <c r="V432" s="166">
        <f>ROUND((K432+N432+P432+R432)*(U432+T432),0)</f>
        <v>0</v>
      </c>
      <c r="W432" s="166">
        <f>K432+N432+P432+R432+V432</f>
        <v>80737</v>
      </c>
      <c r="X432" s="166">
        <f>K432-I432</f>
        <v>0</v>
      </c>
      <c r="Y432" s="166">
        <f>ROUND(H432*X432,0)</f>
        <v>0</v>
      </c>
      <c r="Z432" s="166">
        <f>W432-I432</f>
        <v>0</v>
      </c>
      <c r="AA432" s="166">
        <f>ROUND(H432*Z432,0)</f>
        <v>0</v>
      </c>
      <c r="AB432" s="166">
        <f>ROUND(H432*W432,0)</f>
        <v>2434221</v>
      </c>
    </row>
    <row r="433" spans="1:28" ht="30" hidden="1" x14ac:dyDescent="0.25">
      <c r="A433" s="168"/>
      <c r="B433" s="133" t="str">
        <f>'Công trình'!B259</f>
        <v>BB.14309</v>
      </c>
      <c r="C433" s="34"/>
      <c r="D433" s="133" t="str">
        <f>'Công trình'!C259</f>
        <v>Lắp đặt ống thép tráng kẽm, đoạn ống dài 8m, đk=110mm</v>
      </c>
      <c r="E433" s="168"/>
      <c r="F433" s="20">
        <v>1</v>
      </c>
      <c r="G433" s="169"/>
      <c r="H433" s="45">
        <f>'Hao phí vật tư'!J1980</f>
        <v>30.15</v>
      </c>
      <c r="I433" s="166"/>
      <c r="J433" s="156">
        <f>ROUND(H433*I432,2)</f>
        <v>2434220.5499999998</v>
      </c>
      <c r="K433" s="166"/>
      <c r="L433" s="156">
        <f>ROUND(H433*K432,2)</f>
        <v>2434220.5499999998</v>
      </c>
      <c r="M433" s="34"/>
      <c r="N433" s="166"/>
      <c r="O433" s="156">
        <f>ROUND(H433*N432,2)</f>
        <v>0</v>
      </c>
      <c r="P433" s="166"/>
      <c r="Q433" s="156">
        <f>ROUND(H433*P432,2)</f>
        <v>0</v>
      </c>
      <c r="R433" s="166"/>
      <c r="S433" s="156">
        <f>ROUND(H433*R432,2)</f>
        <v>0</v>
      </c>
      <c r="T433" s="34"/>
      <c r="U433" s="34"/>
      <c r="V433" s="166"/>
      <c r="W433" s="166"/>
      <c r="X433" s="166"/>
      <c r="Y433" s="156">
        <f>ROUND(H433*X432,2)</f>
        <v>0</v>
      </c>
      <c r="Z433" s="166"/>
      <c r="AA433" s="156">
        <f>ROUND(H433*Z432,2)</f>
        <v>0</v>
      </c>
      <c r="AB433" s="156">
        <f>ROUND(H433*W432,2)</f>
        <v>2434220.5499999998</v>
      </c>
    </row>
    <row r="434" spans="1:28" x14ac:dyDescent="0.25">
      <c r="A434" s="168">
        <v>72</v>
      </c>
      <c r="B434" s="84" t="s">
        <v>758</v>
      </c>
      <c r="C434" s="34">
        <v>513</v>
      </c>
      <c r="D434" s="144" t="s">
        <v>518</v>
      </c>
      <c r="E434" s="168" t="s">
        <v>113</v>
      </c>
      <c r="F434" s="34"/>
      <c r="G434" s="169"/>
      <c r="H434" s="60">
        <f>SUM(H435:H435)</f>
        <v>7.0350000000000001</v>
      </c>
      <c r="I434" s="166">
        <v>32273</v>
      </c>
      <c r="J434" s="166">
        <f>ROUND(H434*I434,0)</f>
        <v>227041</v>
      </c>
      <c r="K434" s="166">
        <f>'Tổng hợp VL,NC,M'!I456</f>
        <v>32273</v>
      </c>
      <c r="L434" s="166">
        <f>ROUND(H434*K434,0)</f>
        <v>227041</v>
      </c>
      <c r="M434" s="34">
        <v>1</v>
      </c>
      <c r="N434" s="166"/>
      <c r="O434" s="166">
        <f>ROUND(H434*N434,0)</f>
        <v>0</v>
      </c>
      <c r="P434" s="166"/>
      <c r="Q434" s="166">
        <f>ROUND(H434*P434,0)</f>
        <v>0</v>
      </c>
      <c r="R434" s="166"/>
      <c r="S434" s="166">
        <f>ROUND(H434*R434,0)</f>
        <v>0</v>
      </c>
      <c r="T434" s="34"/>
      <c r="U434" s="34"/>
      <c r="V434" s="166">
        <f>ROUND((K434+N434+P434+R434)*(U434+T434),0)</f>
        <v>0</v>
      </c>
      <c r="W434" s="166">
        <f>K434+N434+P434+R434+V434</f>
        <v>32273</v>
      </c>
      <c r="X434" s="166">
        <f>K434-I434</f>
        <v>0</v>
      </c>
      <c r="Y434" s="166">
        <f>ROUND(H434*X434,0)</f>
        <v>0</v>
      </c>
      <c r="Z434" s="166">
        <f>W434-I434</f>
        <v>0</v>
      </c>
      <c r="AA434" s="166">
        <f>ROUND(H434*Z434,0)</f>
        <v>0</v>
      </c>
      <c r="AB434" s="166">
        <f>ROUND(H434*W434,0)</f>
        <v>227041</v>
      </c>
    </row>
    <row r="435" spans="1:28" hidden="1" x14ac:dyDescent="0.25">
      <c r="A435" s="168"/>
      <c r="B435" s="133" t="str">
        <f>'Công trình'!B289</f>
        <v>BB.14306</v>
      </c>
      <c r="C435" s="34"/>
      <c r="D435" s="133" t="str">
        <f>'Công trình'!C289</f>
        <v>Ống thép D80mm, dày 2.9mm, mạ kẽm</v>
      </c>
      <c r="E435" s="168"/>
      <c r="F435" s="20">
        <v>1</v>
      </c>
      <c r="G435" s="169"/>
      <c r="H435" s="45">
        <f>'Hao phí vật tư'!J2163</f>
        <v>7.0350000000000001</v>
      </c>
      <c r="I435" s="166"/>
      <c r="J435" s="156">
        <f>ROUND(H435*I434,2)</f>
        <v>227040.56</v>
      </c>
      <c r="K435" s="166"/>
      <c r="L435" s="156">
        <f>ROUND(H435*K434,2)</f>
        <v>227040.56</v>
      </c>
      <c r="M435" s="34"/>
      <c r="N435" s="166"/>
      <c r="O435" s="156">
        <f>ROUND(H435*N434,2)</f>
        <v>0</v>
      </c>
      <c r="P435" s="166"/>
      <c r="Q435" s="156">
        <f>ROUND(H435*P434,2)</f>
        <v>0</v>
      </c>
      <c r="R435" s="166"/>
      <c r="S435" s="156">
        <f>ROUND(H435*R434,2)</f>
        <v>0</v>
      </c>
      <c r="T435" s="34"/>
      <c r="U435" s="34"/>
      <c r="V435" s="166"/>
      <c r="W435" s="166"/>
      <c r="X435" s="166"/>
      <c r="Y435" s="156">
        <f>ROUND(H435*X434,2)</f>
        <v>0</v>
      </c>
      <c r="Z435" s="166"/>
      <c r="AA435" s="156">
        <f>ROUND(H435*Z434,2)</f>
        <v>0</v>
      </c>
      <c r="AB435" s="156">
        <f>ROUND(H435*W434,2)</f>
        <v>227040.56</v>
      </c>
    </row>
    <row r="436" spans="1:28" x14ac:dyDescent="0.25">
      <c r="A436" s="168">
        <v>73</v>
      </c>
      <c r="B436" s="84" t="s">
        <v>22</v>
      </c>
      <c r="C436" s="34">
        <v>514</v>
      </c>
      <c r="D436" s="144" t="s">
        <v>722</v>
      </c>
      <c r="E436" s="168" t="s">
        <v>113</v>
      </c>
      <c r="F436" s="34"/>
      <c r="G436" s="169"/>
      <c r="H436" s="60">
        <f>SUM(H437:H437)</f>
        <v>1.3585</v>
      </c>
      <c r="I436" s="166">
        <v>393955</v>
      </c>
      <c r="J436" s="166">
        <f>ROUND(H436*I436,0)</f>
        <v>535188</v>
      </c>
      <c r="K436" s="166">
        <f>'Tổng hợp VL,NC,M'!I458</f>
        <v>393955</v>
      </c>
      <c r="L436" s="166">
        <f>ROUND(H436*K436,0)</f>
        <v>535188</v>
      </c>
      <c r="M436" s="34">
        <v>1</v>
      </c>
      <c r="N436" s="166"/>
      <c r="O436" s="166">
        <f>ROUND(H436*N436,0)</f>
        <v>0</v>
      </c>
      <c r="P436" s="166"/>
      <c r="Q436" s="166">
        <f>ROUND(H436*P436,0)</f>
        <v>0</v>
      </c>
      <c r="R436" s="166"/>
      <c r="S436" s="166">
        <f>ROUND(H436*R436,0)</f>
        <v>0</v>
      </c>
      <c r="T436" s="34"/>
      <c r="U436" s="34"/>
      <c r="V436" s="166">
        <f>ROUND((K436+N436+P436+R436)*(U436+T436),0)</f>
        <v>0</v>
      </c>
      <c r="W436" s="166">
        <f>K436+N436+P436+R436+V436</f>
        <v>393955</v>
      </c>
      <c r="X436" s="166">
        <f>K436-I436</f>
        <v>0</v>
      </c>
      <c r="Y436" s="166">
        <f>ROUND(H436*X436,0)</f>
        <v>0</v>
      </c>
      <c r="Z436" s="166">
        <f>W436-I436</f>
        <v>0</v>
      </c>
      <c r="AA436" s="166">
        <f>ROUND(H436*Z436,0)</f>
        <v>0</v>
      </c>
      <c r="AB436" s="166">
        <f>ROUND(H436*W436,0)</f>
        <v>535188</v>
      </c>
    </row>
    <row r="437" spans="1:28" ht="30" hidden="1" x14ac:dyDescent="0.25">
      <c r="A437" s="168"/>
      <c r="B437" s="133" t="str">
        <f>'Công trình'!B154</f>
        <v>AB.36120</v>
      </c>
      <c r="C437" s="34"/>
      <c r="D437" s="133" t="str">
        <f>'Công trình'!C154</f>
        <v>Xói hút bùn trong khung vây phòng nước, các trụ dưới nước</v>
      </c>
      <c r="E437" s="168"/>
      <c r="F437" s="20">
        <v>1</v>
      </c>
      <c r="G437" s="169"/>
      <c r="H437" s="45">
        <f>'Hao phí vật tư'!J1168</f>
        <v>1.3585</v>
      </c>
      <c r="I437" s="166"/>
      <c r="J437" s="156">
        <f>ROUND(H437*I436,2)</f>
        <v>535187.87</v>
      </c>
      <c r="K437" s="166"/>
      <c r="L437" s="156">
        <f>ROUND(H437*K436,2)</f>
        <v>535187.87</v>
      </c>
      <c r="M437" s="34"/>
      <c r="N437" s="166"/>
      <c r="O437" s="156">
        <f>ROUND(H437*N436,2)</f>
        <v>0</v>
      </c>
      <c r="P437" s="166"/>
      <c r="Q437" s="156">
        <f>ROUND(H437*P436,2)</f>
        <v>0</v>
      </c>
      <c r="R437" s="166"/>
      <c r="S437" s="156">
        <f>ROUND(H437*R436,2)</f>
        <v>0</v>
      </c>
      <c r="T437" s="34"/>
      <c r="U437" s="34"/>
      <c r="V437" s="166"/>
      <c r="W437" s="166"/>
      <c r="X437" s="166"/>
      <c r="Y437" s="156">
        <f>ROUND(H437*X436,2)</f>
        <v>0</v>
      </c>
      <c r="Z437" s="166"/>
      <c r="AA437" s="156">
        <f>ROUND(H437*Z436,2)</f>
        <v>0</v>
      </c>
      <c r="AB437" s="156">
        <f>ROUND(H437*W436,2)</f>
        <v>535187.87</v>
      </c>
    </row>
    <row r="438" spans="1:28" x14ac:dyDescent="0.25">
      <c r="A438" s="168">
        <v>74</v>
      </c>
      <c r="B438" s="84" t="s">
        <v>415</v>
      </c>
      <c r="C438" s="34">
        <v>515</v>
      </c>
      <c r="D438" s="144" t="s">
        <v>952</v>
      </c>
      <c r="E438" s="168" t="s">
        <v>113</v>
      </c>
      <c r="F438" s="34"/>
      <c r="G438" s="169"/>
      <c r="H438" s="60">
        <f>SUM(H439:H439)</f>
        <v>1.3585</v>
      </c>
      <c r="I438" s="166">
        <v>837000</v>
      </c>
      <c r="J438" s="166">
        <f>ROUND(H438*I438,0)</f>
        <v>1137065</v>
      </c>
      <c r="K438" s="166">
        <f>'Tổng hợp VL,NC,M'!I460</f>
        <v>837000</v>
      </c>
      <c r="L438" s="166">
        <f>ROUND(H438*K438,0)</f>
        <v>1137065</v>
      </c>
      <c r="M438" s="34">
        <v>1</v>
      </c>
      <c r="N438" s="166"/>
      <c r="O438" s="166">
        <f>ROUND(H438*N438,0)</f>
        <v>0</v>
      </c>
      <c r="P438" s="166"/>
      <c r="Q438" s="166">
        <f>ROUND(H438*P438,0)</f>
        <v>0</v>
      </c>
      <c r="R438" s="166"/>
      <c r="S438" s="166">
        <f>ROUND(H438*R438,0)</f>
        <v>0</v>
      </c>
      <c r="T438" s="34"/>
      <c r="U438" s="34"/>
      <c r="V438" s="166">
        <f>ROUND((K438+N438+P438+R438)*(U438+T438),0)</f>
        <v>0</v>
      </c>
      <c r="W438" s="166">
        <f>K438+N438+P438+R438+V438</f>
        <v>837000</v>
      </c>
      <c r="X438" s="166">
        <f>K438-I438</f>
        <v>0</v>
      </c>
      <c r="Y438" s="166">
        <f>ROUND(H438*X438,0)</f>
        <v>0</v>
      </c>
      <c r="Z438" s="166">
        <f>W438-I438</f>
        <v>0</v>
      </c>
      <c r="AA438" s="166">
        <f>ROUND(H438*Z438,0)</f>
        <v>0</v>
      </c>
      <c r="AB438" s="166">
        <f>ROUND(H438*W438,0)</f>
        <v>1137065</v>
      </c>
    </row>
    <row r="439" spans="1:28" ht="30" hidden="1" x14ac:dyDescent="0.25">
      <c r="A439" s="168"/>
      <c r="B439" s="133" t="str">
        <f>'Công trình'!B154</f>
        <v>AB.36120</v>
      </c>
      <c r="C439" s="34"/>
      <c r="D439" s="133" t="str">
        <f>'Công trình'!C154</f>
        <v>Xói hút bùn trong khung vây phòng nước, các trụ dưới nước</v>
      </c>
      <c r="E439" s="168"/>
      <c r="F439" s="20">
        <v>1</v>
      </c>
      <c r="G439" s="169"/>
      <c r="H439" s="45">
        <f>'Hao phí vật tư'!J1166</f>
        <v>1.3585</v>
      </c>
      <c r="I439" s="166"/>
      <c r="J439" s="156">
        <f>ROUND(H439*I438,2)</f>
        <v>1137064.5</v>
      </c>
      <c r="K439" s="166"/>
      <c r="L439" s="156">
        <f>ROUND(H439*K438,2)</f>
        <v>1137064.5</v>
      </c>
      <c r="M439" s="34"/>
      <c r="N439" s="166"/>
      <c r="O439" s="156">
        <f>ROUND(H439*N438,2)</f>
        <v>0</v>
      </c>
      <c r="P439" s="166"/>
      <c r="Q439" s="156">
        <f>ROUND(H439*P438,2)</f>
        <v>0</v>
      </c>
      <c r="R439" s="166"/>
      <c r="S439" s="156">
        <f>ROUND(H439*R438,2)</f>
        <v>0</v>
      </c>
      <c r="T439" s="34"/>
      <c r="U439" s="34"/>
      <c r="V439" s="166"/>
      <c r="W439" s="166"/>
      <c r="X439" s="166"/>
      <c r="Y439" s="156">
        <f>ROUND(H439*X438,2)</f>
        <v>0</v>
      </c>
      <c r="Z439" s="166"/>
      <c r="AA439" s="156">
        <f>ROUND(H439*Z438,2)</f>
        <v>0</v>
      </c>
      <c r="AB439" s="156">
        <f>ROUND(H439*W438,2)</f>
        <v>1137064.5</v>
      </c>
    </row>
    <row r="440" spans="1:28" x14ac:dyDescent="0.25">
      <c r="A440" s="168">
        <v>75</v>
      </c>
      <c r="B440" s="84" t="s">
        <v>373</v>
      </c>
      <c r="C440" s="34">
        <v>516</v>
      </c>
      <c r="D440" s="144" t="s">
        <v>214</v>
      </c>
      <c r="E440" s="168" t="s">
        <v>113</v>
      </c>
      <c r="F440" s="34"/>
      <c r="G440" s="169"/>
      <c r="H440" s="60">
        <f>SUM(H441:H441)</f>
        <v>1.3585</v>
      </c>
      <c r="I440" s="166">
        <v>15000</v>
      </c>
      <c r="J440" s="166">
        <f>ROUND(H440*I440,0)</f>
        <v>20378</v>
      </c>
      <c r="K440" s="166">
        <f>'Tổng hợp VL,NC,M'!I462</f>
        <v>15000</v>
      </c>
      <c r="L440" s="166">
        <f>ROUND(H440*K440,0)</f>
        <v>20378</v>
      </c>
      <c r="M440" s="34">
        <v>1</v>
      </c>
      <c r="N440" s="166"/>
      <c r="O440" s="166">
        <f>ROUND(H440*N440,0)</f>
        <v>0</v>
      </c>
      <c r="P440" s="166"/>
      <c r="Q440" s="166">
        <f>ROUND(H440*P440,0)</f>
        <v>0</v>
      </c>
      <c r="R440" s="166"/>
      <c r="S440" s="166">
        <f>ROUND(H440*R440,0)</f>
        <v>0</v>
      </c>
      <c r="T440" s="34"/>
      <c r="U440" s="34"/>
      <c r="V440" s="166">
        <f>ROUND((K440+N440+P440+R440)*(U440+T440),0)</f>
        <v>0</v>
      </c>
      <c r="W440" s="166">
        <f>K440+N440+P440+R440+V440</f>
        <v>15000</v>
      </c>
      <c r="X440" s="166">
        <f>K440-I440</f>
        <v>0</v>
      </c>
      <c r="Y440" s="166">
        <f>ROUND(H440*X440,0)</f>
        <v>0</v>
      </c>
      <c r="Z440" s="166">
        <f>W440-I440</f>
        <v>0</v>
      </c>
      <c r="AA440" s="166">
        <f>ROUND(H440*Z440,0)</f>
        <v>0</v>
      </c>
      <c r="AB440" s="166">
        <f>ROUND(H440*W440,0)</f>
        <v>20378</v>
      </c>
    </row>
    <row r="441" spans="1:28" ht="30" hidden="1" x14ac:dyDescent="0.25">
      <c r="A441" s="168"/>
      <c r="B441" s="133" t="str">
        <f>'Công trình'!B154</f>
        <v>AB.36120</v>
      </c>
      <c r="C441" s="34"/>
      <c r="D441" s="133" t="str">
        <f>'Công trình'!C154</f>
        <v>Xói hút bùn trong khung vây phòng nước, các trụ dưới nước</v>
      </c>
      <c r="E441" s="168"/>
      <c r="F441" s="20">
        <v>1</v>
      </c>
      <c r="G441" s="169"/>
      <c r="H441" s="45">
        <f>'Hao phí vật tư'!J1167</f>
        <v>1.3585</v>
      </c>
      <c r="I441" s="166"/>
      <c r="J441" s="156">
        <f>ROUND(H441*I440,2)</f>
        <v>20377.5</v>
      </c>
      <c r="K441" s="166"/>
      <c r="L441" s="156">
        <f>ROUND(H441*K440,2)</f>
        <v>20377.5</v>
      </c>
      <c r="M441" s="34"/>
      <c r="N441" s="166"/>
      <c r="O441" s="156">
        <f>ROUND(H441*N440,2)</f>
        <v>0</v>
      </c>
      <c r="P441" s="166"/>
      <c r="Q441" s="156">
        <f>ROUND(H441*P440,2)</f>
        <v>0</v>
      </c>
      <c r="R441" s="166"/>
      <c r="S441" s="156">
        <f>ROUND(H441*R440,2)</f>
        <v>0</v>
      </c>
      <c r="T441" s="34"/>
      <c r="U441" s="34"/>
      <c r="V441" s="166"/>
      <c r="W441" s="166"/>
      <c r="X441" s="166"/>
      <c r="Y441" s="156">
        <f>ROUND(H441*X440,2)</f>
        <v>0</v>
      </c>
      <c r="Z441" s="166"/>
      <c r="AA441" s="156">
        <f>ROUND(H441*Z440,2)</f>
        <v>0</v>
      </c>
      <c r="AB441" s="156">
        <f>ROUND(H441*W440,2)</f>
        <v>20377.5</v>
      </c>
    </row>
    <row r="442" spans="1:28" x14ac:dyDescent="0.25">
      <c r="A442" s="168">
        <v>76</v>
      </c>
      <c r="B442" s="84" t="s">
        <v>248</v>
      </c>
      <c r="C442" s="34">
        <v>503</v>
      </c>
      <c r="D442" s="144" t="s">
        <v>816</v>
      </c>
      <c r="E442" s="168" t="s">
        <v>113</v>
      </c>
      <c r="F442" s="34"/>
      <c r="G442" s="169"/>
      <c r="H442" s="60">
        <f>SUM(H443:H443)</f>
        <v>2.8</v>
      </c>
      <c r="I442" s="166">
        <v>35000</v>
      </c>
      <c r="J442" s="166">
        <f>ROUND(H442*I442,0)</f>
        <v>98000</v>
      </c>
      <c r="K442" s="166">
        <f>'Tổng hợp VL,NC,M'!I464</f>
        <v>35000</v>
      </c>
      <c r="L442" s="166">
        <f>ROUND(H442*K442,0)</f>
        <v>98000</v>
      </c>
      <c r="M442" s="34">
        <v>1</v>
      </c>
      <c r="N442" s="166"/>
      <c r="O442" s="166">
        <f>ROUND(H442*N442,0)</f>
        <v>0</v>
      </c>
      <c r="P442" s="166"/>
      <c r="Q442" s="166">
        <f>ROUND(H442*P442,0)</f>
        <v>0</v>
      </c>
      <c r="R442" s="166"/>
      <c r="S442" s="166">
        <f>ROUND(H442*R442,0)</f>
        <v>0</v>
      </c>
      <c r="T442" s="34"/>
      <c r="U442" s="34"/>
      <c r="V442" s="166">
        <f>ROUND((K442+N442+P442+R442)*(U442+T442),0)</f>
        <v>0</v>
      </c>
      <c r="W442" s="166">
        <f>K442+N442+P442+R442+V442</f>
        <v>35000</v>
      </c>
      <c r="X442" s="166">
        <f>K442-I442</f>
        <v>0</v>
      </c>
      <c r="Y442" s="166">
        <f>ROUND(H442*X442,0)</f>
        <v>0</v>
      </c>
      <c r="Z442" s="166">
        <f>W442-I442</f>
        <v>0</v>
      </c>
      <c r="AA442" s="166">
        <f>ROUND(H442*Z442,0)</f>
        <v>0</v>
      </c>
      <c r="AB442" s="166">
        <f>ROUND(H442*W442,0)</f>
        <v>98000</v>
      </c>
    </row>
    <row r="443" spans="1:28" hidden="1" x14ac:dyDescent="0.25">
      <c r="A443" s="168"/>
      <c r="B443" s="133" t="str">
        <f>'Công trình'!B277</f>
        <v>TT</v>
      </c>
      <c r="C443" s="34"/>
      <c r="D443" s="133" t="str">
        <f>'Công trình'!C277</f>
        <v>Phần đầu</v>
      </c>
      <c r="E443" s="168"/>
      <c r="F443" s="20">
        <v>1</v>
      </c>
      <c r="G443" s="169"/>
      <c r="H443" s="45">
        <f>'Hao phí vật tư'!J2097</f>
        <v>2.8</v>
      </c>
      <c r="I443" s="166"/>
      <c r="J443" s="156">
        <f>ROUND(H443*I442,2)</f>
        <v>98000</v>
      </c>
      <c r="K443" s="166"/>
      <c r="L443" s="156">
        <f>ROUND(H443*K442,2)</f>
        <v>98000</v>
      </c>
      <c r="M443" s="34"/>
      <c r="N443" s="166"/>
      <c r="O443" s="156">
        <f>ROUND(H443*N442,2)</f>
        <v>0</v>
      </c>
      <c r="P443" s="166"/>
      <c r="Q443" s="156">
        <f>ROUND(H443*P442,2)</f>
        <v>0</v>
      </c>
      <c r="R443" s="166"/>
      <c r="S443" s="156">
        <f>ROUND(H443*R442,2)</f>
        <v>0</v>
      </c>
      <c r="T443" s="34"/>
      <c r="U443" s="34"/>
      <c r="V443" s="166"/>
      <c r="W443" s="166"/>
      <c r="X443" s="166"/>
      <c r="Y443" s="156">
        <f>ROUND(H443*X442,2)</f>
        <v>0</v>
      </c>
      <c r="Z443" s="166"/>
      <c r="AA443" s="156">
        <f>ROUND(H443*Z442,2)</f>
        <v>0</v>
      </c>
      <c r="AB443" s="156">
        <f>ROUND(H443*W442,2)</f>
        <v>98000</v>
      </c>
    </row>
    <row r="444" spans="1:28" x14ac:dyDescent="0.25">
      <c r="A444" s="168">
        <v>77</v>
      </c>
      <c r="B444" s="84" t="s">
        <v>756</v>
      </c>
      <c r="C444" s="34">
        <v>150</v>
      </c>
      <c r="D444" s="144" t="s">
        <v>1087</v>
      </c>
      <c r="E444" s="168" t="s">
        <v>555</v>
      </c>
      <c r="F444" s="34"/>
      <c r="G444" s="169"/>
      <c r="H444" s="60">
        <f>SUM(H445:H445)</f>
        <v>1265.7825</v>
      </c>
      <c r="I444" s="166">
        <v>15652</v>
      </c>
      <c r="J444" s="166">
        <f>ROUND(H444*I444,0)</f>
        <v>19812028</v>
      </c>
      <c r="K444" s="166">
        <f>'Tổng hợp VL,NC,M'!I466</f>
        <v>15652</v>
      </c>
      <c r="L444" s="166">
        <f>ROUND(H444*K444,0)</f>
        <v>19812028</v>
      </c>
      <c r="M444" s="34">
        <v>1</v>
      </c>
      <c r="N444" s="166"/>
      <c r="O444" s="166">
        <f>ROUND(H444*N444,0)</f>
        <v>0</v>
      </c>
      <c r="P444" s="166"/>
      <c r="Q444" s="166">
        <f>ROUND(H444*P444,0)</f>
        <v>0</v>
      </c>
      <c r="R444" s="166"/>
      <c r="S444" s="166">
        <f>ROUND(H444*R444,0)</f>
        <v>0</v>
      </c>
      <c r="T444" s="34"/>
      <c r="U444" s="34"/>
      <c r="V444" s="166">
        <f>ROUND((K444+N444+P444+R444)*(U444+T444),0)</f>
        <v>0</v>
      </c>
      <c r="W444" s="166">
        <f>K444+N444+P444+R444+V444</f>
        <v>15652</v>
      </c>
      <c r="X444" s="166">
        <f>K444-I444</f>
        <v>0</v>
      </c>
      <c r="Y444" s="166">
        <f>ROUND(H444*X444,0)</f>
        <v>0</v>
      </c>
      <c r="Z444" s="166">
        <f>W444-I444</f>
        <v>0</v>
      </c>
      <c r="AA444" s="166">
        <f>ROUND(H444*Z444,0)</f>
        <v>0</v>
      </c>
      <c r="AB444" s="166">
        <f>ROUND(H444*W444,0)</f>
        <v>19812028</v>
      </c>
    </row>
    <row r="445" spans="1:28" hidden="1" x14ac:dyDescent="0.25">
      <c r="A445" s="168"/>
      <c r="B445" s="133" t="str">
        <f>'Công trình'!B196</f>
        <v>AF.14315</v>
      </c>
      <c r="C445" s="34"/>
      <c r="D445" s="133" t="str">
        <f>'Công trình'!C196</f>
        <v>Bê tông mặt cầu đá 1x2, vữa BT mác 300</v>
      </c>
      <c r="E445" s="168"/>
      <c r="F445" s="20">
        <v>1</v>
      </c>
      <c r="G445" s="169"/>
      <c r="H445" s="45">
        <f>'Hao phí vật tư'!J1500</f>
        <v>1265.7825</v>
      </c>
      <c r="I445" s="166"/>
      <c r="J445" s="156">
        <f>ROUND(H445*I444,2)</f>
        <v>19812027.690000001</v>
      </c>
      <c r="K445" s="166"/>
      <c r="L445" s="156">
        <f>ROUND(H445*K444,2)</f>
        <v>19812027.690000001</v>
      </c>
      <c r="M445" s="34"/>
      <c r="N445" s="166"/>
      <c r="O445" s="156">
        <f>ROUND(H445*N444,2)</f>
        <v>0</v>
      </c>
      <c r="P445" s="166"/>
      <c r="Q445" s="156">
        <f>ROUND(H445*P444,2)</f>
        <v>0</v>
      </c>
      <c r="R445" s="166"/>
      <c r="S445" s="156">
        <f>ROUND(H445*R444,2)</f>
        <v>0</v>
      </c>
      <c r="T445" s="34"/>
      <c r="U445" s="34"/>
      <c r="V445" s="166"/>
      <c r="W445" s="166"/>
      <c r="X445" s="166"/>
      <c r="Y445" s="156">
        <f>ROUND(H445*X444,2)</f>
        <v>0</v>
      </c>
      <c r="Z445" s="166"/>
      <c r="AA445" s="156">
        <f>ROUND(H445*Z444,2)</f>
        <v>0</v>
      </c>
      <c r="AB445" s="156">
        <f>ROUND(H445*W444,2)</f>
        <v>19812027.690000001</v>
      </c>
    </row>
    <row r="446" spans="1:28" x14ac:dyDescent="0.25">
      <c r="A446" s="168">
        <v>78</v>
      </c>
      <c r="B446" s="84" t="s">
        <v>703</v>
      </c>
      <c r="C446" s="34">
        <v>151</v>
      </c>
      <c r="D446" s="144" t="s">
        <v>18</v>
      </c>
      <c r="E446" s="168" t="s">
        <v>555</v>
      </c>
      <c r="F446" s="34"/>
      <c r="G446" s="169"/>
      <c r="H446" s="60">
        <f>SUM(H447:H447)</f>
        <v>22.701699999999999</v>
      </c>
      <c r="I446" s="166">
        <v>15652</v>
      </c>
      <c r="J446" s="166">
        <f>ROUND(H446*I446,0)</f>
        <v>355327</v>
      </c>
      <c r="K446" s="166">
        <f>'Tổng hợp VL,NC,M'!I468</f>
        <v>15652</v>
      </c>
      <c r="L446" s="166">
        <f>ROUND(H446*K446,0)</f>
        <v>355327</v>
      </c>
      <c r="M446" s="34">
        <v>1</v>
      </c>
      <c r="N446" s="166"/>
      <c r="O446" s="166">
        <f>ROUND(H446*N446,0)</f>
        <v>0</v>
      </c>
      <c r="P446" s="166"/>
      <c r="Q446" s="166">
        <f>ROUND(H446*P446,0)</f>
        <v>0</v>
      </c>
      <c r="R446" s="166"/>
      <c r="S446" s="166">
        <f>ROUND(H446*R446,0)</f>
        <v>0</v>
      </c>
      <c r="T446" s="34"/>
      <c r="U446" s="34"/>
      <c r="V446" s="166">
        <f>ROUND((K446+N446+P446+R446)*(U446+T446),0)</f>
        <v>0</v>
      </c>
      <c r="W446" s="166">
        <f>K446+N446+P446+R446+V446</f>
        <v>15652</v>
      </c>
      <c r="X446" s="166">
        <f>K446-I446</f>
        <v>0</v>
      </c>
      <c r="Y446" s="166">
        <f>ROUND(H446*X446,0)</f>
        <v>0</v>
      </c>
      <c r="Z446" s="166">
        <f>W446-I446</f>
        <v>0</v>
      </c>
      <c r="AA446" s="166">
        <f>ROUND(H446*Z446,0)</f>
        <v>0</v>
      </c>
      <c r="AB446" s="166">
        <f>ROUND(H446*W446,0)</f>
        <v>355327</v>
      </c>
    </row>
    <row r="447" spans="1:28" hidden="1" x14ac:dyDescent="0.25">
      <c r="A447" s="168"/>
      <c r="B447" s="133" t="str">
        <f>'Công trình'!B217</f>
        <v>AF.11215</v>
      </c>
      <c r="C447" s="34"/>
      <c r="D447" s="133" t="str">
        <f>'Công trình'!C217</f>
        <v>BT M300 đổ sau có phụ gia</v>
      </c>
      <c r="E447" s="168"/>
      <c r="F447" s="20">
        <v>1</v>
      </c>
      <c r="G447" s="169"/>
      <c r="H447" s="45">
        <f>'Hao phí vật tư'!J1636</f>
        <v>22.701699999999999</v>
      </c>
      <c r="I447" s="166"/>
      <c r="J447" s="156">
        <f>ROUND(H447*I446,2)</f>
        <v>355327.01</v>
      </c>
      <c r="K447" s="166"/>
      <c r="L447" s="156">
        <f>ROUND(H447*K446,2)</f>
        <v>355327.01</v>
      </c>
      <c r="M447" s="34"/>
      <c r="N447" s="166"/>
      <c r="O447" s="156">
        <f>ROUND(H447*N446,2)</f>
        <v>0</v>
      </c>
      <c r="P447" s="166"/>
      <c r="Q447" s="156">
        <f>ROUND(H447*P446,2)</f>
        <v>0</v>
      </c>
      <c r="R447" s="166"/>
      <c r="S447" s="156">
        <f>ROUND(H447*R446,2)</f>
        <v>0</v>
      </c>
      <c r="T447" s="34"/>
      <c r="U447" s="34"/>
      <c r="V447" s="166"/>
      <c r="W447" s="166"/>
      <c r="X447" s="166"/>
      <c r="Y447" s="156">
        <f>ROUND(H447*X446,2)</f>
        <v>0</v>
      </c>
      <c r="Z447" s="166"/>
      <c r="AA447" s="156">
        <f>ROUND(H447*Z446,2)</f>
        <v>0</v>
      </c>
      <c r="AB447" s="156">
        <f>ROUND(H447*W446,2)</f>
        <v>355327.01</v>
      </c>
    </row>
    <row r="448" spans="1:28" x14ac:dyDescent="0.25">
      <c r="A448" s="168">
        <v>79</v>
      </c>
      <c r="B448" s="84" t="s">
        <v>613</v>
      </c>
      <c r="C448" s="34">
        <v>152</v>
      </c>
      <c r="D448" s="144" t="s">
        <v>984</v>
      </c>
      <c r="E448" s="168" t="s">
        <v>555</v>
      </c>
      <c r="F448" s="34"/>
      <c r="G448" s="169"/>
      <c r="H448" s="60">
        <f>SUM(H449:H449)</f>
        <v>943.27589999999998</v>
      </c>
      <c r="I448" s="166">
        <v>15652</v>
      </c>
      <c r="J448" s="166">
        <f>ROUND(H448*I448,0)</f>
        <v>14764154</v>
      </c>
      <c r="K448" s="166">
        <f>'Tổng hợp VL,NC,M'!I470</f>
        <v>15652</v>
      </c>
      <c r="L448" s="166">
        <f>ROUND(H448*K448,0)</f>
        <v>14764154</v>
      </c>
      <c r="M448" s="34">
        <v>1</v>
      </c>
      <c r="N448" s="166"/>
      <c r="O448" s="166">
        <f>ROUND(H448*N448,0)</f>
        <v>0</v>
      </c>
      <c r="P448" s="166"/>
      <c r="Q448" s="166">
        <f>ROUND(H448*P448,0)</f>
        <v>0</v>
      </c>
      <c r="R448" s="166"/>
      <c r="S448" s="166">
        <f>ROUND(H448*R448,0)</f>
        <v>0</v>
      </c>
      <c r="T448" s="34"/>
      <c r="U448" s="34"/>
      <c r="V448" s="166">
        <f>ROUND((K448+N448+P448+R448)*(U448+T448),0)</f>
        <v>0</v>
      </c>
      <c r="W448" s="166">
        <f>K448+N448+P448+R448+V448</f>
        <v>15652</v>
      </c>
      <c r="X448" s="166">
        <f>K448-I448</f>
        <v>0</v>
      </c>
      <c r="Y448" s="166">
        <f>ROUND(H448*X448,0)</f>
        <v>0</v>
      </c>
      <c r="Z448" s="166">
        <f>W448-I448</f>
        <v>0</v>
      </c>
      <c r="AA448" s="166">
        <f>ROUND(H448*Z448,0)</f>
        <v>0</v>
      </c>
      <c r="AB448" s="166">
        <f>ROUND(H448*W448,0)</f>
        <v>14764154</v>
      </c>
    </row>
    <row r="449" spans="1:28" hidden="1" x14ac:dyDescent="0.25">
      <c r="A449" s="168"/>
      <c r="B449" s="133" t="str">
        <f>'Công trình'!B198</f>
        <v>TT</v>
      </c>
      <c r="C449" s="34"/>
      <c r="D449" s="133" t="str">
        <f>'Công trình'!C198</f>
        <v>Vữa xi măng dày 7cm, vữa XM mác 400</v>
      </c>
      <c r="E449" s="168"/>
      <c r="F449" s="20">
        <v>1</v>
      </c>
      <c r="G449" s="169"/>
      <c r="H449" s="45">
        <f>'Hao phí vật tư'!J1529</f>
        <v>943.27589999999998</v>
      </c>
      <c r="I449" s="166"/>
      <c r="J449" s="156">
        <f>ROUND(H449*I448,2)</f>
        <v>14764154.390000001</v>
      </c>
      <c r="K449" s="166"/>
      <c r="L449" s="156">
        <f>ROUND(H449*K448,2)</f>
        <v>14764154.390000001</v>
      </c>
      <c r="M449" s="34"/>
      <c r="N449" s="166"/>
      <c r="O449" s="156">
        <f>ROUND(H449*N448,2)</f>
        <v>0</v>
      </c>
      <c r="P449" s="166"/>
      <c r="Q449" s="156">
        <f>ROUND(H449*P448,2)</f>
        <v>0</v>
      </c>
      <c r="R449" s="166"/>
      <c r="S449" s="156">
        <f>ROUND(H449*R448,2)</f>
        <v>0</v>
      </c>
      <c r="T449" s="34"/>
      <c r="U449" s="34"/>
      <c r="V449" s="166"/>
      <c r="W449" s="166"/>
      <c r="X449" s="166"/>
      <c r="Y449" s="156">
        <f>ROUND(H449*X448,2)</f>
        <v>0</v>
      </c>
      <c r="Z449" s="166"/>
      <c r="AA449" s="156">
        <f>ROUND(H449*Z448,2)</f>
        <v>0</v>
      </c>
      <c r="AB449" s="156">
        <f>ROUND(H449*W448,2)</f>
        <v>14764154.390000001</v>
      </c>
    </row>
    <row r="450" spans="1:28" x14ac:dyDescent="0.25">
      <c r="A450" s="168">
        <v>80</v>
      </c>
      <c r="B450" s="84" t="s">
        <v>860</v>
      </c>
      <c r="C450" s="34">
        <v>154</v>
      </c>
      <c r="D450" s="144" t="s">
        <v>912</v>
      </c>
      <c r="E450" s="168" t="s">
        <v>555</v>
      </c>
      <c r="F450" s="34"/>
      <c r="G450" s="169"/>
      <c r="H450" s="60">
        <f>SUM(H451:H528)</f>
        <v>6980.2495999999983</v>
      </c>
      <c r="I450" s="166">
        <v>19091</v>
      </c>
      <c r="J450" s="166">
        <f>ROUND(H450*I450,0)</f>
        <v>133259945</v>
      </c>
      <c r="K450" s="166">
        <f>'Tổng hợp VL,NC,M'!I472</f>
        <v>19091</v>
      </c>
      <c r="L450" s="166">
        <f>ROUND(H450*K450,0)</f>
        <v>133259945</v>
      </c>
      <c r="M450" s="34">
        <v>1</v>
      </c>
      <c r="N450" s="166"/>
      <c r="O450" s="166">
        <f>ROUND(H450*N450,0)</f>
        <v>0</v>
      </c>
      <c r="P450" s="166"/>
      <c r="Q450" s="166">
        <f>ROUND(H450*P450,0)</f>
        <v>0</v>
      </c>
      <c r="R450" s="166"/>
      <c r="S450" s="166">
        <f>ROUND(H450*R450,0)</f>
        <v>0</v>
      </c>
      <c r="T450" s="34"/>
      <c r="U450" s="34"/>
      <c r="V450" s="166">
        <f>ROUND((K450+N450+P450+R450)*(U450+T450),0)</f>
        <v>0</v>
      </c>
      <c r="W450" s="166">
        <f>K450+N450+P450+R450+V450</f>
        <v>19091</v>
      </c>
      <c r="X450" s="166">
        <f>K450-I450</f>
        <v>0</v>
      </c>
      <c r="Y450" s="166">
        <f>ROUND(H450*X450,0)</f>
        <v>0</v>
      </c>
      <c r="Z450" s="166">
        <f>W450-I450</f>
        <v>0</v>
      </c>
      <c r="AA450" s="166">
        <f>ROUND(H450*Z450,0)</f>
        <v>0</v>
      </c>
      <c r="AB450" s="166">
        <f>ROUND(H450*W450,0)</f>
        <v>133259945</v>
      </c>
    </row>
    <row r="451" spans="1:28" ht="30" hidden="1" x14ac:dyDescent="0.25">
      <c r="A451" s="168"/>
      <c r="B451" s="133" t="str">
        <f>'Công trình'!B11</f>
        <v>AF.61120</v>
      </c>
      <c r="C451" s="34"/>
      <c r="D451" s="133" t="str">
        <f>'Công trình'!C11</f>
        <v>Sản xuất, lắp dựng cốt thép móng đường kính &lt;=18mm</v>
      </c>
      <c r="E451" s="168"/>
      <c r="F451" s="20">
        <v>1</v>
      </c>
      <c r="G451" s="169"/>
      <c r="H451" s="45">
        <f>'Hao phí vật tư'!J63</f>
        <v>41.972999999999999</v>
      </c>
      <c r="I451" s="166"/>
      <c r="J451" s="156">
        <f>ROUND(H451*I450,2)</f>
        <v>801306.54</v>
      </c>
      <c r="K451" s="166"/>
      <c r="L451" s="156">
        <f>ROUND(H451*K450,2)</f>
        <v>801306.54</v>
      </c>
      <c r="M451" s="34"/>
      <c r="N451" s="166"/>
      <c r="O451" s="156">
        <f>ROUND(H451*N450,2)</f>
        <v>0</v>
      </c>
      <c r="P451" s="166"/>
      <c r="Q451" s="156">
        <f>ROUND(H451*P450,2)</f>
        <v>0</v>
      </c>
      <c r="R451" s="166"/>
      <c r="S451" s="156">
        <f>ROUND(H451*R450,2)</f>
        <v>0</v>
      </c>
      <c r="T451" s="34"/>
      <c r="U451" s="34"/>
      <c r="V451" s="166"/>
      <c r="W451" s="166"/>
      <c r="X451" s="166"/>
      <c r="Y451" s="156">
        <f>ROUND(H451*X450,2)</f>
        <v>0</v>
      </c>
      <c r="Z451" s="166"/>
      <c r="AA451" s="156">
        <f>ROUND(H451*Z450,2)</f>
        <v>0</v>
      </c>
      <c r="AB451" s="156">
        <f>ROUND(H451*W450,2)</f>
        <v>801306.54</v>
      </c>
    </row>
    <row r="452" spans="1:28" ht="30" hidden="1" x14ac:dyDescent="0.25">
      <c r="A452" s="168"/>
      <c r="B452" s="133" t="str">
        <f>'Công trình'!B12</f>
        <v>AF.61130</v>
      </c>
      <c r="C452" s="34"/>
      <c r="D452" s="133" t="str">
        <f>'Công trình'!C12</f>
        <v>Sản xuất, lắp dựng cốt thép móng đường kính &gt;18mm</v>
      </c>
      <c r="E452" s="168"/>
      <c r="F452" s="20">
        <v>1</v>
      </c>
      <c r="G452" s="169"/>
      <c r="H452" s="45">
        <f>'Hao phí vật tư'!J73</f>
        <v>13.913600000000001</v>
      </c>
      <c r="I452" s="166"/>
      <c r="J452" s="156">
        <f>ROUND(H452*I450,2)</f>
        <v>265624.53999999998</v>
      </c>
      <c r="K452" s="166"/>
      <c r="L452" s="156">
        <f>ROUND(H452*K450,2)</f>
        <v>265624.53999999998</v>
      </c>
      <c r="M452" s="34"/>
      <c r="N452" s="166"/>
      <c r="O452" s="156">
        <f>ROUND(H452*N450,2)</f>
        <v>0</v>
      </c>
      <c r="P452" s="166"/>
      <c r="Q452" s="156">
        <f>ROUND(H452*P450,2)</f>
        <v>0</v>
      </c>
      <c r="R452" s="166"/>
      <c r="S452" s="156">
        <f>ROUND(H452*R450,2)</f>
        <v>0</v>
      </c>
      <c r="T452" s="34"/>
      <c r="U452" s="34"/>
      <c r="V452" s="166"/>
      <c r="W452" s="166"/>
      <c r="X452" s="166"/>
      <c r="Y452" s="156">
        <f>ROUND(H452*X450,2)</f>
        <v>0</v>
      </c>
      <c r="Z452" s="166"/>
      <c r="AA452" s="156">
        <f>ROUND(H452*Z450,2)</f>
        <v>0</v>
      </c>
      <c r="AB452" s="156">
        <f>ROUND(H452*W450,2)</f>
        <v>265624.53999999998</v>
      </c>
    </row>
    <row r="453" spans="1:28" ht="30" hidden="1" x14ac:dyDescent="0.25">
      <c r="A453" s="168"/>
      <c r="B453" s="133" t="str">
        <f>'Công trình'!B13</f>
        <v>AF.61321</v>
      </c>
      <c r="C453" s="34"/>
      <c r="D453" s="133" t="str">
        <f>'Công trình'!C13</f>
        <v>Sản xuất, lắp dựng cốt thép tường đường kính &lt;=18mm, chiều cao &lt;=4m</v>
      </c>
      <c r="E453" s="168"/>
      <c r="F453" s="20">
        <v>1</v>
      </c>
      <c r="G453" s="169"/>
      <c r="H453" s="45">
        <f>'Hao phí vật tư'!J83</f>
        <v>35.381900000000002</v>
      </c>
      <c r="I453" s="166"/>
      <c r="J453" s="156">
        <f>ROUND(H453*I450,2)</f>
        <v>675475.85</v>
      </c>
      <c r="K453" s="166"/>
      <c r="L453" s="156">
        <f>ROUND(H453*K450,2)</f>
        <v>675475.85</v>
      </c>
      <c r="M453" s="34"/>
      <c r="N453" s="166"/>
      <c r="O453" s="156">
        <f>ROUND(H453*N450,2)</f>
        <v>0</v>
      </c>
      <c r="P453" s="166"/>
      <c r="Q453" s="156">
        <f>ROUND(H453*P450,2)</f>
        <v>0</v>
      </c>
      <c r="R453" s="166"/>
      <c r="S453" s="156">
        <f>ROUND(H453*R450,2)</f>
        <v>0</v>
      </c>
      <c r="T453" s="34"/>
      <c r="U453" s="34"/>
      <c r="V453" s="166"/>
      <c r="W453" s="166"/>
      <c r="X453" s="166"/>
      <c r="Y453" s="156">
        <f>ROUND(H453*X450,2)</f>
        <v>0</v>
      </c>
      <c r="Z453" s="166"/>
      <c r="AA453" s="156">
        <f>ROUND(H453*Z450,2)</f>
        <v>0</v>
      </c>
      <c r="AB453" s="156">
        <f>ROUND(H453*W450,2)</f>
        <v>675475.85</v>
      </c>
    </row>
    <row r="454" spans="1:28" ht="30" hidden="1" x14ac:dyDescent="0.25">
      <c r="A454" s="168"/>
      <c r="B454" s="133" t="str">
        <f>'Công trình'!B14</f>
        <v>AF.61331</v>
      </c>
      <c r="C454" s="34"/>
      <c r="D454" s="133" t="str">
        <f>'Công trình'!C14</f>
        <v>Sản xuất, lắp dựng cốt thép tường đường kính &gt;18mm, chiều cao &lt;=4m</v>
      </c>
      <c r="E454" s="168"/>
      <c r="F454" s="20">
        <v>1</v>
      </c>
      <c r="G454" s="169"/>
      <c r="H454" s="45">
        <f>'Hao phí vật tư'!J93</f>
        <v>15.6456</v>
      </c>
      <c r="I454" s="166"/>
      <c r="J454" s="156">
        <f>ROUND(H454*I450,2)</f>
        <v>298690.15000000002</v>
      </c>
      <c r="K454" s="166"/>
      <c r="L454" s="156">
        <f>ROUND(H454*K450,2)</f>
        <v>298690.15000000002</v>
      </c>
      <c r="M454" s="34"/>
      <c r="N454" s="166"/>
      <c r="O454" s="156">
        <f>ROUND(H454*N450,2)</f>
        <v>0</v>
      </c>
      <c r="P454" s="166"/>
      <c r="Q454" s="156">
        <f>ROUND(H454*P450,2)</f>
        <v>0</v>
      </c>
      <c r="R454" s="166"/>
      <c r="S454" s="156">
        <f>ROUND(H454*R450,2)</f>
        <v>0</v>
      </c>
      <c r="T454" s="34"/>
      <c r="U454" s="34"/>
      <c r="V454" s="166"/>
      <c r="W454" s="166"/>
      <c r="X454" s="166"/>
      <c r="Y454" s="156">
        <f>ROUND(H454*X450,2)</f>
        <v>0</v>
      </c>
      <c r="Z454" s="166"/>
      <c r="AA454" s="156">
        <f>ROUND(H454*Z450,2)</f>
        <v>0</v>
      </c>
      <c r="AB454" s="156">
        <f>ROUND(H454*W450,2)</f>
        <v>298690.15000000002</v>
      </c>
    </row>
    <row r="455" spans="1:28" ht="30" hidden="1" x14ac:dyDescent="0.25">
      <c r="A455" s="168"/>
      <c r="B455" s="133" t="str">
        <f>'Công trình'!B16</f>
        <v>AF.82111</v>
      </c>
      <c r="C455" s="34"/>
      <c r="D455" s="133" t="str">
        <f>'Công trình'!C16</f>
        <v>Sản xuất, lắp dựng tháo dỡ ván khuôn thép tường, chiều cao &lt;=16m</v>
      </c>
      <c r="E455" s="168"/>
      <c r="F455" s="20">
        <v>1</v>
      </c>
      <c r="G455" s="169"/>
      <c r="H455" s="45">
        <f>'Hao phí vật tư'!J110</f>
        <v>20.043500000000002</v>
      </c>
      <c r="I455" s="166"/>
      <c r="J455" s="156">
        <f>ROUND(H455*I450,2)</f>
        <v>382650.46</v>
      </c>
      <c r="K455" s="166"/>
      <c r="L455" s="156">
        <f>ROUND(H455*K450,2)</f>
        <v>382650.46</v>
      </c>
      <c r="M455" s="34"/>
      <c r="N455" s="166"/>
      <c r="O455" s="156">
        <f>ROUND(H455*N450,2)</f>
        <v>0</v>
      </c>
      <c r="P455" s="166"/>
      <c r="Q455" s="156">
        <f>ROUND(H455*P450,2)</f>
        <v>0</v>
      </c>
      <c r="R455" s="166"/>
      <c r="S455" s="156">
        <f>ROUND(H455*R450,2)</f>
        <v>0</v>
      </c>
      <c r="T455" s="34"/>
      <c r="U455" s="34"/>
      <c r="V455" s="166"/>
      <c r="W455" s="166"/>
      <c r="X455" s="166"/>
      <c r="Y455" s="156">
        <f>ROUND(H455*X450,2)</f>
        <v>0</v>
      </c>
      <c r="Z455" s="166"/>
      <c r="AA455" s="156">
        <f>ROUND(H455*Z450,2)</f>
        <v>0</v>
      </c>
      <c r="AB455" s="156">
        <f>ROUND(H455*W450,2)</f>
        <v>382650.46</v>
      </c>
    </row>
    <row r="456" spans="1:28" ht="30" hidden="1" x14ac:dyDescent="0.25">
      <c r="A456" s="168"/>
      <c r="B456" s="133" t="str">
        <f>'Công trình'!B19</f>
        <v>AF.82111</v>
      </c>
      <c r="C456" s="34"/>
      <c r="D456" s="133" t="str">
        <f>'Công trình'!C19</f>
        <v>Sản xuất, lắp dựng tháo dỡ ván khuôn thép dầm, giằng, chiều cao &lt;=16m</v>
      </c>
      <c r="E456" s="168"/>
      <c r="F456" s="20">
        <v>1</v>
      </c>
      <c r="G456" s="169"/>
      <c r="H456" s="45">
        <f>'Hao phí vật tư'!J136</f>
        <v>18.251000000000001</v>
      </c>
      <c r="I456" s="166"/>
      <c r="J456" s="156">
        <f>ROUND(H456*I450,2)</f>
        <v>348429.84</v>
      </c>
      <c r="K456" s="166"/>
      <c r="L456" s="156">
        <f>ROUND(H456*K450,2)</f>
        <v>348429.84</v>
      </c>
      <c r="M456" s="34"/>
      <c r="N456" s="166"/>
      <c r="O456" s="156">
        <f>ROUND(H456*N450,2)</f>
        <v>0</v>
      </c>
      <c r="P456" s="166"/>
      <c r="Q456" s="156">
        <f>ROUND(H456*P450,2)</f>
        <v>0</v>
      </c>
      <c r="R456" s="166"/>
      <c r="S456" s="156">
        <f>ROUND(H456*R450,2)</f>
        <v>0</v>
      </c>
      <c r="T456" s="34"/>
      <c r="U456" s="34"/>
      <c r="V456" s="166"/>
      <c r="W456" s="166"/>
      <c r="X456" s="166"/>
      <c r="Y456" s="156">
        <f>ROUND(H456*X450,2)</f>
        <v>0</v>
      </c>
      <c r="Z456" s="166"/>
      <c r="AA456" s="156">
        <f>ROUND(H456*Z450,2)</f>
        <v>0</v>
      </c>
      <c r="AB456" s="156">
        <f>ROUND(H456*W450,2)</f>
        <v>348429.84</v>
      </c>
    </row>
    <row r="457" spans="1:28" ht="30" hidden="1" x14ac:dyDescent="0.25">
      <c r="A457" s="168"/>
      <c r="B457" s="133" t="str">
        <f>'Công trình'!B22</f>
        <v>AF.61521</v>
      </c>
      <c r="C457" s="34"/>
      <c r="D457" s="133" t="str">
        <f>'Công trình'!C22</f>
        <v>Sản xuất, lắp dựng cốt thép xà dầm, giằng đường kính &lt;=18mm, chiều cao &lt;=4m</v>
      </c>
      <c r="E457" s="168"/>
      <c r="F457" s="20">
        <v>1</v>
      </c>
      <c r="G457" s="169"/>
      <c r="H457" s="45">
        <f>'Hao phí vật tư'!J157</f>
        <v>10.1511</v>
      </c>
      <c r="I457" s="166"/>
      <c r="J457" s="156">
        <f>ROUND(H457*I450,2)</f>
        <v>193794.65</v>
      </c>
      <c r="K457" s="166"/>
      <c r="L457" s="156">
        <f>ROUND(H457*K450,2)</f>
        <v>193794.65</v>
      </c>
      <c r="M457" s="34"/>
      <c r="N457" s="166"/>
      <c r="O457" s="156">
        <f>ROUND(H457*N450,2)</f>
        <v>0</v>
      </c>
      <c r="P457" s="166"/>
      <c r="Q457" s="156">
        <f>ROUND(H457*P450,2)</f>
        <v>0</v>
      </c>
      <c r="R457" s="166"/>
      <c r="S457" s="156">
        <f>ROUND(H457*R450,2)</f>
        <v>0</v>
      </c>
      <c r="T457" s="34"/>
      <c r="U457" s="34"/>
      <c r="V457" s="166"/>
      <c r="W457" s="166"/>
      <c r="X457" s="166"/>
      <c r="Y457" s="156">
        <f>ROUND(H457*X450,2)</f>
        <v>0</v>
      </c>
      <c r="Z457" s="166"/>
      <c r="AA457" s="156">
        <f>ROUND(H457*Z450,2)</f>
        <v>0</v>
      </c>
      <c r="AB457" s="156">
        <f>ROUND(H457*W450,2)</f>
        <v>193794.65</v>
      </c>
    </row>
    <row r="458" spans="1:28" ht="30" hidden="1" x14ac:dyDescent="0.25">
      <c r="A458" s="168"/>
      <c r="B458" s="133" t="str">
        <f>'Công trình'!B31</f>
        <v>AF.82111</v>
      </c>
      <c r="C458" s="34"/>
      <c r="D458" s="133" t="str">
        <f>'Công trình'!C31</f>
        <v>Sản xuất, lắp dựng tháo dỡ ván khuôn thép tường, chiều cao &lt;=16m</v>
      </c>
      <c r="E458" s="168"/>
      <c r="F458" s="20">
        <v>1</v>
      </c>
      <c r="G458" s="169"/>
      <c r="H458" s="45">
        <f>'Hao phí vật tư'!J216</f>
        <v>6.5162000000000004</v>
      </c>
      <c r="I458" s="166"/>
      <c r="J458" s="156">
        <f>ROUND(H458*I450,2)</f>
        <v>124400.77</v>
      </c>
      <c r="K458" s="166"/>
      <c r="L458" s="156">
        <f>ROUND(H458*K450,2)</f>
        <v>124400.77</v>
      </c>
      <c r="M458" s="34"/>
      <c r="N458" s="166"/>
      <c r="O458" s="156">
        <f>ROUND(H458*N450,2)</f>
        <v>0</v>
      </c>
      <c r="P458" s="166"/>
      <c r="Q458" s="156">
        <f>ROUND(H458*P450,2)</f>
        <v>0</v>
      </c>
      <c r="R458" s="166"/>
      <c r="S458" s="156">
        <f>ROUND(H458*R450,2)</f>
        <v>0</v>
      </c>
      <c r="T458" s="34"/>
      <c r="U458" s="34"/>
      <c r="V458" s="166"/>
      <c r="W458" s="166"/>
      <c r="X458" s="166"/>
      <c r="Y458" s="156">
        <f>ROUND(H458*X450,2)</f>
        <v>0</v>
      </c>
      <c r="Z458" s="166"/>
      <c r="AA458" s="156">
        <f>ROUND(H458*Z450,2)</f>
        <v>0</v>
      </c>
      <c r="AB458" s="156">
        <f>ROUND(H458*W450,2)</f>
        <v>124400.77</v>
      </c>
    </row>
    <row r="459" spans="1:28" ht="30" hidden="1" x14ac:dyDescent="0.25">
      <c r="A459" s="168"/>
      <c r="B459" s="133" t="str">
        <f>'Công trình'!B33</f>
        <v>AF.61321</v>
      </c>
      <c r="C459" s="34"/>
      <c r="D459" s="133" t="str">
        <f>'Công trình'!C33</f>
        <v>Sản xuất, lắp dựng cốt thép tường đường kính &lt;=18mm, chiều cao &lt;=4m</v>
      </c>
      <c r="E459" s="168"/>
      <c r="F459" s="20">
        <v>1</v>
      </c>
      <c r="G459" s="169"/>
      <c r="H459" s="45">
        <f>'Hao phí vật tư'!J237</f>
        <v>3.9217</v>
      </c>
      <c r="I459" s="166"/>
      <c r="J459" s="156">
        <f>ROUND(H459*I450,2)</f>
        <v>74869.17</v>
      </c>
      <c r="K459" s="166"/>
      <c r="L459" s="156">
        <f>ROUND(H459*K450,2)</f>
        <v>74869.17</v>
      </c>
      <c r="M459" s="34"/>
      <c r="N459" s="166"/>
      <c r="O459" s="156">
        <f>ROUND(H459*N450,2)</f>
        <v>0</v>
      </c>
      <c r="P459" s="166"/>
      <c r="Q459" s="156">
        <f>ROUND(H459*P450,2)</f>
        <v>0</v>
      </c>
      <c r="R459" s="166"/>
      <c r="S459" s="156">
        <f>ROUND(H459*R450,2)</f>
        <v>0</v>
      </c>
      <c r="T459" s="34"/>
      <c r="U459" s="34"/>
      <c r="V459" s="166"/>
      <c r="W459" s="166"/>
      <c r="X459" s="166"/>
      <c r="Y459" s="156">
        <f>ROUND(H459*X450,2)</f>
        <v>0</v>
      </c>
      <c r="Z459" s="166"/>
      <c r="AA459" s="156">
        <f>ROUND(H459*Z450,2)</f>
        <v>0</v>
      </c>
      <c r="AB459" s="156">
        <f>ROUND(H459*W450,2)</f>
        <v>74869.17</v>
      </c>
    </row>
    <row r="460" spans="1:28" ht="30" hidden="1" x14ac:dyDescent="0.25">
      <c r="A460" s="168"/>
      <c r="B460" s="133" t="str">
        <f>'Công trình'!B39</f>
        <v>AI.13111</v>
      </c>
      <c r="C460" s="34"/>
      <c r="D460" s="133" t="str">
        <f>'Công trình'!C39</f>
        <v>Sản xuất cấu kiện thép đặt sẵn trong bê tông, khối lượng &lt;=10kg/cấu kiện</v>
      </c>
      <c r="E460" s="168"/>
      <c r="F460" s="20">
        <v>1</v>
      </c>
      <c r="G460" s="169"/>
      <c r="H460" s="45">
        <f>'Hao phí vật tư'!J292</f>
        <v>0.2016</v>
      </c>
      <c r="I460" s="166"/>
      <c r="J460" s="156">
        <f>ROUND(H460*I450,2)</f>
        <v>3848.75</v>
      </c>
      <c r="K460" s="166"/>
      <c r="L460" s="156">
        <f>ROUND(H460*K450,2)</f>
        <v>3848.75</v>
      </c>
      <c r="M460" s="34"/>
      <c r="N460" s="166"/>
      <c r="O460" s="156">
        <f>ROUND(H460*N450,2)</f>
        <v>0</v>
      </c>
      <c r="P460" s="166"/>
      <c r="Q460" s="156">
        <f>ROUND(H460*P450,2)</f>
        <v>0</v>
      </c>
      <c r="R460" s="166"/>
      <c r="S460" s="156">
        <f>ROUND(H460*R450,2)</f>
        <v>0</v>
      </c>
      <c r="T460" s="34"/>
      <c r="U460" s="34"/>
      <c r="V460" s="166"/>
      <c r="W460" s="166"/>
      <c r="X460" s="166"/>
      <c r="Y460" s="156">
        <f>ROUND(H460*X450,2)</f>
        <v>0</v>
      </c>
      <c r="Z460" s="166"/>
      <c r="AA460" s="156">
        <f>ROUND(H460*Z450,2)</f>
        <v>0</v>
      </c>
      <c r="AB460" s="156">
        <f>ROUND(H460*W450,2)</f>
        <v>3848.75</v>
      </c>
    </row>
    <row r="461" spans="1:28" ht="30" hidden="1" x14ac:dyDescent="0.25">
      <c r="A461" s="168"/>
      <c r="B461" s="133" t="str">
        <f>'Công trình'!B59</f>
        <v>AF.82111</v>
      </c>
      <c r="C461" s="34"/>
      <c r="D461" s="133" t="str">
        <f>'Công trình'!C59</f>
        <v>Sản xuất, lắp dựng tháo dỡ ván khuôn thép dầm, giằng, chiều cao &lt;=16m</v>
      </c>
      <c r="E461" s="168"/>
      <c r="F461" s="20">
        <v>1</v>
      </c>
      <c r="G461" s="169"/>
      <c r="H461" s="45">
        <f>'Hao phí vật tư'!J442</f>
        <v>12.9102</v>
      </c>
      <c r="I461" s="166"/>
      <c r="J461" s="156">
        <f>ROUND(H461*I450,2)</f>
        <v>246468.63</v>
      </c>
      <c r="K461" s="166"/>
      <c r="L461" s="156">
        <f>ROUND(H461*K450,2)</f>
        <v>246468.63</v>
      </c>
      <c r="M461" s="34"/>
      <c r="N461" s="166"/>
      <c r="O461" s="156">
        <f>ROUND(H461*N450,2)</f>
        <v>0</v>
      </c>
      <c r="P461" s="166"/>
      <c r="Q461" s="156">
        <f>ROUND(H461*P450,2)</f>
        <v>0</v>
      </c>
      <c r="R461" s="166"/>
      <c r="S461" s="156">
        <f>ROUND(H461*R450,2)</f>
        <v>0</v>
      </c>
      <c r="T461" s="34"/>
      <c r="U461" s="34"/>
      <c r="V461" s="166"/>
      <c r="W461" s="166"/>
      <c r="X461" s="166"/>
      <c r="Y461" s="156">
        <f>ROUND(H461*X450,2)</f>
        <v>0</v>
      </c>
      <c r="Z461" s="166"/>
      <c r="AA461" s="156">
        <f>ROUND(H461*Z450,2)</f>
        <v>0</v>
      </c>
      <c r="AB461" s="156">
        <f>ROUND(H461*W450,2)</f>
        <v>246468.63</v>
      </c>
    </row>
    <row r="462" spans="1:28" ht="30" hidden="1" x14ac:dyDescent="0.25">
      <c r="A462" s="168"/>
      <c r="B462" s="133" t="str">
        <f>'Công trình'!B61</f>
        <v>AF.61521</v>
      </c>
      <c r="C462" s="34"/>
      <c r="D462" s="133" t="str">
        <f>'Công trình'!C61</f>
        <v>Sản xuất, lắp dựng cốt thép xà dầm, giằng đường kính &lt;=18mm, chiều cao &lt;=4m</v>
      </c>
      <c r="E462" s="168"/>
      <c r="F462" s="20">
        <v>1</v>
      </c>
      <c r="G462" s="169"/>
      <c r="H462" s="45">
        <f>'Hao phí vật tư'!J463</f>
        <v>8.6010000000000009</v>
      </c>
      <c r="I462" s="166"/>
      <c r="J462" s="156">
        <f>ROUND(H462*I450,2)</f>
        <v>164201.69</v>
      </c>
      <c r="K462" s="166"/>
      <c r="L462" s="156">
        <f>ROUND(H462*K450,2)</f>
        <v>164201.69</v>
      </c>
      <c r="M462" s="34"/>
      <c r="N462" s="166"/>
      <c r="O462" s="156">
        <f>ROUND(H462*N450,2)</f>
        <v>0</v>
      </c>
      <c r="P462" s="166"/>
      <c r="Q462" s="156">
        <f>ROUND(H462*P450,2)</f>
        <v>0</v>
      </c>
      <c r="R462" s="166"/>
      <c r="S462" s="156">
        <f>ROUND(H462*R450,2)</f>
        <v>0</v>
      </c>
      <c r="T462" s="34"/>
      <c r="U462" s="34"/>
      <c r="V462" s="166"/>
      <c r="W462" s="166"/>
      <c r="X462" s="166"/>
      <c r="Y462" s="156">
        <f>ROUND(H462*X450,2)</f>
        <v>0</v>
      </c>
      <c r="Z462" s="166"/>
      <c r="AA462" s="156">
        <f>ROUND(H462*Z450,2)</f>
        <v>0</v>
      </c>
      <c r="AB462" s="156">
        <f>ROUND(H462*W450,2)</f>
        <v>164201.69</v>
      </c>
    </row>
    <row r="463" spans="1:28" ht="30" hidden="1" x14ac:dyDescent="0.25">
      <c r="A463" s="168"/>
      <c r="B463" s="133" t="str">
        <f>'Công trình'!B70</f>
        <v>AG.13121</v>
      </c>
      <c r="C463" s="34"/>
      <c r="D463" s="133" t="str">
        <f>'Công trình'!C70</f>
        <v>Sản xuất, lắp dựng cốt thép BT đúc sẵn cọc, đường kính &lt;=18mm</v>
      </c>
      <c r="E463" s="168"/>
      <c r="F463" s="20">
        <v>1</v>
      </c>
      <c r="G463" s="169"/>
      <c r="H463" s="45">
        <f>'Hao phí vật tư'!J527</f>
        <v>1.9749000000000001</v>
      </c>
      <c r="I463" s="166"/>
      <c r="J463" s="156">
        <f>ROUND(H463*I450,2)</f>
        <v>37702.82</v>
      </c>
      <c r="K463" s="166"/>
      <c r="L463" s="156">
        <f>ROUND(H463*K450,2)</f>
        <v>37702.82</v>
      </c>
      <c r="M463" s="34"/>
      <c r="N463" s="166"/>
      <c r="O463" s="156">
        <f>ROUND(H463*N450,2)</f>
        <v>0</v>
      </c>
      <c r="P463" s="166"/>
      <c r="Q463" s="156">
        <f>ROUND(H463*P450,2)</f>
        <v>0</v>
      </c>
      <c r="R463" s="166"/>
      <c r="S463" s="156">
        <f>ROUND(H463*R450,2)</f>
        <v>0</v>
      </c>
      <c r="T463" s="34"/>
      <c r="U463" s="34"/>
      <c r="V463" s="166"/>
      <c r="W463" s="166"/>
      <c r="X463" s="166"/>
      <c r="Y463" s="156">
        <f>ROUND(H463*X450,2)</f>
        <v>0</v>
      </c>
      <c r="Z463" s="166"/>
      <c r="AA463" s="156">
        <f>ROUND(H463*Z450,2)</f>
        <v>0</v>
      </c>
      <c r="AB463" s="156">
        <f>ROUND(H463*W450,2)</f>
        <v>37702.82</v>
      </c>
    </row>
    <row r="464" spans="1:28" ht="30" hidden="1" x14ac:dyDescent="0.25">
      <c r="A464" s="168"/>
      <c r="B464" s="133" t="str">
        <f>'Công trình'!B71</f>
        <v>AG.13131</v>
      </c>
      <c r="C464" s="34"/>
      <c r="D464" s="133" t="str">
        <f>'Công trình'!C71</f>
        <v>Sản xuất, lắp dựng cốt thép BT đúc sẵn cọc, đường kính &gt;18mm</v>
      </c>
      <c r="E464" s="168"/>
      <c r="F464" s="20">
        <v>1</v>
      </c>
      <c r="G464" s="169"/>
      <c r="H464" s="45">
        <f>'Hao phí vật tư'!J537</f>
        <v>59.023099999999999</v>
      </c>
      <c r="I464" s="166"/>
      <c r="J464" s="156">
        <f>ROUND(H464*I450,2)</f>
        <v>1126810</v>
      </c>
      <c r="K464" s="166"/>
      <c r="L464" s="156">
        <f>ROUND(H464*K450,2)</f>
        <v>1126810</v>
      </c>
      <c r="M464" s="34"/>
      <c r="N464" s="166"/>
      <c r="O464" s="156">
        <f>ROUND(H464*N450,2)</f>
        <v>0</v>
      </c>
      <c r="P464" s="166"/>
      <c r="Q464" s="156">
        <f>ROUND(H464*P450,2)</f>
        <v>0</v>
      </c>
      <c r="R464" s="166"/>
      <c r="S464" s="156">
        <f>ROUND(H464*R450,2)</f>
        <v>0</v>
      </c>
      <c r="T464" s="34"/>
      <c r="U464" s="34"/>
      <c r="V464" s="166"/>
      <c r="W464" s="166"/>
      <c r="X464" s="166"/>
      <c r="Y464" s="156">
        <f>ROUND(H464*X450,2)</f>
        <v>0</v>
      </c>
      <c r="Z464" s="166"/>
      <c r="AA464" s="156">
        <f>ROUND(H464*Z450,2)</f>
        <v>0</v>
      </c>
      <c r="AB464" s="156">
        <f>ROUND(H464*W450,2)</f>
        <v>1126810</v>
      </c>
    </row>
    <row r="465" spans="1:28" ht="30" hidden="1" x14ac:dyDescent="0.25">
      <c r="A465" s="168"/>
      <c r="B465" s="133" t="str">
        <f>'Công trình'!B72</f>
        <v>AI.13111</v>
      </c>
      <c r="C465" s="34"/>
      <c r="D465" s="133" t="str">
        <f>'Công trình'!C72</f>
        <v>Sản xuất cấu kiện thép đặt sẵn trong bê tông, khối lượng &lt;=10kg/cấu kiện</v>
      </c>
      <c r="E465" s="168"/>
      <c r="F465" s="20">
        <v>1</v>
      </c>
      <c r="G465" s="169"/>
      <c r="H465" s="45">
        <f>'Hao phí vật tư'!J548</f>
        <v>21.023399999999999</v>
      </c>
      <c r="I465" s="166"/>
      <c r="J465" s="156">
        <f>ROUND(H465*I450,2)</f>
        <v>401357.73</v>
      </c>
      <c r="K465" s="166"/>
      <c r="L465" s="156">
        <f>ROUND(H465*K450,2)</f>
        <v>401357.73</v>
      </c>
      <c r="M465" s="34"/>
      <c r="N465" s="166"/>
      <c r="O465" s="156">
        <f>ROUND(H465*N450,2)</f>
        <v>0</v>
      </c>
      <c r="P465" s="166"/>
      <c r="Q465" s="156">
        <f>ROUND(H465*P450,2)</f>
        <v>0</v>
      </c>
      <c r="R465" s="166"/>
      <c r="S465" s="156">
        <f>ROUND(H465*R450,2)</f>
        <v>0</v>
      </c>
      <c r="T465" s="34"/>
      <c r="U465" s="34"/>
      <c r="V465" s="166"/>
      <c r="W465" s="166"/>
      <c r="X465" s="166"/>
      <c r="Y465" s="156">
        <f>ROUND(H465*X450,2)</f>
        <v>0</v>
      </c>
      <c r="Z465" s="166"/>
      <c r="AA465" s="156">
        <f>ROUND(H465*Z450,2)</f>
        <v>0</v>
      </c>
      <c r="AB465" s="156">
        <f>ROUND(H465*W450,2)</f>
        <v>401357.73</v>
      </c>
    </row>
    <row r="466" spans="1:28" hidden="1" x14ac:dyDescent="0.25">
      <c r="A466" s="168"/>
      <c r="B466" s="133" t="str">
        <f>'Công trình'!B76</f>
        <v>AC.29341</v>
      </c>
      <c r="C466" s="34"/>
      <c r="D466" s="133" t="str">
        <f>'Công trình'!C76</f>
        <v>Nối cọc BTCT 35x35cm</v>
      </c>
      <c r="E466" s="168"/>
      <c r="F466" s="20">
        <v>1</v>
      </c>
      <c r="G466" s="169"/>
      <c r="H466" s="45">
        <f>'Hao phí vật tư'!J602</f>
        <v>134.72</v>
      </c>
      <c r="I466" s="166"/>
      <c r="J466" s="156">
        <f>ROUND(H466*I450,2)</f>
        <v>2571939.52</v>
      </c>
      <c r="K466" s="166"/>
      <c r="L466" s="156">
        <f>ROUND(H466*K450,2)</f>
        <v>2571939.52</v>
      </c>
      <c r="M466" s="34"/>
      <c r="N466" s="166"/>
      <c r="O466" s="156">
        <f>ROUND(H466*N450,2)</f>
        <v>0</v>
      </c>
      <c r="P466" s="166"/>
      <c r="Q466" s="156">
        <f>ROUND(H466*P450,2)</f>
        <v>0</v>
      </c>
      <c r="R466" s="166"/>
      <c r="S466" s="156">
        <f>ROUND(H466*R450,2)</f>
        <v>0</v>
      </c>
      <c r="T466" s="34"/>
      <c r="U466" s="34"/>
      <c r="V466" s="166"/>
      <c r="W466" s="166"/>
      <c r="X466" s="166"/>
      <c r="Y466" s="156">
        <f>ROUND(H466*X450,2)</f>
        <v>0</v>
      </c>
      <c r="Z466" s="166"/>
      <c r="AA466" s="156">
        <f>ROUND(H466*Z450,2)</f>
        <v>0</v>
      </c>
      <c r="AB466" s="156">
        <f>ROUND(H466*W450,2)</f>
        <v>2571939.52</v>
      </c>
    </row>
    <row r="467" spans="1:28" hidden="1" x14ac:dyDescent="0.25">
      <c r="A467" s="168"/>
      <c r="B467" s="133" t="str">
        <f>'Công trình'!B74</f>
        <v>AI.52211</v>
      </c>
      <c r="C467" s="34"/>
      <c r="D467" s="133" t="str">
        <f>'Công trình'!C74</f>
        <v>Sản xuất kết cấu thép hộp nối cọc</v>
      </c>
      <c r="E467" s="168"/>
      <c r="F467" s="20">
        <v>1</v>
      </c>
      <c r="G467" s="169"/>
      <c r="H467" s="45">
        <f>'Hao phí vật tư'!J575</f>
        <v>49.385599999999997</v>
      </c>
      <c r="I467" s="166"/>
      <c r="J467" s="156">
        <f>ROUND(H467*I450,2)</f>
        <v>942820.49</v>
      </c>
      <c r="K467" s="166"/>
      <c r="L467" s="156">
        <f>ROUND(H467*K450,2)</f>
        <v>942820.49</v>
      </c>
      <c r="M467" s="34"/>
      <c r="N467" s="166"/>
      <c r="O467" s="156">
        <f>ROUND(H467*N450,2)</f>
        <v>0</v>
      </c>
      <c r="P467" s="166"/>
      <c r="Q467" s="156">
        <f>ROUND(H467*P450,2)</f>
        <v>0</v>
      </c>
      <c r="R467" s="166"/>
      <c r="S467" s="156">
        <f>ROUND(H467*R450,2)</f>
        <v>0</v>
      </c>
      <c r="T467" s="34"/>
      <c r="U467" s="34"/>
      <c r="V467" s="166"/>
      <c r="W467" s="166"/>
      <c r="X467" s="166"/>
      <c r="Y467" s="156">
        <f>ROUND(H467*X450,2)</f>
        <v>0</v>
      </c>
      <c r="Z467" s="166"/>
      <c r="AA467" s="156">
        <f>ROUND(H467*Z450,2)</f>
        <v>0</v>
      </c>
      <c r="AB467" s="156">
        <f>ROUND(H467*W450,2)</f>
        <v>942820.49</v>
      </c>
    </row>
    <row r="468" spans="1:28" hidden="1" x14ac:dyDescent="0.25">
      <c r="A468" s="168"/>
      <c r="B468" s="133" t="str">
        <f>'Công trình'!B77</f>
        <v>AA.22310</v>
      </c>
      <c r="C468" s="34"/>
      <c r="D468" s="133" t="str">
        <f>'Công trình'!C77</f>
        <v>Đập đầu cọc trên cạn</v>
      </c>
      <c r="E468" s="168"/>
      <c r="F468" s="20">
        <v>1</v>
      </c>
      <c r="G468" s="169"/>
      <c r="H468" s="45">
        <f>'Hao phí vật tư'!J612</f>
        <v>0</v>
      </c>
      <c r="I468" s="166"/>
      <c r="J468" s="156">
        <f>ROUND(H468*I450,2)</f>
        <v>0</v>
      </c>
      <c r="K468" s="166"/>
      <c r="L468" s="156">
        <f>ROUND(H468*K450,2)</f>
        <v>0</v>
      </c>
      <c r="M468" s="34"/>
      <c r="N468" s="166"/>
      <c r="O468" s="156">
        <f>ROUND(H468*N450,2)</f>
        <v>0</v>
      </c>
      <c r="P468" s="166"/>
      <c r="Q468" s="156">
        <f>ROUND(H468*P450,2)</f>
        <v>0</v>
      </c>
      <c r="R468" s="166"/>
      <c r="S468" s="156">
        <f>ROUND(H468*R450,2)</f>
        <v>0</v>
      </c>
      <c r="T468" s="34"/>
      <c r="U468" s="34"/>
      <c r="V468" s="166"/>
      <c r="W468" s="166"/>
      <c r="X468" s="166"/>
      <c r="Y468" s="156">
        <f>ROUND(H468*X450,2)</f>
        <v>0</v>
      </c>
      <c r="Z468" s="166"/>
      <c r="AA468" s="156">
        <f>ROUND(H468*Z450,2)</f>
        <v>0</v>
      </c>
      <c r="AB468" s="156">
        <f>ROUND(H468*W450,2)</f>
        <v>0</v>
      </c>
    </row>
    <row r="469" spans="1:28" ht="30" hidden="1" x14ac:dyDescent="0.25">
      <c r="A469" s="168"/>
      <c r="B469" s="133" t="str">
        <f>'Công trình'!B81</f>
        <v>AG.13121</v>
      </c>
      <c r="C469" s="34"/>
      <c r="D469" s="133" t="str">
        <f>'Công trình'!C81</f>
        <v>Sản xuất, lắp dựng cốt thép BT đúc sẵn cọc, đường kính &lt;=18mm</v>
      </c>
      <c r="E469" s="168"/>
      <c r="F469" s="20">
        <v>1</v>
      </c>
      <c r="G469" s="169"/>
      <c r="H469" s="45">
        <f>'Hao phí vật tư'!J643</f>
        <v>1.0744</v>
      </c>
      <c r="I469" s="166"/>
      <c r="J469" s="156">
        <f>ROUND(H469*I450,2)</f>
        <v>20511.37</v>
      </c>
      <c r="K469" s="166"/>
      <c r="L469" s="156">
        <f>ROUND(H469*K450,2)</f>
        <v>20511.37</v>
      </c>
      <c r="M469" s="34"/>
      <c r="N469" s="166"/>
      <c r="O469" s="156">
        <f>ROUND(H469*N450,2)</f>
        <v>0</v>
      </c>
      <c r="P469" s="166"/>
      <c r="Q469" s="156">
        <f>ROUND(H469*P450,2)</f>
        <v>0</v>
      </c>
      <c r="R469" s="166"/>
      <c r="S469" s="156">
        <f>ROUND(H469*R450,2)</f>
        <v>0</v>
      </c>
      <c r="T469" s="34"/>
      <c r="U469" s="34"/>
      <c r="V469" s="166"/>
      <c r="W469" s="166"/>
      <c r="X469" s="166"/>
      <c r="Y469" s="156">
        <f>ROUND(H469*X450,2)</f>
        <v>0</v>
      </c>
      <c r="Z469" s="166"/>
      <c r="AA469" s="156">
        <f>ROUND(H469*Z450,2)</f>
        <v>0</v>
      </c>
      <c r="AB469" s="156">
        <f>ROUND(H469*W450,2)</f>
        <v>20511.37</v>
      </c>
    </row>
    <row r="470" spans="1:28" ht="30" hidden="1" x14ac:dyDescent="0.25">
      <c r="A470" s="168"/>
      <c r="B470" s="133" t="str">
        <f>'Công trình'!B82</f>
        <v>AG.13131</v>
      </c>
      <c r="C470" s="34"/>
      <c r="D470" s="133" t="str">
        <f>'Công trình'!C82</f>
        <v>Sản xuất, lắp dựng cốt thép BT đúc sẵn cọc, đường kính &gt;18mm</v>
      </c>
      <c r="E470" s="168"/>
      <c r="F470" s="20">
        <v>1</v>
      </c>
      <c r="G470" s="169"/>
      <c r="H470" s="45">
        <f>'Hao phí vật tư'!J653</f>
        <v>31.2028</v>
      </c>
      <c r="I470" s="166"/>
      <c r="J470" s="156">
        <f>ROUND(H470*I450,2)</f>
        <v>595692.65</v>
      </c>
      <c r="K470" s="166"/>
      <c r="L470" s="156">
        <f>ROUND(H470*K450,2)</f>
        <v>595692.65</v>
      </c>
      <c r="M470" s="34"/>
      <c r="N470" s="166"/>
      <c r="O470" s="156">
        <f>ROUND(H470*N450,2)</f>
        <v>0</v>
      </c>
      <c r="P470" s="166"/>
      <c r="Q470" s="156">
        <f>ROUND(H470*P450,2)</f>
        <v>0</v>
      </c>
      <c r="R470" s="166"/>
      <c r="S470" s="156">
        <f>ROUND(H470*R450,2)</f>
        <v>0</v>
      </c>
      <c r="T470" s="34"/>
      <c r="U470" s="34"/>
      <c r="V470" s="166"/>
      <c r="W470" s="166"/>
      <c r="X470" s="166"/>
      <c r="Y470" s="156">
        <f>ROUND(H470*X450,2)</f>
        <v>0</v>
      </c>
      <c r="Z470" s="166"/>
      <c r="AA470" s="156">
        <f>ROUND(H470*Z450,2)</f>
        <v>0</v>
      </c>
      <c r="AB470" s="156">
        <f>ROUND(H470*W450,2)</f>
        <v>595692.65</v>
      </c>
    </row>
    <row r="471" spans="1:28" ht="30" hidden="1" x14ac:dyDescent="0.25">
      <c r="A471" s="168"/>
      <c r="B471" s="133" t="str">
        <f>'Công trình'!B83</f>
        <v>AI.13111</v>
      </c>
      <c r="C471" s="34"/>
      <c r="D471" s="133" t="str">
        <f>'Công trình'!C83</f>
        <v>Sản xuất cấu kiện thép đặt sẵn trong bê tông, khối lượng &lt;=10kg/cấu kiện</v>
      </c>
      <c r="E471" s="168"/>
      <c r="F471" s="20">
        <v>1</v>
      </c>
      <c r="G471" s="169"/>
      <c r="H471" s="45">
        <f>'Hao phí vật tư'!J664</f>
        <v>9.9283999999999999</v>
      </c>
      <c r="I471" s="166"/>
      <c r="J471" s="156">
        <f>ROUND(H471*I450,2)</f>
        <v>189543.08</v>
      </c>
      <c r="K471" s="166"/>
      <c r="L471" s="156">
        <f>ROUND(H471*K450,2)</f>
        <v>189543.08</v>
      </c>
      <c r="M471" s="34"/>
      <c r="N471" s="166"/>
      <c r="O471" s="156">
        <f>ROUND(H471*N450,2)</f>
        <v>0</v>
      </c>
      <c r="P471" s="166"/>
      <c r="Q471" s="156">
        <f>ROUND(H471*P450,2)</f>
        <v>0</v>
      </c>
      <c r="R471" s="166"/>
      <c r="S471" s="156">
        <f>ROUND(H471*R450,2)</f>
        <v>0</v>
      </c>
      <c r="T471" s="34"/>
      <c r="U471" s="34"/>
      <c r="V471" s="166"/>
      <c r="W471" s="166"/>
      <c r="X471" s="166"/>
      <c r="Y471" s="156">
        <f>ROUND(H471*X450,2)</f>
        <v>0</v>
      </c>
      <c r="Z471" s="166"/>
      <c r="AA471" s="156">
        <f>ROUND(H471*Z450,2)</f>
        <v>0</v>
      </c>
      <c r="AB471" s="156">
        <f>ROUND(H471*W450,2)</f>
        <v>189543.08</v>
      </c>
    </row>
    <row r="472" spans="1:28" hidden="1" x14ac:dyDescent="0.25">
      <c r="A472" s="168"/>
      <c r="B472" s="133" t="str">
        <f>'Công trình'!B85</f>
        <v>AI.52211</v>
      </c>
      <c r="C472" s="34"/>
      <c r="D472" s="133" t="str">
        <f>'Công trình'!C85</f>
        <v>Sản xuất kết cấu thép hộp nối cọc</v>
      </c>
      <c r="E472" s="168"/>
      <c r="F472" s="20">
        <v>1</v>
      </c>
      <c r="G472" s="169"/>
      <c r="H472" s="45">
        <f>'Hao phí vật tư'!J691</f>
        <v>21.48</v>
      </c>
      <c r="I472" s="166"/>
      <c r="J472" s="156">
        <f>ROUND(H472*I450,2)</f>
        <v>410074.68</v>
      </c>
      <c r="K472" s="166"/>
      <c r="L472" s="156">
        <f>ROUND(H472*K450,2)</f>
        <v>410074.68</v>
      </c>
      <c r="M472" s="34"/>
      <c r="N472" s="166"/>
      <c r="O472" s="156">
        <f>ROUND(H472*N450,2)</f>
        <v>0</v>
      </c>
      <c r="P472" s="166"/>
      <c r="Q472" s="156">
        <f>ROUND(H472*P450,2)</f>
        <v>0</v>
      </c>
      <c r="R472" s="166"/>
      <c r="S472" s="156">
        <f>ROUND(H472*R450,2)</f>
        <v>0</v>
      </c>
      <c r="T472" s="34"/>
      <c r="U472" s="34"/>
      <c r="V472" s="166"/>
      <c r="W472" s="166"/>
      <c r="X472" s="166"/>
      <c r="Y472" s="156">
        <f>ROUND(H472*X450,2)</f>
        <v>0</v>
      </c>
      <c r="Z472" s="166"/>
      <c r="AA472" s="156">
        <f>ROUND(H472*Z450,2)</f>
        <v>0</v>
      </c>
      <c r="AB472" s="156">
        <f>ROUND(H472*W450,2)</f>
        <v>410074.68</v>
      </c>
    </row>
    <row r="473" spans="1:28" hidden="1" x14ac:dyDescent="0.25">
      <c r="A473" s="168"/>
      <c r="B473" s="133" t="str">
        <f>'Công trình'!B88</f>
        <v>AA.22310</v>
      </c>
      <c r="C473" s="34"/>
      <c r="D473" s="133" t="str">
        <f>'Công trình'!C88</f>
        <v>Đập đầu cọc trên cạn</v>
      </c>
      <c r="E473" s="168"/>
      <c r="F473" s="20">
        <v>1</v>
      </c>
      <c r="G473" s="169"/>
      <c r="H473" s="45">
        <f>'Hao phí vật tư'!J728</f>
        <v>0</v>
      </c>
      <c r="I473" s="166"/>
      <c r="J473" s="156">
        <f>ROUND(H473*I450,2)</f>
        <v>0</v>
      </c>
      <c r="K473" s="166"/>
      <c r="L473" s="156">
        <f>ROUND(H473*K450,2)</f>
        <v>0</v>
      </c>
      <c r="M473" s="34"/>
      <c r="N473" s="166"/>
      <c r="O473" s="156">
        <f>ROUND(H473*N450,2)</f>
        <v>0</v>
      </c>
      <c r="P473" s="166"/>
      <c r="Q473" s="156">
        <f>ROUND(H473*P450,2)</f>
        <v>0</v>
      </c>
      <c r="R473" s="166"/>
      <c r="S473" s="156">
        <f>ROUND(H473*R450,2)</f>
        <v>0</v>
      </c>
      <c r="T473" s="34"/>
      <c r="U473" s="34"/>
      <c r="V473" s="166"/>
      <c r="W473" s="166"/>
      <c r="X473" s="166"/>
      <c r="Y473" s="156">
        <f>ROUND(H473*X450,2)</f>
        <v>0</v>
      </c>
      <c r="Z473" s="166"/>
      <c r="AA473" s="156">
        <f>ROUND(H473*Z450,2)</f>
        <v>0</v>
      </c>
      <c r="AB473" s="156">
        <f>ROUND(H473*W450,2)</f>
        <v>0</v>
      </c>
    </row>
    <row r="474" spans="1:28" hidden="1" x14ac:dyDescent="0.25">
      <c r="A474" s="168"/>
      <c r="B474" s="133" t="str">
        <f>'Công trình'!B87</f>
        <v>AC.29331</v>
      </c>
      <c r="C474" s="34"/>
      <c r="D474" s="133" t="str">
        <f>'Công trình'!C87</f>
        <v>Nối cọc BTCT 30x30cm</v>
      </c>
      <c r="E474" s="168"/>
      <c r="F474" s="20">
        <v>1</v>
      </c>
      <c r="G474" s="169"/>
      <c r="H474" s="45">
        <f>'Hao phí vật tư'!J718</f>
        <v>17.04</v>
      </c>
      <c r="I474" s="166"/>
      <c r="J474" s="156">
        <f>ROUND(H474*I450,2)</f>
        <v>325310.64</v>
      </c>
      <c r="K474" s="166"/>
      <c r="L474" s="156">
        <f>ROUND(H474*K450,2)</f>
        <v>325310.64</v>
      </c>
      <c r="M474" s="34"/>
      <c r="N474" s="166"/>
      <c r="O474" s="156">
        <f>ROUND(H474*N450,2)</f>
        <v>0</v>
      </c>
      <c r="P474" s="166"/>
      <c r="Q474" s="156">
        <f>ROUND(H474*P450,2)</f>
        <v>0</v>
      </c>
      <c r="R474" s="166"/>
      <c r="S474" s="156">
        <f>ROUND(H474*R450,2)</f>
        <v>0</v>
      </c>
      <c r="T474" s="34"/>
      <c r="U474" s="34"/>
      <c r="V474" s="166"/>
      <c r="W474" s="166"/>
      <c r="X474" s="166"/>
      <c r="Y474" s="156">
        <f>ROUND(H474*X450,2)</f>
        <v>0</v>
      </c>
      <c r="Z474" s="166"/>
      <c r="AA474" s="156">
        <f>ROUND(H474*Z450,2)</f>
        <v>0</v>
      </c>
      <c r="AB474" s="156">
        <f>ROUND(H474*W450,2)</f>
        <v>325310.64</v>
      </c>
    </row>
    <row r="475" spans="1:28" ht="30" hidden="1" x14ac:dyDescent="0.25">
      <c r="A475" s="168"/>
      <c r="B475" s="133" t="str">
        <f>'Công trình'!B105</f>
        <v>AI.11131</v>
      </c>
      <c r="C475" s="34"/>
      <c r="D475" s="133" t="str">
        <f>'Công trình'!C105</f>
        <v>Khấu hao cọc dẫn bằng thép hình (đóng nhổ 40 lần trong 1 tháng)</v>
      </c>
      <c r="E475" s="168"/>
      <c r="F475" s="20">
        <v>1</v>
      </c>
      <c r="G475" s="169"/>
      <c r="H475" s="45">
        <f>'Hao phí vật tư'!J846</f>
        <v>0</v>
      </c>
      <c r="I475" s="166"/>
      <c r="J475" s="156">
        <f>ROUND(H475*I450,2)</f>
        <v>0</v>
      </c>
      <c r="K475" s="166"/>
      <c r="L475" s="156">
        <f>ROUND(H475*K450,2)</f>
        <v>0</v>
      </c>
      <c r="M475" s="34"/>
      <c r="N475" s="166"/>
      <c r="O475" s="156">
        <f>ROUND(H475*N450,2)</f>
        <v>0</v>
      </c>
      <c r="P475" s="166"/>
      <c r="Q475" s="156">
        <f>ROUND(H475*P450,2)</f>
        <v>0</v>
      </c>
      <c r="R475" s="166"/>
      <c r="S475" s="156">
        <f>ROUND(H475*R450,2)</f>
        <v>0</v>
      </c>
      <c r="T475" s="34"/>
      <c r="U475" s="34"/>
      <c r="V475" s="166"/>
      <c r="W475" s="166"/>
      <c r="X475" s="166"/>
      <c r="Y475" s="156">
        <f>ROUND(H475*X450,2)</f>
        <v>0</v>
      </c>
      <c r="Z475" s="166"/>
      <c r="AA475" s="156">
        <f>ROUND(H475*Z450,2)</f>
        <v>0</v>
      </c>
      <c r="AB475" s="156">
        <f>ROUND(H475*W450,2)</f>
        <v>0</v>
      </c>
    </row>
    <row r="476" spans="1:28" hidden="1" x14ac:dyDescent="0.25">
      <c r="A476" s="168"/>
      <c r="B476" s="133" t="str">
        <f>'Công trình'!B109</f>
        <v>AI.11912</v>
      </c>
      <c r="C476" s="34"/>
      <c r="D476" s="133" t="str">
        <f>'Công trình'!C109</f>
        <v>Sản xuất hệ sàn đạo, sàn thao tác</v>
      </c>
      <c r="E476" s="168"/>
      <c r="F476" s="20">
        <v>1</v>
      </c>
      <c r="G476" s="169"/>
      <c r="H476" s="45">
        <f>'Hao phí vật tư'!J869</f>
        <v>61.0077</v>
      </c>
      <c r="I476" s="166"/>
      <c r="J476" s="156">
        <f>ROUND(H476*I450,2)</f>
        <v>1164698</v>
      </c>
      <c r="K476" s="166"/>
      <c r="L476" s="156">
        <f>ROUND(H476*K450,2)</f>
        <v>1164698</v>
      </c>
      <c r="M476" s="34"/>
      <c r="N476" s="166"/>
      <c r="O476" s="156">
        <f>ROUND(H476*N450,2)</f>
        <v>0</v>
      </c>
      <c r="P476" s="166"/>
      <c r="Q476" s="156">
        <f>ROUND(H476*P450,2)</f>
        <v>0</v>
      </c>
      <c r="R476" s="166"/>
      <c r="S476" s="156">
        <f>ROUND(H476*R450,2)</f>
        <v>0</v>
      </c>
      <c r="T476" s="34"/>
      <c r="U476" s="34"/>
      <c r="V476" s="166"/>
      <c r="W476" s="166"/>
      <c r="X476" s="166"/>
      <c r="Y476" s="156">
        <f>ROUND(H476*X450,2)</f>
        <v>0</v>
      </c>
      <c r="Z476" s="166"/>
      <c r="AA476" s="156">
        <f>ROUND(H476*Z450,2)</f>
        <v>0</v>
      </c>
      <c r="AB476" s="156">
        <f>ROUND(H476*W450,2)</f>
        <v>1164698</v>
      </c>
    </row>
    <row r="477" spans="1:28" ht="30" hidden="1" x14ac:dyDescent="0.25">
      <c r="A477" s="168"/>
      <c r="B477" s="133" t="str">
        <f>'Công trình'!B110</f>
        <v>TT</v>
      </c>
      <c r="C477" s="34"/>
      <c r="D477" s="133" t="str">
        <f>'Công trình'!C110</f>
        <v>Khấu hao hệ sàn đạo, sàn thao tác (Thi công trong vòng 1 tháng và 5 lần đóng nhổ)</v>
      </c>
      <c r="E477" s="168"/>
      <c r="F477" s="20">
        <v>1</v>
      </c>
      <c r="G477" s="169"/>
      <c r="H477" s="45">
        <f>'Hao phí vật tư'!J883</f>
        <v>0</v>
      </c>
      <c r="I477" s="166"/>
      <c r="J477" s="156">
        <f>ROUND(H477*I450,2)</f>
        <v>0</v>
      </c>
      <c r="K477" s="166"/>
      <c r="L477" s="156">
        <f>ROUND(H477*K450,2)</f>
        <v>0</v>
      </c>
      <c r="M477" s="34"/>
      <c r="N477" s="166"/>
      <c r="O477" s="156">
        <f>ROUND(H477*N450,2)</f>
        <v>0</v>
      </c>
      <c r="P477" s="166"/>
      <c r="Q477" s="156">
        <f>ROUND(H477*P450,2)</f>
        <v>0</v>
      </c>
      <c r="R477" s="166"/>
      <c r="S477" s="156">
        <f>ROUND(H477*R450,2)</f>
        <v>0</v>
      </c>
      <c r="T477" s="34"/>
      <c r="U477" s="34"/>
      <c r="V477" s="166"/>
      <c r="W477" s="166"/>
      <c r="X477" s="166"/>
      <c r="Y477" s="156">
        <f>ROUND(H477*X450,2)</f>
        <v>0</v>
      </c>
      <c r="Z477" s="166"/>
      <c r="AA477" s="156">
        <f>ROUND(H477*Z450,2)</f>
        <v>0</v>
      </c>
      <c r="AB477" s="156">
        <f>ROUND(H477*W450,2)</f>
        <v>0</v>
      </c>
    </row>
    <row r="478" spans="1:28" hidden="1" x14ac:dyDescent="0.25">
      <c r="A478" s="168"/>
      <c r="B478" s="133" t="str">
        <f>'Công trình'!B104</f>
        <v>AI.11131</v>
      </c>
      <c r="C478" s="34"/>
      <c r="D478" s="133" t="str">
        <f>'Công trình'!C104</f>
        <v>Sản xuất cọc dẫn bằng thép hình</v>
      </c>
      <c r="E478" s="168"/>
      <c r="F478" s="20">
        <v>1</v>
      </c>
      <c r="G478" s="169"/>
      <c r="H478" s="45">
        <f>'Hao phí vật tư'!J830</f>
        <v>14.5412</v>
      </c>
      <c r="I478" s="166"/>
      <c r="J478" s="156">
        <f>ROUND(H478*I450,2)</f>
        <v>277606.05</v>
      </c>
      <c r="K478" s="166"/>
      <c r="L478" s="156">
        <f>ROUND(H478*K450,2)</f>
        <v>277606.05</v>
      </c>
      <c r="M478" s="34"/>
      <c r="N478" s="166"/>
      <c r="O478" s="156">
        <f>ROUND(H478*N450,2)</f>
        <v>0</v>
      </c>
      <c r="P478" s="166"/>
      <c r="Q478" s="156">
        <f>ROUND(H478*P450,2)</f>
        <v>0</v>
      </c>
      <c r="R478" s="166"/>
      <c r="S478" s="156">
        <f>ROUND(H478*R450,2)</f>
        <v>0</v>
      </c>
      <c r="T478" s="34"/>
      <c r="U478" s="34"/>
      <c r="V478" s="166"/>
      <c r="W478" s="166"/>
      <c r="X478" s="166"/>
      <c r="Y478" s="156">
        <f>ROUND(H478*X450,2)</f>
        <v>0</v>
      </c>
      <c r="Z478" s="166"/>
      <c r="AA478" s="156">
        <f>ROUND(H478*Z450,2)</f>
        <v>0</v>
      </c>
      <c r="AB478" s="156">
        <f>ROUND(H478*W450,2)</f>
        <v>277606.05</v>
      </c>
    </row>
    <row r="479" spans="1:28" hidden="1" x14ac:dyDescent="0.25">
      <c r="A479" s="168"/>
      <c r="B479" s="133" t="str">
        <f>'Công trình'!B120</f>
        <v>AI.11912</v>
      </c>
      <c r="C479" s="34"/>
      <c r="D479" s="133" t="str">
        <f>'Công trình'!C120</f>
        <v>Sản xuất hệ sàn đạo, sàn thao tác</v>
      </c>
      <c r="E479" s="168"/>
      <c r="F479" s="20">
        <v>1</v>
      </c>
      <c r="G479" s="169"/>
      <c r="H479" s="45">
        <f>'Hao phí vật tư'!J941</f>
        <v>125.7128</v>
      </c>
      <c r="I479" s="166"/>
      <c r="J479" s="156">
        <f>ROUND(H479*I450,2)</f>
        <v>2399983.06</v>
      </c>
      <c r="K479" s="166"/>
      <c r="L479" s="156">
        <f>ROUND(H479*K450,2)</f>
        <v>2399983.06</v>
      </c>
      <c r="M479" s="34"/>
      <c r="N479" s="166"/>
      <c r="O479" s="156">
        <f>ROUND(H479*N450,2)</f>
        <v>0</v>
      </c>
      <c r="P479" s="166"/>
      <c r="Q479" s="156">
        <f>ROUND(H479*P450,2)</f>
        <v>0</v>
      </c>
      <c r="R479" s="166"/>
      <c r="S479" s="156">
        <f>ROUND(H479*R450,2)</f>
        <v>0</v>
      </c>
      <c r="T479" s="34"/>
      <c r="U479" s="34"/>
      <c r="V479" s="166"/>
      <c r="W479" s="166"/>
      <c r="X479" s="166"/>
      <c r="Y479" s="156">
        <f>ROUND(H479*X450,2)</f>
        <v>0</v>
      </c>
      <c r="Z479" s="166"/>
      <c r="AA479" s="156">
        <f>ROUND(H479*Z450,2)</f>
        <v>0</v>
      </c>
      <c r="AB479" s="156">
        <f>ROUND(H479*W450,2)</f>
        <v>2399983.06</v>
      </c>
    </row>
    <row r="480" spans="1:28" ht="30" hidden="1" x14ac:dyDescent="0.25">
      <c r="A480" s="168"/>
      <c r="B480" s="133" t="str">
        <f>'Công trình'!B121</f>
        <v>TT</v>
      </c>
      <c r="C480" s="34"/>
      <c r="D480" s="133" t="str">
        <f>'Công trình'!C121</f>
        <v>Khấu hao hệ sàn đạo, sàn thao tác (Thi công trong vòng 1 tháng và 4 lần đóng nhổ)</v>
      </c>
      <c r="E480" s="168"/>
      <c r="F480" s="20">
        <v>1</v>
      </c>
      <c r="G480" s="169"/>
      <c r="H480" s="45">
        <f>'Hao phí vật tư'!J955</f>
        <v>0</v>
      </c>
      <c r="I480" s="166"/>
      <c r="J480" s="156">
        <f>ROUND(H480*I450,2)</f>
        <v>0</v>
      </c>
      <c r="K480" s="166"/>
      <c r="L480" s="156">
        <f>ROUND(H480*K450,2)</f>
        <v>0</v>
      </c>
      <c r="M480" s="34"/>
      <c r="N480" s="166"/>
      <c r="O480" s="156">
        <f>ROUND(H480*N450,2)</f>
        <v>0</v>
      </c>
      <c r="P480" s="166"/>
      <c r="Q480" s="156">
        <f>ROUND(H480*P450,2)</f>
        <v>0</v>
      </c>
      <c r="R480" s="166"/>
      <c r="S480" s="156">
        <f>ROUND(H480*R450,2)</f>
        <v>0</v>
      </c>
      <c r="T480" s="34"/>
      <c r="U480" s="34"/>
      <c r="V480" s="166"/>
      <c r="W480" s="166"/>
      <c r="X480" s="166"/>
      <c r="Y480" s="156">
        <f>ROUND(H480*X450,2)</f>
        <v>0</v>
      </c>
      <c r="Z480" s="166"/>
      <c r="AA480" s="156">
        <f>ROUND(H480*Z450,2)</f>
        <v>0</v>
      </c>
      <c r="AB480" s="156">
        <f>ROUND(H480*W450,2)</f>
        <v>0</v>
      </c>
    </row>
    <row r="481" spans="1:28" ht="30" hidden="1" x14ac:dyDescent="0.25">
      <c r="A481" s="168"/>
      <c r="B481" s="133" t="str">
        <f>'Công trình'!B112</f>
        <v>AI.63311</v>
      </c>
      <c r="C481" s="34"/>
      <c r="D481" s="133" t="str">
        <f>'Công trình'!C112</f>
        <v>Lắp dựng kết cấu thép hệ khung dàn, sàn đạo trên cạn</v>
      </c>
      <c r="E481" s="168"/>
      <c r="F481" s="20">
        <v>1</v>
      </c>
      <c r="G481" s="169"/>
      <c r="H481" s="45">
        <f>'Hao phí vật tư'!J887</f>
        <v>151.572</v>
      </c>
      <c r="I481" s="166"/>
      <c r="J481" s="156">
        <f>ROUND(H481*I450,2)</f>
        <v>2893661.05</v>
      </c>
      <c r="K481" s="166"/>
      <c r="L481" s="156">
        <f>ROUND(H481*K450,2)</f>
        <v>2893661.05</v>
      </c>
      <c r="M481" s="34"/>
      <c r="N481" s="166"/>
      <c r="O481" s="156">
        <f>ROUND(H481*N450,2)</f>
        <v>0</v>
      </c>
      <c r="P481" s="166"/>
      <c r="Q481" s="156">
        <f>ROUND(H481*P450,2)</f>
        <v>0</v>
      </c>
      <c r="R481" s="166"/>
      <c r="S481" s="156">
        <f>ROUND(H481*R450,2)</f>
        <v>0</v>
      </c>
      <c r="T481" s="34"/>
      <c r="U481" s="34"/>
      <c r="V481" s="166"/>
      <c r="W481" s="166"/>
      <c r="X481" s="166"/>
      <c r="Y481" s="156">
        <f>ROUND(H481*X450,2)</f>
        <v>0</v>
      </c>
      <c r="Z481" s="166"/>
      <c r="AA481" s="156">
        <f>ROUND(H481*Z450,2)</f>
        <v>0</v>
      </c>
      <c r="AB481" s="156">
        <f>ROUND(H481*W450,2)</f>
        <v>2893661.05</v>
      </c>
    </row>
    <row r="482" spans="1:28" ht="30" hidden="1" x14ac:dyDescent="0.25">
      <c r="A482" s="168"/>
      <c r="B482" s="133" t="str">
        <f>'Công trình'!B113</f>
        <v>AI.63311</v>
      </c>
      <c r="C482" s="34"/>
      <c r="D482" s="133" t="str">
        <f>'Công trình'!C113</f>
        <v>Tháo dỡ kết cấu thép hệ khung dàn, sàn đạo trên cạn (60% Đg)</v>
      </c>
      <c r="E482" s="168"/>
      <c r="F482" s="20">
        <v>1</v>
      </c>
      <c r="G482" s="169"/>
      <c r="H482" s="45">
        <f>'Hao phí vật tư'!J898</f>
        <v>90.943200000000004</v>
      </c>
      <c r="I482" s="166"/>
      <c r="J482" s="156">
        <f>ROUND(H482*I450,2)</f>
        <v>1736196.63</v>
      </c>
      <c r="K482" s="166"/>
      <c r="L482" s="156">
        <f>ROUND(H482*K450,2)</f>
        <v>1736196.63</v>
      </c>
      <c r="M482" s="34"/>
      <c r="N482" s="166"/>
      <c r="O482" s="156">
        <f>ROUND(H482*N450,2)</f>
        <v>0</v>
      </c>
      <c r="P482" s="166"/>
      <c r="Q482" s="156">
        <f>ROUND(H482*P450,2)</f>
        <v>0</v>
      </c>
      <c r="R482" s="166"/>
      <c r="S482" s="156">
        <f>ROUND(H482*R450,2)</f>
        <v>0</v>
      </c>
      <c r="T482" s="34"/>
      <c r="U482" s="34"/>
      <c r="V482" s="166"/>
      <c r="W482" s="166"/>
      <c r="X482" s="166"/>
      <c r="Y482" s="156">
        <f>ROUND(H482*X450,2)</f>
        <v>0</v>
      </c>
      <c r="Z482" s="166"/>
      <c r="AA482" s="156">
        <f>ROUND(H482*Z450,2)</f>
        <v>0</v>
      </c>
      <c r="AB482" s="156">
        <f>ROUND(H482*W450,2)</f>
        <v>1736196.63</v>
      </c>
    </row>
    <row r="483" spans="1:28" ht="30" hidden="1" x14ac:dyDescent="0.25">
      <c r="A483" s="168"/>
      <c r="B483" s="133" t="str">
        <f>'Công trình'!B123</f>
        <v>AI.63311</v>
      </c>
      <c r="C483" s="34"/>
      <c r="D483" s="133" t="str">
        <f>'Công trình'!C123</f>
        <v>Lắp dựng kết cấu thép hệ khung dàn, sàn đạo trên cạn</v>
      </c>
      <c r="E483" s="168"/>
      <c r="F483" s="20">
        <v>1</v>
      </c>
      <c r="G483" s="169"/>
      <c r="H483" s="45">
        <f>'Hao phí vật tư'!J959</f>
        <v>62.466000000000001</v>
      </c>
      <c r="I483" s="166"/>
      <c r="J483" s="156">
        <f>ROUND(H483*I450,2)</f>
        <v>1192538.4099999999</v>
      </c>
      <c r="K483" s="166"/>
      <c r="L483" s="156">
        <f>ROUND(H483*K450,2)</f>
        <v>1192538.4099999999</v>
      </c>
      <c r="M483" s="34"/>
      <c r="N483" s="166"/>
      <c r="O483" s="156">
        <f>ROUND(H483*N450,2)</f>
        <v>0</v>
      </c>
      <c r="P483" s="166"/>
      <c r="Q483" s="156">
        <f>ROUND(H483*P450,2)</f>
        <v>0</v>
      </c>
      <c r="R483" s="166"/>
      <c r="S483" s="156">
        <f>ROUND(H483*R450,2)</f>
        <v>0</v>
      </c>
      <c r="T483" s="34"/>
      <c r="U483" s="34"/>
      <c r="V483" s="166"/>
      <c r="W483" s="166"/>
      <c r="X483" s="166"/>
      <c r="Y483" s="156">
        <f>ROUND(H483*X450,2)</f>
        <v>0</v>
      </c>
      <c r="Z483" s="166"/>
      <c r="AA483" s="156">
        <f>ROUND(H483*Z450,2)</f>
        <v>0</v>
      </c>
      <c r="AB483" s="156">
        <f>ROUND(H483*W450,2)</f>
        <v>1192538.4099999999</v>
      </c>
    </row>
    <row r="484" spans="1:28" ht="30" hidden="1" x14ac:dyDescent="0.25">
      <c r="A484" s="168"/>
      <c r="B484" s="133" t="str">
        <f>'Công trình'!B124</f>
        <v>AI.63311</v>
      </c>
      <c r="C484" s="34"/>
      <c r="D484" s="133" t="str">
        <f>'Công trình'!C124</f>
        <v>Tháo dỡ kết cấu thép hệ khung dàn, sàn đạo trên cạn (60% Đg)</v>
      </c>
      <c r="E484" s="168"/>
      <c r="F484" s="20">
        <v>1</v>
      </c>
      <c r="G484" s="169"/>
      <c r="H484" s="45">
        <f>'Hao phí vật tư'!J970</f>
        <v>37.479599999999998</v>
      </c>
      <c r="I484" s="166"/>
      <c r="J484" s="156">
        <f>ROUND(H484*I450,2)</f>
        <v>715523.04</v>
      </c>
      <c r="K484" s="166"/>
      <c r="L484" s="156">
        <f>ROUND(H484*K450,2)</f>
        <v>715523.04</v>
      </c>
      <c r="M484" s="34"/>
      <c r="N484" s="166"/>
      <c r="O484" s="156">
        <f>ROUND(H484*N450,2)</f>
        <v>0</v>
      </c>
      <c r="P484" s="166"/>
      <c r="Q484" s="156">
        <f>ROUND(H484*P450,2)</f>
        <v>0</v>
      </c>
      <c r="R484" s="166"/>
      <c r="S484" s="156">
        <f>ROUND(H484*R450,2)</f>
        <v>0</v>
      </c>
      <c r="T484" s="34"/>
      <c r="U484" s="34"/>
      <c r="V484" s="166"/>
      <c r="W484" s="166"/>
      <c r="X484" s="166"/>
      <c r="Y484" s="156">
        <f>ROUND(H484*X450,2)</f>
        <v>0</v>
      </c>
      <c r="Z484" s="166"/>
      <c r="AA484" s="156">
        <f>ROUND(H484*Z450,2)</f>
        <v>0</v>
      </c>
      <c r="AB484" s="156">
        <f>ROUND(H484*W450,2)</f>
        <v>715523.04</v>
      </c>
    </row>
    <row r="485" spans="1:28" hidden="1" x14ac:dyDescent="0.25">
      <c r="A485" s="168"/>
      <c r="B485" s="133" t="str">
        <f>'Công trình'!B136</f>
        <v>AI.11912</v>
      </c>
      <c r="C485" s="34"/>
      <c r="D485" s="133" t="str">
        <f>'Công trình'!C136</f>
        <v>Sản xuất hệ sàn đạo, sàn thao tác</v>
      </c>
      <c r="E485" s="168"/>
      <c r="F485" s="20">
        <v>1</v>
      </c>
      <c r="G485" s="169"/>
      <c r="H485" s="45">
        <f>'Hao phí vật tư'!J1042</f>
        <v>1990.5976000000001</v>
      </c>
      <c r="I485" s="166"/>
      <c r="J485" s="156">
        <f>ROUND(H485*I450,2)</f>
        <v>38002498.780000001</v>
      </c>
      <c r="K485" s="166"/>
      <c r="L485" s="156">
        <f>ROUND(H485*K450,2)</f>
        <v>38002498.780000001</v>
      </c>
      <c r="M485" s="34"/>
      <c r="N485" s="166"/>
      <c r="O485" s="156">
        <f>ROUND(H485*N450,2)</f>
        <v>0</v>
      </c>
      <c r="P485" s="166"/>
      <c r="Q485" s="156">
        <f>ROUND(H485*P450,2)</f>
        <v>0</v>
      </c>
      <c r="R485" s="166"/>
      <c r="S485" s="156">
        <f>ROUND(H485*R450,2)</f>
        <v>0</v>
      </c>
      <c r="T485" s="34"/>
      <c r="U485" s="34"/>
      <c r="V485" s="166"/>
      <c r="W485" s="166"/>
      <c r="X485" s="166"/>
      <c r="Y485" s="156">
        <f>ROUND(H485*X450,2)</f>
        <v>0</v>
      </c>
      <c r="Z485" s="166"/>
      <c r="AA485" s="156">
        <f>ROUND(H485*Z450,2)</f>
        <v>0</v>
      </c>
      <c r="AB485" s="156">
        <f>ROUND(H485*W450,2)</f>
        <v>38002498.780000001</v>
      </c>
    </row>
    <row r="486" spans="1:28" ht="30" hidden="1" x14ac:dyDescent="0.25">
      <c r="A486" s="168"/>
      <c r="B486" s="133" t="str">
        <f>'Công trình'!B137</f>
        <v>TT</v>
      </c>
      <c r="C486" s="34"/>
      <c r="D486" s="133" t="str">
        <f>'Công trình'!C137</f>
        <v>Khấu hao hệ sàn đạo, sàn thao tác (Thi công trong vòng 3 tháng và 1 lần đóng nhổ)</v>
      </c>
      <c r="E486" s="168"/>
      <c r="F486" s="20">
        <v>1</v>
      </c>
      <c r="G486" s="169"/>
      <c r="H486" s="45">
        <f>'Hao phí vật tư'!J1056</f>
        <v>0</v>
      </c>
      <c r="I486" s="166"/>
      <c r="J486" s="156">
        <f>ROUND(H486*I450,2)</f>
        <v>0</v>
      </c>
      <c r="K486" s="166"/>
      <c r="L486" s="156">
        <f>ROUND(H486*K450,2)</f>
        <v>0</v>
      </c>
      <c r="M486" s="34"/>
      <c r="N486" s="166"/>
      <c r="O486" s="156">
        <f>ROUND(H486*N450,2)</f>
        <v>0</v>
      </c>
      <c r="P486" s="166"/>
      <c r="Q486" s="156">
        <f>ROUND(H486*P450,2)</f>
        <v>0</v>
      </c>
      <c r="R486" s="166"/>
      <c r="S486" s="156">
        <f>ROUND(H486*R450,2)</f>
        <v>0</v>
      </c>
      <c r="T486" s="34"/>
      <c r="U486" s="34"/>
      <c r="V486" s="166"/>
      <c r="W486" s="166"/>
      <c r="X486" s="166"/>
      <c r="Y486" s="156">
        <f>ROUND(H486*X450,2)</f>
        <v>0</v>
      </c>
      <c r="Z486" s="166"/>
      <c r="AA486" s="156">
        <f>ROUND(H486*Z450,2)</f>
        <v>0</v>
      </c>
      <c r="AB486" s="156">
        <f>ROUND(H486*W450,2)</f>
        <v>0</v>
      </c>
    </row>
    <row r="487" spans="1:28" ht="30" hidden="1" x14ac:dyDescent="0.25">
      <c r="A487" s="168"/>
      <c r="B487" s="133" t="str">
        <f>'Công trình'!B139</f>
        <v>AI.63311</v>
      </c>
      <c r="C487" s="34"/>
      <c r="D487" s="133" t="str">
        <f>'Công trình'!C139</f>
        <v>Lắp dựng kết cấu thép hệ khung dàn, sàn đạo trên cạn</v>
      </c>
      <c r="E487" s="168"/>
      <c r="F487" s="20">
        <v>1</v>
      </c>
      <c r="G487" s="169"/>
      <c r="H487" s="45">
        <f>'Hao phí vật tư'!J1060</f>
        <v>989.11680000000001</v>
      </c>
      <c r="I487" s="166"/>
      <c r="J487" s="156">
        <f>ROUND(H487*I450,2)</f>
        <v>18883228.829999998</v>
      </c>
      <c r="K487" s="166"/>
      <c r="L487" s="156">
        <f>ROUND(H487*K450,2)</f>
        <v>18883228.829999998</v>
      </c>
      <c r="M487" s="34"/>
      <c r="N487" s="166"/>
      <c r="O487" s="156">
        <f>ROUND(H487*N450,2)</f>
        <v>0</v>
      </c>
      <c r="P487" s="166"/>
      <c r="Q487" s="156">
        <f>ROUND(H487*P450,2)</f>
        <v>0</v>
      </c>
      <c r="R487" s="166"/>
      <c r="S487" s="156">
        <f>ROUND(H487*R450,2)</f>
        <v>0</v>
      </c>
      <c r="T487" s="34"/>
      <c r="U487" s="34"/>
      <c r="V487" s="166"/>
      <c r="W487" s="166"/>
      <c r="X487" s="166"/>
      <c r="Y487" s="156">
        <f>ROUND(H487*X450,2)</f>
        <v>0</v>
      </c>
      <c r="Z487" s="166"/>
      <c r="AA487" s="156">
        <f>ROUND(H487*Z450,2)</f>
        <v>0</v>
      </c>
      <c r="AB487" s="156">
        <f>ROUND(H487*W450,2)</f>
        <v>18883228.829999998</v>
      </c>
    </row>
    <row r="488" spans="1:28" ht="30" hidden="1" x14ac:dyDescent="0.25">
      <c r="A488" s="168"/>
      <c r="B488" s="133" t="str">
        <f>'Công trình'!B140</f>
        <v>AI.63311</v>
      </c>
      <c r="C488" s="34"/>
      <c r="D488" s="133" t="str">
        <f>'Công trình'!C140</f>
        <v>Tháo dỡ kết cấu thép hệ khung dàn, sàn đạo trên cạn (60% Đg)</v>
      </c>
      <c r="E488" s="168"/>
      <c r="F488" s="20">
        <v>1</v>
      </c>
      <c r="G488" s="169"/>
      <c r="H488" s="45">
        <f>'Hao phí vật tư'!J1071</f>
        <v>593.4701</v>
      </c>
      <c r="I488" s="166"/>
      <c r="J488" s="156">
        <f>ROUND(H488*I450,2)</f>
        <v>11329937.68</v>
      </c>
      <c r="K488" s="166"/>
      <c r="L488" s="156">
        <f>ROUND(H488*K450,2)</f>
        <v>11329937.68</v>
      </c>
      <c r="M488" s="34"/>
      <c r="N488" s="166"/>
      <c r="O488" s="156">
        <f>ROUND(H488*N450,2)</f>
        <v>0</v>
      </c>
      <c r="P488" s="166"/>
      <c r="Q488" s="156">
        <f>ROUND(H488*P450,2)</f>
        <v>0</v>
      </c>
      <c r="R488" s="166"/>
      <c r="S488" s="156">
        <f>ROUND(H488*R450,2)</f>
        <v>0</v>
      </c>
      <c r="T488" s="34"/>
      <c r="U488" s="34"/>
      <c r="V488" s="166"/>
      <c r="W488" s="166"/>
      <c r="X488" s="166"/>
      <c r="Y488" s="156">
        <f>ROUND(H488*X450,2)</f>
        <v>0</v>
      </c>
      <c r="Z488" s="166"/>
      <c r="AA488" s="156">
        <f>ROUND(H488*Z450,2)</f>
        <v>0</v>
      </c>
      <c r="AB488" s="156">
        <f>ROUND(H488*W450,2)</f>
        <v>11329937.68</v>
      </c>
    </row>
    <row r="489" spans="1:28" hidden="1" x14ac:dyDescent="0.25">
      <c r="A489" s="168"/>
      <c r="B489" s="133" t="str">
        <f>'Công trình'!B147</f>
        <v>AI.11411</v>
      </c>
      <c r="C489" s="34"/>
      <c r="D489" s="133" t="str">
        <f>'Công trình'!C147</f>
        <v>Sản xuất thang sắt</v>
      </c>
      <c r="E489" s="168"/>
      <c r="F489" s="20">
        <v>1</v>
      </c>
      <c r="G489" s="169"/>
      <c r="H489" s="45">
        <f>'Hao phí vật tư'!J1115</f>
        <v>1.8154999999999999</v>
      </c>
      <c r="I489" s="166"/>
      <c r="J489" s="156">
        <f>ROUND(H489*I450,2)</f>
        <v>34659.71</v>
      </c>
      <c r="K489" s="166"/>
      <c r="L489" s="156">
        <f>ROUND(H489*K450,2)</f>
        <v>34659.71</v>
      </c>
      <c r="M489" s="34"/>
      <c r="N489" s="166"/>
      <c r="O489" s="156">
        <f>ROUND(H489*N450,2)</f>
        <v>0</v>
      </c>
      <c r="P489" s="166"/>
      <c r="Q489" s="156">
        <f>ROUND(H489*P450,2)</f>
        <v>0</v>
      </c>
      <c r="R489" s="166"/>
      <c r="S489" s="156">
        <f>ROUND(H489*R450,2)</f>
        <v>0</v>
      </c>
      <c r="T489" s="34"/>
      <c r="U489" s="34"/>
      <c r="V489" s="166"/>
      <c r="W489" s="166"/>
      <c r="X489" s="166"/>
      <c r="Y489" s="156">
        <f>ROUND(H489*X450,2)</f>
        <v>0</v>
      </c>
      <c r="Z489" s="166"/>
      <c r="AA489" s="156">
        <f>ROUND(H489*Z450,2)</f>
        <v>0</v>
      </c>
      <c r="AB489" s="156">
        <f>ROUND(H489*W450,2)</f>
        <v>34659.71</v>
      </c>
    </row>
    <row r="490" spans="1:28" hidden="1" x14ac:dyDescent="0.25">
      <c r="A490" s="168"/>
      <c r="B490" s="133" t="str">
        <f>'Công trình'!B148</f>
        <v>AI.61171</v>
      </c>
      <c r="C490" s="34"/>
      <c r="D490" s="133" t="str">
        <f>'Công trình'!C148</f>
        <v>Lắp sàn thang sắt</v>
      </c>
      <c r="E490" s="168"/>
      <c r="F490" s="20">
        <v>1</v>
      </c>
      <c r="G490" s="169"/>
      <c r="H490" s="45">
        <f>'Hao phí vật tư'!J1125</f>
        <v>0.88919999999999999</v>
      </c>
      <c r="I490" s="166"/>
      <c r="J490" s="156">
        <f>ROUND(H490*I450,2)</f>
        <v>16975.72</v>
      </c>
      <c r="K490" s="166"/>
      <c r="L490" s="156">
        <f>ROUND(H490*K450,2)</f>
        <v>16975.72</v>
      </c>
      <c r="M490" s="34"/>
      <c r="N490" s="166"/>
      <c r="O490" s="156">
        <f>ROUND(H490*N450,2)</f>
        <v>0</v>
      </c>
      <c r="P490" s="166"/>
      <c r="Q490" s="156">
        <f>ROUND(H490*P450,2)</f>
        <v>0</v>
      </c>
      <c r="R490" s="166"/>
      <c r="S490" s="156">
        <f>ROUND(H490*R450,2)</f>
        <v>0</v>
      </c>
      <c r="T490" s="34"/>
      <c r="U490" s="34"/>
      <c r="V490" s="166"/>
      <c r="W490" s="166"/>
      <c r="X490" s="166"/>
      <c r="Y490" s="156">
        <f>ROUND(H490*X450,2)</f>
        <v>0</v>
      </c>
      <c r="Z490" s="166"/>
      <c r="AA490" s="156">
        <f>ROUND(H490*Z450,2)</f>
        <v>0</v>
      </c>
      <c r="AB490" s="156">
        <f>ROUND(H490*W450,2)</f>
        <v>16975.72</v>
      </c>
    </row>
    <row r="491" spans="1:28" ht="30" hidden="1" x14ac:dyDescent="0.25">
      <c r="A491" s="168"/>
      <c r="B491" s="133" t="str">
        <f>'Công trình'!B160</f>
        <v>AI.63311</v>
      </c>
      <c r="C491" s="34"/>
      <c r="D491" s="133" t="str">
        <f>'Công trình'!C160</f>
        <v>Lắp dựng kết cấu thép hệ khung dàn, sàn đạo trên cạn</v>
      </c>
      <c r="E491" s="168"/>
      <c r="F491" s="20">
        <v>1</v>
      </c>
      <c r="G491" s="169"/>
      <c r="H491" s="45">
        <f>'Hao phí vật tư'!J1209</f>
        <v>482.21879999999999</v>
      </c>
      <c r="I491" s="166"/>
      <c r="J491" s="156">
        <f>ROUND(H491*I450,2)</f>
        <v>9206039.1099999994</v>
      </c>
      <c r="K491" s="166"/>
      <c r="L491" s="156">
        <f>ROUND(H491*K450,2)</f>
        <v>9206039.1099999994</v>
      </c>
      <c r="M491" s="34"/>
      <c r="N491" s="166"/>
      <c r="O491" s="156">
        <f>ROUND(H491*N450,2)</f>
        <v>0</v>
      </c>
      <c r="P491" s="166"/>
      <c r="Q491" s="156">
        <f>ROUND(H491*P450,2)</f>
        <v>0</v>
      </c>
      <c r="R491" s="166"/>
      <c r="S491" s="156">
        <f>ROUND(H491*R450,2)</f>
        <v>0</v>
      </c>
      <c r="T491" s="34"/>
      <c r="U491" s="34"/>
      <c r="V491" s="166"/>
      <c r="W491" s="166"/>
      <c r="X491" s="166"/>
      <c r="Y491" s="156">
        <f>ROUND(H491*X450,2)</f>
        <v>0</v>
      </c>
      <c r="Z491" s="166"/>
      <c r="AA491" s="156">
        <f>ROUND(H491*Z450,2)</f>
        <v>0</v>
      </c>
      <c r="AB491" s="156">
        <f>ROUND(H491*W450,2)</f>
        <v>9206039.1099999994</v>
      </c>
    </row>
    <row r="492" spans="1:28" ht="30" hidden="1" x14ac:dyDescent="0.25">
      <c r="A492" s="168"/>
      <c r="B492" s="133" t="str">
        <f>'Công trình'!B161</f>
        <v>AI.63311</v>
      </c>
      <c r="C492" s="34"/>
      <c r="D492" s="133" t="str">
        <f>'Công trình'!C161</f>
        <v>Tháo dỡ kết cấu thép hệ khung dàn, sàn đạo trên cạn (60% Đg)</v>
      </c>
      <c r="E492" s="168"/>
      <c r="F492" s="20">
        <v>1</v>
      </c>
      <c r="G492" s="169"/>
      <c r="H492" s="45">
        <f>'Hao phí vật tư'!J1220</f>
        <v>289.3313</v>
      </c>
      <c r="I492" s="166"/>
      <c r="J492" s="156">
        <f>ROUND(H492*I450,2)</f>
        <v>5523623.8499999996</v>
      </c>
      <c r="K492" s="166"/>
      <c r="L492" s="156">
        <f>ROUND(H492*K450,2)</f>
        <v>5523623.8499999996</v>
      </c>
      <c r="M492" s="34"/>
      <c r="N492" s="166"/>
      <c r="O492" s="156">
        <f>ROUND(H492*N450,2)</f>
        <v>0</v>
      </c>
      <c r="P492" s="166"/>
      <c r="Q492" s="156">
        <f>ROUND(H492*P450,2)</f>
        <v>0</v>
      </c>
      <c r="R492" s="166"/>
      <c r="S492" s="156">
        <f>ROUND(H492*R450,2)</f>
        <v>0</v>
      </c>
      <c r="T492" s="34"/>
      <c r="U492" s="34"/>
      <c r="V492" s="166"/>
      <c r="W492" s="166"/>
      <c r="X492" s="166"/>
      <c r="Y492" s="156">
        <f>ROUND(H492*X450,2)</f>
        <v>0</v>
      </c>
      <c r="Z492" s="166"/>
      <c r="AA492" s="156">
        <f>ROUND(H492*Z450,2)</f>
        <v>0</v>
      </c>
      <c r="AB492" s="156">
        <f>ROUND(H492*W450,2)</f>
        <v>5523623.8499999996</v>
      </c>
    </row>
    <row r="493" spans="1:28" ht="30" hidden="1" x14ac:dyDescent="0.25">
      <c r="A493" s="168"/>
      <c r="B493" s="133" t="str">
        <f>'Công trình'!B158</f>
        <v>TT</v>
      </c>
      <c r="C493" s="34"/>
      <c r="D493" s="133" t="str">
        <f>'Công trình'!C158</f>
        <v>Khấu hao hệ sàn đạo, sàn thao tác (Thi công trong vòng 3 tháng và 1 lần đóng nhổ)</v>
      </c>
      <c r="E493" s="168"/>
      <c r="F493" s="20">
        <v>1</v>
      </c>
      <c r="G493" s="169"/>
      <c r="H493" s="45">
        <f>'Hao phí vật tư'!J1205</f>
        <v>0</v>
      </c>
      <c r="I493" s="166"/>
      <c r="J493" s="156">
        <f>ROUND(H493*I450,2)</f>
        <v>0</v>
      </c>
      <c r="K493" s="166"/>
      <c r="L493" s="156">
        <f>ROUND(H493*K450,2)</f>
        <v>0</v>
      </c>
      <c r="M493" s="34"/>
      <c r="N493" s="166"/>
      <c r="O493" s="156">
        <f>ROUND(H493*N450,2)</f>
        <v>0</v>
      </c>
      <c r="P493" s="166"/>
      <c r="Q493" s="156">
        <f>ROUND(H493*P450,2)</f>
        <v>0</v>
      </c>
      <c r="R493" s="166"/>
      <c r="S493" s="156">
        <f>ROUND(H493*R450,2)</f>
        <v>0</v>
      </c>
      <c r="T493" s="34"/>
      <c r="U493" s="34"/>
      <c r="V493" s="166"/>
      <c r="W493" s="166"/>
      <c r="X493" s="166"/>
      <c r="Y493" s="156">
        <f>ROUND(H493*X450,2)</f>
        <v>0</v>
      </c>
      <c r="Z493" s="166"/>
      <c r="AA493" s="156">
        <f>ROUND(H493*Z450,2)</f>
        <v>0</v>
      </c>
      <c r="AB493" s="156">
        <f>ROUND(H493*W450,2)</f>
        <v>0</v>
      </c>
    </row>
    <row r="494" spans="1:28" hidden="1" x14ac:dyDescent="0.25">
      <c r="A494" s="168"/>
      <c r="B494" s="133" t="str">
        <f>'Công trình'!B157</f>
        <v>AI.11912</v>
      </c>
      <c r="C494" s="34"/>
      <c r="D494" s="133" t="str">
        <f>'Công trình'!C157</f>
        <v>Sản xuất cầu công tác</v>
      </c>
      <c r="E494" s="168"/>
      <c r="F494" s="20">
        <v>1</v>
      </c>
      <c r="G494" s="169"/>
      <c r="H494" s="45">
        <f>'Hao phí vật tư'!J1191</f>
        <v>970.46529999999996</v>
      </c>
      <c r="I494" s="166"/>
      <c r="J494" s="156">
        <f>ROUND(H494*I450,2)</f>
        <v>18527153.039999999</v>
      </c>
      <c r="K494" s="166"/>
      <c r="L494" s="156">
        <f>ROUND(H494*K450,2)</f>
        <v>18527153.039999999</v>
      </c>
      <c r="M494" s="34"/>
      <c r="N494" s="166"/>
      <c r="O494" s="156">
        <f>ROUND(H494*N450,2)</f>
        <v>0</v>
      </c>
      <c r="P494" s="166"/>
      <c r="Q494" s="156">
        <f>ROUND(H494*P450,2)</f>
        <v>0</v>
      </c>
      <c r="R494" s="166"/>
      <c r="S494" s="156">
        <f>ROUND(H494*R450,2)</f>
        <v>0</v>
      </c>
      <c r="T494" s="34"/>
      <c r="U494" s="34"/>
      <c r="V494" s="166"/>
      <c r="W494" s="166"/>
      <c r="X494" s="166"/>
      <c r="Y494" s="156">
        <f>ROUND(H494*X450,2)</f>
        <v>0</v>
      </c>
      <c r="Z494" s="166"/>
      <c r="AA494" s="156">
        <f>ROUND(H494*Z450,2)</f>
        <v>0</v>
      </c>
      <c r="AB494" s="156">
        <f>ROUND(H494*W450,2)</f>
        <v>18527153.039999999</v>
      </c>
    </row>
    <row r="495" spans="1:28" ht="30" hidden="1" x14ac:dyDescent="0.25">
      <c r="A495" s="168"/>
      <c r="B495" s="133" t="str">
        <f>'Công trình'!B168</f>
        <v>AG.32211</v>
      </c>
      <c r="C495" s="34"/>
      <c r="D495" s="133" t="str">
        <f>'Công trình'!C168</f>
        <v>Sản xuất, lắp dựng tháo dỡ ván khuôn kim loại các loại cấu kiện khác</v>
      </c>
      <c r="E495" s="168"/>
      <c r="F495" s="20">
        <v>1</v>
      </c>
      <c r="G495" s="169"/>
      <c r="H495" s="45">
        <f>'Hao phí vật tư'!J1270</f>
        <v>0.60270000000000001</v>
      </c>
      <c r="I495" s="166"/>
      <c r="J495" s="156">
        <f>ROUND(H495*I450,2)</f>
        <v>11506.15</v>
      </c>
      <c r="K495" s="166"/>
      <c r="L495" s="156">
        <f>ROUND(H495*K450,2)</f>
        <v>11506.15</v>
      </c>
      <c r="M495" s="34"/>
      <c r="N495" s="166"/>
      <c r="O495" s="156">
        <f>ROUND(H495*N450,2)</f>
        <v>0</v>
      </c>
      <c r="P495" s="166"/>
      <c r="Q495" s="156">
        <f>ROUND(H495*P450,2)</f>
        <v>0</v>
      </c>
      <c r="R495" s="166"/>
      <c r="S495" s="156">
        <f>ROUND(H495*R450,2)</f>
        <v>0</v>
      </c>
      <c r="T495" s="34"/>
      <c r="U495" s="34"/>
      <c r="V495" s="166"/>
      <c r="W495" s="166"/>
      <c r="X495" s="166"/>
      <c r="Y495" s="156">
        <f>ROUND(H495*X450,2)</f>
        <v>0</v>
      </c>
      <c r="Z495" s="166"/>
      <c r="AA495" s="156">
        <f>ROUND(H495*Z450,2)</f>
        <v>0</v>
      </c>
      <c r="AB495" s="156">
        <f>ROUND(H495*W450,2)</f>
        <v>11506.15</v>
      </c>
    </row>
    <row r="496" spans="1:28" ht="30" hidden="1" x14ac:dyDescent="0.25">
      <c r="A496" s="168"/>
      <c r="B496" s="133" t="str">
        <f>'Công trình'!B181</f>
        <v>AF.65120</v>
      </c>
      <c r="C496" s="34"/>
      <c r="D496" s="133" t="str">
        <f>'Công trình'!C181</f>
        <v>Sản xuất, lắp dựng cốt thép móng, mố, trụ, mũ mố, mũ trụ cầu trên cạn đường kính &lt;=18mm</v>
      </c>
      <c r="E496" s="168"/>
      <c r="F496" s="20">
        <v>1</v>
      </c>
      <c r="G496" s="169"/>
      <c r="H496" s="45">
        <f>'Hao phí vật tư'!J1375</f>
        <v>27.826499999999999</v>
      </c>
      <c r="I496" s="166"/>
      <c r="J496" s="156">
        <f>ROUND(H496*I450,2)</f>
        <v>531235.71</v>
      </c>
      <c r="K496" s="166"/>
      <c r="L496" s="156">
        <f>ROUND(H496*K450,2)</f>
        <v>531235.71</v>
      </c>
      <c r="M496" s="34"/>
      <c r="N496" s="166"/>
      <c r="O496" s="156">
        <f>ROUND(H496*N450,2)</f>
        <v>0</v>
      </c>
      <c r="P496" s="166"/>
      <c r="Q496" s="156">
        <f>ROUND(H496*P450,2)</f>
        <v>0</v>
      </c>
      <c r="R496" s="166"/>
      <c r="S496" s="156">
        <f>ROUND(H496*R450,2)</f>
        <v>0</v>
      </c>
      <c r="T496" s="34"/>
      <c r="U496" s="34"/>
      <c r="V496" s="166"/>
      <c r="W496" s="166"/>
      <c r="X496" s="166"/>
      <c r="Y496" s="156">
        <f>ROUND(H496*X450,2)</f>
        <v>0</v>
      </c>
      <c r="Z496" s="166"/>
      <c r="AA496" s="156">
        <f>ROUND(H496*Z450,2)</f>
        <v>0</v>
      </c>
      <c r="AB496" s="156">
        <f>ROUND(H496*W450,2)</f>
        <v>531235.71</v>
      </c>
    </row>
    <row r="497" spans="1:28" ht="30" hidden="1" x14ac:dyDescent="0.25">
      <c r="A497" s="168"/>
      <c r="B497" s="133" t="str">
        <f>'Công trình'!B182</f>
        <v>AF.65130</v>
      </c>
      <c r="C497" s="34"/>
      <c r="D497" s="133" t="str">
        <f>'Công trình'!C182</f>
        <v>Sản xuất, lắp dựng cốt thép móng, mố, trụ, mũ mố, mũ trụ cầu trên cạn đường kính &gt;18mm</v>
      </c>
      <c r="E497" s="168"/>
      <c r="F497" s="20">
        <v>1</v>
      </c>
      <c r="G497" s="169"/>
      <c r="H497" s="45">
        <f>'Hao phí vật tư'!J1386</f>
        <v>32.886299999999999</v>
      </c>
      <c r="I497" s="166"/>
      <c r="J497" s="156">
        <f>ROUND(H497*I450,2)</f>
        <v>627832.35</v>
      </c>
      <c r="K497" s="166"/>
      <c r="L497" s="156">
        <f>ROUND(H497*K450,2)</f>
        <v>627832.35</v>
      </c>
      <c r="M497" s="34"/>
      <c r="N497" s="166"/>
      <c r="O497" s="156">
        <f>ROUND(H497*N450,2)</f>
        <v>0</v>
      </c>
      <c r="P497" s="166"/>
      <c r="Q497" s="156">
        <f>ROUND(H497*P450,2)</f>
        <v>0</v>
      </c>
      <c r="R497" s="166"/>
      <c r="S497" s="156">
        <f>ROUND(H497*R450,2)</f>
        <v>0</v>
      </c>
      <c r="T497" s="34"/>
      <c r="U497" s="34"/>
      <c r="V497" s="166"/>
      <c r="W497" s="166"/>
      <c r="X497" s="166"/>
      <c r="Y497" s="156">
        <f>ROUND(H497*X450,2)</f>
        <v>0</v>
      </c>
      <c r="Z497" s="166"/>
      <c r="AA497" s="156">
        <f>ROUND(H497*Z450,2)</f>
        <v>0</v>
      </c>
      <c r="AB497" s="156">
        <f>ROUND(H497*W450,2)</f>
        <v>627832.35</v>
      </c>
    </row>
    <row r="498" spans="1:28" ht="30" hidden="1" x14ac:dyDescent="0.25">
      <c r="A498" s="168"/>
      <c r="B498" s="133" t="str">
        <f>'Công trình'!B184</f>
        <v>AF.61120</v>
      </c>
      <c r="C498" s="34"/>
      <c r="D498" s="133" t="str">
        <f>'Công trình'!C184</f>
        <v>Sản xuất, lắp dựng cốt thép bản dẫn đường kính &lt;=18mm</v>
      </c>
      <c r="E498" s="168"/>
      <c r="F498" s="20">
        <v>1</v>
      </c>
      <c r="G498" s="169"/>
      <c r="H498" s="45">
        <f>'Hao phí vật tư'!J1405</f>
        <v>4.6154000000000002</v>
      </c>
      <c r="I498" s="166"/>
      <c r="J498" s="156">
        <f>ROUND(H498*I450,2)</f>
        <v>88112.6</v>
      </c>
      <c r="K498" s="166"/>
      <c r="L498" s="156">
        <f>ROUND(H498*K450,2)</f>
        <v>88112.6</v>
      </c>
      <c r="M498" s="34"/>
      <c r="N498" s="166"/>
      <c r="O498" s="156">
        <f>ROUND(H498*N450,2)</f>
        <v>0</v>
      </c>
      <c r="P498" s="166"/>
      <c r="Q498" s="156">
        <f>ROUND(H498*P450,2)</f>
        <v>0</v>
      </c>
      <c r="R498" s="166"/>
      <c r="S498" s="156">
        <f>ROUND(H498*R450,2)</f>
        <v>0</v>
      </c>
      <c r="T498" s="34"/>
      <c r="U498" s="34"/>
      <c r="V498" s="166"/>
      <c r="W498" s="166"/>
      <c r="X498" s="166"/>
      <c r="Y498" s="156">
        <f>ROUND(H498*X450,2)</f>
        <v>0</v>
      </c>
      <c r="Z498" s="166"/>
      <c r="AA498" s="156">
        <f>ROUND(H498*Z450,2)</f>
        <v>0</v>
      </c>
      <c r="AB498" s="156">
        <f>ROUND(H498*W450,2)</f>
        <v>88112.6</v>
      </c>
    </row>
    <row r="499" spans="1:28" ht="30" hidden="1" x14ac:dyDescent="0.25">
      <c r="A499" s="168"/>
      <c r="B499" s="133" t="str">
        <f>'Công trình'!B190</f>
        <v>AF.65120</v>
      </c>
      <c r="C499" s="34"/>
      <c r="D499" s="133" t="str">
        <f>'Công trình'!C190</f>
        <v>Sản xuất, lắp dựng cốt thép móng, mố, trụ, mũ mố, mũ trụ cầu trên cạn đường kính &lt;=18mm</v>
      </c>
      <c r="E499" s="168"/>
      <c r="F499" s="20">
        <v>1</v>
      </c>
      <c r="G499" s="169"/>
      <c r="H499" s="45">
        <f>'Hao phí vật tư'!J1459</f>
        <v>3.2162000000000002</v>
      </c>
      <c r="I499" s="166"/>
      <c r="J499" s="156">
        <f>ROUND(H499*I450,2)</f>
        <v>61400.47</v>
      </c>
      <c r="K499" s="166"/>
      <c r="L499" s="156">
        <f>ROUND(H499*K450,2)</f>
        <v>61400.47</v>
      </c>
      <c r="M499" s="34"/>
      <c r="N499" s="166"/>
      <c r="O499" s="156">
        <f>ROUND(H499*N450,2)</f>
        <v>0</v>
      </c>
      <c r="P499" s="166"/>
      <c r="Q499" s="156">
        <f>ROUND(H499*P450,2)</f>
        <v>0</v>
      </c>
      <c r="R499" s="166"/>
      <c r="S499" s="156">
        <f>ROUND(H499*R450,2)</f>
        <v>0</v>
      </c>
      <c r="T499" s="34"/>
      <c r="U499" s="34"/>
      <c r="V499" s="166"/>
      <c r="W499" s="166"/>
      <c r="X499" s="166"/>
      <c r="Y499" s="156">
        <f>ROUND(H499*X450,2)</f>
        <v>0</v>
      </c>
      <c r="Z499" s="166"/>
      <c r="AA499" s="156">
        <f>ROUND(H499*Z450,2)</f>
        <v>0</v>
      </c>
      <c r="AB499" s="156">
        <f>ROUND(H499*W450,2)</f>
        <v>61400.47</v>
      </c>
    </row>
    <row r="500" spans="1:28" ht="30" hidden="1" x14ac:dyDescent="0.25">
      <c r="A500" s="168"/>
      <c r="B500" s="133" t="str">
        <f>'Công trình'!B191</f>
        <v>AF.65130</v>
      </c>
      <c r="C500" s="34"/>
      <c r="D500" s="133" t="str">
        <f>'Công trình'!C191</f>
        <v>Sản xuất, lắp dựng cốt thép móng, mố, trụ, mũ mố, mũ trụ cầu trên cạn đường kính &gt;18mm</v>
      </c>
      <c r="E500" s="168"/>
      <c r="F500" s="20">
        <v>1</v>
      </c>
      <c r="G500" s="169"/>
      <c r="H500" s="45">
        <f>'Hao phí vật tư'!J1470</f>
        <v>13.1046</v>
      </c>
      <c r="I500" s="166"/>
      <c r="J500" s="156">
        <f>ROUND(H500*I450,2)</f>
        <v>250179.92</v>
      </c>
      <c r="K500" s="166"/>
      <c r="L500" s="156">
        <f>ROUND(H500*K450,2)</f>
        <v>250179.92</v>
      </c>
      <c r="M500" s="34"/>
      <c r="N500" s="166"/>
      <c r="O500" s="156">
        <f>ROUND(H500*N450,2)</f>
        <v>0</v>
      </c>
      <c r="P500" s="166"/>
      <c r="Q500" s="156">
        <f>ROUND(H500*P450,2)</f>
        <v>0</v>
      </c>
      <c r="R500" s="166"/>
      <c r="S500" s="156">
        <f>ROUND(H500*R450,2)</f>
        <v>0</v>
      </c>
      <c r="T500" s="34"/>
      <c r="U500" s="34"/>
      <c r="V500" s="166"/>
      <c r="W500" s="166"/>
      <c r="X500" s="166"/>
      <c r="Y500" s="156">
        <f>ROUND(H500*X450,2)</f>
        <v>0</v>
      </c>
      <c r="Z500" s="166"/>
      <c r="AA500" s="156">
        <f>ROUND(H500*Z450,2)</f>
        <v>0</v>
      </c>
      <c r="AB500" s="156">
        <f>ROUND(H500*W450,2)</f>
        <v>250179.92</v>
      </c>
    </row>
    <row r="501" spans="1:28" ht="30" hidden="1" x14ac:dyDescent="0.25">
      <c r="A501" s="168"/>
      <c r="B501" s="133" t="str">
        <f>'Công trình'!B200</f>
        <v>AF.82111</v>
      </c>
      <c r="C501" s="34"/>
      <c r="D501" s="133" t="str">
        <f>'Công trình'!C200</f>
        <v>Sản xuất, lắp dựng tháo dỡ ván khuôn thép, cây chống gỗ dầm ngang, chiều cao &lt;=16m</v>
      </c>
      <c r="E501" s="168"/>
      <c r="F501" s="20">
        <v>1</v>
      </c>
      <c r="G501" s="169"/>
      <c r="H501" s="45">
        <f>'Hao phí vật tư'!J1539</f>
        <v>2.1671999999999998</v>
      </c>
      <c r="I501" s="166"/>
      <c r="J501" s="156">
        <f>ROUND(H501*I450,2)</f>
        <v>41374.019999999997</v>
      </c>
      <c r="K501" s="166"/>
      <c r="L501" s="156">
        <f>ROUND(H501*K450,2)</f>
        <v>41374.019999999997</v>
      </c>
      <c r="M501" s="34"/>
      <c r="N501" s="166"/>
      <c r="O501" s="156">
        <f>ROUND(H501*N450,2)</f>
        <v>0</v>
      </c>
      <c r="P501" s="166"/>
      <c r="Q501" s="156">
        <f>ROUND(H501*P450,2)</f>
        <v>0</v>
      </c>
      <c r="R501" s="166"/>
      <c r="S501" s="156">
        <f>ROUND(H501*R450,2)</f>
        <v>0</v>
      </c>
      <c r="T501" s="34"/>
      <c r="U501" s="34"/>
      <c r="V501" s="166"/>
      <c r="W501" s="166"/>
      <c r="X501" s="166"/>
      <c r="Y501" s="156">
        <f>ROUND(H501*X450,2)</f>
        <v>0</v>
      </c>
      <c r="Z501" s="166"/>
      <c r="AA501" s="156">
        <f>ROUND(H501*Z450,2)</f>
        <v>0</v>
      </c>
      <c r="AB501" s="156">
        <f>ROUND(H501*W450,2)</f>
        <v>41374.019999999997</v>
      </c>
    </row>
    <row r="502" spans="1:28" ht="30" hidden="1" x14ac:dyDescent="0.25">
      <c r="A502" s="168"/>
      <c r="B502" s="133" t="str">
        <f>'Công trình'!B204</f>
        <v>AF.61721</v>
      </c>
      <c r="C502" s="34"/>
      <c r="D502" s="133" t="str">
        <f>'Công trình'!C204</f>
        <v>Sản xuất, lắp dựng cốt thép mặt cầu đường kính &gt;10mm, chiều cao &lt;=16m</v>
      </c>
      <c r="E502" s="168"/>
      <c r="F502" s="20">
        <v>1</v>
      </c>
      <c r="G502" s="169"/>
      <c r="H502" s="45">
        <f>'Hao phí vật tư'!J1574</f>
        <v>47.700099999999999</v>
      </c>
      <c r="I502" s="166"/>
      <c r="J502" s="156">
        <f>ROUND(H502*I450,2)</f>
        <v>910642.61</v>
      </c>
      <c r="K502" s="166"/>
      <c r="L502" s="156">
        <f>ROUND(H502*K450,2)</f>
        <v>910642.61</v>
      </c>
      <c r="M502" s="34"/>
      <c r="N502" s="166"/>
      <c r="O502" s="156">
        <f>ROUND(H502*N450,2)</f>
        <v>0</v>
      </c>
      <c r="P502" s="166"/>
      <c r="Q502" s="156">
        <f>ROUND(H502*P450,2)</f>
        <v>0</v>
      </c>
      <c r="R502" s="166"/>
      <c r="S502" s="156">
        <f>ROUND(H502*R450,2)</f>
        <v>0</v>
      </c>
      <c r="T502" s="34"/>
      <c r="U502" s="34"/>
      <c r="V502" s="166"/>
      <c r="W502" s="166"/>
      <c r="X502" s="166"/>
      <c r="Y502" s="156">
        <f>ROUND(H502*X450,2)</f>
        <v>0</v>
      </c>
      <c r="Z502" s="166"/>
      <c r="AA502" s="156">
        <f>ROUND(H502*Z450,2)</f>
        <v>0</v>
      </c>
      <c r="AB502" s="156">
        <f>ROUND(H502*W450,2)</f>
        <v>910642.61</v>
      </c>
    </row>
    <row r="503" spans="1:28" ht="30" hidden="1" x14ac:dyDescent="0.25">
      <c r="A503" s="168"/>
      <c r="B503" s="133" t="str">
        <f>'Công trình'!B208</f>
        <v>AF.65420</v>
      </c>
      <c r="C503" s="34"/>
      <c r="D503" s="133" t="str">
        <f>'Công trình'!C208</f>
        <v>Công tác sản xuất lắp dựng cốt thép bê tông tại chỗ, cốt thép dầm cầu trên cạn, D ≤18mm</v>
      </c>
      <c r="E503" s="168"/>
      <c r="F503" s="20">
        <v>1</v>
      </c>
      <c r="G503" s="169"/>
      <c r="H503" s="45">
        <f>'Hao phí vật tư'!J1595</f>
        <v>0.79300000000000004</v>
      </c>
      <c r="I503" s="166"/>
      <c r="J503" s="156">
        <f>ROUND(H503*I450,2)</f>
        <v>15139.16</v>
      </c>
      <c r="K503" s="166"/>
      <c r="L503" s="156">
        <f>ROUND(H503*K450,2)</f>
        <v>15139.16</v>
      </c>
      <c r="M503" s="34"/>
      <c r="N503" s="166"/>
      <c r="O503" s="156">
        <f>ROUND(H503*N450,2)</f>
        <v>0</v>
      </c>
      <c r="P503" s="166"/>
      <c r="Q503" s="156">
        <f>ROUND(H503*P450,2)</f>
        <v>0</v>
      </c>
      <c r="R503" s="166"/>
      <c r="S503" s="156">
        <f>ROUND(H503*R450,2)</f>
        <v>0</v>
      </c>
      <c r="T503" s="34"/>
      <c r="U503" s="34"/>
      <c r="V503" s="166"/>
      <c r="W503" s="166"/>
      <c r="X503" s="166"/>
      <c r="Y503" s="156">
        <f>ROUND(H503*X450,2)</f>
        <v>0</v>
      </c>
      <c r="Z503" s="166"/>
      <c r="AA503" s="156">
        <f>ROUND(H503*Z450,2)</f>
        <v>0</v>
      </c>
      <c r="AB503" s="156">
        <f>ROUND(H503*W450,2)</f>
        <v>15139.16</v>
      </c>
    </row>
    <row r="504" spans="1:28" ht="30" hidden="1" x14ac:dyDescent="0.25">
      <c r="A504" s="168"/>
      <c r="B504" s="133" t="str">
        <f>'Công trình'!B210</f>
        <v>AF.65430</v>
      </c>
      <c r="C504" s="34"/>
      <c r="D504" s="133" t="str">
        <f>'Công trình'!C210</f>
        <v>Công tác sản xuất lắp dựng cốt thép bê tông tại chỗ, cốt thép dầm cầu trên cạn, D &gt;18mm</v>
      </c>
      <c r="E504" s="168"/>
      <c r="F504" s="20">
        <v>1</v>
      </c>
      <c r="G504" s="169"/>
      <c r="H504" s="45">
        <f>'Hao phí vật tư'!J1606</f>
        <v>1.474</v>
      </c>
      <c r="I504" s="166"/>
      <c r="J504" s="156">
        <f>ROUND(H504*I450,2)</f>
        <v>28140.13</v>
      </c>
      <c r="K504" s="166"/>
      <c r="L504" s="156">
        <f>ROUND(H504*K450,2)</f>
        <v>28140.13</v>
      </c>
      <c r="M504" s="34"/>
      <c r="N504" s="166"/>
      <c r="O504" s="156">
        <f>ROUND(H504*N450,2)</f>
        <v>0</v>
      </c>
      <c r="P504" s="166"/>
      <c r="Q504" s="156">
        <f>ROUND(H504*P450,2)</f>
        <v>0</v>
      </c>
      <c r="R504" s="166"/>
      <c r="S504" s="156">
        <f>ROUND(H504*R450,2)</f>
        <v>0</v>
      </c>
      <c r="T504" s="34"/>
      <c r="U504" s="34"/>
      <c r="V504" s="166"/>
      <c r="W504" s="166"/>
      <c r="X504" s="166"/>
      <c r="Y504" s="156">
        <f>ROUND(H504*X450,2)</f>
        <v>0</v>
      </c>
      <c r="Z504" s="166"/>
      <c r="AA504" s="156">
        <f>ROUND(H504*Z450,2)</f>
        <v>0</v>
      </c>
      <c r="AB504" s="156">
        <f>ROUND(H504*W450,2)</f>
        <v>28140.13</v>
      </c>
    </row>
    <row r="505" spans="1:28" ht="30" hidden="1" x14ac:dyDescent="0.25">
      <c r="A505" s="168"/>
      <c r="B505" s="133" t="str">
        <f>'Công trình'!B218</f>
        <v>AF.61120</v>
      </c>
      <c r="C505" s="34"/>
      <c r="D505" s="133" t="str">
        <f>'Công trình'!C218</f>
        <v>Sản xuất, lắp dựng cốt thép móng đường kính &lt;=18mm</v>
      </c>
      <c r="E505" s="168"/>
      <c r="F505" s="20">
        <v>1</v>
      </c>
      <c r="G505" s="169"/>
      <c r="H505" s="45">
        <f>'Hao phí vật tư'!J1645</f>
        <v>1.4426000000000001</v>
      </c>
      <c r="I505" s="166"/>
      <c r="J505" s="156">
        <f>ROUND(H505*I450,2)</f>
        <v>27540.68</v>
      </c>
      <c r="K505" s="166"/>
      <c r="L505" s="156">
        <f>ROUND(H505*K450,2)</f>
        <v>27540.68</v>
      </c>
      <c r="M505" s="34"/>
      <c r="N505" s="166"/>
      <c r="O505" s="156">
        <f>ROUND(H505*N450,2)</f>
        <v>0</v>
      </c>
      <c r="P505" s="166"/>
      <c r="Q505" s="156">
        <f>ROUND(H505*P450,2)</f>
        <v>0</v>
      </c>
      <c r="R505" s="166"/>
      <c r="S505" s="156">
        <f>ROUND(H505*R450,2)</f>
        <v>0</v>
      </c>
      <c r="T505" s="34"/>
      <c r="U505" s="34"/>
      <c r="V505" s="166"/>
      <c r="W505" s="166"/>
      <c r="X505" s="166"/>
      <c r="Y505" s="156">
        <f>ROUND(H505*X450,2)</f>
        <v>0</v>
      </c>
      <c r="Z505" s="166"/>
      <c r="AA505" s="156">
        <f>ROUND(H505*Z450,2)</f>
        <v>0</v>
      </c>
      <c r="AB505" s="156">
        <f>ROUND(H505*W450,2)</f>
        <v>27540.68</v>
      </c>
    </row>
    <row r="506" spans="1:28" ht="30" hidden="1" x14ac:dyDescent="0.25">
      <c r="A506" s="168"/>
      <c r="B506" s="133" t="str">
        <f>'Công trình'!B221</f>
        <v>AF.61120</v>
      </c>
      <c r="C506" s="34"/>
      <c r="D506" s="133" t="str">
        <f>'Công trình'!C221</f>
        <v>Sản xuất, lắp dựng cốt thép đường kính &lt;=18mm</v>
      </c>
      <c r="E506" s="168"/>
      <c r="F506" s="20">
        <v>1</v>
      </c>
      <c r="G506" s="169"/>
      <c r="H506" s="45">
        <f>'Hao phí vật tư'!J1663</f>
        <v>8.2248999999999999</v>
      </c>
      <c r="I506" s="166"/>
      <c r="J506" s="156">
        <f>ROUND(H506*I450,2)</f>
        <v>157021.57</v>
      </c>
      <c r="K506" s="166"/>
      <c r="L506" s="156">
        <f>ROUND(H506*K450,2)</f>
        <v>157021.57</v>
      </c>
      <c r="M506" s="34"/>
      <c r="N506" s="166"/>
      <c r="O506" s="156">
        <f>ROUND(H506*N450,2)</f>
        <v>0</v>
      </c>
      <c r="P506" s="166"/>
      <c r="Q506" s="156">
        <f>ROUND(H506*P450,2)</f>
        <v>0</v>
      </c>
      <c r="R506" s="166"/>
      <c r="S506" s="156">
        <f>ROUND(H506*R450,2)</f>
        <v>0</v>
      </c>
      <c r="T506" s="34"/>
      <c r="U506" s="34"/>
      <c r="V506" s="166"/>
      <c r="W506" s="166"/>
      <c r="X506" s="166"/>
      <c r="Y506" s="156">
        <f>ROUND(H506*X450,2)</f>
        <v>0</v>
      </c>
      <c r="Z506" s="166"/>
      <c r="AA506" s="156">
        <f>ROUND(H506*Z450,2)</f>
        <v>0</v>
      </c>
      <c r="AB506" s="156">
        <f>ROUND(H506*W450,2)</f>
        <v>157021.57</v>
      </c>
    </row>
    <row r="507" spans="1:28" ht="30" hidden="1" x14ac:dyDescent="0.25">
      <c r="A507" s="168"/>
      <c r="B507" s="133" t="str">
        <f>'Công trình'!B227</f>
        <v>AG.13121</v>
      </c>
      <c r="C507" s="34"/>
      <c r="D507" s="133" t="str">
        <f>'Công trình'!C227</f>
        <v>Sản xuất, lắp dựng cốt thép BT đúc sẵn cọc, đường kính &lt;=18mm</v>
      </c>
      <c r="E507" s="168"/>
      <c r="F507" s="20">
        <v>1</v>
      </c>
      <c r="G507" s="169"/>
      <c r="H507" s="45">
        <f>'Hao phí vật tư'!J1703</f>
        <v>2.0148999999999999</v>
      </c>
      <c r="I507" s="166"/>
      <c r="J507" s="156">
        <f>ROUND(H507*I450,2)</f>
        <v>38466.46</v>
      </c>
      <c r="K507" s="166"/>
      <c r="L507" s="156">
        <f>ROUND(H507*K450,2)</f>
        <v>38466.46</v>
      </c>
      <c r="M507" s="34"/>
      <c r="N507" s="166"/>
      <c r="O507" s="156">
        <f>ROUND(H507*N450,2)</f>
        <v>0</v>
      </c>
      <c r="P507" s="166"/>
      <c r="Q507" s="156">
        <f>ROUND(H507*P450,2)</f>
        <v>0</v>
      </c>
      <c r="R507" s="166"/>
      <c r="S507" s="156">
        <f>ROUND(H507*R450,2)</f>
        <v>0</v>
      </c>
      <c r="T507" s="34"/>
      <c r="U507" s="34"/>
      <c r="V507" s="166"/>
      <c r="W507" s="166"/>
      <c r="X507" s="166"/>
      <c r="Y507" s="156">
        <f>ROUND(H507*X450,2)</f>
        <v>0</v>
      </c>
      <c r="Z507" s="166"/>
      <c r="AA507" s="156">
        <f>ROUND(H507*Z450,2)</f>
        <v>0</v>
      </c>
      <c r="AB507" s="156">
        <f>ROUND(H507*W450,2)</f>
        <v>38466.46</v>
      </c>
    </row>
    <row r="508" spans="1:28" ht="30" hidden="1" x14ac:dyDescent="0.25">
      <c r="A508" s="168"/>
      <c r="B508" s="133" t="str">
        <f>'Công trình'!B228</f>
        <v>AG.13131</v>
      </c>
      <c r="C508" s="34"/>
      <c r="D508" s="133" t="str">
        <f>'Công trình'!C228</f>
        <v>Sản xuất, lắp dựng cốt thép BT đúc sẵn cọc, đường kính &gt;18mm</v>
      </c>
      <c r="E508" s="168"/>
      <c r="F508" s="20">
        <v>1</v>
      </c>
      <c r="G508" s="169"/>
      <c r="H508" s="45">
        <f>'Hao phí vật tư'!J1713</f>
        <v>62.5655</v>
      </c>
      <c r="I508" s="166"/>
      <c r="J508" s="156">
        <f>ROUND(H508*I450,2)</f>
        <v>1194437.96</v>
      </c>
      <c r="K508" s="166"/>
      <c r="L508" s="156">
        <f>ROUND(H508*K450,2)</f>
        <v>1194437.96</v>
      </c>
      <c r="M508" s="34"/>
      <c r="N508" s="166"/>
      <c r="O508" s="156">
        <f>ROUND(H508*N450,2)</f>
        <v>0</v>
      </c>
      <c r="P508" s="166"/>
      <c r="Q508" s="156">
        <f>ROUND(H508*P450,2)</f>
        <v>0</v>
      </c>
      <c r="R508" s="166"/>
      <c r="S508" s="156">
        <f>ROUND(H508*R450,2)</f>
        <v>0</v>
      </c>
      <c r="T508" s="34"/>
      <c r="U508" s="34"/>
      <c r="V508" s="166"/>
      <c r="W508" s="166"/>
      <c r="X508" s="166"/>
      <c r="Y508" s="156">
        <f>ROUND(H508*X450,2)</f>
        <v>0</v>
      </c>
      <c r="Z508" s="166"/>
      <c r="AA508" s="156">
        <f>ROUND(H508*Z450,2)</f>
        <v>0</v>
      </c>
      <c r="AB508" s="156">
        <f>ROUND(H508*W450,2)</f>
        <v>1194437.96</v>
      </c>
    </row>
    <row r="509" spans="1:28" ht="30" hidden="1" x14ac:dyDescent="0.25">
      <c r="A509" s="168"/>
      <c r="B509" s="133" t="str">
        <f>'Công trình'!B229</f>
        <v>AI.13111</v>
      </c>
      <c r="C509" s="34"/>
      <c r="D509" s="133" t="str">
        <f>'Công trình'!C229</f>
        <v>Sản xuất cấu kiện thép đặt sẵn trong bê tông, khối lượng &lt;=10kg/cấu kiện</v>
      </c>
      <c r="E509" s="168"/>
      <c r="F509" s="20">
        <v>1</v>
      </c>
      <c r="G509" s="169"/>
      <c r="H509" s="45">
        <f>'Hao phí vật tư'!J1724</f>
        <v>19.209499999999998</v>
      </c>
      <c r="I509" s="166"/>
      <c r="J509" s="156">
        <f>ROUND(H509*I450,2)</f>
        <v>366728.56</v>
      </c>
      <c r="K509" s="166"/>
      <c r="L509" s="156">
        <f>ROUND(H509*K450,2)</f>
        <v>366728.56</v>
      </c>
      <c r="M509" s="34"/>
      <c r="N509" s="166"/>
      <c r="O509" s="156">
        <f>ROUND(H509*N450,2)</f>
        <v>0</v>
      </c>
      <c r="P509" s="166"/>
      <c r="Q509" s="156">
        <f>ROUND(H509*P450,2)</f>
        <v>0</v>
      </c>
      <c r="R509" s="166"/>
      <c r="S509" s="156">
        <f>ROUND(H509*R450,2)</f>
        <v>0</v>
      </c>
      <c r="T509" s="34"/>
      <c r="U509" s="34"/>
      <c r="V509" s="166"/>
      <c r="W509" s="166"/>
      <c r="X509" s="166"/>
      <c r="Y509" s="156">
        <f>ROUND(H509*X450,2)</f>
        <v>0</v>
      </c>
      <c r="Z509" s="166"/>
      <c r="AA509" s="156">
        <f>ROUND(H509*Z450,2)</f>
        <v>0</v>
      </c>
      <c r="AB509" s="156">
        <f>ROUND(H509*W450,2)</f>
        <v>366728.56</v>
      </c>
    </row>
    <row r="510" spans="1:28" hidden="1" x14ac:dyDescent="0.25">
      <c r="A510" s="168"/>
      <c r="B510" s="133" t="str">
        <f>'Công trình'!B231</f>
        <v>AI.52211</v>
      </c>
      <c r="C510" s="34"/>
      <c r="D510" s="133" t="str">
        <f>'Công trình'!C231</f>
        <v>Thép hình hộp nối cọc</v>
      </c>
      <c r="E510" s="168"/>
      <c r="F510" s="20">
        <v>1</v>
      </c>
      <c r="G510" s="169"/>
      <c r="H510" s="45">
        <f>'Hao phí vật tư'!J1751</f>
        <v>46.299399999999999</v>
      </c>
      <c r="I510" s="166"/>
      <c r="J510" s="156">
        <f>ROUND(H510*I450,2)</f>
        <v>883901.85</v>
      </c>
      <c r="K510" s="166"/>
      <c r="L510" s="156">
        <f>ROUND(H510*K450,2)</f>
        <v>883901.85</v>
      </c>
      <c r="M510" s="34"/>
      <c r="N510" s="166"/>
      <c r="O510" s="156">
        <f>ROUND(H510*N450,2)</f>
        <v>0</v>
      </c>
      <c r="P510" s="166"/>
      <c r="Q510" s="156">
        <f>ROUND(H510*P450,2)</f>
        <v>0</v>
      </c>
      <c r="R510" s="166"/>
      <c r="S510" s="156">
        <f>ROUND(H510*R450,2)</f>
        <v>0</v>
      </c>
      <c r="T510" s="34"/>
      <c r="U510" s="34"/>
      <c r="V510" s="166"/>
      <c r="W510" s="166"/>
      <c r="X510" s="166"/>
      <c r="Y510" s="156">
        <f>ROUND(H510*X450,2)</f>
        <v>0</v>
      </c>
      <c r="Z510" s="166"/>
      <c r="AA510" s="156">
        <f>ROUND(H510*Z450,2)</f>
        <v>0</v>
      </c>
      <c r="AB510" s="156">
        <f>ROUND(H510*W450,2)</f>
        <v>883901.85</v>
      </c>
    </row>
    <row r="511" spans="1:28" hidden="1" x14ac:dyDescent="0.25">
      <c r="A511" s="168"/>
      <c r="B511" s="133" t="str">
        <f>'Công trình'!B235</f>
        <v>AA.22310</v>
      </c>
      <c r="C511" s="34"/>
      <c r="D511" s="133" t="str">
        <f>'Công trình'!C235</f>
        <v>Đập đầu cọc trên cạn</v>
      </c>
      <c r="E511" s="168"/>
      <c r="F511" s="20">
        <v>1</v>
      </c>
      <c r="G511" s="169"/>
      <c r="H511" s="45">
        <f>'Hao phí vật tư'!J1794</f>
        <v>0</v>
      </c>
      <c r="I511" s="166"/>
      <c r="J511" s="156">
        <f>ROUND(H511*I450,2)</f>
        <v>0</v>
      </c>
      <c r="K511" s="166"/>
      <c r="L511" s="156">
        <f>ROUND(H511*K450,2)</f>
        <v>0</v>
      </c>
      <c r="M511" s="34"/>
      <c r="N511" s="166"/>
      <c r="O511" s="156">
        <f>ROUND(H511*N450,2)</f>
        <v>0</v>
      </c>
      <c r="P511" s="166"/>
      <c r="Q511" s="156">
        <f>ROUND(H511*P450,2)</f>
        <v>0</v>
      </c>
      <c r="R511" s="166"/>
      <c r="S511" s="156">
        <f>ROUND(H511*R450,2)</f>
        <v>0</v>
      </c>
      <c r="T511" s="34"/>
      <c r="U511" s="34"/>
      <c r="V511" s="166"/>
      <c r="W511" s="166"/>
      <c r="X511" s="166"/>
      <c r="Y511" s="156">
        <f>ROUND(H511*X450,2)</f>
        <v>0</v>
      </c>
      <c r="Z511" s="166"/>
      <c r="AA511" s="156">
        <f>ROUND(H511*Z450,2)</f>
        <v>0</v>
      </c>
      <c r="AB511" s="156">
        <f>ROUND(H511*W450,2)</f>
        <v>0</v>
      </c>
    </row>
    <row r="512" spans="1:28" hidden="1" x14ac:dyDescent="0.25">
      <c r="A512" s="168"/>
      <c r="B512" s="133" t="str">
        <f>'Công trình'!B234</f>
        <v>AC.29341</v>
      </c>
      <c r="C512" s="34"/>
      <c r="D512" s="133" t="str">
        <f>'Công trình'!C234</f>
        <v>Nối cọc BTCT 35x35cm</v>
      </c>
      <c r="E512" s="168"/>
      <c r="F512" s="20">
        <v>1</v>
      </c>
      <c r="G512" s="169"/>
      <c r="H512" s="45">
        <f>'Hao phí vật tư'!J1784</f>
        <v>126.3</v>
      </c>
      <c r="I512" s="166"/>
      <c r="J512" s="156">
        <f>ROUND(H512*I450,2)</f>
        <v>2411193.2999999998</v>
      </c>
      <c r="K512" s="166"/>
      <c r="L512" s="156">
        <f>ROUND(H512*K450,2)</f>
        <v>2411193.2999999998</v>
      </c>
      <c r="M512" s="34"/>
      <c r="N512" s="166"/>
      <c r="O512" s="156">
        <f>ROUND(H512*N450,2)</f>
        <v>0</v>
      </c>
      <c r="P512" s="166"/>
      <c r="Q512" s="156">
        <f>ROUND(H512*P450,2)</f>
        <v>0</v>
      </c>
      <c r="R512" s="166"/>
      <c r="S512" s="156">
        <f>ROUND(H512*R450,2)</f>
        <v>0</v>
      </c>
      <c r="T512" s="34"/>
      <c r="U512" s="34"/>
      <c r="V512" s="166"/>
      <c r="W512" s="166"/>
      <c r="X512" s="166"/>
      <c r="Y512" s="156">
        <f>ROUND(H512*X450,2)</f>
        <v>0</v>
      </c>
      <c r="Z512" s="166"/>
      <c r="AA512" s="156">
        <f>ROUND(H512*Z450,2)</f>
        <v>0</v>
      </c>
      <c r="AB512" s="156">
        <f>ROUND(H512*W450,2)</f>
        <v>2411193.2999999998</v>
      </c>
    </row>
    <row r="513" spans="1:28" ht="30" hidden="1" x14ac:dyDescent="0.25">
      <c r="A513" s="168"/>
      <c r="B513" s="133" t="str">
        <f>'Công trình'!B249</f>
        <v>AF.82111</v>
      </c>
      <c r="C513" s="34"/>
      <c r="D513" s="133" t="str">
        <f>'Công trình'!C249</f>
        <v>Sản xuất, lắp dựng tháo dỡ ván khuôn thép, cây chống gỗ dầm, giằng, chiều cao &lt;=16m</v>
      </c>
      <c r="E513" s="168"/>
      <c r="F513" s="20">
        <v>1</v>
      </c>
      <c r="G513" s="169"/>
      <c r="H513" s="45">
        <f>'Hao phí vật tư'!J1887</f>
        <v>3.9962</v>
      </c>
      <c r="I513" s="166"/>
      <c r="J513" s="156">
        <f>ROUND(H513*I450,2)</f>
        <v>76291.45</v>
      </c>
      <c r="K513" s="166"/>
      <c r="L513" s="156">
        <f>ROUND(H513*K450,2)</f>
        <v>76291.45</v>
      </c>
      <c r="M513" s="34"/>
      <c r="N513" s="166"/>
      <c r="O513" s="156">
        <f>ROUND(H513*N450,2)</f>
        <v>0</v>
      </c>
      <c r="P513" s="166"/>
      <c r="Q513" s="156">
        <f>ROUND(H513*P450,2)</f>
        <v>0</v>
      </c>
      <c r="R513" s="166"/>
      <c r="S513" s="156">
        <f>ROUND(H513*R450,2)</f>
        <v>0</v>
      </c>
      <c r="T513" s="34"/>
      <c r="U513" s="34"/>
      <c r="V513" s="166"/>
      <c r="W513" s="166"/>
      <c r="X513" s="166"/>
      <c r="Y513" s="156">
        <f>ROUND(H513*X450,2)</f>
        <v>0</v>
      </c>
      <c r="Z513" s="166"/>
      <c r="AA513" s="156">
        <f>ROUND(H513*Z450,2)</f>
        <v>0</v>
      </c>
      <c r="AB513" s="156">
        <f>ROUND(H513*W450,2)</f>
        <v>76291.45</v>
      </c>
    </row>
    <row r="514" spans="1:28" ht="30" hidden="1" x14ac:dyDescent="0.25">
      <c r="A514" s="168"/>
      <c r="B514" s="133" t="str">
        <f>'Công trình'!B256</f>
        <v>AF.82111</v>
      </c>
      <c r="C514" s="34"/>
      <c r="D514" s="133" t="str">
        <f>'Công trình'!C256</f>
        <v>Sản xuất, lắp dựng tháo dỡ ván khuôn thép lan can</v>
      </c>
      <c r="E514" s="168"/>
      <c r="F514" s="20">
        <v>1</v>
      </c>
      <c r="G514" s="169"/>
      <c r="H514" s="45">
        <f>'Hao phí vật tư'!J1948</f>
        <v>8.5669000000000004</v>
      </c>
      <c r="I514" s="166"/>
      <c r="J514" s="156">
        <f>ROUND(H514*I450,2)</f>
        <v>163550.69</v>
      </c>
      <c r="K514" s="166"/>
      <c r="L514" s="156">
        <f>ROUND(H514*K450,2)</f>
        <v>163550.69</v>
      </c>
      <c r="M514" s="34"/>
      <c r="N514" s="166"/>
      <c r="O514" s="156">
        <f>ROUND(H514*N450,2)</f>
        <v>0</v>
      </c>
      <c r="P514" s="166"/>
      <c r="Q514" s="156">
        <f>ROUND(H514*P450,2)</f>
        <v>0</v>
      </c>
      <c r="R514" s="166"/>
      <c r="S514" s="156">
        <f>ROUND(H514*R450,2)</f>
        <v>0</v>
      </c>
      <c r="T514" s="34"/>
      <c r="U514" s="34"/>
      <c r="V514" s="166"/>
      <c r="W514" s="166"/>
      <c r="X514" s="166"/>
      <c r="Y514" s="156">
        <f>ROUND(H514*X450,2)</f>
        <v>0</v>
      </c>
      <c r="Z514" s="166"/>
      <c r="AA514" s="156">
        <f>ROUND(H514*Z450,2)</f>
        <v>0</v>
      </c>
      <c r="AB514" s="156">
        <f>ROUND(H514*W450,2)</f>
        <v>163550.69</v>
      </c>
    </row>
    <row r="515" spans="1:28" ht="30" hidden="1" x14ac:dyDescent="0.25">
      <c r="A515" s="168"/>
      <c r="B515" s="133" t="str">
        <f>'Công trình'!B258</f>
        <v>AF.61120</v>
      </c>
      <c r="C515" s="34"/>
      <c r="D515" s="133" t="str">
        <f>'Công trình'!C258</f>
        <v>Sản xuất, lắp dựng cốt thép đường kính &lt;=18mm</v>
      </c>
      <c r="E515" s="168"/>
      <c r="F515" s="20">
        <v>1</v>
      </c>
      <c r="G515" s="169"/>
      <c r="H515" s="45">
        <f>'Hao phí vật tư'!J1969</f>
        <v>2.9538000000000002</v>
      </c>
      <c r="I515" s="166"/>
      <c r="J515" s="156">
        <f>ROUND(H515*I450,2)</f>
        <v>56391</v>
      </c>
      <c r="K515" s="166"/>
      <c r="L515" s="156">
        <f>ROUND(H515*K450,2)</f>
        <v>56391</v>
      </c>
      <c r="M515" s="34"/>
      <c r="N515" s="166"/>
      <c r="O515" s="156">
        <f>ROUND(H515*N450,2)</f>
        <v>0</v>
      </c>
      <c r="P515" s="166"/>
      <c r="Q515" s="156">
        <f>ROUND(H515*P450,2)</f>
        <v>0</v>
      </c>
      <c r="R515" s="166"/>
      <c r="S515" s="156">
        <f>ROUND(H515*R450,2)</f>
        <v>0</v>
      </c>
      <c r="T515" s="34"/>
      <c r="U515" s="34"/>
      <c r="V515" s="166"/>
      <c r="W515" s="166"/>
      <c r="X515" s="166"/>
      <c r="Y515" s="156">
        <f>ROUND(H515*X450,2)</f>
        <v>0</v>
      </c>
      <c r="Z515" s="166"/>
      <c r="AA515" s="156">
        <f>ROUND(H515*Z450,2)</f>
        <v>0</v>
      </c>
      <c r="AB515" s="156">
        <f>ROUND(H515*W450,2)</f>
        <v>56391</v>
      </c>
    </row>
    <row r="516" spans="1:28" hidden="1" x14ac:dyDescent="0.25">
      <c r="A516" s="168"/>
      <c r="B516" s="133" t="str">
        <f>'Công trình'!B263</f>
        <v>AI.63211</v>
      </c>
      <c r="C516" s="34"/>
      <c r="D516" s="133" t="str">
        <f>'Công trình'!C263</f>
        <v>Lắp dựng lan can sắt, vữa XM mác 75</v>
      </c>
      <c r="E516" s="168"/>
      <c r="F516" s="20">
        <v>1</v>
      </c>
      <c r="G516" s="169"/>
      <c r="H516" s="45">
        <f>'Hao phí vật tư'!J2008</f>
        <v>21.06</v>
      </c>
      <c r="I516" s="166"/>
      <c r="J516" s="156">
        <f>ROUND(H516*I450,2)</f>
        <v>402056.46</v>
      </c>
      <c r="K516" s="166"/>
      <c r="L516" s="156">
        <f>ROUND(H516*K450,2)</f>
        <v>402056.46</v>
      </c>
      <c r="M516" s="34"/>
      <c r="N516" s="166"/>
      <c r="O516" s="156">
        <f>ROUND(H516*N450,2)</f>
        <v>0</v>
      </c>
      <c r="P516" s="166"/>
      <c r="Q516" s="156">
        <f>ROUND(H516*P450,2)</f>
        <v>0</v>
      </c>
      <c r="R516" s="166"/>
      <c r="S516" s="156">
        <f>ROUND(H516*R450,2)</f>
        <v>0</v>
      </c>
      <c r="T516" s="34"/>
      <c r="U516" s="34"/>
      <c r="V516" s="166"/>
      <c r="W516" s="166"/>
      <c r="X516" s="166"/>
      <c r="Y516" s="156">
        <f>ROUND(H516*X450,2)</f>
        <v>0</v>
      </c>
      <c r="Z516" s="166"/>
      <c r="AA516" s="156">
        <f>ROUND(H516*Z450,2)</f>
        <v>0</v>
      </c>
      <c r="AB516" s="156">
        <f>ROUND(H516*W450,2)</f>
        <v>402056.46</v>
      </c>
    </row>
    <row r="517" spans="1:28" ht="30" hidden="1" x14ac:dyDescent="0.25">
      <c r="A517" s="168"/>
      <c r="B517" s="133" t="str">
        <f>'Công trình'!B179</f>
        <v>AF.87211</v>
      </c>
      <c r="C517" s="34"/>
      <c r="D517" s="133" t="str">
        <f>'Công trình'!C179</f>
        <v>Sản xuất, lắp dựng, tháo dỡ ván khuôn mố, trụ cầu trên cạn</v>
      </c>
      <c r="E517" s="168"/>
      <c r="F517" s="20">
        <v>1</v>
      </c>
      <c r="G517" s="169"/>
      <c r="H517" s="45">
        <f>'Hao phí vật tư'!J1357</f>
        <v>19.2438</v>
      </c>
      <c r="I517" s="166"/>
      <c r="J517" s="156">
        <f>ROUND(H517*I450,2)</f>
        <v>367383.39</v>
      </c>
      <c r="K517" s="166"/>
      <c r="L517" s="156">
        <f>ROUND(H517*K450,2)</f>
        <v>367383.39</v>
      </c>
      <c r="M517" s="34"/>
      <c r="N517" s="166"/>
      <c r="O517" s="156">
        <f>ROUND(H517*N450,2)</f>
        <v>0</v>
      </c>
      <c r="P517" s="166"/>
      <c r="Q517" s="156">
        <f>ROUND(H517*P450,2)</f>
        <v>0</v>
      </c>
      <c r="R517" s="166"/>
      <c r="S517" s="156">
        <f>ROUND(H517*R450,2)</f>
        <v>0</v>
      </c>
      <c r="T517" s="34"/>
      <c r="U517" s="34"/>
      <c r="V517" s="166"/>
      <c r="W517" s="166"/>
      <c r="X517" s="166"/>
      <c r="Y517" s="156">
        <f>ROUND(H517*X450,2)</f>
        <v>0</v>
      </c>
      <c r="Z517" s="166"/>
      <c r="AA517" s="156">
        <f>ROUND(H517*Z450,2)</f>
        <v>0</v>
      </c>
      <c r="AB517" s="156">
        <f>ROUND(H517*W450,2)</f>
        <v>367383.39</v>
      </c>
    </row>
    <row r="518" spans="1:28" ht="30" hidden="1" x14ac:dyDescent="0.25">
      <c r="A518" s="168"/>
      <c r="B518" s="133" t="str">
        <f>'Công trình'!B189</f>
        <v>AF.87211</v>
      </c>
      <c r="C518" s="34"/>
      <c r="D518" s="133" t="str">
        <f>'Công trình'!C189</f>
        <v>Sản xuất, lắp dựng, tháo dỡ ván khuôn mố, trụ cầu trên cạn</v>
      </c>
      <c r="E518" s="168"/>
      <c r="F518" s="20">
        <v>1</v>
      </c>
      <c r="G518" s="169"/>
      <c r="H518" s="45">
        <f>'Hao phí vật tư'!J1448</f>
        <v>5.5137999999999998</v>
      </c>
      <c r="I518" s="166"/>
      <c r="J518" s="156">
        <f>ROUND(H518*I450,2)</f>
        <v>105263.96</v>
      </c>
      <c r="K518" s="166"/>
      <c r="L518" s="156">
        <f>ROUND(H518*K450,2)</f>
        <v>105263.96</v>
      </c>
      <c r="M518" s="34"/>
      <c r="N518" s="166"/>
      <c r="O518" s="156">
        <f>ROUND(H518*N450,2)</f>
        <v>0</v>
      </c>
      <c r="P518" s="166"/>
      <c r="Q518" s="156">
        <f>ROUND(H518*P450,2)</f>
        <v>0</v>
      </c>
      <c r="R518" s="166"/>
      <c r="S518" s="156">
        <f>ROUND(H518*R450,2)</f>
        <v>0</v>
      </c>
      <c r="T518" s="34"/>
      <c r="U518" s="34"/>
      <c r="V518" s="166"/>
      <c r="W518" s="166"/>
      <c r="X518" s="166"/>
      <c r="Y518" s="156">
        <f>ROUND(H518*X450,2)</f>
        <v>0</v>
      </c>
      <c r="Z518" s="166"/>
      <c r="AA518" s="156">
        <f>ROUND(H518*Z450,2)</f>
        <v>0</v>
      </c>
      <c r="AB518" s="156">
        <f>ROUND(H518*W450,2)</f>
        <v>105263.96</v>
      </c>
    </row>
    <row r="519" spans="1:28" ht="30" hidden="1" x14ac:dyDescent="0.25">
      <c r="A519" s="168"/>
      <c r="B519" s="133" t="str">
        <f>'Công trình'!B201</f>
        <v>AF.82311</v>
      </c>
      <c r="C519" s="34"/>
      <c r="D519" s="133" t="str">
        <f>'Công trình'!C201</f>
        <v>Sản xuất, lắp dựng tháo dỡ ván khuôn thép, cây chống gỗ mặt cầu, chiều cao &lt;=16m</v>
      </c>
      <c r="E519" s="168"/>
      <c r="F519" s="20">
        <v>1</v>
      </c>
      <c r="G519" s="169"/>
      <c r="H519" s="45">
        <f>'Hao phí vật tư'!J1552</f>
        <v>13.8996</v>
      </c>
      <c r="I519" s="166"/>
      <c r="J519" s="156">
        <f>ROUND(H519*I450,2)</f>
        <v>265357.26</v>
      </c>
      <c r="K519" s="166"/>
      <c r="L519" s="156">
        <f>ROUND(H519*K450,2)</f>
        <v>265357.26</v>
      </c>
      <c r="M519" s="34"/>
      <c r="N519" s="166"/>
      <c r="O519" s="156">
        <f>ROUND(H519*N450,2)</f>
        <v>0</v>
      </c>
      <c r="P519" s="166"/>
      <c r="Q519" s="156">
        <f>ROUND(H519*P450,2)</f>
        <v>0</v>
      </c>
      <c r="R519" s="166"/>
      <c r="S519" s="156">
        <f>ROUND(H519*R450,2)</f>
        <v>0</v>
      </c>
      <c r="T519" s="34"/>
      <c r="U519" s="34"/>
      <c r="V519" s="166"/>
      <c r="W519" s="166"/>
      <c r="X519" s="166"/>
      <c r="Y519" s="156">
        <f>ROUND(H519*X450,2)</f>
        <v>0</v>
      </c>
      <c r="Z519" s="166"/>
      <c r="AA519" s="156">
        <f>ROUND(H519*Z450,2)</f>
        <v>0</v>
      </c>
      <c r="AB519" s="156">
        <f>ROUND(H519*W450,2)</f>
        <v>265357.26</v>
      </c>
    </row>
    <row r="520" spans="1:28" ht="30" hidden="1" x14ac:dyDescent="0.25">
      <c r="A520" s="168"/>
      <c r="B520" s="133" t="str">
        <f>'Công trình'!B230</f>
        <v>AG.32321</v>
      </c>
      <c r="C520" s="34"/>
      <c r="D520" s="133" t="str">
        <f>'Công trình'!C230</f>
        <v>Sản xuất, lắp dựng, tháo dỡ ván khuôn thép bê tông đúc sẵn cọc, cột</v>
      </c>
      <c r="E520" s="168"/>
      <c r="F520" s="20">
        <v>1</v>
      </c>
      <c r="G520" s="169"/>
      <c r="H520" s="45">
        <f>'Hao phí vật tư'!J1739</f>
        <v>5.4699</v>
      </c>
      <c r="I520" s="166"/>
      <c r="J520" s="156">
        <f>ROUND(H520*I450,2)</f>
        <v>104425.86</v>
      </c>
      <c r="K520" s="166"/>
      <c r="L520" s="156">
        <f>ROUND(H520*K450,2)</f>
        <v>104425.86</v>
      </c>
      <c r="M520" s="34"/>
      <c r="N520" s="166"/>
      <c r="O520" s="156">
        <f>ROUND(H520*N450,2)</f>
        <v>0</v>
      </c>
      <c r="P520" s="166"/>
      <c r="Q520" s="156">
        <f>ROUND(H520*P450,2)</f>
        <v>0</v>
      </c>
      <c r="R520" s="166"/>
      <c r="S520" s="156">
        <f>ROUND(H520*R450,2)</f>
        <v>0</v>
      </c>
      <c r="T520" s="34"/>
      <c r="U520" s="34"/>
      <c r="V520" s="166"/>
      <c r="W520" s="166"/>
      <c r="X520" s="166"/>
      <c r="Y520" s="156">
        <f>ROUND(H520*X450,2)</f>
        <v>0</v>
      </c>
      <c r="Z520" s="166"/>
      <c r="AA520" s="156">
        <f>ROUND(H520*Z450,2)</f>
        <v>0</v>
      </c>
      <c r="AB520" s="156">
        <f>ROUND(H520*W450,2)</f>
        <v>104425.86</v>
      </c>
    </row>
    <row r="521" spans="1:28" ht="30" hidden="1" x14ac:dyDescent="0.25">
      <c r="A521" s="168"/>
      <c r="B521" s="133" t="str">
        <f>'Công trình'!B56</f>
        <v>AG.32511</v>
      </c>
      <c r="C521" s="34"/>
      <c r="D521" s="133" t="str">
        <f>'Công trình'!C56</f>
        <v>Sản xuất, lắp dựng, tháo dỡ ván khuôn thép bê tông đúc sẵn tấm tự chèn</v>
      </c>
      <c r="E521" s="168"/>
      <c r="F521" s="20">
        <v>1</v>
      </c>
      <c r="G521" s="169"/>
      <c r="H521" s="45">
        <f>'Hao phí vật tư'!J409</f>
        <v>11.963900000000001</v>
      </c>
      <c r="I521" s="166"/>
      <c r="J521" s="156">
        <f>ROUND(H521*I450,2)</f>
        <v>228402.81</v>
      </c>
      <c r="K521" s="166"/>
      <c r="L521" s="156">
        <f>ROUND(H521*K450,2)</f>
        <v>228402.81</v>
      </c>
      <c r="M521" s="34"/>
      <c r="N521" s="166"/>
      <c r="O521" s="156">
        <f>ROUND(H521*N450,2)</f>
        <v>0</v>
      </c>
      <c r="P521" s="166"/>
      <c r="Q521" s="156">
        <f>ROUND(H521*P450,2)</f>
        <v>0</v>
      </c>
      <c r="R521" s="166"/>
      <c r="S521" s="156">
        <f>ROUND(H521*R450,2)</f>
        <v>0</v>
      </c>
      <c r="T521" s="34"/>
      <c r="U521" s="34"/>
      <c r="V521" s="166"/>
      <c r="W521" s="166"/>
      <c r="X521" s="166"/>
      <c r="Y521" s="156">
        <f>ROUND(H521*X450,2)</f>
        <v>0</v>
      </c>
      <c r="Z521" s="166"/>
      <c r="AA521" s="156">
        <f>ROUND(H521*Z450,2)</f>
        <v>0</v>
      </c>
      <c r="AB521" s="156">
        <f>ROUND(H521*W450,2)</f>
        <v>228402.81</v>
      </c>
    </row>
    <row r="522" spans="1:28" ht="30" hidden="1" x14ac:dyDescent="0.25">
      <c r="A522" s="168"/>
      <c r="B522" s="133" t="str">
        <f>'Công trình'!B251</f>
        <v>AG.32511</v>
      </c>
      <c r="C522" s="34"/>
      <c r="D522" s="133" t="str">
        <f>'Công trình'!C251</f>
        <v>Sản xuất, lắp dựng, tháo dỡ ván khuôn thép bê tông đúc sẵn nắp đan, tấm chớp</v>
      </c>
      <c r="E522" s="168"/>
      <c r="F522" s="20">
        <v>1</v>
      </c>
      <c r="G522" s="169"/>
      <c r="H522" s="45">
        <f>'Hao phí vật tư'!J1911</f>
        <v>15.283899999999999</v>
      </c>
      <c r="I522" s="166"/>
      <c r="J522" s="156">
        <f>ROUND(H522*I450,2)</f>
        <v>291784.93</v>
      </c>
      <c r="K522" s="166"/>
      <c r="L522" s="156">
        <f>ROUND(H522*K450,2)</f>
        <v>291784.93</v>
      </c>
      <c r="M522" s="34"/>
      <c r="N522" s="166"/>
      <c r="O522" s="156">
        <f>ROUND(H522*N450,2)</f>
        <v>0</v>
      </c>
      <c r="P522" s="166"/>
      <c r="Q522" s="156">
        <f>ROUND(H522*P450,2)</f>
        <v>0</v>
      </c>
      <c r="R522" s="166"/>
      <c r="S522" s="156">
        <f>ROUND(H522*R450,2)</f>
        <v>0</v>
      </c>
      <c r="T522" s="34"/>
      <c r="U522" s="34"/>
      <c r="V522" s="166"/>
      <c r="W522" s="166"/>
      <c r="X522" s="166"/>
      <c r="Y522" s="156">
        <f>ROUND(H522*X450,2)</f>
        <v>0</v>
      </c>
      <c r="Z522" s="166"/>
      <c r="AA522" s="156">
        <f>ROUND(H522*Z450,2)</f>
        <v>0</v>
      </c>
      <c r="AB522" s="156">
        <f>ROUND(H522*W450,2)</f>
        <v>291784.93</v>
      </c>
    </row>
    <row r="523" spans="1:28" hidden="1" x14ac:dyDescent="0.25">
      <c r="A523" s="168"/>
      <c r="B523" s="133" t="str">
        <f>'Công trình'!B262</f>
        <v>AI.21152</v>
      </c>
      <c r="C523" s="34"/>
      <c r="D523" s="133" t="str">
        <f>'Công trình'!C262</f>
        <v>Sản xuất kết cấu thép lan can cầu đường bộ</v>
      </c>
      <c r="E523" s="168"/>
      <c r="F523" s="20">
        <v>1</v>
      </c>
      <c r="G523" s="169"/>
      <c r="H523" s="45">
        <f>'Hao phí vật tư'!J1994</f>
        <v>63.984200000000001</v>
      </c>
      <c r="I523" s="166"/>
      <c r="J523" s="156">
        <f>ROUND(H523*I450,2)</f>
        <v>1221522.3600000001</v>
      </c>
      <c r="K523" s="166"/>
      <c r="L523" s="156">
        <f>ROUND(H523*K450,2)</f>
        <v>1221522.3600000001</v>
      </c>
      <c r="M523" s="34"/>
      <c r="N523" s="166"/>
      <c r="O523" s="156">
        <f>ROUND(H523*N450,2)</f>
        <v>0</v>
      </c>
      <c r="P523" s="166"/>
      <c r="Q523" s="156">
        <f>ROUND(H523*P450,2)</f>
        <v>0</v>
      </c>
      <c r="R523" s="166"/>
      <c r="S523" s="156">
        <f>ROUND(H523*R450,2)</f>
        <v>0</v>
      </c>
      <c r="T523" s="34"/>
      <c r="U523" s="34"/>
      <c r="V523" s="166"/>
      <c r="W523" s="166"/>
      <c r="X523" s="166"/>
      <c r="Y523" s="156">
        <f>ROUND(H523*X450,2)</f>
        <v>0</v>
      </c>
      <c r="Z523" s="166"/>
      <c r="AA523" s="156">
        <f>ROUND(H523*Z450,2)</f>
        <v>0</v>
      </c>
      <c r="AB523" s="156">
        <f>ROUND(H523*W450,2)</f>
        <v>1221522.3600000001</v>
      </c>
    </row>
    <row r="524" spans="1:28" ht="30" hidden="1" x14ac:dyDescent="0.25">
      <c r="A524" s="168"/>
      <c r="B524" s="133" t="str">
        <f>'Công trình'!B73</f>
        <v>AG.32321</v>
      </c>
      <c r="C524" s="34"/>
      <c r="D524" s="133" t="str">
        <f>'Công trình'!C73</f>
        <v>Sản xuất, lắp dựng, tháo dỡ ván khuôn thép bê tông đúc sẵn cọc</v>
      </c>
      <c r="E524" s="168"/>
      <c r="F524" s="20">
        <v>1</v>
      </c>
      <c r="G524" s="169"/>
      <c r="H524" s="45">
        <f>'Hao phí vật tư'!J563</f>
        <v>5.0556999999999999</v>
      </c>
      <c r="I524" s="166"/>
      <c r="J524" s="156">
        <f>ROUND(H524*I450,2)</f>
        <v>96518.37</v>
      </c>
      <c r="K524" s="166"/>
      <c r="L524" s="156">
        <f>ROUND(H524*K450,2)</f>
        <v>96518.37</v>
      </c>
      <c r="M524" s="34"/>
      <c r="N524" s="166"/>
      <c r="O524" s="156">
        <f>ROUND(H524*N450,2)</f>
        <v>0</v>
      </c>
      <c r="P524" s="166"/>
      <c r="Q524" s="156">
        <f>ROUND(H524*P450,2)</f>
        <v>0</v>
      </c>
      <c r="R524" s="166"/>
      <c r="S524" s="156">
        <f>ROUND(H524*R450,2)</f>
        <v>0</v>
      </c>
      <c r="T524" s="34"/>
      <c r="U524" s="34"/>
      <c r="V524" s="166"/>
      <c r="W524" s="166"/>
      <c r="X524" s="166"/>
      <c r="Y524" s="156">
        <f>ROUND(H524*X450,2)</f>
        <v>0</v>
      </c>
      <c r="Z524" s="166"/>
      <c r="AA524" s="156">
        <f>ROUND(H524*Z450,2)</f>
        <v>0</v>
      </c>
      <c r="AB524" s="156">
        <f>ROUND(H524*W450,2)</f>
        <v>96518.37</v>
      </c>
    </row>
    <row r="525" spans="1:28" ht="30" hidden="1" x14ac:dyDescent="0.25">
      <c r="A525" s="168"/>
      <c r="B525" s="133" t="str">
        <f>'Công trình'!B84</f>
        <v>AG.32321</v>
      </c>
      <c r="C525" s="34"/>
      <c r="D525" s="133" t="str">
        <f>'Công trình'!C84</f>
        <v>Sản xuất, lắp dựng, tháo dỡ ván khuôn thép bê tông đúc sẵn cọc</v>
      </c>
      <c r="E525" s="168"/>
      <c r="F525" s="20">
        <v>1</v>
      </c>
      <c r="G525" s="169"/>
      <c r="H525" s="45">
        <f>'Hao phí vật tư'!J679</f>
        <v>2.2877000000000001</v>
      </c>
      <c r="I525" s="166"/>
      <c r="J525" s="156">
        <f>ROUND(H525*I450,2)</f>
        <v>43674.48</v>
      </c>
      <c r="K525" s="166"/>
      <c r="L525" s="156">
        <f>ROUND(H525*K450,2)</f>
        <v>43674.48</v>
      </c>
      <c r="M525" s="34"/>
      <c r="N525" s="166"/>
      <c r="O525" s="156">
        <f>ROUND(H525*N450,2)</f>
        <v>0</v>
      </c>
      <c r="P525" s="166"/>
      <c r="Q525" s="156">
        <f>ROUND(H525*P450,2)</f>
        <v>0</v>
      </c>
      <c r="R525" s="166"/>
      <c r="S525" s="156">
        <f>ROUND(H525*R450,2)</f>
        <v>0</v>
      </c>
      <c r="T525" s="34"/>
      <c r="U525" s="34"/>
      <c r="V525" s="166"/>
      <c r="W525" s="166"/>
      <c r="X525" s="166"/>
      <c r="Y525" s="156">
        <f>ROUND(H525*X450,2)</f>
        <v>0</v>
      </c>
      <c r="Z525" s="166"/>
      <c r="AA525" s="156">
        <f>ROUND(H525*Z450,2)</f>
        <v>0</v>
      </c>
      <c r="AB525" s="156">
        <f>ROUND(H525*W450,2)</f>
        <v>43674.48</v>
      </c>
    </row>
    <row r="526" spans="1:28" hidden="1" x14ac:dyDescent="0.25">
      <c r="A526" s="168"/>
      <c r="B526" s="133" t="str">
        <f>'Công trình'!B24</f>
        <v>AF.61130</v>
      </c>
      <c r="C526" s="34"/>
      <c r="D526" s="133" t="str">
        <f>'Công trình'!C24</f>
        <v>Neo dầm mang cống bằng thép D32 SUS304</v>
      </c>
      <c r="E526" s="168"/>
      <c r="F526" s="20">
        <v>1</v>
      </c>
      <c r="G526" s="169"/>
      <c r="H526" s="45">
        <f>'Hao phí vật tư'!J167</f>
        <v>0</v>
      </c>
      <c r="I526" s="166"/>
      <c r="J526" s="156">
        <f>ROUND(H526*I450,2)</f>
        <v>0</v>
      </c>
      <c r="K526" s="166"/>
      <c r="L526" s="156">
        <f>ROUND(H526*K450,2)</f>
        <v>0</v>
      </c>
      <c r="M526" s="34"/>
      <c r="N526" s="166"/>
      <c r="O526" s="156">
        <f>ROUND(H526*N450,2)</f>
        <v>0</v>
      </c>
      <c r="P526" s="166"/>
      <c r="Q526" s="156">
        <f>ROUND(H526*P450,2)</f>
        <v>0</v>
      </c>
      <c r="R526" s="166"/>
      <c r="S526" s="156">
        <f>ROUND(H526*R450,2)</f>
        <v>0</v>
      </c>
      <c r="T526" s="34"/>
      <c r="U526" s="34"/>
      <c r="V526" s="166"/>
      <c r="W526" s="166"/>
      <c r="X526" s="166"/>
      <c r="Y526" s="156">
        <f>ROUND(H526*X450,2)</f>
        <v>0</v>
      </c>
      <c r="Z526" s="166"/>
      <c r="AA526" s="156">
        <f>ROUND(H526*Z450,2)</f>
        <v>0</v>
      </c>
      <c r="AB526" s="156">
        <f>ROUND(H526*W450,2)</f>
        <v>0</v>
      </c>
    </row>
    <row r="527" spans="1:28" ht="45" hidden="1" x14ac:dyDescent="0.25">
      <c r="A527" s="168"/>
      <c r="B527" s="133" t="str">
        <f>'Công trình'!B35</f>
        <v>AF.82111</v>
      </c>
      <c r="C527" s="34"/>
      <c r="D527" s="133" t="str">
        <f>'Công trình'!C35</f>
        <v>Sản xuất, lắp dựng tháo dỡ ván khuôn thép, cây chống gỗ tường, cột vuông (chữ nhật), xà dầm, giằng, chiều cao &lt;=16m</v>
      </c>
      <c r="E527" s="168"/>
      <c r="F527" s="20">
        <v>1</v>
      </c>
      <c r="G527" s="169"/>
      <c r="H527" s="45">
        <f>'Hao phí vật tư'!J260</f>
        <v>3.2570000000000001</v>
      </c>
      <c r="I527" s="166"/>
      <c r="J527" s="156">
        <f>ROUND(H527*I450,2)</f>
        <v>62179.39</v>
      </c>
      <c r="K527" s="166"/>
      <c r="L527" s="156">
        <f>ROUND(H527*K450,2)</f>
        <v>62179.39</v>
      </c>
      <c r="M527" s="34"/>
      <c r="N527" s="166"/>
      <c r="O527" s="156">
        <f>ROUND(H527*N450,2)</f>
        <v>0</v>
      </c>
      <c r="P527" s="166"/>
      <c r="Q527" s="156">
        <f>ROUND(H527*P450,2)</f>
        <v>0</v>
      </c>
      <c r="R527" s="166"/>
      <c r="S527" s="156">
        <f>ROUND(H527*R450,2)</f>
        <v>0</v>
      </c>
      <c r="T527" s="34"/>
      <c r="U527" s="34"/>
      <c r="V527" s="166"/>
      <c r="W527" s="166"/>
      <c r="X527" s="166"/>
      <c r="Y527" s="156">
        <f>ROUND(H527*X450,2)</f>
        <v>0</v>
      </c>
      <c r="Z527" s="166"/>
      <c r="AA527" s="156">
        <f>ROUND(H527*Z450,2)</f>
        <v>0</v>
      </c>
      <c r="AB527" s="156">
        <f>ROUND(H527*W450,2)</f>
        <v>62179.39</v>
      </c>
    </row>
    <row r="528" spans="1:28" ht="30" hidden="1" x14ac:dyDescent="0.25">
      <c r="A528" s="168"/>
      <c r="B528" s="133" t="str">
        <f>'Công trình'!B37</f>
        <v>AF.61521</v>
      </c>
      <c r="C528" s="34"/>
      <c r="D528" s="133" t="str">
        <f>'Công trình'!C37</f>
        <v>Sản xuất, lắp dựng cốt thép xà dầm, giằng đường kính &lt;=18mm, chiều cao &lt;=4m</v>
      </c>
      <c r="E528" s="168"/>
      <c r="F528" s="20">
        <v>1</v>
      </c>
      <c r="G528" s="169"/>
      <c r="H528" s="45">
        <f>'Hao phí vật tư'!J281</f>
        <v>1.2803</v>
      </c>
      <c r="I528" s="166"/>
      <c r="J528" s="156">
        <f>ROUND(H528*I450,2)</f>
        <v>24442.21</v>
      </c>
      <c r="K528" s="166"/>
      <c r="L528" s="156">
        <f>ROUND(H528*K450,2)</f>
        <v>24442.21</v>
      </c>
      <c r="M528" s="34"/>
      <c r="N528" s="166"/>
      <c r="O528" s="156">
        <f>ROUND(H528*N450,2)</f>
        <v>0</v>
      </c>
      <c r="P528" s="166"/>
      <c r="Q528" s="156">
        <f>ROUND(H528*P450,2)</f>
        <v>0</v>
      </c>
      <c r="R528" s="166"/>
      <c r="S528" s="156">
        <f>ROUND(H528*R450,2)</f>
        <v>0</v>
      </c>
      <c r="T528" s="34"/>
      <c r="U528" s="34"/>
      <c r="V528" s="166"/>
      <c r="W528" s="166"/>
      <c r="X528" s="166"/>
      <c r="Y528" s="156">
        <f>ROUND(H528*X450,2)</f>
        <v>0</v>
      </c>
      <c r="Z528" s="166"/>
      <c r="AA528" s="156">
        <f>ROUND(H528*Z450,2)</f>
        <v>0</v>
      </c>
      <c r="AB528" s="156">
        <f>ROUND(H528*W450,2)</f>
        <v>24442.21</v>
      </c>
    </row>
    <row r="529" spans="1:28" x14ac:dyDescent="0.25">
      <c r="A529" s="168">
        <v>81</v>
      </c>
      <c r="B529" s="84" t="s">
        <v>109</v>
      </c>
      <c r="C529" s="34">
        <v>412</v>
      </c>
      <c r="D529" s="144" t="s">
        <v>616</v>
      </c>
      <c r="E529" s="168" t="s">
        <v>555</v>
      </c>
      <c r="F529" s="34"/>
      <c r="G529" s="169"/>
      <c r="H529" s="60">
        <f>SUM(H530:H530)</f>
        <v>1.2922</v>
      </c>
      <c r="I529" s="166">
        <v>22000</v>
      </c>
      <c r="J529" s="166">
        <f>ROUND(H529*I529,0)</f>
        <v>28428</v>
      </c>
      <c r="K529" s="156">
        <f>'Tổng hợp VL,NC,M'!I557</f>
        <v>145455</v>
      </c>
      <c r="L529" s="166">
        <f>ROUND(H529*K529,0)</f>
        <v>187957</v>
      </c>
      <c r="M529" s="34">
        <v>1</v>
      </c>
      <c r="N529" s="166"/>
      <c r="O529" s="166">
        <f>ROUND(H529*N529,0)</f>
        <v>0</v>
      </c>
      <c r="P529" s="166"/>
      <c r="Q529" s="166">
        <f>ROUND(H529*P529,0)</f>
        <v>0</v>
      </c>
      <c r="R529" s="166"/>
      <c r="S529" s="166">
        <f>ROUND(H529*R529,0)</f>
        <v>0</v>
      </c>
      <c r="T529" s="34"/>
      <c r="U529" s="34"/>
      <c r="V529" s="166">
        <f>ROUND((K529+N529+P529+R529)*(U529+T529),0)</f>
        <v>0</v>
      </c>
      <c r="W529" s="156">
        <f>K529+N529+P529+R529+V529</f>
        <v>145455</v>
      </c>
      <c r="X529" s="166">
        <f>K529-I529</f>
        <v>123455</v>
      </c>
      <c r="Y529" s="166">
        <f>ROUND(H529*X529,0)</f>
        <v>159529</v>
      </c>
      <c r="Z529" s="166">
        <f>W529-I529</f>
        <v>123455</v>
      </c>
      <c r="AA529" s="166">
        <f>ROUND(H529*Z529,0)</f>
        <v>159529</v>
      </c>
      <c r="AB529" s="166">
        <f>ROUND(H529*W529,0)</f>
        <v>187957</v>
      </c>
    </row>
    <row r="530" spans="1:28" hidden="1" x14ac:dyDescent="0.25">
      <c r="A530" s="168"/>
      <c r="B530" s="133" t="str">
        <f>'Công trình'!B268</f>
        <v>BB.14211</v>
      </c>
      <c r="C530" s="34"/>
      <c r="D530" s="133" t="str">
        <f>'Công trình'!C268</f>
        <v>Ống thép Þ120 dày 2 mm</v>
      </c>
      <c r="E530" s="168"/>
      <c r="F530" s="20">
        <v>1</v>
      </c>
      <c r="G530" s="169"/>
      <c r="H530" s="45">
        <f>'Hao phí vật tư'!J2043</f>
        <v>1.2922</v>
      </c>
      <c r="I530" s="166"/>
      <c r="J530" s="156">
        <f>ROUND(H530*I529,2)</f>
        <v>28428.400000000001</v>
      </c>
      <c r="K530" s="166"/>
      <c r="L530" s="156">
        <f>ROUND(H530*K529,2)</f>
        <v>187956.95</v>
      </c>
      <c r="M530" s="34"/>
      <c r="N530" s="166"/>
      <c r="O530" s="156">
        <f>ROUND(H530*N529,2)</f>
        <v>0</v>
      </c>
      <c r="P530" s="166"/>
      <c r="Q530" s="156">
        <f>ROUND(H530*P529,2)</f>
        <v>0</v>
      </c>
      <c r="R530" s="166"/>
      <c r="S530" s="156">
        <f>ROUND(H530*R529,2)</f>
        <v>0</v>
      </c>
      <c r="T530" s="34"/>
      <c r="U530" s="34"/>
      <c r="V530" s="166"/>
      <c r="W530" s="166"/>
      <c r="X530" s="166"/>
      <c r="Y530" s="156">
        <f>ROUND(H530*X529,2)</f>
        <v>159528.54999999999</v>
      </c>
      <c r="Z530" s="166"/>
      <c r="AA530" s="156">
        <f>ROUND(H530*Z529,2)</f>
        <v>159528.54999999999</v>
      </c>
      <c r="AB530" s="156">
        <f>ROUND(H530*W529,2)</f>
        <v>187956.95</v>
      </c>
    </row>
    <row r="531" spans="1:28" x14ac:dyDescent="0.25">
      <c r="A531" s="168">
        <v>82</v>
      </c>
      <c r="B531" s="84" t="s">
        <v>674</v>
      </c>
      <c r="C531" s="34">
        <v>544</v>
      </c>
      <c r="D531" s="144" t="s">
        <v>654</v>
      </c>
      <c r="E531" s="168" t="s">
        <v>205</v>
      </c>
      <c r="F531" s="34"/>
      <c r="G531" s="169"/>
      <c r="H531" s="60">
        <f>SUM(H532:H532)</f>
        <v>7.14</v>
      </c>
      <c r="I531" s="166">
        <v>35000</v>
      </c>
      <c r="J531" s="166">
        <f>ROUND(H531*I531,0)</f>
        <v>249900</v>
      </c>
      <c r="K531" s="166">
        <f>'Tổng hợp VL,NC,M'!I564</f>
        <v>35000</v>
      </c>
      <c r="L531" s="166">
        <f>ROUND(H531*K531,0)</f>
        <v>249900</v>
      </c>
      <c r="M531" s="34">
        <v>1</v>
      </c>
      <c r="N531" s="166"/>
      <c r="O531" s="166">
        <f>ROUND(H531*N531,0)</f>
        <v>0</v>
      </c>
      <c r="P531" s="166"/>
      <c r="Q531" s="166">
        <f>ROUND(H531*P531,0)</f>
        <v>0</v>
      </c>
      <c r="R531" s="166"/>
      <c r="S531" s="166">
        <f>ROUND(H531*R531,0)</f>
        <v>0</v>
      </c>
      <c r="T531" s="34"/>
      <c r="U531" s="34"/>
      <c r="V531" s="166">
        <f>ROUND((K531+N531+P531+R531)*(U531+T531),0)</f>
        <v>0</v>
      </c>
      <c r="W531" s="166">
        <f>K531+N531+P531+R531+V531</f>
        <v>35000</v>
      </c>
      <c r="X531" s="166">
        <f>K531-I531</f>
        <v>0</v>
      </c>
      <c r="Y531" s="166">
        <f>ROUND(H531*X531,0)</f>
        <v>0</v>
      </c>
      <c r="Z531" s="166">
        <f>W531-I531</f>
        <v>0</v>
      </c>
      <c r="AA531" s="166">
        <f>ROUND(H531*Z531,0)</f>
        <v>0</v>
      </c>
      <c r="AB531" s="166">
        <f>ROUND(H531*W531,0)</f>
        <v>249900</v>
      </c>
    </row>
    <row r="532" spans="1:28" hidden="1" x14ac:dyDescent="0.25">
      <c r="A532" s="168"/>
      <c r="B532" s="133" t="str">
        <f>'Công trình'!B216</f>
        <v>TT</v>
      </c>
      <c r="C532" s="34"/>
      <c r="D532" s="133" t="str">
        <f>'Công trình'!C216</f>
        <v>Sika</v>
      </c>
      <c r="E532" s="168"/>
      <c r="F532" s="20">
        <v>1</v>
      </c>
      <c r="G532" s="169"/>
      <c r="H532" s="45">
        <f>'Hao phí vật tư'!J1629</f>
        <v>7.14</v>
      </c>
      <c r="I532" s="166"/>
      <c r="J532" s="156">
        <f>ROUND(H532*I531,2)</f>
        <v>249900</v>
      </c>
      <c r="K532" s="166"/>
      <c r="L532" s="156">
        <f>ROUND(H532*K531,2)</f>
        <v>249900</v>
      </c>
      <c r="M532" s="34"/>
      <c r="N532" s="166"/>
      <c r="O532" s="156">
        <f>ROUND(H532*N531,2)</f>
        <v>0</v>
      </c>
      <c r="P532" s="166"/>
      <c r="Q532" s="156">
        <f>ROUND(H532*P531,2)</f>
        <v>0</v>
      </c>
      <c r="R532" s="166"/>
      <c r="S532" s="156">
        <f>ROUND(H532*R531,2)</f>
        <v>0</v>
      </c>
      <c r="T532" s="34"/>
      <c r="U532" s="34"/>
      <c r="V532" s="166"/>
      <c r="W532" s="166"/>
      <c r="X532" s="166"/>
      <c r="Y532" s="156">
        <f>ROUND(H532*X531,2)</f>
        <v>0</v>
      </c>
      <c r="Z532" s="166"/>
      <c r="AA532" s="156">
        <f>ROUND(H532*Z531,2)</f>
        <v>0</v>
      </c>
      <c r="AB532" s="156">
        <f>ROUND(H532*W531,2)</f>
        <v>249900</v>
      </c>
    </row>
    <row r="533" spans="1:28" x14ac:dyDescent="0.25">
      <c r="A533" s="168">
        <v>83</v>
      </c>
      <c r="B533" s="84" t="s">
        <v>488</v>
      </c>
      <c r="C533" s="34">
        <v>157</v>
      </c>
      <c r="D533" s="144" t="s">
        <v>828</v>
      </c>
      <c r="E533" s="168" t="s">
        <v>555</v>
      </c>
      <c r="F533" s="34"/>
      <c r="G533" s="169"/>
      <c r="H533" s="60">
        <f>SUM(H534:H534)</f>
        <v>0.76800000000000002</v>
      </c>
      <c r="I533" s="166">
        <v>63564</v>
      </c>
      <c r="J533" s="166">
        <f>ROUND(H533*I533,0)</f>
        <v>48817</v>
      </c>
      <c r="K533" s="166">
        <f>'Tổng hợp VL,NC,M'!I566</f>
        <v>63564</v>
      </c>
      <c r="L533" s="166">
        <f>ROUND(H533*K533,0)</f>
        <v>48817</v>
      </c>
      <c r="M533" s="34">
        <v>1</v>
      </c>
      <c r="N533" s="166"/>
      <c r="O533" s="166">
        <f>ROUND(H533*N533,0)</f>
        <v>0</v>
      </c>
      <c r="P533" s="166"/>
      <c r="Q533" s="166">
        <f>ROUND(H533*P533,0)</f>
        <v>0</v>
      </c>
      <c r="R533" s="166"/>
      <c r="S533" s="166">
        <f>ROUND(H533*R533,0)</f>
        <v>0</v>
      </c>
      <c r="T533" s="34"/>
      <c r="U533" s="34"/>
      <c r="V533" s="166">
        <f>ROUND((K533+N533+P533+R533)*(U533+T533),0)</f>
        <v>0</v>
      </c>
      <c r="W533" s="166">
        <f>K533+N533+P533+R533+V533</f>
        <v>63564</v>
      </c>
      <c r="X533" s="166">
        <f>K533-I533</f>
        <v>0</v>
      </c>
      <c r="Y533" s="166">
        <f>ROUND(H533*X533,0)</f>
        <v>0</v>
      </c>
      <c r="Z533" s="166">
        <f>W533-I533</f>
        <v>0</v>
      </c>
      <c r="AA533" s="166">
        <f>ROUND(H533*Z533,0)</f>
        <v>0</v>
      </c>
      <c r="AB533" s="166">
        <f>ROUND(H533*W533,0)</f>
        <v>48817</v>
      </c>
    </row>
    <row r="534" spans="1:28" ht="30" hidden="1" x14ac:dyDescent="0.25">
      <c r="A534" s="168"/>
      <c r="B534" s="133" t="str">
        <f>'Công trình'!B45</f>
        <v>AK.84422</v>
      </c>
      <c r="C534" s="34"/>
      <c r="D534" s="133" t="str">
        <f>'Công trình'!C45</f>
        <v>Sơn dầm, trần, cột, tường 1 nước lót + 2 nước phủ bằng sơn ICI Dulux</v>
      </c>
      <c r="E534" s="168"/>
      <c r="F534" s="20">
        <v>1</v>
      </c>
      <c r="G534" s="169"/>
      <c r="H534" s="45">
        <f>'Hao phí vật tư'!J345</f>
        <v>0.76800000000000002</v>
      </c>
      <c r="I534" s="166"/>
      <c r="J534" s="156">
        <f>ROUND(H534*I533,2)</f>
        <v>48817.15</v>
      </c>
      <c r="K534" s="166"/>
      <c r="L534" s="156">
        <f>ROUND(H534*K533,2)</f>
        <v>48817.15</v>
      </c>
      <c r="M534" s="34"/>
      <c r="N534" s="166"/>
      <c r="O534" s="156">
        <f>ROUND(H534*N533,2)</f>
        <v>0</v>
      </c>
      <c r="P534" s="166"/>
      <c r="Q534" s="156">
        <f>ROUND(H534*P533,2)</f>
        <v>0</v>
      </c>
      <c r="R534" s="166"/>
      <c r="S534" s="156">
        <f>ROUND(H534*R533,2)</f>
        <v>0</v>
      </c>
      <c r="T534" s="34"/>
      <c r="U534" s="34"/>
      <c r="V534" s="166"/>
      <c r="W534" s="166"/>
      <c r="X534" s="166"/>
      <c r="Y534" s="156">
        <f>ROUND(H534*X533,2)</f>
        <v>0</v>
      </c>
      <c r="Z534" s="166"/>
      <c r="AA534" s="156">
        <f>ROUND(H534*Z533,2)</f>
        <v>0</v>
      </c>
      <c r="AB534" s="156">
        <f>ROUND(H534*W533,2)</f>
        <v>48817.15</v>
      </c>
    </row>
    <row r="535" spans="1:28" x14ac:dyDescent="0.25">
      <c r="A535" s="168">
        <v>84</v>
      </c>
      <c r="B535" s="84" t="s">
        <v>432</v>
      </c>
      <c r="C535" s="34">
        <v>440</v>
      </c>
      <c r="D535" s="144" t="s">
        <v>748</v>
      </c>
      <c r="E535" s="168" t="s">
        <v>555</v>
      </c>
      <c r="F535" s="34"/>
      <c r="G535" s="169"/>
      <c r="H535" s="60">
        <f>SUM(H536:H536)</f>
        <v>0.64800000000000002</v>
      </c>
      <c r="I535" s="166">
        <v>22545</v>
      </c>
      <c r="J535" s="166">
        <f>ROUND(H535*I535,0)</f>
        <v>14609</v>
      </c>
      <c r="K535" s="166">
        <f>'Tổng hợp VL,NC,M'!I568</f>
        <v>22545</v>
      </c>
      <c r="L535" s="166">
        <f>ROUND(H535*K535,0)</f>
        <v>14609</v>
      </c>
      <c r="M535" s="34">
        <v>1</v>
      </c>
      <c r="N535" s="166"/>
      <c r="O535" s="166">
        <f>ROUND(H535*N535,0)</f>
        <v>0</v>
      </c>
      <c r="P535" s="166"/>
      <c r="Q535" s="166">
        <f>ROUND(H535*P535,0)</f>
        <v>0</v>
      </c>
      <c r="R535" s="166"/>
      <c r="S535" s="166">
        <f>ROUND(H535*R535,0)</f>
        <v>0</v>
      </c>
      <c r="T535" s="34"/>
      <c r="U535" s="34"/>
      <c r="V535" s="166">
        <f>ROUND((K535+N535+P535+R535)*(U535+T535),0)</f>
        <v>0</v>
      </c>
      <c r="W535" s="166">
        <f>K535+N535+P535+R535+V535</f>
        <v>22545</v>
      </c>
      <c r="X535" s="166">
        <f>K535-I535</f>
        <v>0</v>
      </c>
      <c r="Y535" s="166">
        <f>ROUND(H535*X535,0)</f>
        <v>0</v>
      </c>
      <c r="Z535" s="166">
        <f>W535-I535</f>
        <v>0</v>
      </c>
      <c r="AA535" s="166">
        <f>ROUND(H535*Z535,0)</f>
        <v>0</v>
      </c>
      <c r="AB535" s="166">
        <f>ROUND(H535*W535,0)</f>
        <v>14609</v>
      </c>
    </row>
    <row r="536" spans="1:28" ht="30" hidden="1" x14ac:dyDescent="0.25">
      <c r="A536" s="168"/>
      <c r="B536" s="133" t="str">
        <f>'Công trình'!B45</f>
        <v>AK.84422</v>
      </c>
      <c r="C536" s="34"/>
      <c r="D536" s="133" t="str">
        <f>'Công trình'!C45</f>
        <v>Sơn dầm, trần, cột, tường 1 nước lót + 2 nước phủ bằng sơn ICI Dulux</v>
      </c>
      <c r="E536" s="168"/>
      <c r="F536" s="20">
        <v>1</v>
      </c>
      <c r="G536" s="169"/>
      <c r="H536" s="45">
        <f>'Hao phí vật tư'!J346</f>
        <v>0.64800000000000002</v>
      </c>
      <c r="I536" s="166"/>
      <c r="J536" s="156">
        <f>ROUND(H536*I535,2)</f>
        <v>14609.16</v>
      </c>
      <c r="K536" s="166"/>
      <c r="L536" s="156">
        <f>ROUND(H536*K535,2)</f>
        <v>14609.16</v>
      </c>
      <c r="M536" s="34"/>
      <c r="N536" s="166"/>
      <c r="O536" s="156">
        <f>ROUND(H536*N535,2)</f>
        <v>0</v>
      </c>
      <c r="P536" s="166"/>
      <c r="Q536" s="156">
        <f>ROUND(H536*P535,2)</f>
        <v>0</v>
      </c>
      <c r="R536" s="166"/>
      <c r="S536" s="156">
        <f>ROUND(H536*R535,2)</f>
        <v>0</v>
      </c>
      <c r="T536" s="34"/>
      <c r="U536" s="34"/>
      <c r="V536" s="166"/>
      <c r="W536" s="166"/>
      <c r="X536" s="166"/>
      <c r="Y536" s="156">
        <f>ROUND(H536*X535,2)</f>
        <v>0</v>
      </c>
      <c r="Z536" s="166"/>
      <c r="AA536" s="156">
        <f>ROUND(H536*Z535,2)</f>
        <v>0</v>
      </c>
      <c r="AB536" s="156">
        <f>ROUND(H536*W535,2)</f>
        <v>14609.16</v>
      </c>
    </row>
    <row r="537" spans="1:28" x14ac:dyDescent="0.25">
      <c r="A537" s="168">
        <v>85</v>
      </c>
      <c r="B537" s="84" t="s">
        <v>497</v>
      </c>
      <c r="C537" s="34">
        <v>517</v>
      </c>
      <c r="D537" s="144" t="s">
        <v>101</v>
      </c>
      <c r="E537" s="168" t="s">
        <v>414</v>
      </c>
      <c r="F537" s="34"/>
      <c r="G537" s="169"/>
      <c r="H537" s="60">
        <f>SUM(H538:H540)</f>
        <v>34.298999999999999</v>
      </c>
      <c r="I537" s="166">
        <v>63564</v>
      </c>
      <c r="J537" s="166">
        <f>ROUND(H537*I537,0)</f>
        <v>2180182</v>
      </c>
      <c r="K537" s="166">
        <f>'Tổng hợp VL,NC,M'!I570</f>
        <v>63564</v>
      </c>
      <c r="L537" s="166">
        <f>ROUND(H537*K537,0)</f>
        <v>2180182</v>
      </c>
      <c r="M537" s="34">
        <v>1</v>
      </c>
      <c r="N537" s="166"/>
      <c r="O537" s="166">
        <f>ROUND(H537*N537,0)</f>
        <v>0</v>
      </c>
      <c r="P537" s="166"/>
      <c r="Q537" s="166">
        <f>ROUND(H537*P537,0)</f>
        <v>0</v>
      </c>
      <c r="R537" s="166"/>
      <c r="S537" s="166">
        <f>ROUND(H537*R537,0)</f>
        <v>0</v>
      </c>
      <c r="T537" s="34"/>
      <c r="U537" s="34"/>
      <c r="V537" s="166">
        <f>ROUND((K537+N537+P537+R537)*(U537+T537),0)</f>
        <v>0</v>
      </c>
      <c r="W537" s="166">
        <f>K537+N537+P537+R537+V537</f>
        <v>63564</v>
      </c>
      <c r="X537" s="166">
        <f>K537-I537</f>
        <v>0</v>
      </c>
      <c r="Y537" s="166">
        <f>ROUND(H537*X537,0)</f>
        <v>0</v>
      </c>
      <c r="Z537" s="166">
        <f>W537-I537</f>
        <v>0</v>
      </c>
      <c r="AA537" s="166">
        <f>ROUND(H537*Z537,0)</f>
        <v>0</v>
      </c>
      <c r="AB537" s="166">
        <f>ROUND(H537*W537,0)</f>
        <v>2180182</v>
      </c>
    </row>
    <row r="538" spans="1:28" hidden="1" x14ac:dyDescent="0.25">
      <c r="A538" s="168"/>
      <c r="B538" s="133" t="str">
        <f>'Công trình'!B283</f>
        <v>AK.90122</v>
      </c>
      <c r="C538" s="34"/>
      <c r="D538" s="133" t="str">
        <f>'Công trình'!C283</f>
        <v>Sơn trắng đỏ</v>
      </c>
      <c r="E538" s="168"/>
      <c r="F538" s="20">
        <v>1</v>
      </c>
      <c r="G538" s="169"/>
      <c r="H538" s="45">
        <f>'Hao phí vật tư'!J2116</f>
        <v>12.2295</v>
      </c>
      <c r="I538" s="166"/>
      <c r="J538" s="156">
        <f>ROUND(H538*I537,2)</f>
        <v>777355.94</v>
      </c>
      <c r="K538" s="166"/>
      <c r="L538" s="156">
        <f>ROUND(H538*K537,2)</f>
        <v>777355.94</v>
      </c>
      <c r="M538" s="34"/>
      <c r="N538" s="166"/>
      <c r="O538" s="156">
        <f>ROUND(H538*N537,2)</f>
        <v>0</v>
      </c>
      <c r="P538" s="166"/>
      <c r="Q538" s="156">
        <f>ROUND(H538*P537,2)</f>
        <v>0</v>
      </c>
      <c r="R538" s="166"/>
      <c r="S538" s="156">
        <f>ROUND(H538*R537,2)</f>
        <v>0</v>
      </c>
      <c r="T538" s="34"/>
      <c r="U538" s="34"/>
      <c r="V538" s="166"/>
      <c r="W538" s="166"/>
      <c r="X538" s="166"/>
      <c r="Y538" s="156">
        <f>ROUND(H538*X537,2)</f>
        <v>0</v>
      </c>
      <c r="Z538" s="166"/>
      <c r="AA538" s="156">
        <f>ROUND(H538*Z537,2)</f>
        <v>0</v>
      </c>
      <c r="AB538" s="156">
        <f>ROUND(H538*W537,2)</f>
        <v>777355.94</v>
      </c>
    </row>
    <row r="539" spans="1:28" hidden="1" x14ac:dyDescent="0.25">
      <c r="A539" s="168"/>
      <c r="B539" s="133" t="str">
        <f>'Công trình'!B292</f>
        <v>AK.90122</v>
      </c>
      <c r="C539" s="34"/>
      <c r="D539" s="133" t="str">
        <f>'Công trình'!C292</f>
        <v>Sơn trắng đỏ</v>
      </c>
      <c r="E539" s="168"/>
      <c r="F539" s="20">
        <v>1</v>
      </c>
      <c r="G539" s="169"/>
      <c r="H539" s="45">
        <f>'Hao phí vật tư'!J2194</f>
        <v>12.2295</v>
      </c>
      <c r="I539" s="166"/>
      <c r="J539" s="156">
        <f>ROUND(H539*I537,2)</f>
        <v>777355.94</v>
      </c>
      <c r="K539" s="166"/>
      <c r="L539" s="156">
        <f>ROUND(H539*K537,2)</f>
        <v>777355.94</v>
      </c>
      <c r="M539" s="34"/>
      <c r="N539" s="166"/>
      <c r="O539" s="156">
        <f>ROUND(H539*N537,2)</f>
        <v>0</v>
      </c>
      <c r="P539" s="166"/>
      <c r="Q539" s="156">
        <f>ROUND(H539*P537,2)</f>
        <v>0</v>
      </c>
      <c r="R539" s="166"/>
      <c r="S539" s="156">
        <f>ROUND(H539*R537,2)</f>
        <v>0</v>
      </c>
      <c r="T539" s="34"/>
      <c r="U539" s="34"/>
      <c r="V539" s="166"/>
      <c r="W539" s="166"/>
      <c r="X539" s="166"/>
      <c r="Y539" s="156">
        <f>ROUND(H539*X537,2)</f>
        <v>0</v>
      </c>
      <c r="Z539" s="166"/>
      <c r="AA539" s="156">
        <f>ROUND(H539*Z537,2)</f>
        <v>0</v>
      </c>
      <c r="AB539" s="156">
        <f>ROUND(H539*W537,2)</f>
        <v>777355.94</v>
      </c>
    </row>
    <row r="540" spans="1:28" hidden="1" x14ac:dyDescent="0.25">
      <c r="A540" s="168"/>
      <c r="B540" s="133" t="str">
        <f>'Công trình'!B304</f>
        <v>AK.90122</v>
      </c>
      <c r="C540" s="34"/>
      <c r="D540" s="133" t="str">
        <f>'Công trình'!C304</f>
        <v>Sơn trắng đỏ</v>
      </c>
      <c r="E540" s="168"/>
      <c r="F540" s="20">
        <v>1</v>
      </c>
      <c r="G540" s="169"/>
      <c r="H540" s="45">
        <f>'Hao phí vật tư'!J2282</f>
        <v>9.84</v>
      </c>
      <c r="I540" s="166"/>
      <c r="J540" s="156">
        <f>ROUND(H540*I537,2)</f>
        <v>625469.76</v>
      </c>
      <c r="K540" s="166"/>
      <c r="L540" s="156">
        <f>ROUND(H540*K537,2)</f>
        <v>625469.76</v>
      </c>
      <c r="M540" s="34"/>
      <c r="N540" s="166"/>
      <c r="O540" s="156">
        <f>ROUND(H540*N537,2)</f>
        <v>0</v>
      </c>
      <c r="P540" s="166"/>
      <c r="Q540" s="156">
        <f>ROUND(H540*P537,2)</f>
        <v>0</v>
      </c>
      <c r="R540" s="166"/>
      <c r="S540" s="156">
        <f>ROUND(H540*R537,2)</f>
        <v>0</v>
      </c>
      <c r="T540" s="34"/>
      <c r="U540" s="34"/>
      <c r="V540" s="166"/>
      <c r="W540" s="166"/>
      <c r="X540" s="166"/>
      <c r="Y540" s="156">
        <f>ROUND(H540*X537,2)</f>
        <v>0</v>
      </c>
      <c r="Z540" s="166"/>
      <c r="AA540" s="156">
        <f>ROUND(H540*Z537,2)</f>
        <v>0</v>
      </c>
      <c r="AB540" s="156">
        <f>ROUND(H540*W537,2)</f>
        <v>625469.76</v>
      </c>
    </row>
    <row r="541" spans="1:28" x14ac:dyDescent="0.25">
      <c r="A541" s="168">
        <v>86</v>
      </c>
      <c r="B541" s="84" t="s">
        <v>1173</v>
      </c>
      <c r="C541" s="34">
        <v>518</v>
      </c>
      <c r="D541" s="144" t="s">
        <v>764</v>
      </c>
      <c r="E541" s="168" t="s">
        <v>414</v>
      </c>
      <c r="F541" s="34"/>
      <c r="G541" s="169"/>
      <c r="H541" s="60">
        <f>SUM(H542:H544)</f>
        <v>56.467799999999997</v>
      </c>
      <c r="I541" s="166">
        <v>22545</v>
      </c>
      <c r="J541" s="166">
        <f>ROUND(H541*I541,0)</f>
        <v>1273067</v>
      </c>
      <c r="K541" s="166">
        <f>'Tổng hợp VL,NC,M'!I574</f>
        <v>22545</v>
      </c>
      <c r="L541" s="166">
        <f>ROUND(H541*K541,0)</f>
        <v>1273067</v>
      </c>
      <c r="M541" s="34">
        <v>1</v>
      </c>
      <c r="N541" s="166"/>
      <c r="O541" s="166">
        <f>ROUND(H541*N541,0)</f>
        <v>0</v>
      </c>
      <c r="P541" s="166"/>
      <c r="Q541" s="166">
        <f>ROUND(H541*P541,0)</f>
        <v>0</v>
      </c>
      <c r="R541" s="166"/>
      <c r="S541" s="166">
        <f>ROUND(H541*R541,0)</f>
        <v>0</v>
      </c>
      <c r="T541" s="34"/>
      <c r="U541" s="34"/>
      <c r="V541" s="166">
        <f>ROUND((K541+N541+P541+R541)*(U541+T541),0)</f>
        <v>0</v>
      </c>
      <c r="W541" s="166">
        <f>K541+N541+P541+R541+V541</f>
        <v>22545</v>
      </c>
      <c r="X541" s="166">
        <f>K541-I541</f>
        <v>0</v>
      </c>
      <c r="Y541" s="166">
        <f>ROUND(H541*X541,0)</f>
        <v>0</v>
      </c>
      <c r="Z541" s="166">
        <f>W541-I541</f>
        <v>0</v>
      </c>
      <c r="AA541" s="166">
        <f>ROUND(H541*Z541,0)</f>
        <v>0</v>
      </c>
      <c r="AB541" s="166">
        <f>ROUND(H541*W541,0)</f>
        <v>1273067</v>
      </c>
    </row>
    <row r="542" spans="1:28" hidden="1" x14ac:dyDescent="0.25">
      <c r="A542" s="168"/>
      <c r="B542" s="133" t="str">
        <f>'Công trình'!B283</f>
        <v>AK.90122</v>
      </c>
      <c r="C542" s="34"/>
      <c r="D542" s="133" t="str">
        <f>'Công trình'!C283</f>
        <v>Sơn trắng đỏ</v>
      </c>
      <c r="E542" s="168"/>
      <c r="F542" s="20">
        <v>1</v>
      </c>
      <c r="G542" s="169"/>
      <c r="H542" s="45">
        <f>'Hao phí vật tư'!J2115</f>
        <v>20.133900000000001</v>
      </c>
      <c r="I542" s="166"/>
      <c r="J542" s="156">
        <f>ROUND(H542*I541,2)</f>
        <v>453918.78</v>
      </c>
      <c r="K542" s="166"/>
      <c r="L542" s="156">
        <f>ROUND(H542*K541,2)</f>
        <v>453918.78</v>
      </c>
      <c r="M542" s="34"/>
      <c r="N542" s="166"/>
      <c r="O542" s="156">
        <f>ROUND(H542*N541,2)</f>
        <v>0</v>
      </c>
      <c r="P542" s="166"/>
      <c r="Q542" s="156">
        <f>ROUND(H542*P541,2)</f>
        <v>0</v>
      </c>
      <c r="R542" s="166"/>
      <c r="S542" s="156">
        <f>ROUND(H542*R541,2)</f>
        <v>0</v>
      </c>
      <c r="T542" s="34"/>
      <c r="U542" s="34"/>
      <c r="V542" s="166"/>
      <c r="W542" s="166"/>
      <c r="X542" s="166"/>
      <c r="Y542" s="156">
        <f>ROUND(H542*X541,2)</f>
        <v>0</v>
      </c>
      <c r="Z542" s="166"/>
      <c r="AA542" s="156">
        <f>ROUND(H542*Z541,2)</f>
        <v>0</v>
      </c>
      <c r="AB542" s="156">
        <f>ROUND(H542*W541,2)</f>
        <v>453918.78</v>
      </c>
    </row>
    <row r="543" spans="1:28" hidden="1" x14ac:dyDescent="0.25">
      <c r="A543" s="168"/>
      <c r="B543" s="133" t="str">
        <f>'Công trình'!B292</f>
        <v>AK.90122</v>
      </c>
      <c r="C543" s="34"/>
      <c r="D543" s="133" t="str">
        <f>'Công trình'!C292</f>
        <v>Sơn trắng đỏ</v>
      </c>
      <c r="E543" s="168"/>
      <c r="F543" s="20">
        <v>1</v>
      </c>
      <c r="G543" s="169"/>
      <c r="H543" s="45">
        <f>'Hao phí vật tư'!J2193</f>
        <v>20.133900000000001</v>
      </c>
      <c r="I543" s="166"/>
      <c r="J543" s="156">
        <f>ROUND(H543*I541,2)</f>
        <v>453918.78</v>
      </c>
      <c r="K543" s="166"/>
      <c r="L543" s="156">
        <f>ROUND(H543*K541,2)</f>
        <v>453918.78</v>
      </c>
      <c r="M543" s="34"/>
      <c r="N543" s="166"/>
      <c r="O543" s="156">
        <f>ROUND(H543*N541,2)</f>
        <v>0</v>
      </c>
      <c r="P543" s="166"/>
      <c r="Q543" s="156">
        <f>ROUND(H543*P541,2)</f>
        <v>0</v>
      </c>
      <c r="R543" s="166"/>
      <c r="S543" s="156">
        <f>ROUND(H543*R541,2)</f>
        <v>0</v>
      </c>
      <c r="T543" s="34"/>
      <c r="U543" s="34"/>
      <c r="V543" s="166"/>
      <c r="W543" s="166"/>
      <c r="X543" s="166"/>
      <c r="Y543" s="156">
        <f>ROUND(H543*X541,2)</f>
        <v>0</v>
      </c>
      <c r="Z543" s="166"/>
      <c r="AA543" s="156">
        <f>ROUND(H543*Z541,2)</f>
        <v>0</v>
      </c>
      <c r="AB543" s="156">
        <f>ROUND(H543*W541,2)</f>
        <v>453918.78</v>
      </c>
    </row>
    <row r="544" spans="1:28" hidden="1" x14ac:dyDescent="0.25">
      <c r="A544" s="168"/>
      <c r="B544" s="133" t="str">
        <f>'Công trình'!B304</f>
        <v>AK.90122</v>
      </c>
      <c r="C544" s="34"/>
      <c r="D544" s="133" t="str">
        <f>'Công trình'!C304</f>
        <v>Sơn trắng đỏ</v>
      </c>
      <c r="E544" s="168"/>
      <c r="F544" s="20">
        <v>1</v>
      </c>
      <c r="G544" s="169"/>
      <c r="H544" s="45">
        <f>'Hao phí vật tư'!J2281</f>
        <v>16.2</v>
      </c>
      <c r="I544" s="166"/>
      <c r="J544" s="156">
        <f>ROUND(H544*I541,2)</f>
        <v>365229</v>
      </c>
      <c r="K544" s="166"/>
      <c r="L544" s="156">
        <f>ROUND(H544*K541,2)</f>
        <v>365229</v>
      </c>
      <c r="M544" s="34"/>
      <c r="N544" s="166"/>
      <c r="O544" s="156">
        <f>ROUND(H544*N541,2)</f>
        <v>0</v>
      </c>
      <c r="P544" s="166"/>
      <c r="Q544" s="156">
        <f>ROUND(H544*P541,2)</f>
        <v>0</v>
      </c>
      <c r="R544" s="166"/>
      <c r="S544" s="156">
        <f>ROUND(H544*R541,2)</f>
        <v>0</v>
      </c>
      <c r="T544" s="34"/>
      <c r="U544" s="34"/>
      <c r="V544" s="166"/>
      <c r="W544" s="166"/>
      <c r="X544" s="166"/>
      <c r="Y544" s="156">
        <f>ROUND(H544*X541,2)</f>
        <v>0</v>
      </c>
      <c r="Z544" s="166"/>
      <c r="AA544" s="156">
        <f>ROUND(H544*Z541,2)</f>
        <v>0</v>
      </c>
      <c r="AB544" s="156">
        <f>ROUND(H544*W541,2)</f>
        <v>365229</v>
      </c>
    </row>
    <row r="545" spans="1:28" x14ac:dyDescent="0.25">
      <c r="A545" s="168">
        <v>87</v>
      </c>
      <c r="B545" s="84" t="s">
        <v>1095</v>
      </c>
      <c r="C545" s="34">
        <v>478</v>
      </c>
      <c r="D545" s="144" t="s">
        <v>161</v>
      </c>
      <c r="E545" s="168" t="s">
        <v>113</v>
      </c>
      <c r="F545" s="34"/>
      <c r="G545" s="169"/>
      <c r="H545" s="60">
        <f>SUM(H546:H546)</f>
        <v>981.72</v>
      </c>
      <c r="I545" s="166">
        <v>1595455</v>
      </c>
      <c r="J545" s="166">
        <f>ROUND(H545*I545,0)</f>
        <v>1566290083</v>
      </c>
      <c r="K545" s="166">
        <f>'Tổng hợp VL,NC,M'!I578</f>
        <v>1595455</v>
      </c>
      <c r="L545" s="166">
        <f>ROUND(H545*K545,0)</f>
        <v>1566290083</v>
      </c>
      <c r="M545" s="34">
        <v>1</v>
      </c>
      <c r="N545" s="166"/>
      <c r="O545" s="166">
        <f>ROUND(H545*N545,0)</f>
        <v>0</v>
      </c>
      <c r="P545" s="166"/>
      <c r="Q545" s="166">
        <f>ROUND(H545*P545,0)</f>
        <v>0</v>
      </c>
      <c r="R545" s="166"/>
      <c r="S545" s="166">
        <f>ROUND(H545*R545,0)</f>
        <v>0</v>
      </c>
      <c r="T545" s="34"/>
      <c r="U545" s="34"/>
      <c r="V545" s="166">
        <f>ROUND((K545+N545+P545+R545)*(U545+T545),0)</f>
        <v>0</v>
      </c>
      <c r="W545" s="166">
        <f>K545+N545+P545+R545+V545</f>
        <v>1595455</v>
      </c>
      <c r="X545" s="166">
        <f>K545-I545</f>
        <v>0</v>
      </c>
      <c r="Y545" s="166">
        <f>ROUND(H545*X545,0)</f>
        <v>0</v>
      </c>
      <c r="Z545" s="166">
        <f>W545-I545</f>
        <v>0</v>
      </c>
      <c r="AA545" s="166">
        <f>ROUND(H545*Z545,0)</f>
        <v>0</v>
      </c>
      <c r="AB545" s="166">
        <f>ROUND(H545*W545,0)</f>
        <v>1566290083</v>
      </c>
    </row>
    <row r="546" spans="1:28" ht="60" hidden="1" x14ac:dyDescent="0.25">
      <c r="A546" s="168"/>
      <c r="B546" s="133" t="str">
        <f>'Công trình'!B26</f>
        <v>AC.12412</v>
      </c>
      <c r="C546" s="34"/>
      <c r="D546" s="133" t="str">
        <f>'Công trình'!C26</f>
        <v>Đóng cọc cừ máng bê tông dự ứng lực trên cạn bằng búa rung kết hợp tách mũi nước áp lực SW600A, chiều cao máng cọc 60-84cm, L=18M</v>
      </c>
      <c r="E546" s="168"/>
      <c r="F546" s="20">
        <v>1</v>
      </c>
      <c r="G546" s="169"/>
      <c r="H546" s="45">
        <f>'Hao phí vật tư'!J182</f>
        <v>981.72</v>
      </c>
      <c r="I546" s="166"/>
      <c r="J546" s="156">
        <f>ROUND(H546*I545,2)</f>
        <v>1566290082.5999999</v>
      </c>
      <c r="K546" s="166"/>
      <c r="L546" s="156">
        <f>ROUND(H546*K545,2)</f>
        <v>1566290082.5999999</v>
      </c>
      <c r="M546" s="34"/>
      <c r="N546" s="166"/>
      <c r="O546" s="156">
        <f>ROUND(H546*N545,2)</f>
        <v>0</v>
      </c>
      <c r="P546" s="166"/>
      <c r="Q546" s="156">
        <f>ROUND(H546*P545,2)</f>
        <v>0</v>
      </c>
      <c r="R546" s="166"/>
      <c r="S546" s="156">
        <f>ROUND(H546*R545,2)</f>
        <v>0</v>
      </c>
      <c r="T546" s="34"/>
      <c r="U546" s="34"/>
      <c r="V546" s="166"/>
      <c r="W546" s="166"/>
      <c r="X546" s="166"/>
      <c r="Y546" s="156">
        <f>ROUND(H546*X545,2)</f>
        <v>0</v>
      </c>
      <c r="Z546" s="166"/>
      <c r="AA546" s="156">
        <f>ROUND(H546*Z545,2)</f>
        <v>0</v>
      </c>
      <c r="AB546" s="156">
        <f>ROUND(H546*W545,2)</f>
        <v>1566290082.5999999</v>
      </c>
    </row>
    <row r="547" spans="1:28" x14ac:dyDescent="0.25">
      <c r="A547" s="168">
        <v>88</v>
      </c>
      <c r="B547" s="84" t="s">
        <v>1180</v>
      </c>
      <c r="C547" s="34">
        <v>173</v>
      </c>
      <c r="D547" s="144" t="s">
        <v>1000</v>
      </c>
      <c r="E547" s="168" t="s">
        <v>1123</v>
      </c>
      <c r="F547" s="34"/>
      <c r="G547" s="169"/>
      <c r="H547" s="60">
        <f>SUM(H548:H548)</f>
        <v>14</v>
      </c>
      <c r="I547" s="166">
        <v>12500</v>
      </c>
      <c r="J547" s="166">
        <f>ROUND(H547*I547,0)</f>
        <v>175000</v>
      </c>
      <c r="K547" s="166">
        <f>'Tổng hợp VL,NC,M'!I580</f>
        <v>12500</v>
      </c>
      <c r="L547" s="166">
        <f>ROUND(H547*K547,0)</f>
        <v>175000</v>
      </c>
      <c r="M547" s="34">
        <v>1</v>
      </c>
      <c r="N547" s="166"/>
      <c r="O547" s="166">
        <f>ROUND(H547*N547,0)</f>
        <v>0</v>
      </c>
      <c r="P547" s="166"/>
      <c r="Q547" s="166">
        <f>ROUND(H547*P547,0)</f>
        <v>0</v>
      </c>
      <c r="R547" s="166"/>
      <c r="S547" s="166">
        <f>ROUND(H547*R547,0)</f>
        <v>0</v>
      </c>
      <c r="T547" s="34"/>
      <c r="U547" s="34"/>
      <c r="V547" s="166">
        <f>ROUND((K547+N547+P547+R547)*(U547+T547),0)</f>
        <v>0</v>
      </c>
      <c r="W547" s="166">
        <f>K547+N547+P547+R547+V547</f>
        <v>12500</v>
      </c>
      <c r="X547" s="166">
        <f>K547-I547</f>
        <v>0</v>
      </c>
      <c r="Y547" s="166">
        <f>ROUND(H547*X547,0)</f>
        <v>0</v>
      </c>
      <c r="Z547" s="166">
        <f>W547-I547</f>
        <v>0</v>
      </c>
      <c r="AA547" s="166">
        <f>ROUND(H547*Z547,0)</f>
        <v>0</v>
      </c>
      <c r="AB547" s="166">
        <f>ROUND(H547*W547,0)</f>
        <v>175000</v>
      </c>
    </row>
    <row r="548" spans="1:28" hidden="1" x14ac:dyDescent="0.25">
      <c r="A548" s="168"/>
      <c r="B548" s="133" t="str">
        <f>'Công trình'!B102</f>
        <v>TT</v>
      </c>
      <c r="C548" s="34"/>
      <c r="D548" s="133" t="str">
        <f>'Công trình'!C102</f>
        <v>Tăng đơ M10</v>
      </c>
      <c r="E548" s="168"/>
      <c r="F548" s="20">
        <v>1</v>
      </c>
      <c r="G548" s="169"/>
      <c r="H548" s="45">
        <f>'Hao phí vật tư'!J826</f>
        <v>14</v>
      </c>
      <c r="I548" s="166"/>
      <c r="J548" s="156">
        <f>ROUND(H548*I547,2)</f>
        <v>175000</v>
      </c>
      <c r="K548" s="166"/>
      <c r="L548" s="156">
        <f>ROUND(H548*K547,2)</f>
        <v>175000</v>
      </c>
      <c r="M548" s="34"/>
      <c r="N548" s="166"/>
      <c r="O548" s="156">
        <f>ROUND(H548*N547,2)</f>
        <v>0</v>
      </c>
      <c r="P548" s="166"/>
      <c r="Q548" s="156">
        <f>ROUND(H548*P547,2)</f>
        <v>0</v>
      </c>
      <c r="R548" s="166"/>
      <c r="S548" s="156">
        <f>ROUND(H548*R547,2)</f>
        <v>0</v>
      </c>
      <c r="T548" s="34"/>
      <c r="U548" s="34"/>
      <c r="V548" s="166"/>
      <c r="W548" s="166"/>
      <c r="X548" s="166"/>
      <c r="Y548" s="156">
        <f>ROUND(H548*X547,2)</f>
        <v>0</v>
      </c>
      <c r="Z548" s="166"/>
      <c r="AA548" s="156">
        <f>ROUND(H548*Z547,2)</f>
        <v>0</v>
      </c>
      <c r="AB548" s="156">
        <f>ROUND(H548*W547,2)</f>
        <v>175000</v>
      </c>
    </row>
    <row r="549" spans="1:28" ht="30" x14ac:dyDescent="0.25">
      <c r="A549" s="168">
        <v>89</v>
      </c>
      <c r="B549" s="84" t="s">
        <v>1144</v>
      </c>
      <c r="C549" s="34">
        <v>493</v>
      </c>
      <c r="D549" s="144" t="s">
        <v>1131</v>
      </c>
      <c r="E549" s="168" t="s">
        <v>555</v>
      </c>
      <c r="F549" s="34"/>
      <c r="G549" s="169"/>
      <c r="H549" s="60">
        <f>SUM(H550:H550)</f>
        <v>633.21600000000001</v>
      </c>
      <c r="I549" s="166">
        <v>59000</v>
      </c>
      <c r="J549" s="166">
        <f>ROUND(H549*I549,0)</f>
        <v>37359744</v>
      </c>
      <c r="K549" s="166">
        <f>'Tổng hợp VL,NC,M'!I582</f>
        <v>59000</v>
      </c>
      <c r="L549" s="166">
        <f>ROUND(H549*K549,0)</f>
        <v>37359744</v>
      </c>
      <c r="M549" s="34">
        <v>1</v>
      </c>
      <c r="N549" s="166"/>
      <c r="O549" s="166">
        <f>ROUND(H549*N549,0)</f>
        <v>0</v>
      </c>
      <c r="P549" s="166"/>
      <c r="Q549" s="166">
        <f>ROUND(H549*P549,0)</f>
        <v>0</v>
      </c>
      <c r="R549" s="166"/>
      <c r="S549" s="166">
        <f>ROUND(H549*R549,0)</f>
        <v>0</v>
      </c>
      <c r="T549" s="34"/>
      <c r="U549" s="34"/>
      <c r="V549" s="166">
        <f>ROUND((K549+N549+P549+R549)*(U549+T549),0)</f>
        <v>0</v>
      </c>
      <c r="W549" s="166">
        <f>K549+N549+P549+R549+V549</f>
        <v>59000</v>
      </c>
      <c r="X549" s="166">
        <f>K549-I549</f>
        <v>0</v>
      </c>
      <c r="Y549" s="166">
        <f>ROUND(H549*X549,0)</f>
        <v>0</v>
      </c>
      <c r="Z549" s="166">
        <f>W549-I549</f>
        <v>0</v>
      </c>
      <c r="AA549" s="166">
        <f>ROUND(H549*Z549,0)</f>
        <v>0</v>
      </c>
      <c r="AB549" s="166">
        <f>ROUND(H549*W549,0)</f>
        <v>37359744</v>
      </c>
    </row>
    <row r="550" spans="1:28" hidden="1" x14ac:dyDescent="0.25">
      <c r="A550" s="168"/>
      <c r="B550" s="133" t="str">
        <f>'Công trình'!B24</f>
        <v>AF.61130</v>
      </c>
      <c r="C550" s="34"/>
      <c r="D550" s="133" t="str">
        <f>'Công trình'!C24</f>
        <v>Neo dầm mang cống bằng thép D32 SUS304</v>
      </c>
      <c r="E550" s="168"/>
      <c r="F550" s="20">
        <v>1</v>
      </c>
      <c r="G550" s="169"/>
      <c r="H550" s="45">
        <f>'Hao phí vật tư'!J169</f>
        <v>633.21600000000001</v>
      </c>
      <c r="I550" s="166"/>
      <c r="J550" s="156">
        <f>ROUND(H550*I549,2)</f>
        <v>37359744</v>
      </c>
      <c r="K550" s="166"/>
      <c r="L550" s="156">
        <f>ROUND(H550*K549,2)</f>
        <v>37359744</v>
      </c>
      <c r="M550" s="34"/>
      <c r="N550" s="166"/>
      <c r="O550" s="156">
        <f>ROUND(H550*N549,2)</f>
        <v>0</v>
      </c>
      <c r="P550" s="166"/>
      <c r="Q550" s="156">
        <f>ROUND(H550*P549,2)</f>
        <v>0</v>
      </c>
      <c r="R550" s="166"/>
      <c r="S550" s="156">
        <f>ROUND(H550*R549,2)</f>
        <v>0</v>
      </c>
      <c r="T550" s="34"/>
      <c r="U550" s="34"/>
      <c r="V550" s="166"/>
      <c r="W550" s="166"/>
      <c r="X550" s="166"/>
      <c r="Y550" s="156">
        <f>ROUND(H550*X549,2)</f>
        <v>0</v>
      </c>
      <c r="Z550" s="166"/>
      <c r="AA550" s="156">
        <f>ROUND(H550*Z549,2)</f>
        <v>0</v>
      </c>
      <c r="AB550" s="156">
        <f>ROUND(H550*W549,2)</f>
        <v>37359744</v>
      </c>
    </row>
    <row r="551" spans="1:28" x14ac:dyDescent="0.25">
      <c r="A551" s="168">
        <v>90</v>
      </c>
      <c r="B551" s="84" t="s">
        <v>308</v>
      </c>
      <c r="C551" s="34">
        <v>158</v>
      </c>
      <c r="D551" s="144" t="s">
        <v>857</v>
      </c>
      <c r="E551" s="168" t="s">
        <v>555</v>
      </c>
      <c r="F551" s="34"/>
      <c r="G551" s="169"/>
      <c r="H551" s="60">
        <f>SUM(H552:H553)</f>
        <v>0</v>
      </c>
      <c r="I551" s="166">
        <v>16050</v>
      </c>
      <c r="J551" s="166">
        <f>ROUND(H551*I551,0)</f>
        <v>0</v>
      </c>
      <c r="K551" s="139">
        <f>'Tổng hợp VL,NC,M'!I584</f>
        <v>15291</v>
      </c>
      <c r="L551" s="166">
        <f>ROUND(H551*K551,0)</f>
        <v>0</v>
      </c>
      <c r="M551" s="34">
        <v>1</v>
      </c>
      <c r="N551" s="166"/>
      <c r="O551" s="166">
        <f>ROUND(H551*N551,0)</f>
        <v>0</v>
      </c>
      <c r="P551" s="166"/>
      <c r="Q551" s="166">
        <f>ROUND(H551*P551,0)</f>
        <v>0</v>
      </c>
      <c r="R551" s="166"/>
      <c r="S551" s="166">
        <f>ROUND(H551*R551,0)</f>
        <v>0</v>
      </c>
      <c r="T551" s="34"/>
      <c r="U551" s="34"/>
      <c r="V551" s="166">
        <f>ROUND((K551+N551+P551+R551)*(U551+T551),0)</f>
        <v>0</v>
      </c>
      <c r="W551" s="139">
        <f>K551+N551+P551+R551+V551</f>
        <v>15291</v>
      </c>
      <c r="X551" s="166">
        <f>K551-I551</f>
        <v>-759</v>
      </c>
      <c r="Y551" s="166">
        <f>ROUND(H551*X551,0)</f>
        <v>0</v>
      </c>
      <c r="Z551" s="166">
        <f>W551-I551</f>
        <v>-759</v>
      </c>
      <c r="AA551" s="166">
        <f>ROUND(H551*Z551,0)</f>
        <v>0</v>
      </c>
      <c r="AB551" s="166">
        <f>ROUND(H551*W551,0)</f>
        <v>0</v>
      </c>
    </row>
    <row r="552" spans="1:28" hidden="1" x14ac:dyDescent="0.25">
      <c r="A552" s="168"/>
      <c r="B552" s="133" t="str">
        <f>'Công trình'!B76</f>
        <v>AC.29341</v>
      </c>
      <c r="C552" s="34"/>
      <c r="D552" s="133" t="str">
        <f>'Công trình'!C76</f>
        <v>Nối cọc BTCT 35x35cm</v>
      </c>
      <c r="E552" s="168"/>
      <c r="F552" s="20">
        <v>1</v>
      </c>
      <c r="G552" s="169"/>
      <c r="H552" s="45">
        <f>'Hao phí vật tư'!J603</f>
        <v>0</v>
      </c>
      <c r="I552" s="166"/>
      <c r="J552" s="156">
        <f>ROUND(H552*I551,2)</f>
        <v>0</v>
      </c>
      <c r="K552" s="166"/>
      <c r="L552" s="156">
        <f>ROUND(H552*K551,2)</f>
        <v>0</v>
      </c>
      <c r="M552" s="34"/>
      <c r="N552" s="166"/>
      <c r="O552" s="156">
        <f>ROUND(H552*N551,2)</f>
        <v>0</v>
      </c>
      <c r="P552" s="166"/>
      <c r="Q552" s="156">
        <f>ROUND(H552*P551,2)</f>
        <v>0</v>
      </c>
      <c r="R552" s="166"/>
      <c r="S552" s="156">
        <f>ROUND(H552*R551,2)</f>
        <v>0</v>
      </c>
      <c r="T552" s="34"/>
      <c r="U552" s="34"/>
      <c r="V552" s="166"/>
      <c r="W552" s="166"/>
      <c r="X552" s="166"/>
      <c r="Y552" s="156">
        <f>ROUND(H552*X551,2)</f>
        <v>0</v>
      </c>
      <c r="Z552" s="166"/>
      <c r="AA552" s="156">
        <f>ROUND(H552*Z551,2)</f>
        <v>0</v>
      </c>
      <c r="AB552" s="156">
        <f>ROUND(H552*W551,2)</f>
        <v>0</v>
      </c>
    </row>
    <row r="553" spans="1:28" hidden="1" x14ac:dyDescent="0.25">
      <c r="A553" s="168"/>
      <c r="B553" s="133" t="str">
        <f>'Công trình'!B234</f>
        <v>AC.29341</v>
      </c>
      <c r="C553" s="34"/>
      <c r="D553" s="133" t="str">
        <f>'Công trình'!C234</f>
        <v>Nối cọc BTCT 35x35cm</v>
      </c>
      <c r="E553" s="168"/>
      <c r="F553" s="20">
        <v>1</v>
      </c>
      <c r="G553" s="169"/>
      <c r="H553" s="45">
        <f>'Hao phí vật tư'!J1785</f>
        <v>0</v>
      </c>
      <c r="I553" s="166"/>
      <c r="J553" s="156">
        <f>ROUND(H553*I551,2)</f>
        <v>0</v>
      </c>
      <c r="K553" s="166"/>
      <c r="L553" s="156">
        <f>ROUND(H553*K551,2)</f>
        <v>0</v>
      </c>
      <c r="M553" s="34"/>
      <c r="N553" s="166"/>
      <c r="O553" s="156">
        <f>ROUND(H553*N551,2)</f>
        <v>0</v>
      </c>
      <c r="P553" s="166"/>
      <c r="Q553" s="156">
        <f>ROUND(H553*P551,2)</f>
        <v>0</v>
      </c>
      <c r="R553" s="166"/>
      <c r="S553" s="156">
        <f>ROUND(H553*R551,2)</f>
        <v>0</v>
      </c>
      <c r="T553" s="34"/>
      <c r="U553" s="34"/>
      <c r="V553" s="166"/>
      <c r="W553" s="166"/>
      <c r="X553" s="166"/>
      <c r="Y553" s="156">
        <f>ROUND(H553*X551,2)</f>
        <v>0</v>
      </c>
      <c r="Z553" s="166"/>
      <c r="AA553" s="156">
        <f>ROUND(H553*Z551,2)</f>
        <v>0</v>
      </c>
      <c r="AB553" s="156">
        <f>ROUND(H553*W551,2)</f>
        <v>0</v>
      </c>
    </row>
    <row r="554" spans="1:28" x14ac:dyDescent="0.25">
      <c r="A554" s="168">
        <v>91</v>
      </c>
      <c r="B554" s="84" t="s">
        <v>209</v>
      </c>
      <c r="C554" s="34">
        <v>159</v>
      </c>
      <c r="D554" s="144" t="s">
        <v>932</v>
      </c>
      <c r="E554" s="168" t="s">
        <v>555</v>
      </c>
      <c r="F554" s="34"/>
      <c r="G554" s="169"/>
      <c r="H554" s="60">
        <f>SUM(H555:H555)</f>
        <v>0</v>
      </c>
      <c r="I554" s="166">
        <v>16050</v>
      </c>
      <c r="J554" s="166">
        <f>ROUND(H554*I554,0)</f>
        <v>0</v>
      </c>
      <c r="K554" s="139">
        <f>'Tổng hợp VL,NC,M'!I587</f>
        <v>15291</v>
      </c>
      <c r="L554" s="166">
        <f>ROUND(H554*K554,0)</f>
        <v>0</v>
      </c>
      <c r="M554" s="34">
        <v>1</v>
      </c>
      <c r="N554" s="166"/>
      <c r="O554" s="166">
        <f>ROUND(H554*N554,0)</f>
        <v>0</v>
      </c>
      <c r="P554" s="166"/>
      <c r="Q554" s="166">
        <f>ROUND(H554*P554,0)</f>
        <v>0</v>
      </c>
      <c r="R554" s="166"/>
      <c r="S554" s="166">
        <f>ROUND(H554*R554,0)</f>
        <v>0</v>
      </c>
      <c r="T554" s="34"/>
      <c r="U554" s="34"/>
      <c r="V554" s="166">
        <f>ROUND((K554+N554+P554+R554)*(U554+T554),0)</f>
        <v>0</v>
      </c>
      <c r="W554" s="139">
        <f>K554+N554+P554+R554+V554</f>
        <v>15291</v>
      </c>
      <c r="X554" s="166">
        <f>K554-I554</f>
        <v>-759</v>
      </c>
      <c r="Y554" s="166">
        <f>ROUND(H554*X554,0)</f>
        <v>0</v>
      </c>
      <c r="Z554" s="166">
        <f>W554-I554</f>
        <v>-759</v>
      </c>
      <c r="AA554" s="166">
        <f>ROUND(H554*Z554,0)</f>
        <v>0</v>
      </c>
      <c r="AB554" s="166">
        <f>ROUND(H554*W554,0)</f>
        <v>0</v>
      </c>
    </row>
    <row r="555" spans="1:28" hidden="1" x14ac:dyDescent="0.25">
      <c r="A555" s="168"/>
      <c r="B555" s="133" t="str">
        <f>'Công trình'!B87</f>
        <v>AC.29331</v>
      </c>
      <c r="C555" s="34"/>
      <c r="D555" s="133" t="str">
        <f>'Công trình'!C87</f>
        <v>Nối cọc BTCT 30x30cm</v>
      </c>
      <c r="E555" s="168"/>
      <c r="F555" s="20">
        <v>1</v>
      </c>
      <c r="G555" s="169"/>
      <c r="H555" s="45">
        <f>'Hao phí vật tư'!J719</f>
        <v>0</v>
      </c>
      <c r="I555" s="166"/>
      <c r="J555" s="156">
        <f>ROUND(H555*I554,2)</f>
        <v>0</v>
      </c>
      <c r="K555" s="166"/>
      <c r="L555" s="156">
        <f>ROUND(H555*K554,2)</f>
        <v>0</v>
      </c>
      <c r="M555" s="34"/>
      <c r="N555" s="166"/>
      <c r="O555" s="156">
        <f>ROUND(H555*N554,2)</f>
        <v>0</v>
      </c>
      <c r="P555" s="166"/>
      <c r="Q555" s="156">
        <f>ROUND(H555*P554,2)</f>
        <v>0</v>
      </c>
      <c r="R555" s="166"/>
      <c r="S555" s="156">
        <f>ROUND(H555*R554,2)</f>
        <v>0</v>
      </c>
      <c r="T555" s="34"/>
      <c r="U555" s="34"/>
      <c r="V555" s="166"/>
      <c r="W555" s="166"/>
      <c r="X555" s="166"/>
      <c r="Y555" s="156">
        <f>ROUND(H555*X554,2)</f>
        <v>0</v>
      </c>
      <c r="Z555" s="166"/>
      <c r="AA555" s="156">
        <f>ROUND(H555*Z554,2)</f>
        <v>0</v>
      </c>
      <c r="AB555" s="156">
        <f>ROUND(H555*W554,2)</f>
        <v>0</v>
      </c>
    </row>
    <row r="556" spans="1:28" x14ac:dyDescent="0.25">
      <c r="A556" s="168">
        <v>92</v>
      </c>
      <c r="B556" s="84" t="s">
        <v>165</v>
      </c>
      <c r="C556" s="34">
        <v>160</v>
      </c>
      <c r="D556" s="144" t="s">
        <v>672</v>
      </c>
      <c r="E556" s="168" t="s">
        <v>555</v>
      </c>
      <c r="F556" s="34"/>
      <c r="G556" s="169"/>
      <c r="H556" s="60">
        <f>SUM(H557:H601)</f>
        <v>28320.365499999993</v>
      </c>
      <c r="I556" s="166">
        <v>16050</v>
      </c>
      <c r="J556" s="166">
        <f>ROUND(H556*I556,0)</f>
        <v>454541866</v>
      </c>
      <c r="K556" s="139">
        <f>'Tổng hợp VL,NC,M'!I589</f>
        <v>15291</v>
      </c>
      <c r="L556" s="166">
        <f>ROUND(H556*K556,0)</f>
        <v>433046709</v>
      </c>
      <c r="M556" s="34">
        <v>1</v>
      </c>
      <c r="N556" s="166"/>
      <c r="O556" s="166">
        <f>ROUND(H556*N556,0)</f>
        <v>0</v>
      </c>
      <c r="P556" s="166"/>
      <c r="Q556" s="166">
        <f>ROUND(H556*P556,0)</f>
        <v>0</v>
      </c>
      <c r="R556" s="166"/>
      <c r="S556" s="166">
        <f>ROUND(H556*R556,0)</f>
        <v>0</v>
      </c>
      <c r="T556" s="34"/>
      <c r="U556" s="34"/>
      <c r="V556" s="166">
        <f>ROUND((K556+N556+P556+R556)*(U556+T556),0)</f>
        <v>0</v>
      </c>
      <c r="W556" s="139">
        <f>K556+N556+P556+R556+V556</f>
        <v>15291</v>
      </c>
      <c r="X556" s="166">
        <f>K556-I556</f>
        <v>-759</v>
      </c>
      <c r="Y556" s="166">
        <f>ROUND(H556*X556,0)</f>
        <v>-21495157</v>
      </c>
      <c r="Z556" s="166">
        <f>W556-I556</f>
        <v>-759</v>
      </c>
      <c r="AA556" s="166">
        <f>ROUND(H556*Z556,0)</f>
        <v>-21495157</v>
      </c>
      <c r="AB556" s="166">
        <f>ROUND(H556*W556,0)</f>
        <v>433046709</v>
      </c>
    </row>
    <row r="557" spans="1:28" ht="30" hidden="1" x14ac:dyDescent="0.25">
      <c r="A557" s="168"/>
      <c r="B557" s="133" t="str">
        <f>'Công trình'!B15</f>
        <v>AF.82511</v>
      </c>
      <c r="C557" s="34"/>
      <c r="D557" s="133" t="str">
        <f>'Công trình'!C15</f>
        <v>Sản xuất, lắp dựng, tháo dỡ ván khuôn thép, ván khuôn móng</v>
      </c>
      <c r="E557" s="168"/>
      <c r="F557" s="20">
        <v>1</v>
      </c>
      <c r="G557" s="169"/>
      <c r="H557" s="45">
        <f>'Hao phí vật tư'!J103</f>
        <v>13.832599999999999</v>
      </c>
      <c r="I557" s="166"/>
      <c r="J557" s="156">
        <f>ROUND(H557*I556,2)</f>
        <v>222013.23</v>
      </c>
      <c r="K557" s="166"/>
      <c r="L557" s="156">
        <f>ROUND(H557*K556,2)</f>
        <v>211514.29</v>
      </c>
      <c r="M557" s="34"/>
      <c r="N557" s="166"/>
      <c r="O557" s="156">
        <f>ROUND(H557*N556,2)</f>
        <v>0</v>
      </c>
      <c r="P557" s="166"/>
      <c r="Q557" s="156">
        <f>ROUND(H557*P556,2)</f>
        <v>0</v>
      </c>
      <c r="R557" s="166"/>
      <c r="S557" s="156">
        <f>ROUND(H557*R556,2)</f>
        <v>0</v>
      </c>
      <c r="T557" s="34"/>
      <c r="U557" s="34"/>
      <c r="V557" s="166"/>
      <c r="W557" s="166"/>
      <c r="X557" s="166"/>
      <c r="Y557" s="156">
        <f>ROUND(H557*X556,2)</f>
        <v>-10498.94</v>
      </c>
      <c r="Z557" s="166"/>
      <c r="AA557" s="156">
        <f>ROUND(H557*Z556,2)</f>
        <v>-10498.94</v>
      </c>
      <c r="AB557" s="156">
        <f>ROUND(H557*W556,2)</f>
        <v>211514.29</v>
      </c>
    </row>
    <row r="558" spans="1:28" ht="30" hidden="1" x14ac:dyDescent="0.25">
      <c r="A558" s="168"/>
      <c r="B558" s="133" t="str">
        <f>'Công trình'!B16</f>
        <v>AF.82111</v>
      </c>
      <c r="C558" s="34"/>
      <c r="D558" s="133" t="str">
        <f>'Công trình'!C16</f>
        <v>Sản xuất, lắp dựng tháo dỡ ván khuôn thép tường, chiều cao &lt;=16m</v>
      </c>
      <c r="E558" s="168"/>
      <c r="F558" s="20">
        <v>1</v>
      </c>
      <c r="G558" s="169"/>
      <c r="H558" s="45">
        <f>'Hao phí vật tư'!J113</f>
        <v>174.8081</v>
      </c>
      <c r="I558" s="166"/>
      <c r="J558" s="156">
        <f>ROUND(H558*I556,2)</f>
        <v>2805670.01</v>
      </c>
      <c r="K558" s="166"/>
      <c r="L558" s="156">
        <f>ROUND(H558*K556,2)</f>
        <v>2672990.66</v>
      </c>
      <c r="M558" s="34"/>
      <c r="N558" s="166"/>
      <c r="O558" s="156">
        <f>ROUND(H558*N556,2)</f>
        <v>0</v>
      </c>
      <c r="P558" s="166"/>
      <c r="Q558" s="156">
        <f>ROUND(H558*P556,2)</f>
        <v>0</v>
      </c>
      <c r="R558" s="166"/>
      <c r="S558" s="156">
        <f>ROUND(H558*R556,2)</f>
        <v>0</v>
      </c>
      <c r="T558" s="34"/>
      <c r="U558" s="34"/>
      <c r="V558" s="166"/>
      <c r="W558" s="166"/>
      <c r="X558" s="166"/>
      <c r="Y558" s="156">
        <f>ROUND(H558*X556,2)</f>
        <v>-132679.35</v>
      </c>
      <c r="Z558" s="166"/>
      <c r="AA558" s="156">
        <f>ROUND(H558*Z556,2)</f>
        <v>-132679.35</v>
      </c>
      <c r="AB558" s="156">
        <f>ROUND(H558*W556,2)</f>
        <v>2672990.66</v>
      </c>
    </row>
    <row r="559" spans="1:28" ht="30" hidden="1" x14ac:dyDescent="0.25">
      <c r="A559" s="168"/>
      <c r="B559" s="133" t="str">
        <f>'Công trình'!B19</f>
        <v>AF.82111</v>
      </c>
      <c r="C559" s="34"/>
      <c r="D559" s="133" t="str">
        <f>'Công trình'!C19</f>
        <v>Sản xuất, lắp dựng tháo dỡ ván khuôn thép dầm, giằng, chiều cao &lt;=16m</v>
      </c>
      <c r="E559" s="168"/>
      <c r="F559" s="20">
        <v>1</v>
      </c>
      <c r="G559" s="169"/>
      <c r="H559" s="45">
        <f>'Hao phí vật tư'!J139</f>
        <v>159.17439999999999</v>
      </c>
      <c r="I559" s="166"/>
      <c r="J559" s="156">
        <f>ROUND(H559*I556,2)</f>
        <v>2554749.12</v>
      </c>
      <c r="K559" s="166"/>
      <c r="L559" s="156">
        <f>ROUND(H559*K556,2)</f>
        <v>2433935.75</v>
      </c>
      <c r="M559" s="34"/>
      <c r="N559" s="166"/>
      <c r="O559" s="156">
        <f>ROUND(H559*N556,2)</f>
        <v>0</v>
      </c>
      <c r="P559" s="166"/>
      <c r="Q559" s="156">
        <f>ROUND(H559*P556,2)</f>
        <v>0</v>
      </c>
      <c r="R559" s="166"/>
      <c r="S559" s="156">
        <f>ROUND(H559*R556,2)</f>
        <v>0</v>
      </c>
      <c r="T559" s="34"/>
      <c r="U559" s="34"/>
      <c r="V559" s="166"/>
      <c r="W559" s="166"/>
      <c r="X559" s="166"/>
      <c r="Y559" s="156">
        <f>ROUND(H559*X556,2)</f>
        <v>-120813.37</v>
      </c>
      <c r="Z559" s="166"/>
      <c r="AA559" s="156">
        <f>ROUND(H559*Z556,2)</f>
        <v>-120813.37</v>
      </c>
      <c r="AB559" s="156">
        <f>ROUND(H559*W556,2)</f>
        <v>2433935.75</v>
      </c>
    </row>
    <row r="560" spans="1:28" ht="30" hidden="1" x14ac:dyDescent="0.25">
      <c r="A560" s="168"/>
      <c r="B560" s="133" t="str">
        <f>'Công trình'!B31</f>
        <v>AF.82111</v>
      </c>
      <c r="C560" s="34"/>
      <c r="D560" s="133" t="str">
        <f>'Công trình'!C31</f>
        <v>Sản xuất, lắp dựng tháo dỡ ván khuôn thép tường, chiều cao &lt;=16m</v>
      </c>
      <c r="E560" s="168"/>
      <c r="F560" s="20">
        <v>1</v>
      </c>
      <c r="G560" s="169"/>
      <c r="H560" s="45">
        <f>'Hao phí vật tư'!J219</f>
        <v>56.830199999999998</v>
      </c>
      <c r="I560" s="166"/>
      <c r="J560" s="156">
        <f>ROUND(H560*I556,2)</f>
        <v>912124.71</v>
      </c>
      <c r="K560" s="166"/>
      <c r="L560" s="156">
        <f>ROUND(H560*K556,2)</f>
        <v>868990.59</v>
      </c>
      <c r="M560" s="34"/>
      <c r="N560" s="166"/>
      <c r="O560" s="156">
        <f>ROUND(H560*N556,2)</f>
        <v>0</v>
      </c>
      <c r="P560" s="166"/>
      <c r="Q560" s="156">
        <f>ROUND(H560*P556,2)</f>
        <v>0</v>
      </c>
      <c r="R560" s="166"/>
      <c r="S560" s="156">
        <f>ROUND(H560*R556,2)</f>
        <v>0</v>
      </c>
      <c r="T560" s="34"/>
      <c r="U560" s="34"/>
      <c r="V560" s="166"/>
      <c r="W560" s="166"/>
      <c r="X560" s="166"/>
      <c r="Y560" s="156">
        <f>ROUND(H560*X556,2)</f>
        <v>-43134.12</v>
      </c>
      <c r="Z560" s="166"/>
      <c r="AA560" s="156">
        <f>ROUND(H560*Z556,2)</f>
        <v>-43134.12</v>
      </c>
      <c r="AB560" s="156">
        <f>ROUND(H560*W556,2)</f>
        <v>868990.59</v>
      </c>
    </row>
    <row r="561" spans="1:28" ht="30" hidden="1" x14ac:dyDescent="0.25">
      <c r="A561" s="168"/>
      <c r="B561" s="133" t="str">
        <f>'Công trình'!B59</f>
        <v>AF.82111</v>
      </c>
      <c r="C561" s="34"/>
      <c r="D561" s="133" t="str">
        <f>'Công trình'!C59</f>
        <v>Sản xuất, lắp dựng tháo dỡ ván khuôn thép dầm, giằng, chiều cao &lt;=16m</v>
      </c>
      <c r="E561" s="168"/>
      <c r="F561" s="20">
        <v>1</v>
      </c>
      <c r="G561" s="169"/>
      <c r="H561" s="45">
        <f>'Hao phí vật tư'!J445</f>
        <v>112.59569999999999</v>
      </c>
      <c r="I561" s="166"/>
      <c r="J561" s="156">
        <f>ROUND(H561*I556,2)</f>
        <v>1807160.99</v>
      </c>
      <c r="K561" s="166"/>
      <c r="L561" s="156">
        <f>ROUND(H561*K556,2)</f>
        <v>1721700.85</v>
      </c>
      <c r="M561" s="34"/>
      <c r="N561" s="166"/>
      <c r="O561" s="156">
        <f>ROUND(H561*N556,2)</f>
        <v>0</v>
      </c>
      <c r="P561" s="166"/>
      <c r="Q561" s="156">
        <f>ROUND(H561*P556,2)</f>
        <v>0</v>
      </c>
      <c r="R561" s="166"/>
      <c r="S561" s="156">
        <f>ROUND(H561*R556,2)</f>
        <v>0</v>
      </c>
      <c r="T561" s="34"/>
      <c r="U561" s="34"/>
      <c r="V561" s="166"/>
      <c r="W561" s="166"/>
      <c r="X561" s="166"/>
      <c r="Y561" s="156">
        <f>ROUND(H561*X556,2)</f>
        <v>-85460.14</v>
      </c>
      <c r="Z561" s="166"/>
      <c r="AA561" s="156">
        <f>ROUND(H561*Z556,2)</f>
        <v>-85460.14</v>
      </c>
      <c r="AB561" s="156">
        <f>ROUND(H561*W556,2)</f>
        <v>1721700.85</v>
      </c>
    </row>
    <row r="562" spans="1:28" hidden="1" x14ac:dyDescent="0.25">
      <c r="A562" s="168"/>
      <c r="B562" s="133" t="str">
        <f>'Công trình'!B74</f>
        <v>AI.52211</v>
      </c>
      <c r="C562" s="34"/>
      <c r="D562" s="133" t="str">
        <f>'Công trình'!C74</f>
        <v>Sản xuất kết cấu thép hộp nối cọc</v>
      </c>
      <c r="E562" s="168"/>
      <c r="F562" s="20">
        <v>1</v>
      </c>
      <c r="G562" s="169"/>
      <c r="H562" s="45">
        <f>'Hao phí vật tư'!J578</f>
        <v>2107.12</v>
      </c>
      <c r="I562" s="166"/>
      <c r="J562" s="156">
        <f>ROUND(H562*I556,2)</f>
        <v>33819276</v>
      </c>
      <c r="K562" s="166"/>
      <c r="L562" s="156">
        <f>ROUND(H562*K556,2)</f>
        <v>32219971.920000002</v>
      </c>
      <c r="M562" s="34"/>
      <c r="N562" s="166"/>
      <c r="O562" s="156">
        <f>ROUND(H562*N556,2)</f>
        <v>0</v>
      </c>
      <c r="P562" s="166"/>
      <c r="Q562" s="156">
        <f>ROUND(H562*P556,2)</f>
        <v>0</v>
      </c>
      <c r="R562" s="166"/>
      <c r="S562" s="156">
        <f>ROUND(H562*R556,2)</f>
        <v>0</v>
      </c>
      <c r="T562" s="34"/>
      <c r="U562" s="34"/>
      <c r="V562" s="166"/>
      <c r="W562" s="166"/>
      <c r="X562" s="166"/>
      <c r="Y562" s="156">
        <f>ROUND(H562*X556,2)</f>
        <v>-1599304.08</v>
      </c>
      <c r="Z562" s="166"/>
      <c r="AA562" s="156">
        <f>ROUND(H562*Z556,2)</f>
        <v>-1599304.08</v>
      </c>
      <c r="AB562" s="156">
        <f>ROUND(H562*W556,2)</f>
        <v>32219971.920000002</v>
      </c>
    </row>
    <row r="563" spans="1:28" hidden="1" x14ac:dyDescent="0.25">
      <c r="A563" s="168"/>
      <c r="B563" s="133" t="str">
        <f>'Công trình'!B85</f>
        <v>AI.52211</v>
      </c>
      <c r="C563" s="34"/>
      <c r="D563" s="133" t="str">
        <f>'Công trình'!C85</f>
        <v>Sản xuất kết cấu thép hộp nối cọc</v>
      </c>
      <c r="E563" s="168"/>
      <c r="F563" s="20">
        <v>1</v>
      </c>
      <c r="G563" s="169"/>
      <c r="H563" s="45">
        <f>'Hao phí vật tư'!J694</f>
        <v>916.48</v>
      </c>
      <c r="I563" s="166"/>
      <c r="J563" s="156">
        <f>ROUND(H563*I556,2)</f>
        <v>14709504</v>
      </c>
      <c r="K563" s="166"/>
      <c r="L563" s="156">
        <f>ROUND(H563*K556,2)</f>
        <v>14013895.68</v>
      </c>
      <c r="M563" s="34"/>
      <c r="N563" s="166"/>
      <c r="O563" s="156">
        <f>ROUND(H563*N556,2)</f>
        <v>0</v>
      </c>
      <c r="P563" s="166"/>
      <c r="Q563" s="156">
        <f>ROUND(H563*P556,2)</f>
        <v>0</v>
      </c>
      <c r="R563" s="166"/>
      <c r="S563" s="156">
        <f>ROUND(H563*R556,2)</f>
        <v>0</v>
      </c>
      <c r="T563" s="34"/>
      <c r="U563" s="34"/>
      <c r="V563" s="166"/>
      <c r="W563" s="166"/>
      <c r="X563" s="166"/>
      <c r="Y563" s="156">
        <f>ROUND(H563*X556,2)</f>
        <v>-695608.31999999995</v>
      </c>
      <c r="Z563" s="166"/>
      <c r="AA563" s="156">
        <f>ROUND(H563*Z556,2)</f>
        <v>-695608.31999999995</v>
      </c>
      <c r="AB563" s="156">
        <f>ROUND(H563*W556,2)</f>
        <v>14013895.68</v>
      </c>
    </row>
    <row r="564" spans="1:28" ht="30" hidden="1" x14ac:dyDescent="0.25">
      <c r="A564" s="168"/>
      <c r="B564" s="133" t="str">
        <f>'Công trình'!B105</f>
        <v>AI.11131</v>
      </c>
      <c r="C564" s="34"/>
      <c r="D564" s="133" t="str">
        <f>'Công trình'!C105</f>
        <v>Khấu hao cọc dẫn bằng thép hình (đóng nhổ 40 lần trong 1 tháng)</v>
      </c>
      <c r="E564" s="168"/>
      <c r="F564" s="20">
        <v>1</v>
      </c>
      <c r="G564" s="169"/>
      <c r="H564" s="45">
        <f>'Hao phí vật tư'!J847</f>
        <v>2248.2855</v>
      </c>
      <c r="I564" s="166"/>
      <c r="J564" s="156">
        <f>ROUND(H564*I556,2)</f>
        <v>36084982.280000001</v>
      </c>
      <c r="K564" s="166"/>
      <c r="L564" s="156">
        <f>ROUND(H564*K556,2)</f>
        <v>34378533.579999998</v>
      </c>
      <c r="M564" s="34"/>
      <c r="N564" s="166"/>
      <c r="O564" s="156">
        <f>ROUND(H564*N556,2)</f>
        <v>0</v>
      </c>
      <c r="P564" s="166"/>
      <c r="Q564" s="156">
        <f>ROUND(H564*P556,2)</f>
        <v>0</v>
      </c>
      <c r="R564" s="166"/>
      <c r="S564" s="156">
        <f>ROUND(H564*R556,2)</f>
        <v>0</v>
      </c>
      <c r="T564" s="34"/>
      <c r="U564" s="34"/>
      <c r="V564" s="166"/>
      <c r="W564" s="166"/>
      <c r="X564" s="166"/>
      <c r="Y564" s="156">
        <f>ROUND(H564*X556,2)</f>
        <v>-1706448.69</v>
      </c>
      <c r="Z564" s="166"/>
      <c r="AA564" s="156">
        <f>ROUND(H564*Z556,2)</f>
        <v>-1706448.69</v>
      </c>
      <c r="AB564" s="156">
        <f>ROUND(H564*W556,2)</f>
        <v>34378533.579999998</v>
      </c>
    </row>
    <row r="565" spans="1:28" hidden="1" x14ac:dyDescent="0.25">
      <c r="A565" s="168"/>
      <c r="B565" s="133" t="str">
        <f>'Công trình'!B109</f>
        <v>AI.11912</v>
      </c>
      <c r="C565" s="34"/>
      <c r="D565" s="133" t="str">
        <f>'Công trình'!C109</f>
        <v>Sản xuất hệ sàn đạo, sàn thao tác</v>
      </c>
      <c r="E565" s="168"/>
      <c r="F565" s="20">
        <v>1</v>
      </c>
      <c r="G565" s="169"/>
      <c r="H565" s="45">
        <f>'Hao phí vật tư'!J867</f>
        <v>0</v>
      </c>
      <c r="I565" s="166"/>
      <c r="J565" s="156">
        <f>ROUND(H565*I556,2)</f>
        <v>0</v>
      </c>
      <c r="K565" s="166"/>
      <c r="L565" s="156">
        <f>ROUND(H565*K556,2)</f>
        <v>0</v>
      </c>
      <c r="M565" s="34"/>
      <c r="N565" s="166"/>
      <c r="O565" s="156">
        <f>ROUND(H565*N556,2)</f>
        <v>0</v>
      </c>
      <c r="P565" s="166"/>
      <c r="Q565" s="156">
        <f>ROUND(H565*P556,2)</f>
        <v>0</v>
      </c>
      <c r="R565" s="166"/>
      <c r="S565" s="156">
        <f>ROUND(H565*R556,2)</f>
        <v>0</v>
      </c>
      <c r="T565" s="34"/>
      <c r="U565" s="34"/>
      <c r="V565" s="166"/>
      <c r="W565" s="166"/>
      <c r="X565" s="166"/>
      <c r="Y565" s="156">
        <f>ROUND(H565*X556,2)</f>
        <v>0</v>
      </c>
      <c r="Z565" s="166"/>
      <c r="AA565" s="156">
        <f>ROUND(H565*Z556,2)</f>
        <v>0</v>
      </c>
      <c r="AB565" s="156">
        <f>ROUND(H565*W556,2)</f>
        <v>0</v>
      </c>
    </row>
    <row r="566" spans="1:28" ht="30" hidden="1" x14ac:dyDescent="0.25">
      <c r="A566" s="168"/>
      <c r="B566" s="133" t="str">
        <f>'Công trình'!B110</f>
        <v>TT</v>
      </c>
      <c r="C566" s="34"/>
      <c r="D566" s="133" t="str">
        <f>'Công trình'!C110</f>
        <v>Khấu hao hệ sàn đạo, sàn thao tác (Thi công trong vòng 1 tháng và 5 lần đóng nhổ)</v>
      </c>
      <c r="E566" s="168"/>
      <c r="F566" s="20">
        <v>1</v>
      </c>
      <c r="G566" s="169"/>
      <c r="H566" s="45">
        <f>'Hao phí vật tư'!J881</f>
        <v>652.28039999999999</v>
      </c>
      <c r="I566" s="166"/>
      <c r="J566" s="156">
        <f>ROUND(H566*I556,2)</f>
        <v>10469100.42</v>
      </c>
      <c r="K566" s="166"/>
      <c r="L566" s="156">
        <f>ROUND(H566*K556,2)</f>
        <v>9974019.5999999996</v>
      </c>
      <c r="M566" s="34"/>
      <c r="N566" s="166"/>
      <c r="O566" s="156">
        <f>ROUND(H566*N556,2)</f>
        <v>0</v>
      </c>
      <c r="P566" s="166"/>
      <c r="Q566" s="156">
        <f>ROUND(H566*P556,2)</f>
        <v>0</v>
      </c>
      <c r="R566" s="166"/>
      <c r="S566" s="156">
        <f>ROUND(H566*R556,2)</f>
        <v>0</v>
      </c>
      <c r="T566" s="34"/>
      <c r="U566" s="34"/>
      <c r="V566" s="166"/>
      <c r="W566" s="166"/>
      <c r="X566" s="166"/>
      <c r="Y566" s="156">
        <f>ROUND(H566*X556,2)</f>
        <v>-495080.82</v>
      </c>
      <c r="Z566" s="166"/>
      <c r="AA566" s="156">
        <f>ROUND(H566*Z556,2)</f>
        <v>-495080.82</v>
      </c>
      <c r="AB566" s="156">
        <f>ROUND(H566*W556,2)</f>
        <v>9974019.5999999996</v>
      </c>
    </row>
    <row r="567" spans="1:28" hidden="1" x14ac:dyDescent="0.25">
      <c r="A567" s="168"/>
      <c r="B567" s="133" t="str">
        <f>'Công trình'!B104</f>
        <v>AI.11131</v>
      </c>
      <c r="C567" s="34"/>
      <c r="D567" s="133" t="str">
        <f>'Công trình'!C104</f>
        <v>Sản xuất cọc dẫn bằng thép hình</v>
      </c>
      <c r="E567" s="168"/>
      <c r="F567" s="20">
        <v>1</v>
      </c>
      <c r="G567" s="169"/>
      <c r="H567" s="45">
        <f>'Hao phí vật tư'!J831</f>
        <v>0</v>
      </c>
      <c r="I567" s="166"/>
      <c r="J567" s="156">
        <f>ROUND(H567*I556,2)</f>
        <v>0</v>
      </c>
      <c r="K567" s="166"/>
      <c r="L567" s="156">
        <f>ROUND(H567*K556,2)</f>
        <v>0</v>
      </c>
      <c r="M567" s="34"/>
      <c r="N567" s="166"/>
      <c r="O567" s="156">
        <f>ROUND(H567*N556,2)</f>
        <v>0</v>
      </c>
      <c r="P567" s="166"/>
      <c r="Q567" s="156">
        <f>ROUND(H567*P556,2)</f>
        <v>0</v>
      </c>
      <c r="R567" s="166"/>
      <c r="S567" s="156">
        <f>ROUND(H567*R556,2)</f>
        <v>0</v>
      </c>
      <c r="T567" s="34"/>
      <c r="U567" s="34"/>
      <c r="V567" s="166"/>
      <c r="W567" s="166"/>
      <c r="X567" s="166"/>
      <c r="Y567" s="156">
        <f>ROUND(H567*X556,2)</f>
        <v>0</v>
      </c>
      <c r="Z567" s="166"/>
      <c r="AA567" s="156">
        <f>ROUND(H567*Z556,2)</f>
        <v>0</v>
      </c>
      <c r="AB567" s="156">
        <f>ROUND(H567*W556,2)</f>
        <v>0</v>
      </c>
    </row>
    <row r="568" spans="1:28" hidden="1" x14ac:dyDescent="0.25">
      <c r="A568" s="168"/>
      <c r="B568" s="133" t="str">
        <f>'Công trình'!B120</f>
        <v>AI.11912</v>
      </c>
      <c r="C568" s="34"/>
      <c r="D568" s="133" t="str">
        <f>'Công trình'!C120</f>
        <v>Sản xuất hệ sàn đạo, sàn thao tác</v>
      </c>
      <c r="E568" s="168"/>
      <c r="F568" s="20">
        <v>1</v>
      </c>
      <c r="G568" s="169"/>
      <c r="H568" s="45">
        <f>'Hao phí vật tư'!J939</f>
        <v>0</v>
      </c>
      <c r="I568" s="166"/>
      <c r="J568" s="156">
        <f>ROUND(H568*I556,2)</f>
        <v>0</v>
      </c>
      <c r="K568" s="166"/>
      <c r="L568" s="156">
        <f>ROUND(H568*K556,2)</f>
        <v>0</v>
      </c>
      <c r="M568" s="34"/>
      <c r="N568" s="166"/>
      <c r="O568" s="156">
        <f>ROUND(H568*N556,2)</f>
        <v>0</v>
      </c>
      <c r="P568" s="166"/>
      <c r="Q568" s="156">
        <f>ROUND(H568*P556,2)</f>
        <v>0</v>
      </c>
      <c r="R568" s="166"/>
      <c r="S568" s="156">
        <f>ROUND(H568*R556,2)</f>
        <v>0</v>
      </c>
      <c r="T568" s="34"/>
      <c r="U568" s="34"/>
      <c r="V568" s="166"/>
      <c r="W568" s="166"/>
      <c r="X568" s="166"/>
      <c r="Y568" s="156">
        <f>ROUND(H568*X556,2)</f>
        <v>0</v>
      </c>
      <c r="Z568" s="166"/>
      <c r="AA568" s="156">
        <f>ROUND(H568*Z556,2)</f>
        <v>0</v>
      </c>
      <c r="AB568" s="156">
        <f>ROUND(H568*W556,2)</f>
        <v>0</v>
      </c>
    </row>
    <row r="569" spans="1:28" ht="30" hidden="1" x14ac:dyDescent="0.25">
      <c r="A569" s="168"/>
      <c r="B569" s="133" t="str">
        <f>'Công trình'!B121</f>
        <v>TT</v>
      </c>
      <c r="C569" s="34"/>
      <c r="D569" s="133" t="str">
        <f>'Công trình'!C121</f>
        <v>Khấu hao hệ sàn đạo, sàn thao tác (Thi công trong vòng 1 tháng và 4 lần đóng nhổ)</v>
      </c>
      <c r="E569" s="168"/>
      <c r="F569" s="20">
        <v>1</v>
      </c>
      <c r="G569" s="169"/>
      <c r="H569" s="45">
        <f>'Hao phí vật tư'!J953</f>
        <v>1089.2043000000001</v>
      </c>
      <c r="I569" s="166"/>
      <c r="J569" s="156">
        <f>ROUND(H569*I556,2)</f>
        <v>17481729.02</v>
      </c>
      <c r="K569" s="166"/>
      <c r="L569" s="156">
        <f>ROUND(H569*K556,2)</f>
        <v>16655022.949999999</v>
      </c>
      <c r="M569" s="34"/>
      <c r="N569" s="166"/>
      <c r="O569" s="156">
        <f>ROUND(H569*N556,2)</f>
        <v>0</v>
      </c>
      <c r="P569" s="166"/>
      <c r="Q569" s="156">
        <f>ROUND(H569*P556,2)</f>
        <v>0</v>
      </c>
      <c r="R569" s="166"/>
      <c r="S569" s="156">
        <f>ROUND(H569*R556,2)</f>
        <v>0</v>
      </c>
      <c r="T569" s="34"/>
      <c r="U569" s="34"/>
      <c r="V569" s="166"/>
      <c r="W569" s="166"/>
      <c r="X569" s="166"/>
      <c r="Y569" s="156">
        <f>ROUND(H569*X556,2)</f>
        <v>-826706.06</v>
      </c>
      <c r="Z569" s="166"/>
      <c r="AA569" s="156">
        <f>ROUND(H569*Z556,2)</f>
        <v>-826706.06</v>
      </c>
      <c r="AB569" s="156">
        <f>ROUND(H569*W556,2)</f>
        <v>16655022.949999999</v>
      </c>
    </row>
    <row r="570" spans="1:28" ht="30" hidden="1" x14ac:dyDescent="0.25">
      <c r="A570" s="168"/>
      <c r="B570" s="133" t="str">
        <f>'Công trình'!B112</f>
        <v>AI.63311</v>
      </c>
      <c r="C570" s="34"/>
      <c r="D570" s="133" t="str">
        <f>'Công trình'!C112</f>
        <v>Lắp dựng kết cấu thép hệ khung dàn, sàn đạo trên cạn</v>
      </c>
      <c r="E570" s="168"/>
      <c r="F570" s="20">
        <v>1</v>
      </c>
      <c r="G570" s="169"/>
      <c r="H570" s="45">
        <f>'Hao phí vật tư'!J888</f>
        <v>5.6840000000000002</v>
      </c>
      <c r="I570" s="166"/>
      <c r="J570" s="156">
        <f>ROUND(H570*I556,2)</f>
        <v>91228.2</v>
      </c>
      <c r="K570" s="166"/>
      <c r="L570" s="156">
        <f>ROUND(H570*K556,2)</f>
        <v>86914.04</v>
      </c>
      <c r="M570" s="34"/>
      <c r="N570" s="166"/>
      <c r="O570" s="156">
        <f>ROUND(H570*N556,2)</f>
        <v>0</v>
      </c>
      <c r="P570" s="166"/>
      <c r="Q570" s="156">
        <f>ROUND(H570*P556,2)</f>
        <v>0</v>
      </c>
      <c r="R570" s="166"/>
      <c r="S570" s="156">
        <f>ROUND(H570*R556,2)</f>
        <v>0</v>
      </c>
      <c r="T570" s="34"/>
      <c r="U570" s="34"/>
      <c r="V570" s="166"/>
      <c r="W570" s="166"/>
      <c r="X570" s="166"/>
      <c r="Y570" s="156">
        <f>ROUND(H570*X556,2)</f>
        <v>-4314.16</v>
      </c>
      <c r="Z570" s="166"/>
      <c r="AA570" s="156">
        <f>ROUND(H570*Z556,2)</f>
        <v>-4314.16</v>
      </c>
      <c r="AB570" s="156">
        <f>ROUND(H570*W556,2)</f>
        <v>86914.04</v>
      </c>
    </row>
    <row r="571" spans="1:28" ht="30" hidden="1" x14ac:dyDescent="0.25">
      <c r="A571" s="168"/>
      <c r="B571" s="133" t="str">
        <f>'Công trình'!B113</f>
        <v>AI.63311</v>
      </c>
      <c r="C571" s="34"/>
      <c r="D571" s="133" t="str">
        <f>'Công trình'!C113</f>
        <v>Tháo dỡ kết cấu thép hệ khung dàn, sàn đạo trên cạn (60% Đg)</v>
      </c>
      <c r="E571" s="168"/>
      <c r="F571" s="20">
        <v>1</v>
      </c>
      <c r="G571" s="169"/>
      <c r="H571" s="45">
        <f>'Hao phí vật tư'!J899</f>
        <v>3.4104000000000001</v>
      </c>
      <c r="I571" s="166"/>
      <c r="J571" s="156">
        <f>ROUND(H571*I556,2)</f>
        <v>54736.92</v>
      </c>
      <c r="K571" s="166"/>
      <c r="L571" s="156">
        <f>ROUND(H571*K556,2)</f>
        <v>52148.43</v>
      </c>
      <c r="M571" s="34"/>
      <c r="N571" s="166"/>
      <c r="O571" s="156">
        <f>ROUND(H571*N556,2)</f>
        <v>0</v>
      </c>
      <c r="P571" s="166"/>
      <c r="Q571" s="156">
        <f>ROUND(H571*P556,2)</f>
        <v>0</v>
      </c>
      <c r="R571" s="166"/>
      <c r="S571" s="156">
        <f>ROUND(H571*R556,2)</f>
        <v>0</v>
      </c>
      <c r="T571" s="34"/>
      <c r="U571" s="34"/>
      <c r="V571" s="166"/>
      <c r="W571" s="166"/>
      <c r="X571" s="166"/>
      <c r="Y571" s="156">
        <f>ROUND(H571*X556,2)</f>
        <v>-2588.4899999999998</v>
      </c>
      <c r="Z571" s="166"/>
      <c r="AA571" s="156">
        <f>ROUND(H571*Z556,2)</f>
        <v>-2588.4899999999998</v>
      </c>
      <c r="AB571" s="156">
        <f>ROUND(H571*W556,2)</f>
        <v>52148.43</v>
      </c>
    </row>
    <row r="572" spans="1:28" ht="30" hidden="1" x14ac:dyDescent="0.25">
      <c r="A572" s="168"/>
      <c r="B572" s="133" t="str">
        <f>'Công trình'!B123</f>
        <v>AI.63311</v>
      </c>
      <c r="C572" s="34"/>
      <c r="D572" s="133" t="str">
        <f>'Công trình'!C123</f>
        <v>Lắp dựng kết cấu thép hệ khung dàn, sàn đạo trên cạn</v>
      </c>
      <c r="E572" s="168"/>
      <c r="F572" s="20">
        <v>1</v>
      </c>
      <c r="G572" s="169"/>
      <c r="H572" s="45">
        <f>'Hao phí vật tư'!J960</f>
        <v>2.3424999999999998</v>
      </c>
      <c r="I572" s="166"/>
      <c r="J572" s="156">
        <f>ROUND(H572*I556,2)</f>
        <v>37597.129999999997</v>
      </c>
      <c r="K572" s="166"/>
      <c r="L572" s="156">
        <f>ROUND(H572*K556,2)</f>
        <v>35819.17</v>
      </c>
      <c r="M572" s="34"/>
      <c r="N572" s="166"/>
      <c r="O572" s="156">
        <f>ROUND(H572*N556,2)</f>
        <v>0</v>
      </c>
      <c r="P572" s="166"/>
      <c r="Q572" s="156">
        <f>ROUND(H572*P556,2)</f>
        <v>0</v>
      </c>
      <c r="R572" s="166"/>
      <c r="S572" s="156">
        <f>ROUND(H572*R556,2)</f>
        <v>0</v>
      </c>
      <c r="T572" s="34"/>
      <c r="U572" s="34"/>
      <c r="V572" s="166"/>
      <c r="W572" s="166"/>
      <c r="X572" s="166"/>
      <c r="Y572" s="156">
        <f>ROUND(H572*X556,2)</f>
        <v>-1777.96</v>
      </c>
      <c r="Z572" s="166"/>
      <c r="AA572" s="156">
        <f>ROUND(H572*Z556,2)</f>
        <v>-1777.96</v>
      </c>
      <c r="AB572" s="156">
        <f>ROUND(H572*W556,2)</f>
        <v>35819.17</v>
      </c>
    </row>
    <row r="573" spans="1:28" ht="30" hidden="1" x14ac:dyDescent="0.25">
      <c r="A573" s="168"/>
      <c r="B573" s="133" t="str">
        <f>'Công trình'!B124</f>
        <v>AI.63311</v>
      </c>
      <c r="C573" s="34"/>
      <c r="D573" s="133" t="str">
        <f>'Công trình'!C124</f>
        <v>Tháo dỡ kết cấu thép hệ khung dàn, sàn đạo trên cạn (60% Đg)</v>
      </c>
      <c r="E573" s="168"/>
      <c r="F573" s="20">
        <v>1</v>
      </c>
      <c r="G573" s="169"/>
      <c r="H573" s="45">
        <f>'Hao phí vật tư'!J971</f>
        <v>1.4055</v>
      </c>
      <c r="I573" s="166"/>
      <c r="J573" s="156">
        <f>ROUND(H573*I556,2)</f>
        <v>22558.28</v>
      </c>
      <c r="K573" s="166"/>
      <c r="L573" s="156">
        <f>ROUND(H573*K556,2)</f>
        <v>21491.5</v>
      </c>
      <c r="M573" s="34"/>
      <c r="N573" s="166"/>
      <c r="O573" s="156">
        <f>ROUND(H573*N556,2)</f>
        <v>0</v>
      </c>
      <c r="P573" s="166"/>
      <c r="Q573" s="156">
        <f>ROUND(H573*P556,2)</f>
        <v>0</v>
      </c>
      <c r="R573" s="166"/>
      <c r="S573" s="156">
        <f>ROUND(H573*R556,2)</f>
        <v>0</v>
      </c>
      <c r="T573" s="34"/>
      <c r="U573" s="34"/>
      <c r="V573" s="166"/>
      <c r="W573" s="166"/>
      <c r="X573" s="166"/>
      <c r="Y573" s="156">
        <f>ROUND(H573*X556,2)</f>
        <v>-1066.77</v>
      </c>
      <c r="Z573" s="166"/>
      <c r="AA573" s="156">
        <f>ROUND(H573*Z556,2)</f>
        <v>-1066.77</v>
      </c>
      <c r="AB573" s="156">
        <f>ROUND(H573*W556,2)</f>
        <v>21491.5</v>
      </c>
    </row>
    <row r="574" spans="1:28" hidden="1" x14ac:dyDescent="0.25">
      <c r="A574" s="168"/>
      <c r="B574" s="133" t="str">
        <f>'Công trình'!B136</f>
        <v>AI.11912</v>
      </c>
      <c r="C574" s="34"/>
      <c r="D574" s="133" t="str">
        <f>'Công trình'!C136</f>
        <v>Sản xuất hệ sàn đạo, sàn thao tác</v>
      </c>
      <c r="E574" s="168"/>
      <c r="F574" s="20">
        <v>1</v>
      </c>
      <c r="G574" s="169"/>
      <c r="H574" s="45">
        <f>'Hao phí vật tư'!J1040</f>
        <v>0</v>
      </c>
      <c r="I574" s="166"/>
      <c r="J574" s="156">
        <f>ROUND(H574*I556,2)</f>
        <v>0</v>
      </c>
      <c r="K574" s="166"/>
      <c r="L574" s="156">
        <f>ROUND(H574*K556,2)</f>
        <v>0</v>
      </c>
      <c r="M574" s="34"/>
      <c r="N574" s="166"/>
      <c r="O574" s="156">
        <f>ROUND(H574*N556,2)</f>
        <v>0</v>
      </c>
      <c r="P574" s="166"/>
      <c r="Q574" s="156">
        <f>ROUND(H574*P556,2)</f>
        <v>0</v>
      </c>
      <c r="R574" s="166"/>
      <c r="S574" s="156">
        <f>ROUND(H574*R556,2)</f>
        <v>0</v>
      </c>
      <c r="T574" s="34"/>
      <c r="U574" s="34"/>
      <c r="V574" s="166"/>
      <c r="W574" s="166"/>
      <c r="X574" s="166"/>
      <c r="Y574" s="156">
        <f>ROUND(H574*X556,2)</f>
        <v>0</v>
      </c>
      <c r="Z574" s="166"/>
      <c r="AA574" s="156">
        <f>ROUND(H574*Z556,2)</f>
        <v>0</v>
      </c>
      <c r="AB574" s="156">
        <f>ROUND(H574*W556,2)</f>
        <v>0</v>
      </c>
    </row>
    <row r="575" spans="1:28" ht="30" hidden="1" x14ac:dyDescent="0.25">
      <c r="A575" s="168"/>
      <c r="B575" s="133" t="str">
        <f>'Công trình'!B137</f>
        <v>TT</v>
      </c>
      <c r="C575" s="34"/>
      <c r="D575" s="133" t="str">
        <f>'Công trình'!C137</f>
        <v>Khấu hao hệ sàn đạo, sàn thao tác (Thi công trong vòng 3 tháng và 1 lần đóng nhổ)</v>
      </c>
      <c r="E575" s="168"/>
      <c r="F575" s="20">
        <v>1</v>
      </c>
      <c r="G575" s="169"/>
      <c r="H575" s="45">
        <f>'Hao phí vật tư'!J1054</f>
        <v>7477.7419</v>
      </c>
      <c r="I575" s="166"/>
      <c r="J575" s="156">
        <f>ROUND(H575*I556,2)</f>
        <v>120017757.5</v>
      </c>
      <c r="K575" s="166"/>
      <c r="L575" s="156">
        <f>ROUND(H575*K556,2)</f>
        <v>114342151.39</v>
      </c>
      <c r="M575" s="34"/>
      <c r="N575" s="166"/>
      <c r="O575" s="156">
        <f>ROUND(H575*N556,2)</f>
        <v>0</v>
      </c>
      <c r="P575" s="166"/>
      <c r="Q575" s="156">
        <f>ROUND(H575*P556,2)</f>
        <v>0</v>
      </c>
      <c r="R575" s="166"/>
      <c r="S575" s="156">
        <f>ROUND(H575*R556,2)</f>
        <v>0</v>
      </c>
      <c r="T575" s="34"/>
      <c r="U575" s="34"/>
      <c r="V575" s="166"/>
      <c r="W575" s="166"/>
      <c r="X575" s="166"/>
      <c r="Y575" s="156">
        <f>ROUND(H575*X556,2)</f>
        <v>-5675606.0999999996</v>
      </c>
      <c r="Z575" s="166"/>
      <c r="AA575" s="156">
        <f>ROUND(H575*Z556,2)</f>
        <v>-5675606.0999999996</v>
      </c>
      <c r="AB575" s="156">
        <f>ROUND(H575*W556,2)</f>
        <v>114342151.39</v>
      </c>
    </row>
    <row r="576" spans="1:28" ht="30" hidden="1" x14ac:dyDescent="0.25">
      <c r="A576" s="168"/>
      <c r="B576" s="133" t="str">
        <f>'Công trình'!B139</f>
        <v>AI.63311</v>
      </c>
      <c r="C576" s="34"/>
      <c r="D576" s="133" t="str">
        <f>'Công trình'!C139</f>
        <v>Lắp dựng kết cấu thép hệ khung dàn, sàn đạo trên cạn</v>
      </c>
      <c r="E576" s="168"/>
      <c r="F576" s="20">
        <v>1</v>
      </c>
      <c r="G576" s="169"/>
      <c r="H576" s="45">
        <f>'Hao phí vật tư'!J1061</f>
        <v>37.091900000000003</v>
      </c>
      <c r="I576" s="166"/>
      <c r="J576" s="156">
        <f>ROUND(H576*I556,2)</f>
        <v>595325</v>
      </c>
      <c r="K576" s="166"/>
      <c r="L576" s="156">
        <f>ROUND(H576*K556,2)</f>
        <v>567172.24</v>
      </c>
      <c r="M576" s="34"/>
      <c r="N576" s="166"/>
      <c r="O576" s="156">
        <f>ROUND(H576*N556,2)</f>
        <v>0</v>
      </c>
      <c r="P576" s="166"/>
      <c r="Q576" s="156">
        <f>ROUND(H576*P556,2)</f>
        <v>0</v>
      </c>
      <c r="R576" s="166"/>
      <c r="S576" s="156">
        <f>ROUND(H576*R556,2)</f>
        <v>0</v>
      </c>
      <c r="T576" s="34"/>
      <c r="U576" s="34"/>
      <c r="V576" s="166"/>
      <c r="W576" s="166"/>
      <c r="X576" s="166"/>
      <c r="Y576" s="156">
        <f>ROUND(H576*X556,2)</f>
        <v>-28152.75</v>
      </c>
      <c r="Z576" s="166"/>
      <c r="AA576" s="156">
        <f>ROUND(H576*Z556,2)</f>
        <v>-28152.75</v>
      </c>
      <c r="AB576" s="156">
        <f>ROUND(H576*W556,2)</f>
        <v>567172.24</v>
      </c>
    </row>
    <row r="577" spans="1:28" ht="30" hidden="1" x14ac:dyDescent="0.25">
      <c r="A577" s="168"/>
      <c r="B577" s="133" t="str">
        <f>'Công trình'!B140</f>
        <v>AI.63311</v>
      </c>
      <c r="C577" s="34"/>
      <c r="D577" s="133" t="str">
        <f>'Công trình'!C140</f>
        <v>Tháo dỡ kết cấu thép hệ khung dàn, sàn đạo trên cạn (60% Đg)</v>
      </c>
      <c r="E577" s="168"/>
      <c r="F577" s="20">
        <v>1</v>
      </c>
      <c r="G577" s="169"/>
      <c r="H577" s="45">
        <f>'Hao phí vật tư'!J1072</f>
        <v>22.255099999999999</v>
      </c>
      <c r="I577" s="166"/>
      <c r="J577" s="156">
        <f>ROUND(H577*I556,2)</f>
        <v>357194.36</v>
      </c>
      <c r="K577" s="166"/>
      <c r="L577" s="156">
        <f>ROUND(H577*K556,2)</f>
        <v>340302.73</v>
      </c>
      <c r="M577" s="34"/>
      <c r="N577" s="166"/>
      <c r="O577" s="156">
        <f>ROUND(H577*N556,2)</f>
        <v>0</v>
      </c>
      <c r="P577" s="166"/>
      <c r="Q577" s="156">
        <f>ROUND(H577*P556,2)</f>
        <v>0</v>
      </c>
      <c r="R577" s="166"/>
      <c r="S577" s="156">
        <f>ROUND(H577*R556,2)</f>
        <v>0</v>
      </c>
      <c r="T577" s="34"/>
      <c r="U577" s="34"/>
      <c r="V577" s="166"/>
      <c r="W577" s="166"/>
      <c r="X577" s="166"/>
      <c r="Y577" s="156">
        <f>ROUND(H577*X556,2)</f>
        <v>-16891.62</v>
      </c>
      <c r="Z577" s="166"/>
      <c r="AA577" s="156">
        <f>ROUND(H577*Z556,2)</f>
        <v>-16891.62</v>
      </c>
      <c r="AB577" s="156">
        <f>ROUND(H577*W556,2)</f>
        <v>340302.73</v>
      </c>
    </row>
    <row r="578" spans="1:28" hidden="1" x14ac:dyDescent="0.25">
      <c r="A578" s="168"/>
      <c r="B578" s="133" t="str">
        <f>'Công trình'!B147</f>
        <v>AI.11411</v>
      </c>
      <c r="C578" s="34"/>
      <c r="D578" s="133" t="str">
        <f>'Công trình'!C147</f>
        <v>Sản xuất thang sắt</v>
      </c>
      <c r="E578" s="168"/>
      <c r="F578" s="20">
        <v>1</v>
      </c>
      <c r="G578" s="169"/>
      <c r="H578" s="45">
        <f>'Hao phí vật tư'!J1116</f>
        <v>45.823399999999999</v>
      </c>
      <c r="I578" s="166"/>
      <c r="J578" s="156">
        <f>ROUND(H578*I556,2)</f>
        <v>735465.57</v>
      </c>
      <c r="K578" s="166"/>
      <c r="L578" s="156">
        <f>ROUND(H578*K556,2)</f>
        <v>700685.61</v>
      </c>
      <c r="M578" s="34"/>
      <c r="N578" s="166"/>
      <c r="O578" s="156">
        <f>ROUND(H578*N556,2)</f>
        <v>0</v>
      </c>
      <c r="P578" s="166"/>
      <c r="Q578" s="156">
        <f>ROUND(H578*P556,2)</f>
        <v>0</v>
      </c>
      <c r="R578" s="166"/>
      <c r="S578" s="156">
        <f>ROUND(H578*R556,2)</f>
        <v>0</v>
      </c>
      <c r="T578" s="34"/>
      <c r="U578" s="34"/>
      <c r="V578" s="166"/>
      <c r="W578" s="166"/>
      <c r="X578" s="166"/>
      <c r="Y578" s="156">
        <f>ROUND(H578*X556,2)</f>
        <v>-34779.96</v>
      </c>
      <c r="Z578" s="166"/>
      <c r="AA578" s="156">
        <f>ROUND(H578*Z556,2)</f>
        <v>-34779.96</v>
      </c>
      <c r="AB578" s="156">
        <f>ROUND(H578*W556,2)</f>
        <v>700685.61</v>
      </c>
    </row>
    <row r="579" spans="1:28" ht="30" hidden="1" x14ac:dyDescent="0.25">
      <c r="A579" s="168"/>
      <c r="B579" s="133" t="str">
        <f>'Công trình'!B160</f>
        <v>AI.63311</v>
      </c>
      <c r="C579" s="34"/>
      <c r="D579" s="133" t="str">
        <f>'Công trình'!C160</f>
        <v>Lắp dựng kết cấu thép hệ khung dàn, sàn đạo trên cạn</v>
      </c>
      <c r="E579" s="168"/>
      <c r="F579" s="20">
        <v>1</v>
      </c>
      <c r="G579" s="169"/>
      <c r="H579" s="45">
        <f>'Hao phí vật tư'!J1210</f>
        <v>18.083200000000001</v>
      </c>
      <c r="I579" s="166"/>
      <c r="J579" s="156">
        <f>ROUND(H579*I556,2)</f>
        <v>290235.36</v>
      </c>
      <c r="K579" s="166"/>
      <c r="L579" s="156">
        <f>ROUND(H579*K556,2)</f>
        <v>276510.21000000002</v>
      </c>
      <c r="M579" s="34"/>
      <c r="N579" s="166"/>
      <c r="O579" s="156">
        <f>ROUND(H579*N556,2)</f>
        <v>0</v>
      </c>
      <c r="P579" s="166"/>
      <c r="Q579" s="156">
        <f>ROUND(H579*P556,2)</f>
        <v>0</v>
      </c>
      <c r="R579" s="166"/>
      <c r="S579" s="156">
        <f>ROUND(H579*R556,2)</f>
        <v>0</v>
      </c>
      <c r="T579" s="34"/>
      <c r="U579" s="34"/>
      <c r="V579" s="166"/>
      <c r="W579" s="166"/>
      <c r="X579" s="166"/>
      <c r="Y579" s="156">
        <f>ROUND(H579*X556,2)</f>
        <v>-13725.15</v>
      </c>
      <c r="Z579" s="166"/>
      <c r="AA579" s="156">
        <f>ROUND(H579*Z556,2)</f>
        <v>-13725.15</v>
      </c>
      <c r="AB579" s="156">
        <f>ROUND(H579*W556,2)</f>
        <v>276510.21000000002</v>
      </c>
    </row>
    <row r="580" spans="1:28" ht="30" hidden="1" x14ac:dyDescent="0.25">
      <c r="A580" s="168"/>
      <c r="B580" s="133" t="str">
        <f>'Công trình'!B161</f>
        <v>AI.63311</v>
      </c>
      <c r="C580" s="34"/>
      <c r="D580" s="133" t="str">
        <f>'Công trình'!C161</f>
        <v>Tháo dỡ kết cấu thép hệ khung dàn, sàn đạo trên cạn (60% Đg)</v>
      </c>
      <c r="E580" s="168"/>
      <c r="F580" s="20">
        <v>1</v>
      </c>
      <c r="G580" s="169"/>
      <c r="H580" s="45">
        <f>'Hao phí vật tư'!J1221</f>
        <v>10.8499</v>
      </c>
      <c r="I580" s="166"/>
      <c r="J580" s="156">
        <f>ROUND(H580*I556,2)</f>
        <v>174140.9</v>
      </c>
      <c r="K580" s="166"/>
      <c r="L580" s="156">
        <f>ROUND(H580*K556,2)</f>
        <v>165905.82</v>
      </c>
      <c r="M580" s="34"/>
      <c r="N580" s="166"/>
      <c r="O580" s="156">
        <f>ROUND(H580*N556,2)</f>
        <v>0</v>
      </c>
      <c r="P580" s="166"/>
      <c r="Q580" s="156">
        <f>ROUND(H580*P556,2)</f>
        <v>0</v>
      </c>
      <c r="R580" s="166"/>
      <c r="S580" s="156">
        <f>ROUND(H580*R556,2)</f>
        <v>0</v>
      </c>
      <c r="T580" s="34"/>
      <c r="U580" s="34"/>
      <c r="V580" s="166"/>
      <c r="W580" s="166"/>
      <c r="X580" s="166"/>
      <c r="Y580" s="156">
        <f>ROUND(H580*X556,2)</f>
        <v>-8235.07</v>
      </c>
      <c r="Z580" s="166"/>
      <c r="AA580" s="156">
        <f>ROUND(H580*Z556,2)</f>
        <v>-8235.07</v>
      </c>
      <c r="AB580" s="156">
        <f>ROUND(H580*W556,2)</f>
        <v>165905.82</v>
      </c>
    </row>
    <row r="581" spans="1:28" ht="30" hidden="1" x14ac:dyDescent="0.25">
      <c r="A581" s="168"/>
      <c r="B581" s="133" t="str">
        <f>'Công trình'!B158</f>
        <v>TT</v>
      </c>
      <c r="C581" s="34"/>
      <c r="D581" s="133" t="str">
        <f>'Công trình'!C158</f>
        <v>Khấu hao hệ sàn đạo, sàn thao tác (Thi công trong vòng 3 tháng và 1 lần đóng nhổ)</v>
      </c>
      <c r="E581" s="168"/>
      <c r="F581" s="20">
        <v>1</v>
      </c>
      <c r="G581" s="169"/>
      <c r="H581" s="45">
        <f>'Hao phí vật tư'!J1203</f>
        <v>3645.5684000000001</v>
      </c>
      <c r="I581" s="166"/>
      <c r="J581" s="156">
        <f>ROUND(H581*I556,2)</f>
        <v>58511372.82</v>
      </c>
      <c r="K581" s="166"/>
      <c r="L581" s="156">
        <f>ROUND(H581*K556,2)</f>
        <v>55744386.399999999</v>
      </c>
      <c r="M581" s="34"/>
      <c r="N581" s="166"/>
      <c r="O581" s="156">
        <f>ROUND(H581*N556,2)</f>
        <v>0</v>
      </c>
      <c r="P581" s="166"/>
      <c r="Q581" s="156">
        <f>ROUND(H581*P556,2)</f>
        <v>0</v>
      </c>
      <c r="R581" s="166"/>
      <c r="S581" s="156">
        <f>ROUND(H581*R556,2)</f>
        <v>0</v>
      </c>
      <c r="T581" s="34"/>
      <c r="U581" s="34"/>
      <c r="V581" s="166"/>
      <c r="W581" s="166"/>
      <c r="X581" s="166"/>
      <c r="Y581" s="156">
        <f>ROUND(H581*X556,2)</f>
        <v>-2766986.42</v>
      </c>
      <c r="Z581" s="166"/>
      <c r="AA581" s="156">
        <f>ROUND(H581*Z556,2)</f>
        <v>-2766986.42</v>
      </c>
      <c r="AB581" s="156">
        <f>ROUND(H581*W556,2)</f>
        <v>55744386.399999999</v>
      </c>
    </row>
    <row r="582" spans="1:28" hidden="1" x14ac:dyDescent="0.25">
      <c r="A582" s="168"/>
      <c r="B582" s="133" t="str">
        <f>'Công trình'!B157</f>
        <v>AI.11912</v>
      </c>
      <c r="C582" s="34"/>
      <c r="D582" s="133" t="str">
        <f>'Công trình'!C157</f>
        <v>Sản xuất cầu công tác</v>
      </c>
      <c r="E582" s="168"/>
      <c r="F582" s="20">
        <v>1</v>
      </c>
      <c r="G582" s="169"/>
      <c r="H582" s="45">
        <f>'Hao phí vật tư'!J1189</f>
        <v>0</v>
      </c>
      <c r="I582" s="166"/>
      <c r="J582" s="156">
        <f>ROUND(H582*I556,2)</f>
        <v>0</v>
      </c>
      <c r="K582" s="166"/>
      <c r="L582" s="156">
        <f>ROUND(H582*K556,2)</f>
        <v>0</v>
      </c>
      <c r="M582" s="34"/>
      <c r="N582" s="166"/>
      <c r="O582" s="156">
        <f>ROUND(H582*N556,2)</f>
        <v>0</v>
      </c>
      <c r="P582" s="166"/>
      <c r="Q582" s="156">
        <f>ROUND(H582*P556,2)</f>
        <v>0</v>
      </c>
      <c r="R582" s="166"/>
      <c r="S582" s="156">
        <f>ROUND(H582*R556,2)</f>
        <v>0</v>
      </c>
      <c r="T582" s="34"/>
      <c r="U582" s="34"/>
      <c r="V582" s="166"/>
      <c r="W582" s="166"/>
      <c r="X582" s="166"/>
      <c r="Y582" s="156">
        <f>ROUND(H582*X556,2)</f>
        <v>0</v>
      </c>
      <c r="Z582" s="166"/>
      <c r="AA582" s="156">
        <f>ROUND(H582*Z556,2)</f>
        <v>0</v>
      </c>
      <c r="AB582" s="156">
        <f>ROUND(H582*W556,2)</f>
        <v>0</v>
      </c>
    </row>
    <row r="583" spans="1:28" ht="30" hidden="1" x14ac:dyDescent="0.25">
      <c r="A583" s="168"/>
      <c r="B583" s="133" t="str">
        <f>'Công trình'!B168</f>
        <v>AG.32211</v>
      </c>
      <c r="C583" s="34"/>
      <c r="D583" s="133" t="str">
        <f>'Công trình'!C168</f>
        <v>Sản xuất, lắp dựng tháo dỡ ván khuôn kim loại các loại cấu kiện khác</v>
      </c>
      <c r="E583" s="168"/>
      <c r="F583" s="20">
        <v>1</v>
      </c>
      <c r="G583" s="169"/>
      <c r="H583" s="45">
        <f>'Hao phí vật tư'!J1272</f>
        <v>5.1639999999999997</v>
      </c>
      <c r="I583" s="166"/>
      <c r="J583" s="156">
        <f>ROUND(H583*I556,2)</f>
        <v>82882.2</v>
      </c>
      <c r="K583" s="166"/>
      <c r="L583" s="156">
        <f>ROUND(H583*K556,2)</f>
        <v>78962.720000000001</v>
      </c>
      <c r="M583" s="34"/>
      <c r="N583" s="166"/>
      <c r="O583" s="156">
        <f>ROUND(H583*N556,2)</f>
        <v>0</v>
      </c>
      <c r="P583" s="166"/>
      <c r="Q583" s="156">
        <f>ROUND(H583*P556,2)</f>
        <v>0</v>
      </c>
      <c r="R583" s="166"/>
      <c r="S583" s="156">
        <f>ROUND(H583*R556,2)</f>
        <v>0</v>
      </c>
      <c r="T583" s="34"/>
      <c r="U583" s="34"/>
      <c r="V583" s="166"/>
      <c r="W583" s="166"/>
      <c r="X583" s="166"/>
      <c r="Y583" s="156">
        <f>ROUND(H583*X556,2)</f>
        <v>-3919.48</v>
      </c>
      <c r="Z583" s="166"/>
      <c r="AA583" s="156">
        <f>ROUND(H583*Z556,2)</f>
        <v>-3919.48</v>
      </c>
      <c r="AB583" s="156">
        <f>ROUND(H583*W556,2)</f>
        <v>78962.720000000001</v>
      </c>
    </row>
    <row r="584" spans="1:28" ht="30" hidden="1" x14ac:dyDescent="0.25">
      <c r="A584" s="168"/>
      <c r="B584" s="133" t="str">
        <f>'Công trình'!B200</f>
        <v>AF.82111</v>
      </c>
      <c r="C584" s="34"/>
      <c r="D584" s="133" t="str">
        <f>'Công trình'!C200</f>
        <v>Sản xuất, lắp dựng tháo dỡ ván khuôn thép, cây chống gỗ dầm ngang, chiều cao &lt;=16m</v>
      </c>
      <c r="E584" s="168"/>
      <c r="F584" s="20">
        <v>1</v>
      </c>
      <c r="G584" s="169"/>
      <c r="H584" s="45">
        <f>'Hao phí vật tư'!J1542</f>
        <v>18.9011</v>
      </c>
      <c r="I584" s="166"/>
      <c r="J584" s="156">
        <f>ROUND(H584*I556,2)</f>
        <v>303362.65999999997</v>
      </c>
      <c r="K584" s="166"/>
      <c r="L584" s="156">
        <f>ROUND(H584*K556,2)</f>
        <v>289016.71999999997</v>
      </c>
      <c r="M584" s="34"/>
      <c r="N584" s="166"/>
      <c r="O584" s="156">
        <f>ROUND(H584*N556,2)</f>
        <v>0</v>
      </c>
      <c r="P584" s="166"/>
      <c r="Q584" s="156">
        <f>ROUND(H584*P556,2)</f>
        <v>0</v>
      </c>
      <c r="R584" s="166"/>
      <c r="S584" s="156">
        <f>ROUND(H584*R556,2)</f>
        <v>0</v>
      </c>
      <c r="T584" s="34"/>
      <c r="U584" s="34"/>
      <c r="V584" s="166"/>
      <c r="W584" s="166"/>
      <c r="X584" s="166"/>
      <c r="Y584" s="156">
        <f>ROUND(H584*X556,2)</f>
        <v>-14345.93</v>
      </c>
      <c r="Z584" s="166"/>
      <c r="AA584" s="156">
        <f>ROUND(H584*Z556,2)</f>
        <v>-14345.93</v>
      </c>
      <c r="AB584" s="156">
        <f>ROUND(H584*W556,2)</f>
        <v>289016.71999999997</v>
      </c>
    </row>
    <row r="585" spans="1:28" hidden="1" x14ac:dyDescent="0.25">
      <c r="A585" s="168"/>
      <c r="B585" s="133" t="str">
        <f>'Công trình'!B231</f>
        <v>AI.52211</v>
      </c>
      <c r="C585" s="34"/>
      <c r="D585" s="133" t="str">
        <f>'Công trình'!C231</f>
        <v>Thép hình hộp nối cọc</v>
      </c>
      <c r="E585" s="168"/>
      <c r="F585" s="20">
        <v>1</v>
      </c>
      <c r="G585" s="169"/>
      <c r="H585" s="45">
        <f>'Hao phí vật tư'!J1754</f>
        <v>1975.44</v>
      </c>
      <c r="I585" s="166"/>
      <c r="J585" s="156">
        <f>ROUND(H585*I556,2)</f>
        <v>31705812</v>
      </c>
      <c r="K585" s="166"/>
      <c r="L585" s="156">
        <f>ROUND(H585*K556,2)</f>
        <v>30206453.039999999</v>
      </c>
      <c r="M585" s="34"/>
      <c r="N585" s="166"/>
      <c r="O585" s="156">
        <f>ROUND(H585*N556,2)</f>
        <v>0</v>
      </c>
      <c r="P585" s="166"/>
      <c r="Q585" s="156">
        <f>ROUND(H585*P556,2)</f>
        <v>0</v>
      </c>
      <c r="R585" s="166"/>
      <c r="S585" s="156">
        <f>ROUND(H585*R556,2)</f>
        <v>0</v>
      </c>
      <c r="T585" s="34"/>
      <c r="U585" s="34"/>
      <c r="V585" s="166"/>
      <c r="W585" s="166"/>
      <c r="X585" s="166"/>
      <c r="Y585" s="156">
        <f>ROUND(H585*X556,2)</f>
        <v>-1499358.96</v>
      </c>
      <c r="Z585" s="166"/>
      <c r="AA585" s="156">
        <f>ROUND(H585*Z556,2)</f>
        <v>-1499358.96</v>
      </c>
      <c r="AB585" s="156">
        <f>ROUND(H585*W556,2)</f>
        <v>30206453.039999999</v>
      </c>
    </row>
    <row r="586" spans="1:28" ht="30" hidden="1" x14ac:dyDescent="0.25">
      <c r="A586" s="168"/>
      <c r="B586" s="133" t="str">
        <f>'Công trình'!B249</f>
        <v>AF.82111</v>
      </c>
      <c r="C586" s="34"/>
      <c r="D586" s="133" t="str">
        <f>'Công trình'!C249</f>
        <v>Sản xuất, lắp dựng tháo dỡ ván khuôn thép, cây chống gỗ dầm, giằng, chiều cao &lt;=16m</v>
      </c>
      <c r="E586" s="168"/>
      <c r="F586" s="20">
        <v>1</v>
      </c>
      <c r="G586" s="169"/>
      <c r="H586" s="45">
        <f>'Hao phí vật tư'!J1890</f>
        <v>34.852200000000003</v>
      </c>
      <c r="I586" s="166"/>
      <c r="J586" s="156">
        <f>ROUND(H586*I556,2)</f>
        <v>559377.81000000006</v>
      </c>
      <c r="K586" s="166"/>
      <c r="L586" s="156">
        <f>ROUND(H586*K556,2)</f>
        <v>532924.99</v>
      </c>
      <c r="M586" s="34"/>
      <c r="N586" s="166"/>
      <c r="O586" s="156">
        <f>ROUND(H586*N556,2)</f>
        <v>0</v>
      </c>
      <c r="P586" s="166"/>
      <c r="Q586" s="156">
        <f>ROUND(H586*P556,2)</f>
        <v>0</v>
      </c>
      <c r="R586" s="166"/>
      <c r="S586" s="156">
        <f>ROUND(H586*R556,2)</f>
        <v>0</v>
      </c>
      <c r="T586" s="34"/>
      <c r="U586" s="34"/>
      <c r="V586" s="166"/>
      <c r="W586" s="166"/>
      <c r="X586" s="166"/>
      <c r="Y586" s="156">
        <f>ROUND(H586*X556,2)</f>
        <v>-26452.82</v>
      </c>
      <c r="Z586" s="166"/>
      <c r="AA586" s="156">
        <f>ROUND(H586*Z556,2)</f>
        <v>-26452.82</v>
      </c>
      <c r="AB586" s="156">
        <f>ROUND(H586*W556,2)</f>
        <v>532924.99</v>
      </c>
    </row>
    <row r="587" spans="1:28" ht="30" hidden="1" x14ac:dyDescent="0.25">
      <c r="A587" s="168"/>
      <c r="B587" s="133" t="str">
        <f>'Công trình'!B256</f>
        <v>AF.82111</v>
      </c>
      <c r="C587" s="34"/>
      <c r="D587" s="133" t="str">
        <f>'Công trình'!C256</f>
        <v>Sản xuất, lắp dựng tháo dỡ ván khuôn thép lan can</v>
      </c>
      <c r="E587" s="168"/>
      <c r="F587" s="20">
        <v>1</v>
      </c>
      <c r="G587" s="169"/>
      <c r="H587" s="45">
        <f>'Hao phí vật tư'!J1951</f>
        <v>74.715400000000002</v>
      </c>
      <c r="I587" s="166"/>
      <c r="J587" s="156">
        <f>ROUND(H587*I556,2)</f>
        <v>1199182.17</v>
      </c>
      <c r="K587" s="166"/>
      <c r="L587" s="156">
        <f>ROUND(H587*K556,2)</f>
        <v>1142473.18</v>
      </c>
      <c r="M587" s="34"/>
      <c r="N587" s="166"/>
      <c r="O587" s="156">
        <f>ROUND(H587*N556,2)</f>
        <v>0</v>
      </c>
      <c r="P587" s="166"/>
      <c r="Q587" s="156">
        <f>ROUND(H587*P556,2)</f>
        <v>0</v>
      </c>
      <c r="R587" s="166"/>
      <c r="S587" s="156">
        <f>ROUND(H587*R556,2)</f>
        <v>0</v>
      </c>
      <c r="T587" s="34"/>
      <c r="U587" s="34"/>
      <c r="V587" s="166"/>
      <c r="W587" s="166"/>
      <c r="X587" s="166"/>
      <c r="Y587" s="156">
        <f>ROUND(H587*X556,2)</f>
        <v>-56708.99</v>
      </c>
      <c r="Z587" s="166"/>
      <c r="AA587" s="156">
        <f>ROUND(H587*Z556,2)</f>
        <v>-56708.99</v>
      </c>
      <c r="AB587" s="156">
        <f>ROUND(H587*W556,2)</f>
        <v>1142473.18</v>
      </c>
    </row>
    <row r="588" spans="1:28" hidden="1" x14ac:dyDescent="0.25">
      <c r="A588" s="168"/>
      <c r="B588" s="133" t="str">
        <f>'Công trình'!B287</f>
        <v>AF.82511</v>
      </c>
      <c r="C588" s="34"/>
      <c r="D588" s="133" t="str">
        <f>'Công trình'!C287</f>
        <v>Ván khuôn móng</v>
      </c>
      <c r="E588" s="168"/>
      <c r="F588" s="20">
        <v>1</v>
      </c>
      <c r="G588" s="169"/>
      <c r="H588" s="45">
        <f>'Hao phí vật tư'!J2155</f>
        <v>20.082899999999999</v>
      </c>
      <c r="I588" s="166"/>
      <c r="J588" s="156">
        <f>ROUND(H588*I556,2)</f>
        <v>322330.55</v>
      </c>
      <c r="K588" s="166"/>
      <c r="L588" s="156">
        <f>ROUND(H588*K556,2)</f>
        <v>307087.62</v>
      </c>
      <c r="M588" s="34"/>
      <c r="N588" s="166"/>
      <c r="O588" s="156">
        <f>ROUND(H588*N556,2)</f>
        <v>0</v>
      </c>
      <c r="P588" s="166"/>
      <c r="Q588" s="156">
        <f>ROUND(H588*P556,2)</f>
        <v>0</v>
      </c>
      <c r="R588" s="166"/>
      <c r="S588" s="156">
        <f>ROUND(H588*R556,2)</f>
        <v>0</v>
      </c>
      <c r="T588" s="34"/>
      <c r="U588" s="34"/>
      <c r="V588" s="166"/>
      <c r="W588" s="166"/>
      <c r="X588" s="166"/>
      <c r="Y588" s="156">
        <f>ROUND(H588*X556,2)</f>
        <v>-15242.92</v>
      </c>
      <c r="Z588" s="166"/>
      <c r="AA588" s="156">
        <f>ROUND(H588*Z556,2)</f>
        <v>-15242.92</v>
      </c>
      <c r="AB588" s="156">
        <f>ROUND(H588*W556,2)</f>
        <v>307087.62</v>
      </c>
    </row>
    <row r="589" spans="1:28" hidden="1" x14ac:dyDescent="0.25">
      <c r="A589" s="168"/>
      <c r="B589" s="133" t="str">
        <f>'Công trình'!B298</f>
        <v>AF.82511</v>
      </c>
      <c r="C589" s="34"/>
      <c r="D589" s="133" t="str">
        <f>'Công trình'!C298</f>
        <v>Ván khuôn móng</v>
      </c>
      <c r="E589" s="168"/>
      <c r="F589" s="20">
        <v>1</v>
      </c>
      <c r="G589" s="169"/>
      <c r="H589" s="45">
        <f>'Hao phí vật tư'!J2233</f>
        <v>0.57640000000000002</v>
      </c>
      <c r="I589" s="166"/>
      <c r="J589" s="156">
        <f>ROUND(H589*I556,2)</f>
        <v>9251.2199999999993</v>
      </c>
      <c r="K589" s="166"/>
      <c r="L589" s="156">
        <f>ROUND(H589*K556,2)</f>
        <v>8813.73</v>
      </c>
      <c r="M589" s="34"/>
      <c r="N589" s="166"/>
      <c r="O589" s="156">
        <f>ROUND(H589*N556,2)</f>
        <v>0</v>
      </c>
      <c r="P589" s="166"/>
      <c r="Q589" s="156">
        <f>ROUND(H589*P556,2)</f>
        <v>0</v>
      </c>
      <c r="R589" s="166"/>
      <c r="S589" s="156">
        <f>ROUND(H589*R556,2)</f>
        <v>0</v>
      </c>
      <c r="T589" s="34"/>
      <c r="U589" s="34"/>
      <c r="V589" s="166"/>
      <c r="W589" s="166"/>
      <c r="X589" s="166"/>
      <c r="Y589" s="156">
        <f>ROUND(H589*X556,2)</f>
        <v>-437.49</v>
      </c>
      <c r="Z589" s="166"/>
      <c r="AA589" s="156">
        <f>ROUND(H589*Z556,2)</f>
        <v>-437.49</v>
      </c>
      <c r="AB589" s="156">
        <f>ROUND(H589*W556,2)</f>
        <v>8813.73</v>
      </c>
    </row>
    <row r="590" spans="1:28" ht="45" hidden="1" x14ac:dyDescent="0.25">
      <c r="A590" s="168"/>
      <c r="B590" s="133" t="str">
        <f>'Công trình'!B305</f>
        <v>AF.82511</v>
      </c>
      <c r="C590" s="34"/>
      <c r="D590" s="133" t="str">
        <f>'Công trình'!C305</f>
        <v>Sản xuất, lắp dựng, tháo dỡ ván khuôn cho bê tông đổ tại chổ, ván khuôn thép, ván khuôn móng</v>
      </c>
      <c r="E590" s="168"/>
      <c r="F590" s="20">
        <v>1</v>
      </c>
      <c r="G590" s="169"/>
      <c r="H590" s="45">
        <f>'Hao phí vật tư'!J2288</f>
        <v>10.566599999999999</v>
      </c>
      <c r="I590" s="166"/>
      <c r="J590" s="156">
        <f>ROUND(H590*I556,2)</f>
        <v>169593.93</v>
      </c>
      <c r="K590" s="166"/>
      <c r="L590" s="156">
        <f>ROUND(H590*K556,2)</f>
        <v>161573.88</v>
      </c>
      <c r="M590" s="34"/>
      <c r="N590" s="166"/>
      <c r="O590" s="156">
        <f>ROUND(H590*N556,2)</f>
        <v>0</v>
      </c>
      <c r="P590" s="166"/>
      <c r="Q590" s="156">
        <f>ROUND(H590*P556,2)</f>
        <v>0</v>
      </c>
      <c r="R590" s="166"/>
      <c r="S590" s="156">
        <f>ROUND(H590*R556,2)</f>
        <v>0</v>
      </c>
      <c r="T590" s="34"/>
      <c r="U590" s="34"/>
      <c r="V590" s="166"/>
      <c r="W590" s="166"/>
      <c r="X590" s="166"/>
      <c r="Y590" s="156">
        <f>ROUND(H590*X556,2)</f>
        <v>-8020.05</v>
      </c>
      <c r="Z590" s="166"/>
      <c r="AA590" s="156">
        <f>ROUND(H590*Z556,2)</f>
        <v>-8020.05</v>
      </c>
      <c r="AB590" s="156">
        <f>ROUND(H590*W556,2)</f>
        <v>161573.88</v>
      </c>
    </row>
    <row r="591" spans="1:28" ht="30" hidden="1" x14ac:dyDescent="0.25">
      <c r="A591" s="168"/>
      <c r="B591" s="133" t="str">
        <f>'Công trình'!B179</f>
        <v>AF.87211</v>
      </c>
      <c r="C591" s="34"/>
      <c r="D591" s="133" t="str">
        <f>'Công trình'!C179</f>
        <v>Sản xuất, lắp dựng, tháo dỡ ván khuôn mố, trụ cầu trên cạn</v>
      </c>
      <c r="E591" s="168"/>
      <c r="F591" s="20">
        <v>1</v>
      </c>
      <c r="G591" s="169"/>
      <c r="H591" s="45">
        <f>'Hao phí vật tư'!J1356</f>
        <v>24.016200000000001</v>
      </c>
      <c r="I591" s="166"/>
      <c r="J591" s="156">
        <f>ROUND(H591*I556,2)</f>
        <v>385460.01</v>
      </c>
      <c r="K591" s="166"/>
      <c r="L591" s="156">
        <f>ROUND(H591*K556,2)</f>
        <v>367231.71</v>
      </c>
      <c r="M591" s="34"/>
      <c r="N591" s="166"/>
      <c r="O591" s="156">
        <f>ROUND(H591*N556,2)</f>
        <v>0</v>
      </c>
      <c r="P591" s="166"/>
      <c r="Q591" s="156">
        <f>ROUND(H591*P556,2)</f>
        <v>0</v>
      </c>
      <c r="R591" s="166"/>
      <c r="S591" s="156">
        <f>ROUND(H591*R556,2)</f>
        <v>0</v>
      </c>
      <c r="T591" s="34"/>
      <c r="U591" s="34"/>
      <c r="V591" s="166"/>
      <c r="W591" s="166"/>
      <c r="X591" s="166"/>
      <c r="Y591" s="156">
        <f>ROUND(H591*X556,2)</f>
        <v>-18228.3</v>
      </c>
      <c r="Z591" s="166"/>
      <c r="AA591" s="156">
        <f>ROUND(H591*Z556,2)</f>
        <v>-18228.3</v>
      </c>
      <c r="AB591" s="156">
        <f>ROUND(H591*W556,2)</f>
        <v>367231.71</v>
      </c>
    </row>
    <row r="592" spans="1:28" ht="30" hidden="1" x14ac:dyDescent="0.25">
      <c r="A592" s="168"/>
      <c r="B592" s="133" t="str">
        <f>'Công trình'!B189</f>
        <v>AF.87211</v>
      </c>
      <c r="C592" s="34"/>
      <c r="D592" s="133" t="str">
        <f>'Công trình'!C189</f>
        <v>Sản xuất, lắp dựng, tháo dỡ ván khuôn mố, trụ cầu trên cạn</v>
      </c>
      <c r="E592" s="168"/>
      <c r="F592" s="20">
        <v>1</v>
      </c>
      <c r="G592" s="169"/>
      <c r="H592" s="45">
        <f>'Hao phí vật tư'!J1447</f>
        <v>6.8811999999999998</v>
      </c>
      <c r="I592" s="166"/>
      <c r="J592" s="156">
        <f>ROUND(H592*I556,2)</f>
        <v>110443.26</v>
      </c>
      <c r="K592" s="166"/>
      <c r="L592" s="156">
        <f>ROUND(H592*K556,2)</f>
        <v>105220.43</v>
      </c>
      <c r="M592" s="34"/>
      <c r="N592" s="166"/>
      <c r="O592" s="156">
        <f>ROUND(H592*N556,2)</f>
        <v>0</v>
      </c>
      <c r="P592" s="166"/>
      <c r="Q592" s="156">
        <f>ROUND(H592*P556,2)</f>
        <v>0</v>
      </c>
      <c r="R592" s="166"/>
      <c r="S592" s="156">
        <f>ROUND(H592*R556,2)</f>
        <v>0</v>
      </c>
      <c r="T592" s="34"/>
      <c r="U592" s="34"/>
      <c r="V592" s="166"/>
      <c r="W592" s="166"/>
      <c r="X592" s="166"/>
      <c r="Y592" s="156">
        <f>ROUND(H592*X556,2)</f>
        <v>-5222.83</v>
      </c>
      <c r="Z592" s="166"/>
      <c r="AA592" s="156">
        <f>ROUND(H592*Z556,2)</f>
        <v>-5222.83</v>
      </c>
      <c r="AB592" s="156">
        <f>ROUND(H592*W556,2)</f>
        <v>105220.43</v>
      </c>
    </row>
    <row r="593" spans="1:28" ht="30" hidden="1" x14ac:dyDescent="0.25">
      <c r="A593" s="168"/>
      <c r="B593" s="133" t="str">
        <f>'Công trình'!B201</f>
        <v>AF.82311</v>
      </c>
      <c r="C593" s="34"/>
      <c r="D593" s="133" t="str">
        <f>'Công trình'!C201</f>
        <v>Sản xuất, lắp dựng tháo dỡ ván khuôn thép, cây chống gỗ mặt cầu, chiều cao &lt;=16m</v>
      </c>
      <c r="E593" s="168"/>
      <c r="F593" s="20">
        <v>1</v>
      </c>
      <c r="G593" s="169"/>
      <c r="H593" s="45">
        <f>'Hao phí vật tư'!J1555</f>
        <v>102.857</v>
      </c>
      <c r="I593" s="166"/>
      <c r="J593" s="156">
        <f>ROUND(H593*I556,2)</f>
        <v>1650854.85</v>
      </c>
      <c r="K593" s="166"/>
      <c r="L593" s="156">
        <f>ROUND(H593*K556,2)</f>
        <v>1572786.39</v>
      </c>
      <c r="M593" s="34"/>
      <c r="N593" s="166"/>
      <c r="O593" s="156">
        <f>ROUND(H593*N556,2)</f>
        <v>0</v>
      </c>
      <c r="P593" s="166"/>
      <c r="Q593" s="156">
        <f>ROUND(H593*P556,2)</f>
        <v>0</v>
      </c>
      <c r="R593" s="166"/>
      <c r="S593" s="156">
        <f>ROUND(H593*R556,2)</f>
        <v>0</v>
      </c>
      <c r="T593" s="34"/>
      <c r="U593" s="34"/>
      <c r="V593" s="166"/>
      <c r="W593" s="166"/>
      <c r="X593" s="166"/>
      <c r="Y593" s="156">
        <f>ROUND(H593*X556,2)</f>
        <v>-78068.460000000006</v>
      </c>
      <c r="Z593" s="166"/>
      <c r="AA593" s="156">
        <f>ROUND(H593*Z556,2)</f>
        <v>-78068.460000000006</v>
      </c>
      <c r="AB593" s="156">
        <f>ROUND(H593*W556,2)</f>
        <v>1572786.39</v>
      </c>
    </row>
    <row r="594" spans="1:28" ht="45" hidden="1" x14ac:dyDescent="0.25">
      <c r="A594" s="168"/>
      <c r="B594" s="133" t="str">
        <f>'Công trình'!B180</f>
        <v>AF.82511</v>
      </c>
      <c r="C594" s="34"/>
      <c r="D594" s="133" t="str">
        <f>'Công trình'!C180</f>
        <v>Sản xuất, lắp dựng, tháo dỡ ván khuôn cho bê tông đổ tại chổ, ván khuôn thép, ván khuôn bản dẫn</v>
      </c>
      <c r="E594" s="168"/>
      <c r="F594" s="20">
        <v>1</v>
      </c>
      <c r="G594" s="169"/>
      <c r="H594" s="45">
        <f>'Hao phí vật tư'!J1368</f>
        <v>6.0198</v>
      </c>
      <c r="I594" s="166"/>
      <c r="J594" s="156">
        <f>ROUND(H594*I556,2)</f>
        <v>96617.79</v>
      </c>
      <c r="K594" s="166"/>
      <c r="L594" s="156">
        <f>ROUND(H594*K556,2)</f>
        <v>92048.76</v>
      </c>
      <c r="M594" s="34"/>
      <c r="N594" s="166"/>
      <c r="O594" s="156">
        <f>ROUND(H594*N556,2)</f>
        <v>0</v>
      </c>
      <c r="P594" s="166"/>
      <c r="Q594" s="156">
        <f>ROUND(H594*P556,2)</f>
        <v>0</v>
      </c>
      <c r="R594" s="166"/>
      <c r="S594" s="156">
        <f>ROUND(H594*R556,2)</f>
        <v>0</v>
      </c>
      <c r="T594" s="34"/>
      <c r="U594" s="34"/>
      <c r="V594" s="166"/>
      <c r="W594" s="166"/>
      <c r="X594" s="166"/>
      <c r="Y594" s="156">
        <f>ROUND(H594*X556,2)</f>
        <v>-4569.03</v>
      </c>
      <c r="Z594" s="166"/>
      <c r="AA594" s="156">
        <f>ROUND(H594*Z556,2)</f>
        <v>-4569.03</v>
      </c>
      <c r="AB594" s="156">
        <f>ROUND(H594*W556,2)</f>
        <v>92048.76</v>
      </c>
    </row>
    <row r="595" spans="1:28" ht="30" hidden="1" x14ac:dyDescent="0.25">
      <c r="A595" s="168"/>
      <c r="B595" s="133" t="str">
        <f>'Công trình'!B230</f>
        <v>AG.32321</v>
      </c>
      <c r="C595" s="34"/>
      <c r="D595" s="133" t="str">
        <f>'Công trình'!C230</f>
        <v>Sản xuất, lắp dựng, tháo dỡ ván khuôn thép bê tông đúc sẵn cọc, cột</v>
      </c>
      <c r="E595" s="168"/>
      <c r="F595" s="20">
        <v>1</v>
      </c>
      <c r="G595" s="169"/>
      <c r="H595" s="45">
        <f>'Hao phí vật tư'!J1741</f>
        <v>62.544800000000002</v>
      </c>
      <c r="I595" s="166"/>
      <c r="J595" s="156">
        <f>ROUND(H595*I556,2)</f>
        <v>1003844.04</v>
      </c>
      <c r="K595" s="166"/>
      <c r="L595" s="156">
        <f>ROUND(H595*K556,2)</f>
        <v>956372.54</v>
      </c>
      <c r="M595" s="34"/>
      <c r="N595" s="166"/>
      <c r="O595" s="156">
        <f>ROUND(H595*N556,2)</f>
        <v>0</v>
      </c>
      <c r="P595" s="166"/>
      <c r="Q595" s="156">
        <f>ROUND(H595*P556,2)</f>
        <v>0</v>
      </c>
      <c r="R595" s="166"/>
      <c r="S595" s="156">
        <f>ROUND(H595*R556,2)</f>
        <v>0</v>
      </c>
      <c r="T595" s="34"/>
      <c r="U595" s="34"/>
      <c r="V595" s="166"/>
      <c r="W595" s="166"/>
      <c r="X595" s="166"/>
      <c r="Y595" s="156">
        <f>ROUND(H595*X556,2)</f>
        <v>-47471.5</v>
      </c>
      <c r="Z595" s="166"/>
      <c r="AA595" s="156">
        <f>ROUND(H595*Z556,2)</f>
        <v>-47471.5</v>
      </c>
      <c r="AB595" s="156">
        <f>ROUND(H595*W556,2)</f>
        <v>956372.54</v>
      </c>
    </row>
    <row r="596" spans="1:28" ht="30" hidden="1" x14ac:dyDescent="0.25">
      <c r="A596" s="168"/>
      <c r="B596" s="133" t="str">
        <f>'Công trình'!B56</f>
        <v>AG.32511</v>
      </c>
      <c r="C596" s="34"/>
      <c r="D596" s="133" t="str">
        <f>'Công trình'!C56</f>
        <v>Sản xuất, lắp dựng, tháo dỡ ván khuôn thép bê tông đúc sẵn tấm tự chèn</v>
      </c>
      <c r="E596" s="168"/>
      <c r="F596" s="20">
        <v>1</v>
      </c>
      <c r="G596" s="169"/>
      <c r="H596" s="45">
        <f>'Hao phí vật tư'!J411</f>
        <v>136.38820000000001</v>
      </c>
      <c r="I596" s="166"/>
      <c r="J596" s="156">
        <f>ROUND(H596*I556,2)</f>
        <v>2189030.61</v>
      </c>
      <c r="K596" s="166"/>
      <c r="L596" s="156">
        <f>ROUND(H596*K556,2)</f>
        <v>2085511.97</v>
      </c>
      <c r="M596" s="34"/>
      <c r="N596" s="166"/>
      <c r="O596" s="156">
        <f>ROUND(H596*N556,2)</f>
        <v>0</v>
      </c>
      <c r="P596" s="166"/>
      <c r="Q596" s="156">
        <f>ROUND(H596*P556,2)</f>
        <v>0</v>
      </c>
      <c r="R596" s="166"/>
      <c r="S596" s="156">
        <f>ROUND(H596*R556,2)</f>
        <v>0</v>
      </c>
      <c r="T596" s="34"/>
      <c r="U596" s="34"/>
      <c r="V596" s="166"/>
      <c r="W596" s="166"/>
      <c r="X596" s="166"/>
      <c r="Y596" s="156">
        <f>ROUND(H596*X556,2)</f>
        <v>-103518.64</v>
      </c>
      <c r="Z596" s="166"/>
      <c r="AA596" s="156">
        <f>ROUND(H596*Z556,2)</f>
        <v>-103518.64</v>
      </c>
      <c r="AB596" s="156">
        <f>ROUND(H596*W556,2)</f>
        <v>2085511.97</v>
      </c>
    </row>
    <row r="597" spans="1:28" ht="30" hidden="1" x14ac:dyDescent="0.25">
      <c r="A597" s="168"/>
      <c r="B597" s="133" t="str">
        <f>'Công trình'!B251</f>
        <v>AG.32511</v>
      </c>
      <c r="C597" s="34"/>
      <c r="D597" s="133" t="str">
        <f>'Công trình'!C251</f>
        <v>Sản xuất, lắp dựng, tháo dỡ ván khuôn thép bê tông đúc sẵn nắp đan, tấm chớp</v>
      </c>
      <c r="E597" s="168"/>
      <c r="F597" s="20">
        <v>1</v>
      </c>
      <c r="G597" s="169"/>
      <c r="H597" s="45">
        <f>'Hao phí vật tư'!J1913</f>
        <v>174.23670000000001</v>
      </c>
      <c r="I597" s="166"/>
      <c r="J597" s="156">
        <f>ROUND(H597*I556,2)</f>
        <v>2796499.04</v>
      </c>
      <c r="K597" s="166"/>
      <c r="L597" s="156">
        <f>ROUND(H597*K556,2)</f>
        <v>2664253.38</v>
      </c>
      <c r="M597" s="34"/>
      <c r="N597" s="166"/>
      <c r="O597" s="156">
        <f>ROUND(H597*N556,2)</f>
        <v>0</v>
      </c>
      <c r="P597" s="166"/>
      <c r="Q597" s="156">
        <f>ROUND(H597*P556,2)</f>
        <v>0</v>
      </c>
      <c r="R597" s="166"/>
      <c r="S597" s="156">
        <f>ROUND(H597*R556,2)</f>
        <v>0</v>
      </c>
      <c r="T597" s="34"/>
      <c r="U597" s="34"/>
      <c r="V597" s="166"/>
      <c r="W597" s="166"/>
      <c r="X597" s="166"/>
      <c r="Y597" s="156">
        <f>ROUND(H597*X556,2)</f>
        <v>-132245.66</v>
      </c>
      <c r="Z597" s="166"/>
      <c r="AA597" s="156">
        <f>ROUND(H597*Z556,2)</f>
        <v>-132245.66</v>
      </c>
      <c r="AB597" s="156">
        <f>ROUND(H597*W556,2)</f>
        <v>2664253.38</v>
      </c>
    </row>
    <row r="598" spans="1:28" hidden="1" x14ac:dyDescent="0.25">
      <c r="A598" s="168"/>
      <c r="B598" s="133" t="str">
        <f>'Công trình'!B262</f>
        <v>AI.21152</v>
      </c>
      <c r="C598" s="34"/>
      <c r="D598" s="133" t="str">
        <f>'Công trình'!C262</f>
        <v>Sản xuất kết cấu thép lan can cầu đường bộ</v>
      </c>
      <c r="E598" s="168"/>
      <c r="F598" s="20">
        <v>1</v>
      </c>
      <c r="G598" s="169"/>
      <c r="H598" s="45">
        <f>'Hao phí vật tư'!J1995</f>
        <v>6753.8824999999997</v>
      </c>
      <c r="I598" s="166"/>
      <c r="J598" s="156">
        <f>ROUND(H598*I556,2)</f>
        <v>108399814.13</v>
      </c>
      <c r="K598" s="166"/>
      <c r="L598" s="156">
        <f>ROUND(H598*K556,2)</f>
        <v>103273617.31</v>
      </c>
      <c r="M598" s="34"/>
      <c r="N598" s="166"/>
      <c r="O598" s="156">
        <f>ROUND(H598*N556,2)</f>
        <v>0</v>
      </c>
      <c r="P598" s="166"/>
      <c r="Q598" s="156">
        <f>ROUND(H598*P556,2)</f>
        <v>0</v>
      </c>
      <c r="R598" s="166"/>
      <c r="S598" s="156">
        <f>ROUND(H598*R556,2)</f>
        <v>0</v>
      </c>
      <c r="T598" s="34"/>
      <c r="U598" s="34"/>
      <c r="V598" s="166"/>
      <c r="W598" s="166"/>
      <c r="X598" s="166"/>
      <c r="Y598" s="156">
        <f>ROUND(H598*X556,2)</f>
        <v>-5126196.82</v>
      </c>
      <c r="Z598" s="166"/>
      <c r="AA598" s="156">
        <f>ROUND(H598*Z556,2)</f>
        <v>-5126196.82</v>
      </c>
      <c r="AB598" s="156">
        <f>ROUND(H598*W556,2)</f>
        <v>103273617.31</v>
      </c>
    </row>
    <row r="599" spans="1:28" ht="30" hidden="1" x14ac:dyDescent="0.25">
      <c r="A599" s="168"/>
      <c r="B599" s="133" t="str">
        <f>'Công trình'!B73</f>
        <v>AG.32321</v>
      </c>
      <c r="C599" s="34"/>
      <c r="D599" s="133" t="str">
        <f>'Công trình'!C73</f>
        <v>Sản xuất, lắp dựng, tháo dỡ ván khuôn thép bê tông đúc sẵn cọc</v>
      </c>
      <c r="E599" s="168"/>
      <c r="F599" s="20">
        <v>1</v>
      </c>
      <c r="G599" s="169"/>
      <c r="H599" s="45">
        <f>'Hao phí vật tư'!J565</f>
        <v>57.808799999999998</v>
      </c>
      <c r="I599" s="166"/>
      <c r="J599" s="156">
        <f>ROUND(H599*I556,2)</f>
        <v>927831.24</v>
      </c>
      <c r="K599" s="166"/>
      <c r="L599" s="156">
        <f>ROUND(H599*K556,2)</f>
        <v>883954.36</v>
      </c>
      <c r="M599" s="34"/>
      <c r="N599" s="166"/>
      <c r="O599" s="156">
        <f>ROUND(H599*N556,2)</f>
        <v>0</v>
      </c>
      <c r="P599" s="166"/>
      <c r="Q599" s="156">
        <f>ROUND(H599*P556,2)</f>
        <v>0</v>
      </c>
      <c r="R599" s="166"/>
      <c r="S599" s="156">
        <f>ROUND(H599*R556,2)</f>
        <v>0</v>
      </c>
      <c r="T599" s="34"/>
      <c r="U599" s="34"/>
      <c r="V599" s="166"/>
      <c r="W599" s="166"/>
      <c r="X599" s="166"/>
      <c r="Y599" s="156">
        <f>ROUND(H599*X556,2)</f>
        <v>-43876.88</v>
      </c>
      <c r="Z599" s="166"/>
      <c r="AA599" s="156">
        <f>ROUND(H599*Z556,2)</f>
        <v>-43876.88</v>
      </c>
      <c r="AB599" s="156">
        <f>ROUND(H599*W556,2)</f>
        <v>883954.36</v>
      </c>
    </row>
    <row r="600" spans="1:28" ht="30" hidden="1" x14ac:dyDescent="0.25">
      <c r="A600" s="168"/>
      <c r="B600" s="133" t="str">
        <f>'Công trình'!B84</f>
        <v>AG.32321</v>
      </c>
      <c r="C600" s="34"/>
      <c r="D600" s="133" t="str">
        <f>'Công trình'!C84</f>
        <v>Sản xuất, lắp dựng, tháo dỡ ván khuôn thép bê tông đúc sẵn cọc</v>
      </c>
      <c r="E600" s="168"/>
      <c r="F600" s="20">
        <v>1</v>
      </c>
      <c r="G600" s="169"/>
      <c r="H600" s="45">
        <f>'Hao phí vật tư'!J681</f>
        <v>26.158999999999999</v>
      </c>
      <c r="I600" s="166"/>
      <c r="J600" s="156">
        <f>ROUND(H600*I556,2)</f>
        <v>419851.95</v>
      </c>
      <c r="K600" s="166"/>
      <c r="L600" s="156">
        <f>ROUND(H600*K556,2)</f>
        <v>399997.27</v>
      </c>
      <c r="M600" s="34"/>
      <c r="N600" s="166"/>
      <c r="O600" s="156">
        <f>ROUND(H600*N556,2)</f>
        <v>0</v>
      </c>
      <c r="P600" s="166"/>
      <c r="Q600" s="156">
        <f>ROUND(H600*P556,2)</f>
        <v>0</v>
      </c>
      <c r="R600" s="166"/>
      <c r="S600" s="156">
        <f>ROUND(H600*R556,2)</f>
        <v>0</v>
      </c>
      <c r="T600" s="34"/>
      <c r="U600" s="34"/>
      <c r="V600" s="166"/>
      <c r="W600" s="166"/>
      <c r="X600" s="166"/>
      <c r="Y600" s="156">
        <f>ROUND(H600*X556,2)</f>
        <v>-19854.68</v>
      </c>
      <c r="Z600" s="166"/>
      <c r="AA600" s="156">
        <f>ROUND(H600*Z556,2)</f>
        <v>-19854.68</v>
      </c>
      <c r="AB600" s="156">
        <f>ROUND(H600*W556,2)</f>
        <v>399997.27</v>
      </c>
    </row>
    <row r="601" spans="1:28" ht="45" hidden="1" x14ac:dyDescent="0.25">
      <c r="A601" s="168"/>
      <c r="B601" s="133" t="str">
        <f>'Công trình'!B35</f>
        <v>AF.82111</v>
      </c>
      <c r="C601" s="34"/>
      <c r="D601" s="133" t="str">
        <f>'Công trình'!C35</f>
        <v>Sản xuất, lắp dựng tháo dỡ ván khuôn thép, cây chống gỗ tường, cột vuông (chữ nhật), xà dầm, giằng, chiều cao &lt;=16m</v>
      </c>
      <c r="E601" s="168"/>
      <c r="F601" s="20">
        <v>1</v>
      </c>
      <c r="G601" s="169"/>
      <c r="H601" s="45">
        <f>'Hao phí vật tư'!J263</f>
        <v>28.4053</v>
      </c>
      <c r="I601" s="166"/>
      <c r="J601" s="156">
        <f>ROUND(H601*I556,2)</f>
        <v>455905.07</v>
      </c>
      <c r="K601" s="166"/>
      <c r="L601" s="156">
        <f>ROUND(H601*K556,2)</f>
        <v>434345.44</v>
      </c>
      <c r="M601" s="34"/>
      <c r="N601" s="166"/>
      <c r="O601" s="156">
        <f>ROUND(H601*N556,2)</f>
        <v>0</v>
      </c>
      <c r="P601" s="166"/>
      <c r="Q601" s="156">
        <f>ROUND(H601*P556,2)</f>
        <v>0</v>
      </c>
      <c r="R601" s="166"/>
      <c r="S601" s="156">
        <f>ROUND(H601*R556,2)</f>
        <v>0</v>
      </c>
      <c r="T601" s="34"/>
      <c r="U601" s="34"/>
      <c r="V601" s="166"/>
      <c r="W601" s="166"/>
      <c r="X601" s="166"/>
      <c r="Y601" s="156">
        <f>ROUND(H601*X556,2)</f>
        <v>-21559.62</v>
      </c>
      <c r="Z601" s="166"/>
      <c r="AA601" s="156">
        <f>ROUND(H601*Z556,2)</f>
        <v>-21559.62</v>
      </c>
      <c r="AB601" s="156">
        <f>ROUND(H601*W556,2)</f>
        <v>434345.44</v>
      </c>
    </row>
    <row r="602" spans="1:28" x14ac:dyDescent="0.25">
      <c r="A602" s="168">
        <v>93</v>
      </c>
      <c r="B602" s="84" t="s">
        <v>660</v>
      </c>
      <c r="C602" s="34">
        <v>163</v>
      </c>
      <c r="D602" s="144" t="s">
        <v>882</v>
      </c>
      <c r="E602" s="168" t="s">
        <v>555</v>
      </c>
      <c r="F602" s="34"/>
      <c r="G602" s="169"/>
      <c r="H602" s="60">
        <f>SUM(H603:H603)</f>
        <v>0</v>
      </c>
      <c r="I602" s="166">
        <v>19184</v>
      </c>
      <c r="J602" s="166">
        <f>ROUND(H602*I602,0)</f>
        <v>0</v>
      </c>
      <c r="K602" s="139">
        <f>'Tổng hợp VL,NC,M'!I638</f>
        <v>15291</v>
      </c>
      <c r="L602" s="166">
        <f>ROUND(H602*K602,0)</f>
        <v>0</v>
      </c>
      <c r="M602" s="34">
        <v>1</v>
      </c>
      <c r="N602" s="166"/>
      <c r="O602" s="166">
        <f>ROUND(H602*N602,0)</f>
        <v>0</v>
      </c>
      <c r="P602" s="166"/>
      <c r="Q602" s="166">
        <f>ROUND(H602*P602,0)</f>
        <v>0</v>
      </c>
      <c r="R602" s="166"/>
      <c r="S602" s="166">
        <f>ROUND(H602*R602,0)</f>
        <v>0</v>
      </c>
      <c r="T602" s="34"/>
      <c r="U602" s="34"/>
      <c r="V602" s="166">
        <f>ROUND((K602+N602+P602+R602)*(U602+T602),0)</f>
        <v>0</v>
      </c>
      <c r="W602" s="139">
        <f>K602+N602+P602+R602+V602</f>
        <v>15291</v>
      </c>
      <c r="X602" s="166">
        <f>K602-I602</f>
        <v>-3893</v>
      </c>
      <c r="Y602" s="166">
        <f>ROUND(H602*X602,0)</f>
        <v>0</v>
      </c>
      <c r="Z602" s="166">
        <f>W602-I602</f>
        <v>-3893</v>
      </c>
      <c r="AA602" s="166">
        <f>ROUND(H602*Z602,0)</f>
        <v>0</v>
      </c>
      <c r="AB602" s="166">
        <f>ROUND(H602*W602,0)</f>
        <v>0</v>
      </c>
    </row>
    <row r="603" spans="1:28" ht="60" hidden="1" x14ac:dyDescent="0.25">
      <c r="A603" s="168"/>
      <c r="B603" s="133" t="str">
        <f>'Công trình'!B26</f>
        <v>AC.12412</v>
      </c>
      <c r="C603" s="34"/>
      <c r="D603" s="133" t="str">
        <f>'Công trình'!C26</f>
        <v>Đóng cọc cừ máng bê tông dự ứng lực trên cạn bằng búa rung kết hợp tách mũi nước áp lực SW600A, chiều cao máng cọc 60-84cm, L=18M</v>
      </c>
      <c r="E603" s="168"/>
      <c r="F603" s="20">
        <v>1</v>
      </c>
      <c r="G603" s="169"/>
      <c r="H603" s="45">
        <f>'Hao phí vật tư'!J183</f>
        <v>0</v>
      </c>
      <c r="I603" s="166"/>
      <c r="J603" s="156">
        <f>ROUND(H603*I602,2)</f>
        <v>0</v>
      </c>
      <c r="K603" s="166"/>
      <c r="L603" s="156">
        <f>ROUND(H603*K602,2)</f>
        <v>0</v>
      </c>
      <c r="M603" s="34"/>
      <c r="N603" s="166"/>
      <c r="O603" s="156">
        <f>ROUND(H603*N602,2)</f>
        <v>0</v>
      </c>
      <c r="P603" s="166"/>
      <c r="Q603" s="156">
        <f>ROUND(H603*P602,2)</f>
        <v>0</v>
      </c>
      <c r="R603" s="166"/>
      <c r="S603" s="156">
        <f>ROUND(H603*R602,2)</f>
        <v>0</v>
      </c>
      <c r="T603" s="34"/>
      <c r="U603" s="34"/>
      <c r="V603" s="166"/>
      <c r="W603" s="166"/>
      <c r="X603" s="166"/>
      <c r="Y603" s="156">
        <f>ROUND(H603*X602,2)</f>
        <v>0</v>
      </c>
      <c r="Z603" s="166"/>
      <c r="AA603" s="156">
        <f>ROUND(H603*Z602,2)</f>
        <v>0</v>
      </c>
      <c r="AB603" s="156">
        <f>ROUND(H603*W602,2)</f>
        <v>0</v>
      </c>
    </row>
    <row r="604" spans="1:28" x14ac:dyDescent="0.25">
      <c r="A604" s="168">
        <v>94</v>
      </c>
      <c r="B604" s="84" t="s">
        <v>89</v>
      </c>
      <c r="C604" s="34">
        <v>169</v>
      </c>
      <c r="D604" s="144" t="s">
        <v>628</v>
      </c>
      <c r="E604" s="168" t="s">
        <v>555</v>
      </c>
      <c r="F604" s="34"/>
      <c r="G604" s="169"/>
      <c r="H604" s="60">
        <f>SUM(H605:H605)</f>
        <v>8175.7524999999996</v>
      </c>
      <c r="I604" s="166">
        <v>16167</v>
      </c>
      <c r="J604" s="166">
        <f>ROUND(H604*I604,0)</f>
        <v>132177391</v>
      </c>
      <c r="K604" s="139">
        <f>'Tổng hợp VL,NC,M'!I642</f>
        <v>12574</v>
      </c>
      <c r="L604" s="166">
        <f>ROUND(H604*K604,0)</f>
        <v>102801912</v>
      </c>
      <c r="M604" s="34">
        <v>1</v>
      </c>
      <c r="N604" s="166"/>
      <c r="O604" s="166">
        <f>ROUND(H604*N604,0)</f>
        <v>0</v>
      </c>
      <c r="P604" s="166"/>
      <c r="Q604" s="166">
        <f>ROUND(H604*P604,0)</f>
        <v>0</v>
      </c>
      <c r="R604" s="166"/>
      <c r="S604" s="166">
        <f>ROUND(H604*R604,0)</f>
        <v>0</v>
      </c>
      <c r="T604" s="34"/>
      <c r="U604" s="34"/>
      <c r="V604" s="166">
        <f>ROUND((K604+N604+P604+R604)*(U604+T604),0)</f>
        <v>0</v>
      </c>
      <c r="W604" s="139">
        <f>K604+N604+P604+R604+V604</f>
        <v>12574</v>
      </c>
      <c r="X604" s="166">
        <f>K604-I604</f>
        <v>-3593</v>
      </c>
      <c r="Y604" s="166">
        <f>ROUND(H604*X604,0)</f>
        <v>-29375479</v>
      </c>
      <c r="Z604" s="166">
        <f>W604-I604</f>
        <v>-3593</v>
      </c>
      <c r="AA604" s="166">
        <f>ROUND(H604*Z604,0)</f>
        <v>-29375479</v>
      </c>
      <c r="AB604" s="166">
        <f>ROUND(H604*W604,0)</f>
        <v>102801912</v>
      </c>
    </row>
    <row r="605" spans="1:28" hidden="1" x14ac:dyDescent="0.25">
      <c r="A605" s="168"/>
      <c r="B605" s="133" t="str">
        <f>'Công trình'!B262</f>
        <v>AI.21152</v>
      </c>
      <c r="C605" s="34"/>
      <c r="D605" s="133" t="str">
        <f>'Công trình'!C262</f>
        <v>Sản xuất kết cấu thép lan can cầu đường bộ</v>
      </c>
      <c r="E605" s="168"/>
      <c r="F605" s="20">
        <v>1</v>
      </c>
      <c r="G605" s="169"/>
      <c r="H605" s="45">
        <f>'Hao phí vật tư'!J1996</f>
        <v>8175.7524999999996</v>
      </c>
      <c r="I605" s="166"/>
      <c r="J605" s="156">
        <f>ROUND(H605*I604,2)</f>
        <v>132177390.67</v>
      </c>
      <c r="K605" s="166"/>
      <c r="L605" s="156">
        <f>ROUND(H605*K604,2)</f>
        <v>102801911.94</v>
      </c>
      <c r="M605" s="34"/>
      <c r="N605" s="166"/>
      <c r="O605" s="156">
        <f>ROUND(H605*N604,2)</f>
        <v>0</v>
      </c>
      <c r="P605" s="166"/>
      <c r="Q605" s="156">
        <f>ROUND(H605*P604,2)</f>
        <v>0</v>
      </c>
      <c r="R605" s="166"/>
      <c r="S605" s="156">
        <f>ROUND(H605*R604,2)</f>
        <v>0</v>
      </c>
      <c r="T605" s="34"/>
      <c r="U605" s="34"/>
      <c r="V605" s="166"/>
      <c r="W605" s="166"/>
      <c r="X605" s="166"/>
      <c r="Y605" s="156">
        <f>ROUND(H605*X604,2)</f>
        <v>-29375478.73</v>
      </c>
      <c r="Z605" s="166"/>
      <c r="AA605" s="156">
        <f>ROUND(H605*Z604,2)</f>
        <v>-29375478.73</v>
      </c>
      <c r="AB605" s="156">
        <f>ROUND(H605*W604,2)</f>
        <v>102801911.94</v>
      </c>
    </row>
    <row r="606" spans="1:28" x14ac:dyDescent="0.25">
      <c r="A606" s="168">
        <v>95</v>
      </c>
      <c r="B606" s="84" t="s">
        <v>132</v>
      </c>
      <c r="C606" s="34">
        <v>166</v>
      </c>
      <c r="D606" s="144" t="s">
        <v>1003</v>
      </c>
      <c r="E606" s="168" t="s">
        <v>555</v>
      </c>
      <c r="F606" s="34"/>
      <c r="G606" s="169"/>
      <c r="H606" s="60">
        <f>SUM(H607:H645)</f>
        <v>12334.222199999997</v>
      </c>
      <c r="I606" s="166">
        <v>16050</v>
      </c>
      <c r="J606" s="166">
        <f>ROUND(H606*I606,0)</f>
        <v>197964266</v>
      </c>
      <c r="K606" s="139">
        <f>'Tổng hợp VL,NC,M'!I647</f>
        <v>12574</v>
      </c>
      <c r="L606" s="166">
        <f>ROUND(H606*K606,0)</f>
        <v>155090510</v>
      </c>
      <c r="M606" s="34">
        <v>1</v>
      </c>
      <c r="N606" s="166"/>
      <c r="O606" s="166">
        <f>ROUND(H606*N606,0)</f>
        <v>0</v>
      </c>
      <c r="P606" s="166"/>
      <c r="Q606" s="166">
        <f>ROUND(H606*P606,0)</f>
        <v>0</v>
      </c>
      <c r="R606" s="166"/>
      <c r="S606" s="166">
        <f>ROUND(H606*R606,0)</f>
        <v>0</v>
      </c>
      <c r="T606" s="34"/>
      <c r="U606" s="34"/>
      <c r="V606" s="166">
        <f>ROUND((K606+N606+P606+R606)*(U606+T606),0)</f>
        <v>0</v>
      </c>
      <c r="W606" s="139">
        <f>K606+N606+P606+R606+V606</f>
        <v>12574</v>
      </c>
      <c r="X606" s="166">
        <f>K606-I606</f>
        <v>-3476</v>
      </c>
      <c r="Y606" s="166">
        <f>ROUND(H606*X606,0)</f>
        <v>-42873756</v>
      </c>
      <c r="Z606" s="166">
        <f>W606-I606</f>
        <v>-3476</v>
      </c>
      <c r="AA606" s="166">
        <f>ROUND(H606*Z606,0)</f>
        <v>-42873756</v>
      </c>
      <c r="AB606" s="166">
        <f>ROUND(H606*W606,0)</f>
        <v>155090510</v>
      </c>
    </row>
    <row r="607" spans="1:28" ht="30" hidden="1" x14ac:dyDescent="0.25">
      <c r="A607" s="168"/>
      <c r="B607" s="133" t="str">
        <f>'Công trình'!B15</f>
        <v>AF.82511</v>
      </c>
      <c r="C607" s="34"/>
      <c r="D607" s="133" t="str">
        <f>'Công trình'!C15</f>
        <v>Sản xuất, lắp dựng, tháo dỡ ván khuôn thép, ván khuôn móng</v>
      </c>
      <c r="E607" s="168"/>
      <c r="F607" s="20">
        <v>1</v>
      </c>
      <c r="G607" s="169"/>
      <c r="H607" s="45">
        <f>'Hao phí vật tư'!J104</f>
        <v>22.381900000000002</v>
      </c>
      <c r="I607" s="166"/>
      <c r="J607" s="156">
        <f>ROUND(H607*I606,2)</f>
        <v>359229.5</v>
      </c>
      <c r="K607" s="166"/>
      <c r="L607" s="156">
        <f>ROUND(H607*K606,2)</f>
        <v>281430.01</v>
      </c>
      <c r="M607" s="34"/>
      <c r="N607" s="166"/>
      <c r="O607" s="156">
        <f>ROUND(H607*N606,2)</f>
        <v>0</v>
      </c>
      <c r="P607" s="166"/>
      <c r="Q607" s="156">
        <f>ROUND(H607*P606,2)</f>
        <v>0</v>
      </c>
      <c r="R607" s="166"/>
      <c r="S607" s="156">
        <f>ROUND(H607*R606,2)</f>
        <v>0</v>
      </c>
      <c r="T607" s="34"/>
      <c r="U607" s="34"/>
      <c r="V607" s="166"/>
      <c r="W607" s="166"/>
      <c r="X607" s="166"/>
      <c r="Y607" s="156">
        <f>ROUND(H607*X606,2)</f>
        <v>-77799.48</v>
      </c>
      <c r="Z607" s="166"/>
      <c r="AA607" s="156">
        <f>ROUND(H607*Z606,2)</f>
        <v>-77799.48</v>
      </c>
      <c r="AB607" s="156">
        <f>ROUND(H607*W606,2)</f>
        <v>281430.01</v>
      </c>
    </row>
    <row r="608" spans="1:28" ht="30" hidden="1" x14ac:dyDescent="0.25">
      <c r="A608" s="168"/>
      <c r="B608" s="133" t="str">
        <f>'Công trình'!B16</f>
        <v>AF.82111</v>
      </c>
      <c r="C608" s="34"/>
      <c r="D608" s="133" t="str">
        <f>'Công trình'!C16</f>
        <v>Sản xuất, lắp dựng tháo dỡ ván khuôn thép tường, chiều cao &lt;=16m</v>
      </c>
      <c r="E608" s="168"/>
      <c r="F608" s="20">
        <v>1</v>
      </c>
      <c r="G608" s="169"/>
      <c r="H608" s="45">
        <f>'Hao phí vật tư'!J112</f>
        <v>185.4384</v>
      </c>
      <c r="I608" s="166"/>
      <c r="J608" s="156">
        <f>ROUND(H608*I606,2)</f>
        <v>2976286.32</v>
      </c>
      <c r="K608" s="166"/>
      <c r="L608" s="156">
        <f>ROUND(H608*K606,2)</f>
        <v>2331702.44</v>
      </c>
      <c r="M608" s="34"/>
      <c r="N608" s="166"/>
      <c r="O608" s="156">
        <f>ROUND(H608*N606,2)</f>
        <v>0</v>
      </c>
      <c r="P608" s="166"/>
      <c r="Q608" s="156">
        <f>ROUND(H608*P606,2)</f>
        <v>0</v>
      </c>
      <c r="R608" s="166"/>
      <c r="S608" s="156">
        <f>ROUND(H608*R606,2)</f>
        <v>0</v>
      </c>
      <c r="T608" s="34"/>
      <c r="U608" s="34"/>
      <c r="V608" s="166"/>
      <c r="W608" s="166"/>
      <c r="X608" s="166"/>
      <c r="Y608" s="156">
        <f>ROUND(H608*X606,2)</f>
        <v>-644583.88</v>
      </c>
      <c r="Z608" s="166"/>
      <c r="AA608" s="156">
        <f>ROUND(H608*Z606,2)</f>
        <v>-644583.88</v>
      </c>
      <c r="AB608" s="156">
        <f>ROUND(H608*W606,2)</f>
        <v>2331702.44</v>
      </c>
    </row>
    <row r="609" spans="1:28" ht="30" hidden="1" x14ac:dyDescent="0.25">
      <c r="A609" s="168"/>
      <c r="B609" s="133" t="str">
        <f>'Công trình'!B19</f>
        <v>AF.82111</v>
      </c>
      <c r="C609" s="34"/>
      <c r="D609" s="133" t="str">
        <f>'Công trình'!C19</f>
        <v>Sản xuất, lắp dựng tháo dỡ ván khuôn thép dầm, giằng, chiều cao &lt;=16m</v>
      </c>
      <c r="E609" s="168"/>
      <c r="F609" s="20">
        <v>1</v>
      </c>
      <c r="G609" s="169"/>
      <c r="H609" s="45">
        <f>'Hao phí vật tư'!J138</f>
        <v>168.85400000000001</v>
      </c>
      <c r="I609" s="166"/>
      <c r="J609" s="156">
        <f>ROUND(H609*I606,2)</f>
        <v>2710106.7</v>
      </c>
      <c r="K609" s="166"/>
      <c r="L609" s="156">
        <f>ROUND(H609*K606,2)</f>
        <v>2123170.2000000002</v>
      </c>
      <c r="M609" s="34"/>
      <c r="N609" s="166"/>
      <c r="O609" s="156">
        <f>ROUND(H609*N606,2)</f>
        <v>0</v>
      </c>
      <c r="P609" s="166"/>
      <c r="Q609" s="156">
        <f>ROUND(H609*P606,2)</f>
        <v>0</v>
      </c>
      <c r="R609" s="166"/>
      <c r="S609" s="156">
        <f>ROUND(H609*R606,2)</f>
        <v>0</v>
      </c>
      <c r="T609" s="34"/>
      <c r="U609" s="34"/>
      <c r="V609" s="166"/>
      <c r="W609" s="166"/>
      <c r="X609" s="166"/>
      <c r="Y609" s="156">
        <f>ROUND(H609*X606,2)</f>
        <v>-586936.5</v>
      </c>
      <c r="Z609" s="166"/>
      <c r="AA609" s="156">
        <f>ROUND(H609*Z606,2)</f>
        <v>-586936.5</v>
      </c>
      <c r="AB609" s="156">
        <f>ROUND(H609*W606,2)</f>
        <v>2123170.2000000002</v>
      </c>
    </row>
    <row r="610" spans="1:28" ht="30" hidden="1" x14ac:dyDescent="0.25">
      <c r="A610" s="168"/>
      <c r="B610" s="133" t="str">
        <f>'Công trình'!B31</f>
        <v>AF.82111</v>
      </c>
      <c r="C610" s="34"/>
      <c r="D610" s="133" t="str">
        <f>'Công trình'!C31</f>
        <v>Sản xuất, lắp dựng tháo dỡ ván khuôn thép tường, chiều cao &lt;=16m</v>
      </c>
      <c r="E610" s="168"/>
      <c r="F610" s="20">
        <v>1</v>
      </c>
      <c r="G610" s="169"/>
      <c r="H610" s="45">
        <f>'Hao phí vật tư'!J218</f>
        <v>60.286099999999998</v>
      </c>
      <c r="I610" s="166"/>
      <c r="J610" s="156">
        <f>ROUND(H610*I606,2)</f>
        <v>967591.91</v>
      </c>
      <c r="K610" s="166"/>
      <c r="L610" s="156">
        <f>ROUND(H610*K606,2)</f>
        <v>758037.42</v>
      </c>
      <c r="M610" s="34"/>
      <c r="N610" s="166"/>
      <c r="O610" s="156">
        <f>ROUND(H610*N606,2)</f>
        <v>0</v>
      </c>
      <c r="P610" s="166"/>
      <c r="Q610" s="156">
        <f>ROUND(H610*P606,2)</f>
        <v>0</v>
      </c>
      <c r="R610" s="166"/>
      <c r="S610" s="156">
        <f>ROUND(H610*R606,2)</f>
        <v>0</v>
      </c>
      <c r="T610" s="34"/>
      <c r="U610" s="34"/>
      <c r="V610" s="166"/>
      <c r="W610" s="166"/>
      <c r="X610" s="166"/>
      <c r="Y610" s="156">
        <f>ROUND(H610*X606,2)</f>
        <v>-209554.48</v>
      </c>
      <c r="Z610" s="166"/>
      <c r="AA610" s="156">
        <f>ROUND(H610*Z606,2)</f>
        <v>-209554.48</v>
      </c>
      <c r="AB610" s="156">
        <f>ROUND(H610*W606,2)</f>
        <v>758037.42</v>
      </c>
    </row>
    <row r="611" spans="1:28" ht="30" hidden="1" x14ac:dyDescent="0.25">
      <c r="A611" s="168"/>
      <c r="B611" s="133" t="str">
        <f>'Công trình'!B39</f>
        <v>AI.13111</v>
      </c>
      <c r="C611" s="34"/>
      <c r="D611" s="133" t="str">
        <f>'Công trình'!C39</f>
        <v>Sản xuất cấu kiện thép đặt sẵn trong bê tông, khối lượng &lt;=10kg/cấu kiện</v>
      </c>
      <c r="E611" s="168"/>
      <c r="F611" s="20">
        <v>1</v>
      </c>
      <c r="G611" s="169"/>
      <c r="H611" s="45">
        <f>'Hao phí vật tư'!J294</f>
        <v>8.58</v>
      </c>
      <c r="I611" s="166"/>
      <c r="J611" s="156">
        <f>ROUND(H611*I606,2)</f>
        <v>137709</v>
      </c>
      <c r="K611" s="166"/>
      <c r="L611" s="156">
        <f>ROUND(H611*K606,2)</f>
        <v>107884.92</v>
      </c>
      <c r="M611" s="34"/>
      <c r="N611" s="166"/>
      <c r="O611" s="156">
        <f>ROUND(H611*N606,2)</f>
        <v>0</v>
      </c>
      <c r="P611" s="166"/>
      <c r="Q611" s="156">
        <f>ROUND(H611*P606,2)</f>
        <v>0</v>
      </c>
      <c r="R611" s="166"/>
      <c r="S611" s="156">
        <f>ROUND(H611*R606,2)</f>
        <v>0</v>
      </c>
      <c r="T611" s="34"/>
      <c r="U611" s="34"/>
      <c r="V611" s="166"/>
      <c r="W611" s="166"/>
      <c r="X611" s="166"/>
      <c r="Y611" s="156">
        <f>ROUND(H611*X606,2)</f>
        <v>-29824.080000000002</v>
      </c>
      <c r="Z611" s="166"/>
      <c r="AA611" s="156">
        <f>ROUND(H611*Z606,2)</f>
        <v>-29824.080000000002</v>
      </c>
      <c r="AB611" s="156">
        <f>ROUND(H611*W606,2)</f>
        <v>107884.92</v>
      </c>
    </row>
    <row r="612" spans="1:28" ht="30" hidden="1" x14ac:dyDescent="0.25">
      <c r="A612" s="168"/>
      <c r="B612" s="133" t="str">
        <f>'Công trình'!B59</f>
        <v>AF.82111</v>
      </c>
      <c r="C612" s="34"/>
      <c r="D612" s="133" t="str">
        <f>'Công trình'!C59</f>
        <v>Sản xuất, lắp dựng tháo dỡ ván khuôn thép dầm, giằng, chiều cao &lt;=16m</v>
      </c>
      <c r="E612" s="168"/>
      <c r="F612" s="20">
        <v>1</v>
      </c>
      <c r="G612" s="169"/>
      <c r="H612" s="45">
        <f>'Hao phí vật tư'!J444</f>
        <v>119.44280000000001</v>
      </c>
      <c r="I612" s="166"/>
      <c r="J612" s="156">
        <f>ROUND(H612*I606,2)</f>
        <v>1917056.94</v>
      </c>
      <c r="K612" s="166"/>
      <c r="L612" s="156">
        <f>ROUND(H612*K606,2)</f>
        <v>1501873.77</v>
      </c>
      <c r="M612" s="34"/>
      <c r="N612" s="166"/>
      <c r="O612" s="156">
        <f>ROUND(H612*N606,2)</f>
        <v>0</v>
      </c>
      <c r="P612" s="166"/>
      <c r="Q612" s="156">
        <f>ROUND(H612*P606,2)</f>
        <v>0</v>
      </c>
      <c r="R612" s="166"/>
      <c r="S612" s="156">
        <f>ROUND(H612*R606,2)</f>
        <v>0</v>
      </c>
      <c r="T612" s="34"/>
      <c r="U612" s="34"/>
      <c r="V612" s="166"/>
      <c r="W612" s="166"/>
      <c r="X612" s="166"/>
      <c r="Y612" s="156">
        <f>ROUND(H612*X606,2)</f>
        <v>-415183.17</v>
      </c>
      <c r="Z612" s="166"/>
      <c r="AA612" s="156">
        <f>ROUND(H612*Z606,2)</f>
        <v>-415183.17</v>
      </c>
      <c r="AB612" s="156">
        <f>ROUND(H612*W606,2)</f>
        <v>1501873.77</v>
      </c>
    </row>
    <row r="613" spans="1:28" ht="30" hidden="1" x14ac:dyDescent="0.25">
      <c r="A613" s="168"/>
      <c r="B613" s="133" t="str">
        <f>'Công trình'!B72</f>
        <v>AI.13111</v>
      </c>
      <c r="C613" s="34"/>
      <c r="D613" s="133" t="str">
        <f>'Công trình'!C72</f>
        <v>Sản xuất cấu kiện thép đặt sẵn trong bê tông, khối lượng &lt;=10kg/cấu kiện</v>
      </c>
      <c r="E613" s="168"/>
      <c r="F613" s="20">
        <v>1</v>
      </c>
      <c r="G613" s="169"/>
      <c r="H613" s="45">
        <f>'Hao phí vật tư'!J550</f>
        <v>894.96</v>
      </c>
      <c r="I613" s="166"/>
      <c r="J613" s="156">
        <f>ROUND(H613*I606,2)</f>
        <v>14364108</v>
      </c>
      <c r="K613" s="166"/>
      <c r="L613" s="156">
        <f>ROUND(H613*K606,2)</f>
        <v>11253227.039999999</v>
      </c>
      <c r="M613" s="34"/>
      <c r="N613" s="166"/>
      <c r="O613" s="156">
        <f>ROUND(H613*N606,2)</f>
        <v>0</v>
      </c>
      <c r="P613" s="166"/>
      <c r="Q613" s="156">
        <f>ROUND(H613*P606,2)</f>
        <v>0</v>
      </c>
      <c r="R613" s="166"/>
      <c r="S613" s="156">
        <f>ROUND(H613*R606,2)</f>
        <v>0</v>
      </c>
      <c r="T613" s="34"/>
      <c r="U613" s="34"/>
      <c r="V613" s="166"/>
      <c r="W613" s="166"/>
      <c r="X613" s="166"/>
      <c r="Y613" s="156">
        <f>ROUND(H613*X606,2)</f>
        <v>-3110880.96</v>
      </c>
      <c r="Z613" s="166"/>
      <c r="AA613" s="156">
        <f>ROUND(H613*Z606,2)</f>
        <v>-3110880.96</v>
      </c>
      <c r="AB613" s="156">
        <f>ROUND(H613*W606,2)</f>
        <v>11253227.039999999</v>
      </c>
    </row>
    <row r="614" spans="1:28" hidden="1" x14ac:dyDescent="0.25">
      <c r="A614" s="168"/>
      <c r="B614" s="133" t="str">
        <f>'Công trình'!B74</f>
        <v>AI.52211</v>
      </c>
      <c r="C614" s="34"/>
      <c r="D614" s="133" t="str">
        <f>'Công trình'!C74</f>
        <v>Sản xuất kết cấu thép hộp nối cọc</v>
      </c>
      <c r="E614" s="168"/>
      <c r="F614" s="20">
        <v>1</v>
      </c>
      <c r="G614" s="169"/>
      <c r="H614" s="45">
        <f>'Hao phí vật tư'!J577</f>
        <v>658.47500000000002</v>
      </c>
      <c r="I614" s="166"/>
      <c r="J614" s="156">
        <f>ROUND(H614*I606,2)</f>
        <v>10568523.75</v>
      </c>
      <c r="K614" s="166"/>
      <c r="L614" s="156">
        <f>ROUND(H614*K606,2)</f>
        <v>8279664.6500000004</v>
      </c>
      <c r="M614" s="34"/>
      <c r="N614" s="166"/>
      <c r="O614" s="156">
        <f>ROUND(H614*N606,2)</f>
        <v>0</v>
      </c>
      <c r="P614" s="166"/>
      <c r="Q614" s="156">
        <f>ROUND(H614*P606,2)</f>
        <v>0</v>
      </c>
      <c r="R614" s="166"/>
      <c r="S614" s="156">
        <f>ROUND(H614*R606,2)</f>
        <v>0</v>
      </c>
      <c r="T614" s="34"/>
      <c r="U614" s="34"/>
      <c r="V614" s="166"/>
      <c r="W614" s="166"/>
      <c r="X614" s="166"/>
      <c r="Y614" s="156">
        <f>ROUND(H614*X606,2)</f>
        <v>-2288859.1</v>
      </c>
      <c r="Z614" s="166"/>
      <c r="AA614" s="156">
        <f>ROUND(H614*Z606,2)</f>
        <v>-2288859.1</v>
      </c>
      <c r="AB614" s="156">
        <f>ROUND(H614*W606,2)</f>
        <v>8279664.6500000004</v>
      </c>
    </row>
    <row r="615" spans="1:28" ht="30" hidden="1" x14ac:dyDescent="0.25">
      <c r="A615" s="168"/>
      <c r="B615" s="133" t="str">
        <f>'Công trình'!B83</f>
        <v>AI.13111</v>
      </c>
      <c r="C615" s="34"/>
      <c r="D615" s="133" t="str">
        <f>'Công trình'!C83</f>
        <v>Sản xuất cấu kiện thép đặt sẵn trong bê tông, khối lượng &lt;=10kg/cấu kiện</v>
      </c>
      <c r="E615" s="168"/>
      <c r="F615" s="20">
        <v>1</v>
      </c>
      <c r="G615" s="169"/>
      <c r="H615" s="45">
        <f>'Hao phí vật tư'!J666</f>
        <v>422.64749999999998</v>
      </c>
      <c r="I615" s="166"/>
      <c r="J615" s="156">
        <f>ROUND(H615*I606,2)</f>
        <v>6783492.3799999999</v>
      </c>
      <c r="K615" s="166"/>
      <c r="L615" s="156">
        <f>ROUND(H615*K606,2)</f>
        <v>5314369.67</v>
      </c>
      <c r="M615" s="34"/>
      <c r="N615" s="166"/>
      <c r="O615" s="156">
        <f>ROUND(H615*N606,2)</f>
        <v>0</v>
      </c>
      <c r="P615" s="166"/>
      <c r="Q615" s="156">
        <f>ROUND(H615*P606,2)</f>
        <v>0</v>
      </c>
      <c r="R615" s="166"/>
      <c r="S615" s="156">
        <f>ROUND(H615*R606,2)</f>
        <v>0</v>
      </c>
      <c r="T615" s="34"/>
      <c r="U615" s="34"/>
      <c r="V615" s="166"/>
      <c r="W615" s="166"/>
      <c r="X615" s="166"/>
      <c r="Y615" s="156">
        <f>ROUND(H615*X606,2)</f>
        <v>-1469122.71</v>
      </c>
      <c r="Z615" s="166"/>
      <c r="AA615" s="156">
        <f>ROUND(H615*Z606,2)</f>
        <v>-1469122.71</v>
      </c>
      <c r="AB615" s="156">
        <f>ROUND(H615*W606,2)</f>
        <v>5314369.67</v>
      </c>
    </row>
    <row r="616" spans="1:28" hidden="1" x14ac:dyDescent="0.25">
      <c r="A616" s="168"/>
      <c r="B616" s="133" t="str">
        <f>'Công trình'!B85</f>
        <v>AI.52211</v>
      </c>
      <c r="C616" s="34"/>
      <c r="D616" s="133" t="str">
        <f>'Công trình'!C85</f>
        <v>Sản xuất kết cấu thép hộp nối cọc</v>
      </c>
      <c r="E616" s="168"/>
      <c r="F616" s="20">
        <v>1</v>
      </c>
      <c r="G616" s="169"/>
      <c r="H616" s="45">
        <f>'Hao phí vật tư'!J693</f>
        <v>286.39999999999998</v>
      </c>
      <c r="I616" s="166"/>
      <c r="J616" s="156">
        <f>ROUND(H616*I606,2)</f>
        <v>4596720</v>
      </c>
      <c r="K616" s="166"/>
      <c r="L616" s="156">
        <f>ROUND(H616*K606,2)</f>
        <v>3601193.6</v>
      </c>
      <c r="M616" s="34"/>
      <c r="N616" s="166"/>
      <c r="O616" s="156">
        <f>ROUND(H616*N606,2)</f>
        <v>0</v>
      </c>
      <c r="P616" s="166"/>
      <c r="Q616" s="156">
        <f>ROUND(H616*P606,2)</f>
        <v>0</v>
      </c>
      <c r="R616" s="166"/>
      <c r="S616" s="156">
        <f>ROUND(H616*R606,2)</f>
        <v>0</v>
      </c>
      <c r="T616" s="34"/>
      <c r="U616" s="34"/>
      <c r="V616" s="166"/>
      <c r="W616" s="166"/>
      <c r="X616" s="166"/>
      <c r="Y616" s="156">
        <f>ROUND(H616*X606,2)</f>
        <v>-995526.4</v>
      </c>
      <c r="Z616" s="166"/>
      <c r="AA616" s="156">
        <f>ROUND(H616*Z606,2)</f>
        <v>-995526.4</v>
      </c>
      <c r="AB616" s="156">
        <f>ROUND(H616*W606,2)</f>
        <v>3601193.6</v>
      </c>
    </row>
    <row r="617" spans="1:28" ht="30" hidden="1" x14ac:dyDescent="0.25">
      <c r="A617" s="168"/>
      <c r="B617" s="133" t="str">
        <f>'Công trình'!B105</f>
        <v>AI.11131</v>
      </c>
      <c r="C617" s="34"/>
      <c r="D617" s="133" t="str">
        <f>'Công trình'!C105</f>
        <v>Khấu hao cọc dẫn bằng thép hình (đóng nhổ 40 lần trong 1 tháng)</v>
      </c>
      <c r="E617" s="168"/>
      <c r="F617" s="20">
        <v>1</v>
      </c>
      <c r="G617" s="169"/>
      <c r="H617" s="45">
        <f>'Hao phí vật tư'!J848</f>
        <v>35.793599999999998</v>
      </c>
      <c r="I617" s="166"/>
      <c r="J617" s="156">
        <f>ROUND(H617*I606,2)</f>
        <v>574487.28</v>
      </c>
      <c r="K617" s="166"/>
      <c r="L617" s="156">
        <f>ROUND(H617*K606,2)</f>
        <v>450068.73</v>
      </c>
      <c r="M617" s="34"/>
      <c r="N617" s="166"/>
      <c r="O617" s="156">
        <f>ROUND(H617*N606,2)</f>
        <v>0</v>
      </c>
      <c r="P617" s="166"/>
      <c r="Q617" s="156">
        <f>ROUND(H617*P606,2)</f>
        <v>0</v>
      </c>
      <c r="R617" s="166"/>
      <c r="S617" s="156">
        <f>ROUND(H617*R606,2)</f>
        <v>0</v>
      </c>
      <c r="T617" s="34"/>
      <c r="U617" s="34"/>
      <c r="V617" s="166"/>
      <c r="W617" s="166"/>
      <c r="X617" s="166"/>
      <c r="Y617" s="156">
        <f>ROUND(H617*X606,2)</f>
        <v>-124418.55</v>
      </c>
      <c r="Z617" s="166"/>
      <c r="AA617" s="156">
        <f>ROUND(H617*Z606,2)</f>
        <v>-124418.55</v>
      </c>
      <c r="AB617" s="156">
        <f>ROUND(H617*W606,2)</f>
        <v>450068.73</v>
      </c>
    </row>
    <row r="618" spans="1:28" hidden="1" x14ac:dyDescent="0.25">
      <c r="A618" s="168"/>
      <c r="B618" s="133" t="str">
        <f>'Công trình'!B109</f>
        <v>AI.11912</v>
      </c>
      <c r="C618" s="34"/>
      <c r="D618" s="133" t="str">
        <f>'Công trình'!C109</f>
        <v>Sản xuất hệ sàn đạo, sàn thao tác</v>
      </c>
      <c r="E618" s="168"/>
      <c r="F618" s="20">
        <v>1</v>
      </c>
      <c r="G618" s="169"/>
      <c r="H618" s="45">
        <f>'Hao phí vật tư'!J868</f>
        <v>0</v>
      </c>
      <c r="I618" s="166"/>
      <c r="J618" s="156">
        <f>ROUND(H618*I606,2)</f>
        <v>0</v>
      </c>
      <c r="K618" s="166"/>
      <c r="L618" s="156">
        <f>ROUND(H618*K606,2)</f>
        <v>0</v>
      </c>
      <c r="M618" s="34"/>
      <c r="N618" s="166"/>
      <c r="O618" s="156">
        <f>ROUND(H618*N606,2)</f>
        <v>0</v>
      </c>
      <c r="P618" s="166"/>
      <c r="Q618" s="156">
        <f>ROUND(H618*P606,2)</f>
        <v>0</v>
      </c>
      <c r="R618" s="166"/>
      <c r="S618" s="156">
        <f>ROUND(H618*R606,2)</f>
        <v>0</v>
      </c>
      <c r="T618" s="34"/>
      <c r="U618" s="34"/>
      <c r="V618" s="166"/>
      <c r="W618" s="166"/>
      <c r="X618" s="166"/>
      <c r="Y618" s="156">
        <f>ROUND(H618*X606,2)</f>
        <v>0</v>
      </c>
      <c r="Z618" s="166"/>
      <c r="AA618" s="156">
        <f>ROUND(H618*Z606,2)</f>
        <v>0</v>
      </c>
      <c r="AB618" s="156">
        <f>ROUND(H618*W606,2)</f>
        <v>0</v>
      </c>
    </row>
    <row r="619" spans="1:28" ht="30" hidden="1" x14ac:dyDescent="0.25">
      <c r="A619" s="168"/>
      <c r="B619" s="133" t="str">
        <f>'Công trình'!B110</f>
        <v>TT</v>
      </c>
      <c r="C619" s="34"/>
      <c r="D619" s="133" t="str">
        <f>'Công trình'!C110</f>
        <v>Khấu hao hệ sàn đạo, sàn thao tác (Thi công trong vòng 1 tháng và 5 lần đóng nhổ)</v>
      </c>
      <c r="E619" s="168"/>
      <c r="F619" s="20">
        <v>1</v>
      </c>
      <c r="G619" s="169"/>
      <c r="H619" s="45">
        <f>'Hao phí vật tư'!J882</f>
        <v>338.5016</v>
      </c>
      <c r="I619" s="166"/>
      <c r="J619" s="156">
        <f>ROUND(H619*I606,2)</f>
        <v>5432950.6799999997</v>
      </c>
      <c r="K619" s="166"/>
      <c r="L619" s="156">
        <f>ROUND(H619*K606,2)</f>
        <v>4256319.12</v>
      </c>
      <c r="M619" s="34"/>
      <c r="N619" s="166"/>
      <c r="O619" s="156">
        <f>ROUND(H619*N606,2)</f>
        <v>0</v>
      </c>
      <c r="P619" s="166"/>
      <c r="Q619" s="156">
        <f>ROUND(H619*P606,2)</f>
        <v>0</v>
      </c>
      <c r="R619" s="166"/>
      <c r="S619" s="156">
        <f>ROUND(H619*R606,2)</f>
        <v>0</v>
      </c>
      <c r="T619" s="34"/>
      <c r="U619" s="34"/>
      <c r="V619" s="166"/>
      <c r="W619" s="166"/>
      <c r="X619" s="166"/>
      <c r="Y619" s="156">
        <f>ROUND(H619*X606,2)</f>
        <v>-1176631.56</v>
      </c>
      <c r="Z619" s="166"/>
      <c r="AA619" s="156">
        <f>ROUND(H619*Z606,2)</f>
        <v>-1176631.56</v>
      </c>
      <c r="AB619" s="156">
        <f>ROUND(H619*W606,2)</f>
        <v>4256319.12</v>
      </c>
    </row>
    <row r="620" spans="1:28" hidden="1" x14ac:dyDescent="0.25">
      <c r="A620" s="168"/>
      <c r="B620" s="133" t="str">
        <f>'Công trình'!B104</f>
        <v>AI.11131</v>
      </c>
      <c r="C620" s="34"/>
      <c r="D620" s="133" t="str">
        <f>'Công trình'!C104</f>
        <v>Sản xuất cọc dẫn bằng thép hình</v>
      </c>
      <c r="E620" s="168"/>
      <c r="F620" s="20">
        <v>1</v>
      </c>
      <c r="G620" s="169"/>
      <c r="H620" s="45">
        <f>'Hao phí vật tư'!J832</f>
        <v>0</v>
      </c>
      <c r="I620" s="166"/>
      <c r="J620" s="156">
        <f>ROUND(H620*I606,2)</f>
        <v>0</v>
      </c>
      <c r="K620" s="166"/>
      <c r="L620" s="156">
        <f>ROUND(H620*K606,2)</f>
        <v>0</v>
      </c>
      <c r="M620" s="34"/>
      <c r="N620" s="166"/>
      <c r="O620" s="156">
        <f>ROUND(H620*N606,2)</f>
        <v>0</v>
      </c>
      <c r="P620" s="166"/>
      <c r="Q620" s="156">
        <f>ROUND(H620*P606,2)</f>
        <v>0</v>
      </c>
      <c r="R620" s="166"/>
      <c r="S620" s="156">
        <f>ROUND(H620*R606,2)</f>
        <v>0</v>
      </c>
      <c r="T620" s="34"/>
      <c r="U620" s="34"/>
      <c r="V620" s="166"/>
      <c r="W620" s="166"/>
      <c r="X620" s="166"/>
      <c r="Y620" s="156">
        <f>ROUND(H620*X606,2)</f>
        <v>0</v>
      </c>
      <c r="Z620" s="166"/>
      <c r="AA620" s="156">
        <f>ROUND(H620*Z606,2)</f>
        <v>0</v>
      </c>
      <c r="AB620" s="156">
        <f>ROUND(H620*W606,2)</f>
        <v>0</v>
      </c>
    </row>
    <row r="621" spans="1:28" hidden="1" x14ac:dyDescent="0.25">
      <c r="A621" s="168"/>
      <c r="B621" s="133" t="str">
        <f>'Công trình'!B120</f>
        <v>AI.11912</v>
      </c>
      <c r="C621" s="34"/>
      <c r="D621" s="133" t="str">
        <f>'Công trình'!C120</f>
        <v>Sản xuất hệ sàn đạo, sàn thao tác</v>
      </c>
      <c r="E621" s="168"/>
      <c r="F621" s="20">
        <v>1</v>
      </c>
      <c r="G621" s="169"/>
      <c r="H621" s="45">
        <f>'Hao phí vật tư'!J940</f>
        <v>0</v>
      </c>
      <c r="I621" s="166"/>
      <c r="J621" s="156">
        <f>ROUND(H621*I606,2)</f>
        <v>0</v>
      </c>
      <c r="K621" s="166"/>
      <c r="L621" s="156">
        <f>ROUND(H621*K606,2)</f>
        <v>0</v>
      </c>
      <c r="M621" s="34"/>
      <c r="N621" s="166"/>
      <c r="O621" s="156">
        <f>ROUND(H621*N606,2)</f>
        <v>0</v>
      </c>
      <c r="P621" s="166"/>
      <c r="Q621" s="156">
        <f>ROUND(H621*P606,2)</f>
        <v>0</v>
      </c>
      <c r="R621" s="166"/>
      <c r="S621" s="156">
        <f>ROUND(H621*R606,2)</f>
        <v>0</v>
      </c>
      <c r="T621" s="34"/>
      <c r="U621" s="34"/>
      <c r="V621" s="166"/>
      <c r="W621" s="166"/>
      <c r="X621" s="166"/>
      <c r="Y621" s="156">
        <f>ROUND(H621*X606,2)</f>
        <v>0</v>
      </c>
      <c r="Z621" s="166"/>
      <c r="AA621" s="156">
        <f>ROUND(H621*Z606,2)</f>
        <v>0</v>
      </c>
      <c r="AB621" s="156">
        <f>ROUND(H621*W606,2)</f>
        <v>0</v>
      </c>
    </row>
    <row r="622" spans="1:28" ht="30" hidden="1" x14ac:dyDescent="0.25">
      <c r="A622" s="168"/>
      <c r="B622" s="133" t="str">
        <f>'Công trình'!B121</f>
        <v>TT</v>
      </c>
      <c r="C622" s="34"/>
      <c r="D622" s="133" t="str">
        <f>'Công trình'!C121</f>
        <v>Khấu hao hệ sàn đạo, sàn thao tác (Thi công trong vòng 1 tháng và 4 lần đóng nhổ)</v>
      </c>
      <c r="E622" s="168"/>
      <c r="F622" s="20">
        <v>1</v>
      </c>
      <c r="G622" s="169"/>
      <c r="H622" s="45">
        <f>'Hao phí vật tư'!J954</f>
        <v>565.24369999999999</v>
      </c>
      <c r="I622" s="166"/>
      <c r="J622" s="156">
        <f>ROUND(H622*I606,2)</f>
        <v>9072161.3900000006</v>
      </c>
      <c r="K622" s="166"/>
      <c r="L622" s="156">
        <f>ROUND(H622*K606,2)</f>
        <v>7107374.2800000003</v>
      </c>
      <c r="M622" s="34"/>
      <c r="N622" s="166"/>
      <c r="O622" s="156">
        <f>ROUND(H622*N606,2)</f>
        <v>0</v>
      </c>
      <c r="P622" s="166"/>
      <c r="Q622" s="156">
        <f>ROUND(H622*P606,2)</f>
        <v>0</v>
      </c>
      <c r="R622" s="166"/>
      <c r="S622" s="156">
        <f>ROUND(H622*R606,2)</f>
        <v>0</v>
      </c>
      <c r="T622" s="34"/>
      <c r="U622" s="34"/>
      <c r="V622" s="166"/>
      <c r="W622" s="166"/>
      <c r="X622" s="166"/>
      <c r="Y622" s="156">
        <f>ROUND(H622*X606,2)</f>
        <v>-1964787.1</v>
      </c>
      <c r="Z622" s="166"/>
      <c r="AA622" s="156">
        <f>ROUND(H622*Z606,2)</f>
        <v>-1964787.1</v>
      </c>
      <c r="AB622" s="156">
        <f>ROUND(H622*W606,2)</f>
        <v>7107374.2800000003</v>
      </c>
    </row>
    <row r="623" spans="1:28" hidden="1" x14ac:dyDescent="0.25">
      <c r="A623" s="168"/>
      <c r="B623" s="133" t="str">
        <f>'Công trình'!B136</f>
        <v>AI.11912</v>
      </c>
      <c r="C623" s="34"/>
      <c r="D623" s="133" t="str">
        <f>'Công trình'!C136</f>
        <v>Sản xuất hệ sàn đạo, sàn thao tác</v>
      </c>
      <c r="E623" s="168"/>
      <c r="F623" s="20">
        <v>1</v>
      </c>
      <c r="G623" s="169"/>
      <c r="H623" s="45">
        <f>'Hao phí vật tư'!J1041</f>
        <v>0</v>
      </c>
      <c r="I623" s="166"/>
      <c r="J623" s="156">
        <f>ROUND(H623*I606,2)</f>
        <v>0</v>
      </c>
      <c r="K623" s="166"/>
      <c r="L623" s="156">
        <f>ROUND(H623*K606,2)</f>
        <v>0</v>
      </c>
      <c r="M623" s="34"/>
      <c r="N623" s="166"/>
      <c r="O623" s="156">
        <f>ROUND(H623*N606,2)</f>
        <v>0</v>
      </c>
      <c r="P623" s="166"/>
      <c r="Q623" s="156">
        <f>ROUND(H623*P606,2)</f>
        <v>0</v>
      </c>
      <c r="R623" s="166"/>
      <c r="S623" s="156">
        <f>ROUND(H623*R606,2)</f>
        <v>0</v>
      </c>
      <c r="T623" s="34"/>
      <c r="U623" s="34"/>
      <c r="V623" s="166"/>
      <c r="W623" s="166"/>
      <c r="X623" s="166"/>
      <c r="Y623" s="156">
        <f>ROUND(H623*X606,2)</f>
        <v>0</v>
      </c>
      <c r="Z623" s="166"/>
      <c r="AA623" s="156">
        <f>ROUND(H623*Z606,2)</f>
        <v>0</v>
      </c>
      <c r="AB623" s="156">
        <f>ROUND(H623*W606,2)</f>
        <v>0</v>
      </c>
    </row>
    <row r="624" spans="1:28" ht="30" hidden="1" x14ac:dyDescent="0.25">
      <c r="A624" s="168"/>
      <c r="B624" s="133" t="str">
        <f>'Công trình'!B137</f>
        <v>TT</v>
      </c>
      <c r="C624" s="34"/>
      <c r="D624" s="133" t="str">
        <f>'Công trình'!C137</f>
        <v>Khấu hao hệ sàn đạo, sàn thao tác (Thi công trong vòng 3 tháng và 1 lần đóng nhổ)</v>
      </c>
      <c r="E624" s="168"/>
      <c r="F624" s="20">
        <v>1</v>
      </c>
      <c r="G624" s="169"/>
      <c r="H624" s="45">
        <f>'Hao phí vật tư'!J1055</f>
        <v>3880.5821000000001</v>
      </c>
      <c r="I624" s="166"/>
      <c r="J624" s="156">
        <f>ROUND(H624*I606,2)</f>
        <v>62283342.710000001</v>
      </c>
      <c r="K624" s="166"/>
      <c r="L624" s="156">
        <f>ROUND(H624*K606,2)</f>
        <v>48794439.329999998</v>
      </c>
      <c r="M624" s="34"/>
      <c r="N624" s="166"/>
      <c r="O624" s="156">
        <f>ROUND(H624*N606,2)</f>
        <v>0</v>
      </c>
      <c r="P624" s="166"/>
      <c r="Q624" s="156">
        <f>ROUND(H624*P606,2)</f>
        <v>0</v>
      </c>
      <c r="R624" s="166"/>
      <c r="S624" s="156">
        <f>ROUND(H624*R606,2)</f>
        <v>0</v>
      </c>
      <c r="T624" s="34"/>
      <c r="U624" s="34"/>
      <c r="V624" s="166"/>
      <c r="W624" s="166"/>
      <c r="X624" s="166"/>
      <c r="Y624" s="156">
        <f>ROUND(H624*X606,2)</f>
        <v>-13488903.380000001</v>
      </c>
      <c r="Z624" s="166"/>
      <c r="AA624" s="156">
        <f>ROUND(H624*Z606,2)</f>
        <v>-13488903.380000001</v>
      </c>
      <c r="AB624" s="156">
        <f>ROUND(H624*W606,2)</f>
        <v>48794439.329999998</v>
      </c>
    </row>
    <row r="625" spans="1:28" ht="30" hidden="1" x14ac:dyDescent="0.25">
      <c r="A625" s="168"/>
      <c r="B625" s="133" t="str">
        <f>'Công trình'!B158</f>
        <v>TT</v>
      </c>
      <c r="C625" s="34"/>
      <c r="D625" s="133" t="str">
        <f>'Công trình'!C158</f>
        <v>Khấu hao hệ sàn đạo, sàn thao tác (Thi công trong vòng 3 tháng và 1 lần đóng nhổ)</v>
      </c>
      <c r="E625" s="168"/>
      <c r="F625" s="20">
        <v>1</v>
      </c>
      <c r="G625" s="169"/>
      <c r="H625" s="45">
        <f>'Hao phí vật tư'!J1204</f>
        <v>1891.8715999999999</v>
      </c>
      <c r="I625" s="166"/>
      <c r="J625" s="156">
        <f>ROUND(H625*I606,2)</f>
        <v>30364539.18</v>
      </c>
      <c r="K625" s="166"/>
      <c r="L625" s="156">
        <f>ROUND(H625*K606,2)</f>
        <v>23788393.5</v>
      </c>
      <c r="M625" s="34"/>
      <c r="N625" s="166"/>
      <c r="O625" s="156">
        <f>ROUND(H625*N606,2)</f>
        <v>0</v>
      </c>
      <c r="P625" s="166"/>
      <c r="Q625" s="156">
        <f>ROUND(H625*P606,2)</f>
        <v>0</v>
      </c>
      <c r="R625" s="166"/>
      <c r="S625" s="156">
        <f>ROUND(H625*R606,2)</f>
        <v>0</v>
      </c>
      <c r="T625" s="34"/>
      <c r="U625" s="34"/>
      <c r="V625" s="166"/>
      <c r="W625" s="166"/>
      <c r="X625" s="166"/>
      <c r="Y625" s="156">
        <f>ROUND(H625*X606,2)</f>
        <v>-6576145.6799999997</v>
      </c>
      <c r="Z625" s="166"/>
      <c r="AA625" s="156">
        <f>ROUND(H625*Z606,2)</f>
        <v>-6576145.6799999997</v>
      </c>
      <c r="AB625" s="156">
        <f>ROUND(H625*W606,2)</f>
        <v>23788393.5</v>
      </c>
    </row>
    <row r="626" spans="1:28" hidden="1" x14ac:dyDescent="0.25">
      <c r="A626" s="168"/>
      <c r="B626" s="133" t="str">
        <f>'Công trình'!B157</f>
        <v>AI.11912</v>
      </c>
      <c r="C626" s="34"/>
      <c r="D626" s="133" t="str">
        <f>'Công trình'!C157</f>
        <v>Sản xuất cầu công tác</v>
      </c>
      <c r="E626" s="168"/>
      <c r="F626" s="20">
        <v>1</v>
      </c>
      <c r="G626" s="169"/>
      <c r="H626" s="45">
        <f>'Hao phí vật tư'!J1190</f>
        <v>0</v>
      </c>
      <c r="I626" s="166"/>
      <c r="J626" s="156">
        <f>ROUND(H626*I606,2)</f>
        <v>0</v>
      </c>
      <c r="K626" s="166"/>
      <c r="L626" s="156">
        <f>ROUND(H626*K606,2)</f>
        <v>0</v>
      </c>
      <c r="M626" s="34"/>
      <c r="N626" s="166"/>
      <c r="O626" s="156">
        <f>ROUND(H626*N606,2)</f>
        <v>0</v>
      </c>
      <c r="P626" s="166"/>
      <c r="Q626" s="156">
        <f>ROUND(H626*P606,2)</f>
        <v>0</v>
      </c>
      <c r="R626" s="166"/>
      <c r="S626" s="156">
        <f>ROUND(H626*R606,2)</f>
        <v>0</v>
      </c>
      <c r="T626" s="34"/>
      <c r="U626" s="34"/>
      <c r="V626" s="166"/>
      <c r="W626" s="166"/>
      <c r="X626" s="166"/>
      <c r="Y626" s="156">
        <f>ROUND(H626*X606,2)</f>
        <v>0</v>
      </c>
      <c r="Z626" s="166"/>
      <c r="AA626" s="156">
        <f>ROUND(H626*Z606,2)</f>
        <v>0</v>
      </c>
      <c r="AB626" s="156">
        <f>ROUND(H626*W606,2)</f>
        <v>0</v>
      </c>
    </row>
    <row r="627" spans="1:28" ht="30" hidden="1" x14ac:dyDescent="0.25">
      <c r="A627" s="168"/>
      <c r="B627" s="133" t="str">
        <f>'Công trình'!B168</f>
        <v>AG.32211</v>
      </c>
      <c r="C627" s="34"/>
      <c r="D627" s="133" t="str">
        <f>'Công trình'!C168</f>
        <v>Sản xuất, lắp dựng tháo dỡ ván khuôn kim loại các loại cấu kiện khác</v>
      </c>
      <c r="E627" s="168"/>
      <c r="F627" s="20">
        <v>1</v>
      </c>
      <c r="G627" s="169"/>
      <c r="H627" s="45">
        <f>'Hao phí vật tư'!J1271</f>
        <v>5.4779999999999998</v>
      </c>
      <c r="I627" s="166"/>
      <c r="J627" s="156">
        <f>ROUND(H627*I606,2)</f>
        <v>87921.9</v>
      </c>
      <c r="K627" s="166"/>
      <c r="L627" s="156">
        <f>ROUND(H627*K606,2)</f>
        <v>68880.37</v>
      </c>
      <c r="M627" s="34"/>
      <c r="N627" s="166"/>
      <c r="O627" s="156">
        <f>ROUND(H627*N606,2)</f>
        <v>0</v>
      </c>
      <c r="P627" s="166"/>
      <c r="Q627" s="156">
        <f>ROUND(H627*P606,2)</f>
        <v>0</v>
      </c>
      <c r="R627" s="166"/>
      <c r="S627" s="156">
        <f>ROUND(H627*R606,2)</f>
        <v>0</v>
      </c>
      <c r="T627" s="34"/>
      <c r="U627" s="34"/>
      <c r="V627" s="166"/>
      <c r="W627" s="166"/>
      <c r="X627" s="166"/>
      <c r="Y627" s="156">
        <f>ROUND(H627*X606,2)</f>
        <v>-19041.53</v>
      </c>
      <c r="Z627" s="166"/>
      <c r="AA627" s="156">
        <f>ROUND(H627*Z606,2)</f>
        <v>-19041.53</v>
      </c>
      <c r="AB627" s="156">
        <f>ROUND(H627*W606,2)</f>
        <v>68880.37</v>
      </c>
    </row>
    <row r="628" spans="1:28" ht="30" hidden="1" x14ac:dyDescent="0.25">
      <c r="A628" s="168"/>
      <c r="B628" s="133" t="str">
        <f>'Công trình'!B200</f>
        <v>AF.82111</v>
      </c>
      <c r="C628" s="34"/>
      <c r="D628" s="133" t="str">
        <f>'Công trình'!C200</f>
        <v>Sản xuất, lắp dựng tháo dỡ ván khuôn thép, cây chống gỗ dầm ngang, chiều cao &lt;=16m</v>
      </c>
      <c r="E628" s="168"/>
      <c r="F628" s="20">
        <v>1</v>
      </c>
      <c r="G628" s="169"/>
      <c r="H628" s="45">
        <f>'Hao phí vật tư'!J1541</f>
        <v>20.0505</v>
      </c>
      <c r="I628" s="166"/>
      <c r="J628" s="156">
        <f>ROUND(H628*I606,2)</f>
        <v>321810.53000000003</v>
      </c>
      <c r="K628" s="166"/>
      <c r="L628" s="156">
        <f>ROUND(H628*K606,2)</f>
        <v>252114.99</v>
      </c>
      <c r="M628" s="34"/>
      <c r="N628" s="166"/>
      <c r="O628" s="156">
        <f>ROUND(H628*N606,2)</f>
        <v>0</v>
      </c>
      <c r="P628" s="166"/>
      <c r="Q628" s="156">
        <f>ROUND(H628*P606,2)</f>
        <v>0</v>
      </c>
      <c r="R628" s="166"/>
      <c r="S628" s="156">
        <f>ROUND(H628*R606,2)</f>
        <v>0</v>
      </c>
      <c r="T628" s="34"/>
      <c r="U628" s="34"/>
      <c r="V628" s="166"/>
      <c r="W628" s="166"/>
      <c r="X628" s="166"/>
      <c r="Y628" s="156">
        <f>ROUND(H628*X606,2)</f>
        <v>-69695.539999999994</v>
      </c>
      <c r="Z628" s="166"/>
      <c r="AA628" s="156">
        <f>ROUND(H628*Z606,2)</f>
        <v>-69695.539999999994</v>
      </c>
      <c r="AB628" s="156">
        <f>ROUND(H628*W606,2)</f>
        <v>252114.99</v>
      </c>
    </row>
    <row r="629" spans="1:28" ht="30" hidden="1" x14ac:dyDescent="0.25">
      <c r="A629" s="168"/>
      <c r="B629" s="133" t="str">
        <f>'Công trình'!B229</f>
        <v>AI.13111</v>
      </c>
      <c r="C629" s="34"/>
      <c r="D629" s="133" t="str">
        <f>'Công trình'!C229</f>
        <v>Sản xuất cấu kiện thép đặt sẵn trong bê tông, khối lượng &lt;=10kg/cấu kiện</v>
      </c>
      <c r="E629" s="168"/>
      <c r="F629" s="20">
        <v>1</v>
      </c>
      <c r="G629" s="169"/>
      <c r="H629" s="45">
        <f>'Hao phí vật tư'!J1726</f>
        <v>817.74</v>
      </c>
      <c r="I629" s="166"/>
      <c r="J629" s="156">
        <f>ROUND(H629*I606,2)</f>
        <v>13124727</v>
      </c>
      <c r="K629" s="166"/>
      <c r="L629" s="156">
        <f>ROUND(H629*K606,2)</f>
        <v>10282262.76</v>
      </c>
      <c r="M629" s="34"/>
      <c r="N629" s="166"/>
      <c r="O629" s="156">
        <f>ROUND(H629*N606,2)</f>
        <v>0</v>
      </c>
      <c r="P629" s="166"/>
      <c r="Q629" s="156">
        <f>ROUND(H629*P606,2)</f>
        <v>0</v>
      </c>
      <c r="R629" s="166"/>
      <c r="S629" s="156">
        <f>ROUND(H629*R606,2)</f>
        <v>0</v>
      </c>
      <c r="T629" s="34"/>
      <c r="U629" s="34"/>
      <c r="V629" s="166"/>
      <c r="W629" s="166"/>
      <c r="X629" s="166"/>
      <c r="Y629" s="156">
        <f>ROUND(H629*X606,2)</f>
        <v>-2842464.24</v>
      </c>
      <c r="Z629" s="166"/>
      <c r="AA629" s="156">
        <f>ROUND(H629*Z606,2)</f>
        <v>-2842464.24</v>
      </c>
      <c r="AB629" s="156">
        <f>ROUND(H629*W606,2)</f>
        <v>10282262.76</v>
      </c>
    </row>
    <row r="630" spans="1:28" hidden="1" x14ac:dyDescent="0.25">
      <c r="A630" s="168"/>
      <c r="B630" s="133" t="str">
        <f>'Công trình'!B231</f>
        <v>AI.52211</v>
      </c>
      <c r="C630" s="34"/>
      <c r="D630" s="133" t="str">
        <f>'Công trình'!C231</f>
        <v>Thép hình hộp nối cọc</v>
      </c>
      <c r="E630" s="168"/>
      <c r="F630" s="20">
        <v>1</v>
      </c>
      <c r="G630" s="169"/>
      <c r="H630" s="45">
        <f>'Hao phí vật tư'!J1753</f>
        <v>617.32500000000005</v>
      </c>
      <c r="I630" s="166"/>
      <c r="J630" s="156">
        <f>ROUND(H630*I606,2)</f>
        <v>9908066.25</v>
      </c>
      <c r="K630" s="166"/>
      <c r="L630" s="156">
        <f>ROUND(H630*K606,2)</f>
        <v>7762244.5499999998</v>
      </c>
      <c r="M630" s="34"/>
      <c r="N630" s="166"/>
      <c r="O630" s="156">
        <f>ROUND(H630*N606,2)</f>
        <v>0</v>
      </c>
      <c r="P630" s="166"/>
      <c r="Q630" s="156">
        <f>ROUND(H630*P606,2)</f>
        <v>0</v>
      </c>
      <c r="R630" s="166"/>
      <c r="S630" s="156">
        <f>ROUND(H630*R606,2)</f>
        <v>0</v>
      </c>
      <c r="T630" s="34"/>
      <c r="U630" s="34"/>
      <c r="V630" s="166"/>
      <c r="W630" s="166"/>
      <c r="X630" s="166"/>
      <c r="Y630" s="156">
        <f>ROUND(H630*X606,2)</f>
        <v>-2145821.7000000002</v>
      </c>
      <c r="Z630" s="166"/>
      <c r="AA630" s="156">
        <f>ROUND(H630*Z606,2)</f>
        <v>-2145821.7000000002</v>
      </c>
      <c r="AB630" s="156">
        <f>ROUND(H630*W606,2)</f>
        <v>7762244.5499999998</v>
      </c>
    </row>
    <row r="631" spans="1:28" ht="30" hidden="1" x14ac:dyDescent="0.25">
      <c r="A631" s="168"/>
      <c r="B631" s="133" t="str">
        <f>'Công trình'!B249</f>
        <v>AF.82111</v>
      </c>
      <c r="C631" s="34"/>
      <c r="D631" s="133" t="str">
        <f>'Công trình'!C249</f>
        <v>Sản xuất, lắp dựng tháo dỡ ván khuôn thép, cây chống gỗ dầm, giằng, chiều cao &lt;=16m</v>
      </c>
      <c r="E631" s="168"/>
      <c r="F631" s="20">
        <v>1</v>
      </c>
      <c r="G631" s="169"/>
      <c r="H631" s="45">
        <f>'Hao phí vật tư'!J1889</f>
        <v>36.971600000000002</v>
      </c>
      <c r="I631" s="166"/>
      <c r="J631" s="156">
        <f>ROUND(H631*I606,2)</f>
        <v>593394.18000000005</v>
      </c>
      <c r="K631" s="166"/>
      <c r="L631" s="156">
        <f>ROUND(H631*K606,2)</f>
        <v>464880.9</v>
      </c>
      <c r="M631" s="34"/>
      <c r="N631" s="166"/>
      <c r="O631" s="156">
        <f>ROUND(H631*N606,2)</f>
        <v>0</v>
      </c>
      <c r="P631" s="166"/>
      <c r="Q631" s="156">
        <f>ROUND(H631*P606,2)</f>
        <v>0</v>
      </c>
      <c r="R631" s="166"/>
      <c r="S631" s="156">
        <f>ROUND(H631*R606,2)</f>
        <v>0</v>
      </c>
      <c r="T631" s="34"/>
      <c r="U631" s="34"/>
      <c r="V631" s="166"/>
      <c r="W631" s="166"/>
      <c r="X631" s="166"/>
      <c r="Y631" s="156">
        <f>ROUND(H631*X606,2)</f>
        <v>-128513.28</v>
      </c>
      <c r="Z631" s="166"/>
      <c r="AA631" s="156">
        <f>ROUND(H631*Z606,2)</f>
        <v>-128513.28</v>
      </c>
      <c r="AB631" s="156">
        <f>ROUND(H631*W606,2)</f>
        <v>464880.9</v>
      </c>
    </row>
    <row r="632" spans="1:28" ht="30" hidden="1" x14ac:dyDescent="0.25">
      <c r="A632" s="168"/>
      <c r="B632" s="133" t="str">
        <f>'Công trình'!B256</f>
        <v>AF.82111</v>
      </c>
      <c r="C632" s="34"/>
      <c r="D632" s="133" t="str">
        <f>'Công trình'!C256</f>
        <v>Sản xuất, lắp dựng tháo dỡ ván khuôn thép lan can</v>
      </c>
      <c r="E632" s="168"/>
      <c r="F632" s="20">
        <v>1</v>
      </c>
      <c r="G632" s="169"/>
      <c r="H632" s="45">
        <f>'Hao phí vật tư'!J1950</f>
        <v>79.258899999999997</v>
      </c>
      <c r="I632" s="166"/>
      <c r="J632" s="156">
        <f>ROUND(H632*I606,2)</f>
        <v>1272105.3500000001</v>
      </c>
      <c r="K632" s="166"/>
      <c r="L632" s="156">
        <f>ROUND(H632*K606,2)</f>
        <v>996601.41</v>
      </c>
      <c r="M632" s="34"/>
      <c r="N632" s="166"/>
      <c r="O632" s="156">
        <f>ROUND(H632*N606,2)</f>
        <v>0</v>
      </c>
      <c r="P632" s="166"/>
      <c r="Q632" s="156">
        <f>ROUND(H632*P606,2)</f>
        <v>0</v>
      </c>
      <c r="R632" s="166"/>
      <c r="S632" s="156">
        <f>ROUND(H632*R606,2)</f>
        <v>0</v>
      </c>
      <c r="T632" s="34"/>
      <c r="U632" s="34"/>
      <c r="V632" s="166"/>
      <c r="W632" s="166"/>
      <c r="X632" s="166"/>
      <c r="Y632" s="156">
        <f>ROUND(H632*X606,2)</f>
        <v>-275503.94</v>
      </c>
      <c r="Z632" s="166"/>
      <c r="AA632" s="156">
        <f>ROUND(H632*Z606,2)</f>
        <v>-275503.94</v>
      </c>
      <c r="AB632" s="156">
        <f>ROUND(H632*W606,2)</f>
        <v>996601.41</v>
      </c>
    </row>
    <row r="633" spans="1:28" hidden="1" x14ac:dyDescent="0.25">
      <c r="A633" s="168"/>
      <c r="B633" s="133" t="str">
        <f>'Công trình'!B287</f>
        <v>AF.82511</v>
      </c>
      <c r="C633" s="34"/>
      <c r="D633" s="133" t="str">
        <f>'Công trình'!C287</f>
        <v>Ván khuôn móng</v>
      </c>
      <c r="E633" s="168"/>
      <c r="F633" s="20">
        <v>1</v>
      </c>
      <c r="G633" s="169"/>
      <c r="H633" s="45">
        <f>'Hao phí vật tư'!J2156</f>
        <v>32.495199999999997</v>
      </c>
      <c r="I633" s="166"/>
      <c r="J633" s="156">
        <f>ROUND(H633*I606,2)</f>
        <v>521547.96</v>
      </c>
      <c r="K633" s="166"/>
      <c r="L633" s="156">
        <f>ROUND(H633*K606,2)</f>
        <v>408594.64</v>
      </c>
      <c r="M633" s="34"/>
      <c r="N633" s="166"/>
      <c r="O633" s="156">
        <f>ROUND(H633*N606,2)</f>
        <v>0</v>
      </c>
      <c r="P633" s="166"/>
      <c r="Q633" s="156">
        <f>ROUND(H633*P606,2)</f>
        <v>0</v>
      </c>
      <c r="R633" s="166"/>
      <c r="S633" s="156">
        <f>ROUND(H633*R606,2)</f>
        <v>0</v>
      </c>
      <c r="T633" s="34"/>
      <c r="U633" s="34"/>
      <c r="V633" s="166"/>
      <c r="W633" s="166"/>
      <c r="X633" s="166"/>
      <c r="Y633" s="156">
        <f>ROUND(H633*X606,2)</f>
        <v>-112953.32</v>
      </c>
      <c r="Z633" s="166"/>
      <c r="AA633" s="156">
        <f>ROUND(H633*Z606,2)</f>
        <v>-112953.32</v>
      </c>
      <c r="AB633" s="156">
        <f>ROUND(H633*W606,2)</f>
        <v>408594.64</v>
      </c>
    </row>
    <row r="634" spans="1:28" hidden="1" x14ac:dyDescent="0.25">
      <c r="A634" s="168"/>
      <c r="B634" s="133" t="str">
        <f>'Công trình'!B298</f>
        <v>AF.82511</v>
      </c>
      <c r="C634" s="34"/>
      <c r="D634" s="133" t="str">
        <f>'Công trình'!C298</f>
        <v>Ván khuôn móng</v>
      </c>
      <c r="E634" s="168"/>
      <c r="F634" s="20">
        <v>1</v>
      </c>
      <c r="G634" s="169"/>
      <c r="H634" s="45">
        <f>'Hao phí vật tư'!J2234</f>
        <v>0.93259999999999998</v>
      </c>
      <c r="I634" s="166"/>
      <c r="J634" s="156">
        <f>ROUND(H634*I606,2)</f>
        <v>14968.23</v>
      </c>
      <c r="K634" s="166"/>
      <c r="L634" s="156">
        <f>ROUND(H634*K606,2)</f>
        <v>11726.51</v>
      </c>
      <c r="M634" s="34"/>
      <c r="N634" s="166"/>
      <c r="O634" s="156">
        <f>ROUND(H634*N606,2)</f>
        <v>0</v>
      </c>
      <c r="P634" s="166"/>
      <c r="Q634" s="156">
        <f>ROUND(H634*P606,2)</f>
        <v>0</v>
      </c>
      <c r="R634" s="166"/>
      <c r="S634" s="156">
        <f>ROUND(H634*R606,2)</f>
        <v>0</v>
      </c>
      <c r="T634" s="34"/>
      <c r="U634" s="34"/>
      <c r="V634" s="166"/>
      <c r="W634" s="166"/>
      <c r="X634" s="166"/>
      <c r="Y634" s="156">
        <f>ROUND(H634*X606,2)</f>
        <v>-3241.72</v>
      </c>
      <c r="Z634" s="166"/>
      <c r="AA634" s="156">
        <f>ROUND(H634*Z606,2)</f>
        <v>-3241.72</v>
      </c>
      <c r="AB634" s="156">
        <f>ROUND(H634*W606,2)</f>
        <v>11726.51</v>
      </c>
    </row>
    <row r="635" spans="1:28" ht="45" hidden="1" x14ac:dyDescent="0.25">
      <c r="A635" s="168"/>
      <c r="B635" s="133" t="str">
        <f>'Công trình'!B305</f>
        <v>AF.82511</v>
      </c>
      <c r="C635" s="34"/>
      <c r="D635" s="133" t="str">
        <f>'Công trình'!C305</f>
        <v>Sản xuất, lắp dựng, tháo dỡ ván khuôn cho bê tông đổ tại chổ, ván khuôn thép, ván khuôn móng</v>
      </c>
      <c r="E635" s="168"/>
      <c r="F635" s="20">
        <v>1</v>
      </c>
      <c r="G635" s="169"/>
      <c r="H635" s="45">
        <f>'Hao phí vật tư'!J2289</f>
        <v>17.097300000000001</v>
      </c>
      <c r="I635" s="166"/>
      <c r="J635" s="156">
        <f>ROUND(H635*I606,2)</f>
        <v>274411.67</v>
      </c>
      <c r="K635" s="166"/>
      <c r="L635" s="156">
        <f>ROUND(H635*K606,2)</f>
        <v>214981.45</v>
      </c>
      <c r="M635" s="34"/>
      <c r="N635" s="166"/>
      <c r="O635" s="156">
        <f>ROUND(H635*N606,2)</f>
        <v>0</v>
      </c>
      <c r="P635" s="166"/>
      <c r="Q635" s="156">
        <f>ROUND(H635*P606,2)</f>
        <v>0</v>
      </c>
      <c r="R635" s="166"/>
      <c r="S635" s="156">
        <f>ROUND(H635*R606,2)</f>
        <v>0</v>
      </c>
      <c r="T635" s="34"/>
      <c r="U635" s="34"/>
      <c r="V635" s="166"/>
      <c r="W635" s="166"/>
      <c r="X635" s="166"/>
      <c r="Y635" s="156">
        <f>ROUND(H635*X606,2)</f>
        <v>-59430.21</v>
      </c>
      <c r="Z635" s="166"/>
      <c r="AA635" s="156">
        <f>ROUND(H635*Z606,2)</f>
        <v>-59430.21</v>
      </c>
      <c r="AB635" s="156">
        <f>ROUND(H635*W606,2)</f>
        <v>214981.45</v>
      </c>
    </row>
    <row r="636" spans="1:28" ht="30" hidden="1" x14ac:dyDescent="0.25">
      <c r="A636" s="168"/>
      <c r="B636" s="133" t="str">
        <f>'Công trình'!B179</f>
        <v>AF.87211</v>
      </c>
      <c r="C636" s="34"/>
      <c r="D636" s="133" t="str">
        <f>'Công trình'!C179</f>
        <v>Sản xuất, lắp dựng, tháo dỡ ván khuôn mố, trụ cầu trên cạn</v>
      </c>
      <c r="E636" s="168"/>
      <c r="F636" s="20">
        <v>1</v>
      </c>
      <c r="G636" s="169"/>
      <c r="H636" s="45">
        <f>'Hao phí vật tư'!J1355</f>
        <v>86.212000000000003</v>
      </c>
      <c r="I636" s="166"/>
      <c r="J636" s="156">
        <f>ROUND(H636*I606,2)</f>
        <v>1383702.6</v>
      </c>
      <c r="K636" s="166"/>
      <c r="L636" s="156">
        <f>ROUND(H636*K606,2)</f>
        <v>1084029.69</v>
      </c>
      <c r="M636" s="34"/>
      <c r="N636" s="166"/>
      <c r="O636" s="156">
        <f>ROUND(H636*N606,2)</f>
        <v>0</v>
      </c>
      <c r="P636" s="166"/>
      <c r="Q636" s="156">
        <f>ROUND(H636*P606,2)</f>
        <v>0</v>
      </c>
      <c r="R636" s="166"/>
      <c r="S636" s="156">
        <f>ROUND(H636*R606,2)</f>
        <v>0</v>
      </c>
      <c r="T636" s="34"/>
      <c r="U636" s="34"/>
      <c r="V636" s="166"/>
      <c r="W636" s="166"/>
      <c r="X636" s="166"/>
      <c r="Y636" s="156">
        <f>ROUND(H636*X606,2)</f>
        <v>-299672.90999999997</v>
      </c>
      <c r="Z636" s="166"/>
      <c r="AA636" s="156">
        <f>ROUND(H636*Z606,2)</f>
        <v>-299672.90999999997</v>
      </c>
      <c r="AB636" s="156">
        <f>ROUND(H636*W606,2)</f>
        <v>1084029.69</v>
      </c>
    </row>
    <row r="637" spans="1:28" ht="30" hidden="1" x14ac:dyDescent="0.25">
      <c r="A637" s="168"/>
      <c r="B637" s="133" t="str">
        <f>'Công trình'!B189</f>
        <v>AF.87211</v>
      </c>
      <c r="C637" s="34"/>
      <c r="D637" s="133" t="str">
        <f>'Công trình'!C189</f>
        <v>Sản xuất, lắp dựng, tháo dỡ ván khuôn mố, trụ cầu trên cạn</v>
      </c>
      <c r="E637" s="168"/>
      <c r="F637" s="20">
        <v>1</v>
      </c>
      <c r="G637" s="169"/>
      <c r="H637" s="45">
        <f>'Hao phí vật tư'!J1446</f>
        <v>24.701599999999999</v>
      </c>
      <c r="I637" s="166"/>
      <c r="J637" s="156">
        <f>ROUND(H637*I606,2)</f>
        <v>396460.68</v>
      </c>
      <c r="K637" s="166"/>
      <c r="L637" s="156">
        <f>ROUND(H637*K606,2)</f>
        <v>310597.92</v>
      </c>
      <c r="M637" s="34"/>
      <c r="N637" s="166"/>
      <c r="O637" s="156">
        <f>ROUND(H637*N606,2)</f>
        <v>0</v>
      </c>
      <c r="P637" s="166"/>
      <c r="Q637" s="156">
        <f>ROUND(H637*P606,2)</f>
        <v>0</v>
      </c>
      <c r="R637" s="166"/>
      <c r="S637" s="156">
        <f>ROUND(H637*R606,2)</f>
        <v>0</v>
      </c>
      <c r="T637" s="34"/>
      <c r="U637" s="34"/>
      <c r="V637" s="166"/>
      <c r="W637" s="166"/>
      <c r="X637" s="166"/>
      <c r="Y637" s="156">
        <f>ROUND(H637*X606,2)</f>
        <v>-85862.76</v>
      </c>
      <c r="Z637" s="166"/>
      <c r="AA637" s="156">
        <f>ROUND(H637*Z606,2)</f>
        <v>-85862.76</v>
      </c>
      <c r="AB637" s="156">
        <f>ROUND(H637*W606,2)</f>
        <v>310597.92</v>
      </c>
    </row>
    <row r="638" spans="1:28" ht="30" hidden="1" x14ac:dyDescent="0.25">
      <c r="A638" s="168"/>
      <c r="B638" s="133" t="str">
        <f>'Công trình'!B201</f>
        <v>AF.82311</v>
      </c>
      <c r="C638" s="34"/>
      <c r="D638" s="133" t="str">
        <f>'Công trình'!C201</f>
        <v>Sản xuất, lắp dựng tháo dỡ ván khuôn thép, cây chống gỗ mặt cầu, chiều cao &lt;=16m</v>
      </c>
      <c r="E638" s="168"/>
      <c r="F638" s="20">
        <v>1</v>
      </c>
      <c r="G638" s="169"/>
      <c r="H638" s="45">
        <f>'Hao phí vật tư'!J1554</f>
        <v>130.9342</v>
      </c>
      <c r="I638" s="166"/>
      <c r="J638" s="156">
        <f>ROUND(H638*I606,2)</f>
        <v>2101493.91</v>
      </c>
      <c r="K638" s="166"/>
      <c r="L638" s="156">
        <f>ROUND(H638*K606,2)</f>
        <v>1646366.63</v>
      </c>
      <c r="M638" s="34"/>
      <c r="N638" s="166"/>
      <c r="O638" s="156">
        <f>ROUND(H638*N606,2)</f>
        <v>0</v>
      </c>
      <c r="P638" s="166"/>
      <c r="Q638" s="156">
        <f>ROUND(H638*P606,2)</f>
        <v>0</v>
      </c>
      <c r="R638" s="166"/>
      <c r="S638" s="156">
        <f>ROUND(H638*R606,2)</f>
        <v>0</v>
      </c>
      <c r="T638" s="34"/>
      <c r="U638" s="34"/>
      <c r="V638" s="166"/>
      <c r="W638" s="166"/>
      <c r="X638" s="166"/>
      <c r="Y638" s="156">
        <f>ROUND(H638*X606,2)</f>
        <v>-455127.28</v>
      </c>
      <c r="Z638" s="166"/>
      <c r="AA638" s="156">
        <f>ROUND(H638*Z606,2)</f>
        <v>-455127.28</v>
      </c>
      <c r="AB638" s="156">
        <f>ROUND(H638*W606,2)</f>
        <v>1646366.63</v>
      </c>
    </row>
    <row r="639" spans="1:28" ht="45" hidden="1" x14ac:dyDescent="0.25">
      <c r="A639" s="168"/>
      <c r="B639" s="133" t="str">
        <f>'Công trình'!B180</f>
        <v>AF.82511</v>
      </c>
      <c r="C639" s="34"/>
      <c r="D639" s="133" t="str">
        <f>'Công trình'!C180</f>
        <v>Sản xuất, lắp dựng, tháo dỡ ván khuôn cho bê tông đổ tại chổ, ván khuôn thép, ván khuôn bản dẫn</v>
      </c>
      <c r="E639" s="168"/>
      <c r="F639" s="20">
        <v>1</v>
      </c>
      <c r="G639" s="169"/>
      <c r="H639" s="45">
        <f>'Hao phí vật tư'!J1369</f>
        <v>9.7402999999999995</v>
      </c>
      <c r="I639" s="166"/>
      <c r="J639" s="156">
        <f>ROUND(H639*I606,2)</f>
        <v>156331.82</v>
      </c>
      <c r="K639" s="166"/>
      <c r="L639" s="156">
        <f>ROUND(H639*K606,2)</f>
        <v>122474.53</v>
      </c>
      <c r="M639" s="34"/>
      <c r="N639" s="166"/>
      <c r="O639" s="156">
        <f>ROUND(H639*N606,2)</f>
        <v>0</v>
      </c>
      <c r="P639" s="166"/>
      <c r="Q639" s="156">
        <f>ROUND(H639*P606,2)</f>
        <v>0</v>
      </c>
      <c r="R639" s="166"/>
      <c r="S639" s="156">
        <f>ROUND(H639*R606,2)</f>
        <v>0</v>
      </c>
      <c r="T639" s="34"/>
      <c r="U639" s="34"/>
      <c r="V639" s="166"/>
      <c r="W639" s="166"/>
      <c r="X639" s="166"/>
      <c r="Y639" s="156">
        <f>ROUND(H639*X606,2)</f>
        <v>-33857.279999999999</v>
      </c>
      <c r="Z639" s="166"/>
      <c r="AA639" s="156">
        <f>ROUND(H639*Z606,2)</f>
        <v>-33857.279999999999</v>
      </c>
      <c r="AB639" s="156">
        <f>ROUND(H639*W606,2)</f>
        <v>122474.53</v>
      </c>
    </row>
    <row r="640" spans="1:28" ht="30" hidden="1" x14ac:dyDescent="0.25">
      <c r="A640" s="168"/>
      <c r="B640" s="133" t="str">
        <f>'Công trình'!B230</f>
        <v>AG.32321</v>
      </c>
      <c r="C640" s="34"/>
      <c r="D640" s="133" t="str">
        <f>'Công trình'!C230</f>
        <v>Sản xuất, lắp dựng, tháo dỡ ván khuôn thép bê tông đúc sẵn cọc, cột</v>
      </c>
      <c r="E640" s="168"/>
      <c r="F640" s="20">
        <v>1</v>
      </c>
      <c r="G640" s="169"/>
      <c r="H640" s="45">
        <f>'Hao phí vật tư'!J1740</f>
        <v>154.86009999999999</v>
      </c>
      <c r="I640" s="166"/>
      <c r="J640" s="156">
        <f>ROUND(H640*I606,2)</f>
        <v>2485504.61</v>
      </c>
      <c r="K640" s="166"/>
      <c r="L640" s="156">
        <f>ROUND(H640*K606,2)</f>
        <v>1947210.9</v>
      </c>
      <c r="M640" s="34"/>
      <c r="N640" s="166"/>
      <c r="O640" s="156">
        <f>ROUND(H640*N606,2)</f>
        <v>0</v>
      </c>
      <c r="P640" s="166"/>
      <c r="Q640" s="156">
        <f>ROUND(H640*P606,2)</f>
        <v>0</v>
      </c>
      <c r="R640" s="166"/>
      <c r="S640" s="156">
        <f>ROUND(H640*R606,2)</f>
        <v>0</v>
      </c>
      <c r="T640" s="34"/>
      <c r="U640" s="34"/>
      <c r="V640" s="166"/>
      <c r="W640" s="166"/>
      <c r="X640" s="166"/>
      <c r="Y640" s="156">
        <f>ROUND(H640*X606,2)</f>
        <v>-538293.71</v>
      </c>
      <c r="Z640" s="166"/>
      <c r="AA640" s="156">
        <f>ROUND(H640*Z606,2)</f>
        <v>-538293.71</v>
      </c>
      <c r="AB640" s="156">
        <f>ROUND(H640*W606,2)</f>
        <v>1947210.9</v>
      </c>
    </row>
    <row r="641" spans="1:28" ht="30" hidden="1" x14ac:dyDescent="0.25">
      <c r="A641" s="168"/>
      <c r="B641" s="133" t="str">
        <f>'Công trình'!B56</f>
        <v>AG.32511</v>
      </c>
      <c r="C641" s="34"/>
      <c r="D641" s="133" t="str">
        <f>'Công trình'!C56</f>
        <v>Sản xuất, lắp dựng, tháo dỡ ván khuôn thép bê tông đúc sẵn tấm tự chèn</v>
      </c>
      <c r="E641" s="168"/>
      <c r="F641" s="20">
        <v>1</v>
      </c>
      <c r="G641" s="169"/>
      <c r="H641" s="45">
        <f>'Hao phí vật tư'!J410</f>
        <v>229.60679999999999</v>
      </c>
      <c r="I641" s="166"/>
      <c r="J641" s="156">
        <f>ROUND(H641*I606,2)</f>
        <v>3685189.14</v>
      </c>
      <c r="K641" s="166"/>
      <c r="L641" s="156">
        <f>ROUND(H641*K606,2)</f>
        <v>2887075.9</v>
      </c>
      <c r="M641" s="34"/>
      <c r="N641" s="166"/>
      <c r="O641" s="156">
        <f>ROUND(H641*N606,2)</f>
        <v>0</v>
      </c>
      <c r="P641" s="166"/>
      <c r="Q641" s="156">
        <f>ROUND(H641*P606,2)</f>
        <v>0</v>
      </c>
      <c r="R641" s="166"/>
      <c r="S641" s="156">
        <f>ROUND(H641*R606,2)</f>
        <v>0</v>
      </c>
      <c r="T641" s="34"/>
      <c r="U641" s="34"/>
      <c r="V641" s="166"/>
      <c r="W641" s="166"/>
      <c r="X641" s="166"/>
      <c r="Y641" s="156">
        <f>ROUND(H641*X606,2)</f>
        <v>-798113.24</v>
      </c>
      <c r="Z641" s="166"/>
      <c r="AA641" s="156">
        <f>ROUND(H641*Z606,2)</f>
        <v>-798113.24</v>
      </c>
      <c r="AB641" s="156">
        <f>ROUND(H641*W606,2)</f>
        <v>2887075.9</v>
      </c>
    </row>
    <row r="642" spans="1:28" ht="30" hidden="1" x14ac:dyDescent="0.25">
      <c r="A642" s="168"/>
      <c r="B642" s="133" t="str">
        <f>'Công trình'!B251</f>
        <v>AG.32511</v>
      </c>
      <c r="C642" s="34"/>
      <c r="D642" s="133" t="str">
        <f>'Công trình'!C251</f>
        <v>Sản xuất, lắp dựng, tháo dỡ ván khuôn thép bê tông đúc sẵn nắp đan, tấm chớp</v>
      </c>
      <c r="E642" s="168"/>
      <c r="F642" s="20">
        <v>1</v>
      </c>
      <c r="G642" s="169"/>
      <c r="H642" s="45">
        <f>'Hao phí vật tư'!J1912</f>
        <v>293.32389999999998</v>
      </c>
      <c r="I642" s="166"/>
      <c r="J642" s="156">
        <f>ROUND(H642*I606,2)</f>
        <v>4707848.5999999996</v>
      </c>
      <c r="K642" s="166"/>
      <c r="L642" s="156">
        <f>ROUND(H642*K606,2)</f>
        <v>3688254.72</v>
      </c>
      <c r="M642" s="34"/>
      <c r="N642" s="166"/>
      <c r="O642" s="156">
        <f>ROUND(H642*N606,2)</f>
        <v>0</v>
      </c>
      <c r="P642" s="166"/>
      <c r="Q642" s="156">
        <f>ROUND(H642*P606,2)</f>
        <v>0</v>
      </c>
      <c r="R642" s="166"/>
      <c r="S642" s="156">
        <f>ROUND(H642*R606,2)</f>
        <v>0</v>
      </c>
      <c r="T642" s="34"/>
      <c r="U642" s="34"/>
      <c r="V642" s="166"/>
      <c r="W642" s="166"/>
      <c r="X642" s="166"/>
      <c r="Y642" s="156">
        <f>ROUND(H642*X606,2)</f>
        <v>-1019593.88</v>
      </c>
      <c r="Z642" s="166"/>
      <c r="AA642" s="156">
        <f>ROUND(H642*Z606,2)</f>
        <v>-1019593.88</v>
      </c>
      <c r="AB642" s="156">
        <f>ROUND(H642*W606,2)</f>
        <v>3688254.72</v>
      </c>
    </row>
    <row r="643" spans="1:28" ht="30" hidden="1" x14ac:dyDescent="0.25">
      <c r="A643" s="168"/>
      <c r="B643" s="133" t="str">
        <f>'Công trình'!B73</f>
        <v>AG.32321</v>
      </c>
      <c r="C643" s="34"/>
      <c r="D643" s="133" t="str">
        <f>'Công trình'!C73</f>
        <v>Sản xuất, lắp dựng, tháo dỡ ván khuôn thép bê tông đúc sẵn cọc</v>
      </c>
      <c r="E643" s="168"/>
      <c r="F643" s="20">
        <v>1</v>
      </c>
      <c r="G643" s="169"/>
      <c r="H643" s="45">
        <f>'Hao phí vật tư'!J564</f>
        <v>143.13380000000001</v>
      </c>
      <c r="I643" s="166"/>
      <c r="J643" s="156">
        <f>ROUND(H643*I606,2)</f>
        <v>2297297.4900000002</v>
      </c>
      <c r="K643" s="166"/>
      <c r="L643" s="156">
        <f>ROUND(H643*K606,2)</f>
        <v>1799764.4</v>
      </c>
      <c r="M643" s="34"/>
      <c r="N643" s="166"/>
      <c r="O643" s="156">
        <f>ROUND(H643*N606,2)</f>
        <v>0</v>
      </c>
      <c r="P643" s="166"/>
      <c r="Q643" s="156">
        <f>ROUND(H643*P606,2)</f>
        <v>0</v>
      </c>
      <c r="R643" s="166"/>
      <c r="S643" s="156">
        <f>ROUND(H643*R606,2)</f>
        <v>0</v>
      </c>
      <c r="T643" s="34"/>
      <c r="U643" s="34"/>
      <c r="V643" s="166"/>
      <c r="W643" s="166"/>
      <c r="X643" s="166"/>
      <c r="Y643" s="156">
        <f>ROUND(H643*X606,2)</f>
        <v>-497533.09</v>
      </c>
      <c r="Z643" s="166"/>
      <c r="AA643" s="156">
        <f>ROUND(H643*Z606,2)</f>
        <v>-497533.09</v>
      </c>
      <c r="AB643" s="156">
        <f>ROUND(H643*W606,2)</f>
        <v>1799764.4</v>
      </c>
    </row>
    <row r="644" spans="1:28" ht="30" hidden="1" x14ac:dyDescent="0.25">
      <c r="A644" s="168"/>
      <c r="B644" s="133" t="str">
        <f>'Công trình'!B84</f>
        <v>AG.32321</v>
      </c>
      <c r="C644" s="34"/>
      <c r="D644" s="133" t="str">
        <f>'Công trình'!C84</f>
        <v>Sản xuất, lắp dựng, tháo dỡ ván khuôn thép bê tông đúc sẵn cọc</v>
      </c>
      <c r="E644" s="168"/>
      <c r="F644" s="20">
        <v>1</v>
      </c>
      <c r="G644" s="169"/>
      <c r="H644" s="45">
        <f>'Hao phí vật tư'!J680</f>
        <v>64.769400000000005</v>
      </c>
      <c r="I644" s="166"/>
      <c r="J644" s="156">
        <f>ROUND(H644*I606,2)</f>
        <v>1039548.87</v>
      </c>
      <c r="K644" s="166"/>
      <c r="L644" s="156">
        <f>ROUND(H644*K606,2)</f>
        <v>814410.44</v>
      </c>
      <c r="M644" s="34"/>
      <c r="N644" s="166"/>
      <c r="O644" s="156">
        <f>ROUND(H644*N606,2)</f>
        <v>0</v>
      </c>
      <c r="P644" s="166"/>
      <c r="Q644" s="156">
        <f>ROUND(H644*P606,2)</f>
        <v>0</v>
      </c>
      <c r="R644" s="166"/>
      <c r="S644" s="156">
        <f>ROUND(H644*R606,2)</f>
        <v>0</v>
      </c>
      <c r="T644" s="34"/>
      <c r="U644" s="34"/>
      <c r="V644" s="166"/>
      <c r="W644" s="166"/>
      <c r="X644" s="166"/>
      <c r="Y644" s="156">
        <f>ROUND(H644*X606,2)</f>
        <v>-225138.43</v>
      </c>
      <c r="Z644" s="166"/>
      <c r="AA644" s="156">
        <f>ROUND(H644*Z606,2)</f>
        <v>-225138.43</v>
      </c>
      <c r="AB644" s="156">
        <f>ROUND(H644*W606,2)</f>
        <v>814410.44</v>
      </c>
    </row>
    <row r="645" spans="1:28" ht="45" hidden="1" x14ac:dyDescent="0.25">
      <c r="A645" s="168"/>
      <c r="B645" s="133" t="str">
        <f>'Công trình'!B35</f>
        <v>AF.82111</v>
      </c>
      <c r="C645" s="34"/>
      <c r="D645" s="133" t="str">
        <f>'Công trình'!C35</f>
        <v>Sản xuất, lắp dựng tháo dỡ ván khuôn thép, cây chống gỗ tường, cột vuông (chữ nhật), xà dầm, giằng, chiều cao &lt;=16m</v>
      </c>
      <c r="E645" s="168"/>
      <c r="F645" s="20">
        <v>1</v>
      </c>
      <c r="G645" s="169"/>
      <c r="H645" s="45">
        <f>'Hao phí vật tư'!J262</f>
        <v>30.1327</v>
      </c>
      <c r="I645" s="166"/>
      <c r="J645" s="156">
        <f>ROUND(H645*I606,2)</f>
        <v>483629.84</v>
      </c>
      <c r="K645" s="166"/>
      <c r="L645" s="156">
        <f>ROUND(H645*K606,2)</f>
        <v>378888.57</v>
      </c>
      <c r="M645" s="34"/>
      <c r="N645" s="166"/>
      <c r="O645" s="156">
        <f>ROUND(H645*N606,2)</f>
        <v>0</v>
      </c>
      <c r="P645" s="166"/>
      <c r="Q645" s="156">
        <f>ROUND(H645*P606,2)</f>
        <v>0</v>
      </c>
      <c r="R645" s="166"/>
      <c r="S645" s="156">
        <f>ROUND(H645*R606,2)</f>
        <v>0</v>
      </c>
      <c r="T645" s="34"/>
      <c r="U645" s="34"/>
      <c r="V645" s="166"/>
      <c r="W645" s="166"/>
      <c r="X645" s="166"/>
      <c r="Y645" s="156">
        <f>ROUND(H645*X606,2)</f>
        <v>-104741.27</v>
      </c>
      <c r="Z645" s="166"/>
      <c r="AA645" s="156">
        <f>ROUND(H645*Z606,2)</f>
        <v>-104741.27</v>
      </c>
      <c r="AB645" s="156">
        <f>ROUND(H645*W606,2)</f>
        <v>378888.57</v>
      </c>
    </row>
    <row r="646" spans="1:28" x14ac:dyDescent="0.25">
      <c r="A646" s="168">
        <v>96</v>
      </c>
      <c r="B646" s="84" t="s">
        <v>117</v>
      </c>
      <c r="C646" s="34">
        <v>413</v>
      </c>
      <c r="D646" s="144" t="s">
        <v>406</v>
      </c>
      <c r="E646" s="168" t="s">
        <v>555</v>
      </c>
      <c r="F646" s="34"/>
      <c r="G646" s="169"/>
      <c r="H646" s="60">
        <f>SUM(H647:H647)</f>
        <v>483.3</v>
      </c>
      <c r="I646" s="166">
        <v>16050</v>
      </c>
      <c r="J646" s="166">
        <f>ROUND(H646*I646,0)</f>
        <v>7756965</v>
      </c>
      <c r="K646" s="139">
        <f>'Tổng hợp VL,NC,M'!I690</f>
        <v>12574</v>
      </c>
      <c r="L646" s="166">
        <f>ROUND(H646*K646,0)</f>
        <v>6077014</v>
      </c>
      <c r="M646" s="34">
        <v>1</v>
      </c>
      <c r="N646" s="166"/>
      <c r="O646" s="166">
        <f>ROUND(H646*N646,0)</f>
        <v>0</v>
      </c>
      <c r="P646" s="166"/>
      <c r="Q646" s="166">
        <f>ROUND(H646*P646,0)</f>
        <v>0</v>
      </c>
      <c r="R646" s="166"/>
      <c r="S646" s="166">
        <f>ROUND(H646*R646,0)</f>
        <v>0</v>
      </c>
      <c r="T646" s="34"/>
      <c r="U646" s="34"/>
      <c r="V646" s="166">
        <f>ROUND((K646+N646+P646+R646)*(U646+T646),0)</f>
        <v>0</v>
      </c>
      <c r="W646" s="139">
        <f>K646+N646+P646+R646+V646</f>
        <v>12574</v>
      </c>
      <c r="X646" s="166">
        <f>K646-I646</f>
        <v>-3476</v>
      </c>
      <c r="Y646" s="166">
        <f>ROUND(H646*X646,0)</f>
        <v>-1679951</v>
      </c>
      <c r="Z646" s="166">
        <f>W646-I646</f>
        <v>-3476</v>
      </c>
      <c r="AA646" s="166">
        <f>ROUND(H646*Z646,0)</f>
        <v>-1679951</v>
      </c>
      <c r="AB646" s="166">
        <f>ROUND(H646*W646,0)</f>
        <v>6077014</v>
      </c>
    </row>
    <row r="647" spans="1:28" ht="45" hidden="1" x14ac:dyDescent="0.25">
      <c r="A647" s="168"/>
      <c r="B647" s="133" t="str">
        <f>'Công trình'!B193</f>
        <v>TT</v>
      </c>
      <c r="C647" s="34"/>
      <c r="D647" s="133" t="str">
        <f>'Công trình'!C193</f>
        <v xml:space="preserve">Lắp dựng dầm cầu I DƯL bản  (TT theo MHĐM ĐQ.30010 Quyết định số 2204/QĐ-BGTVT ngày 29/07/2013) </v>
      </c>
      <c r="E647" s="168"/>
      <c r="F647" s="20">
        <v>1</v>
      </c>
      <c r="G647" s="169"/>
      <c r="H647" s="45">
        <f>'Hao phí vật tư'!J1481</f>
        <v>483.3</v>
      </c>
      <c r="I647" s="166"/>
      <c r="J647" s="156">
        <f>ROUND(H647*I646,2)</f>
        <v>7756965</v>
      </c>
      <c r="K647" s="166"/>
      <c r="L647" s="156">
        <f>ROUND(H647*K646,2)</f>
        <v>6077014.2000000002</v>
      </c>
      <c r="M647" s="34"/>
      <c r="N647" s="166"/>
      <c r="O647" s="156">
        <f>ROUND(H647*N646,2)</f>
        <v>0</v>
      </c>
      <c r="P647" s="166"/>
      <c r="Q647" s="156">
        <f>ROUND(H647*P646,2)</f>
        <v>0</v>
      </c>
      <c r="R647" s="166"/>
      <c r="S647" s="156">
        <f>ROUND(H647*R646,2)</f>
        <v>0</v>
      </c>
      <c r="T647" s="34"/>
      <c r="U647" s="34"/>
      <c r="V647" s="166"/>
      <c r="W647" s="166"/>
      <c r="X647" s="166"/>
      <c r="Y647" s="156">
        <f>ROUND(H647*X646,2)</f>
        <v>-1679950.8</v>
      </c>
      <c r="Z647" s="166"/>
      <c r="AA647" s="156">
        <f>ROUND(H647*Z646,2)</f>
        <v>-1679950.8</v>
      </c>
      <c r="AB647" s="156">
        <f>ROUND(H647*W646,2)</f>
        <v>6077014.2000000002</v>
      </c>
    </row>
    <row r="648" spans="1:28" x14ac:dyDescent="0.25">
      <c r="A648" s="168">
        <v>97</v>
      </c>
      <c r="B648" s="84" t="s">
        <v>778</v>
      </c>
      <c r="C648" s="34">
        <v>165</v>
      </c>
      <c r="D648" s="144" t="s">
        <v>1079</v>
      </c>
      <c r="E648" s="168" t="s">
        <v>555</v>
      </c>
      <c r="F648" s="34"/>
      <c r="G648" s="169"/>
      <c r="H648" s="60">
        <f>SUM(H649:H649)</f>
        <v>30.8627</v>
      </c>
      <c r="I648" s="166">
        <v>14520</v>
      </c>
      <c r="J648" s="166">
        <f>ROUND(H648*I648,0)</f>
        <v>448126</v>
      </c>
      <c r="K648" s="139">
        <f>'Tổng hợp VL,NC,M'!I692</f>
        <v>14158</v>
      </c>
      <c r="L648" s="166">
        <f>ROUND(H648*K648,0)</f>
        <v>436954</v>
      </c>
      <c r="M648" s="34">
        <v>1</v>
      </c>
      <c r="N648" s="166"/>
      <c r="O648" s="166">
        <f>ROUND(H648*N648,0)</f>
        <v>0</v>
      </c>
      <c r="P648" s="166"/>
      <c r="Q648" s="166">
        <f>ROUND(H648*P648,0)</f>
        <v>0</v>
      </c>
      <c r="R648" s="166"/>
      <c r="S648" s="166">
        <f>ROUND(H648*R648,0)</f>
        <v>0</v>
      </c>
      <c r="T648" s="34"/>
      <c r="U648" s="34"/>
      <c r="V648" s="166">
        <f>ROUND((K648+N648+P648+R648)*(U648+T648),0)</f>
        <v>0</v>
      </c>
      <c r="W648" s="139">
        <f>K648+N648+P648+R648+V648</f>
        <v>14158</v>
      </c>
      <c r="X648" s="166">
        <f>K648-I648</f>
        <v>-362</v>
      </c>
      <c r="Y648" s="166">
        <f>ROUND(H648*X648,0)</f>
        <v>-11172</v>
      </c>
      <c r="Z648" s="166">
        <f>W648-I648</f>
        <v>-362</v>
      </c>
      <c r="AA648" s="166">
        <f>ROUND(H648*Z648,0)</f>
        <v>-11172</v>
      </c>
      <c r="AB648" s="166">
        <f>ROUND(H648*W648,0)</f>
        <v>436954</v>
      </c>
    </row>
    <row r="649" spans="1:28" hidden="1" x14ac:dyDescent="0.25">
      <c r="A649" s="168"/>
      <c r="B649" s="133" t="str">
        <f>'Công trình'!B147</f>
        <v>AI.11411</v>
      </c>
      <c r="C649" s="34"/>
      <c r="D649" s="133" t="str">
        <f>'Công trình'!C147</f>
        <v>Sản xuất thang sắt</v>
      </c>
      <c r="E649" s="168"/>
      <c r="F649" s="20">
        <v>1</v>
      </c>
      <c r="G649" s="169"/>
      <c r="H649" s="45">
        <f>'Hao phí vật tư'!J1117</f>
        <v>30.8627</v>
      </c>
      <c r="I649" s="166"/>
      <c r="J649" s="156">
        <f>ROUND(H649*I648,2)</f>
        <v>448126.4</v>
      </c>
      <c r="K649" s="166"/>
      <c r="L649" s="156">
        <f>ROUND(H649*K648,2)</f>
        <v>436954.11</v>
      </c>
      <c r="M649" s="34"/>
      <c r="N649" s="166"/>
      <c r="O649" s="156">
        <f>ROUND(H649*N648,2)</f>
        <v>0</v>
      </c>
      <c r="P649" s="166"/>
      <c r="Q649" s="156">
        <f>ROUND(H649*P648,2)</f>
        <v>0</v>
      </c>
      <c r="R649" s="166"/>
      <c r="S649" s="156">
        <f>ROUND(H649*R648,2)</f>
        <v>0</v>
      </c>
      <c r="T649" s="34"/>
      <c r="U649" s="34"/>
      <c r="V649" s="166"/>
      <c r="W649" s="166"/>
      <c r="X649" s="166"/>
      <c r="Y649" s="156">
        <f>ROUND(H649*X648,2)</f>
        <v>-11172.3</v>
      </c>
      <c r="Z649" s="166"/>
      <c r="AA649" s="156">
        <f>ROUND(H649*Z648,2)</f>
        <v>-11172.3</v>
      </c>
      <c r="AB649" s="156">
        <f>ROUND(H649*W648,2)</f>
        <v>436954.11</v>
      </c>
    </row>
    <row r="650" spans="1:28" x14ac:dyDescent="0.25">
      <c r="A650" s="168">
        <v>98</v>
      </c>
      <c r="B650" s="84" t="s">
        <v>521</v>
      </c>
      <c r="C650" s="34">
        <v>484</v>
      </c>
      <c r="D650" s="144" t="s">
        <v>330</v>
      </c>
      <c r="E650" s="168" t="s">
        <v>555</v>
      </c>
      <c r="F650" s="34"/>
      <c r="G650" s="169"/>
      <c r="H650" s="60">
        <f>SUM(H651:H664)</f>
        <v>11039.322</v>
      </c>
      <c r="I650" s="166">
        <v>14520</v>
      </c>
      <c r="J650" s="166">
        <f>ROUND(H650*I650,0)</f>
        <v>160290955</v>
      </c>
      <c r="K650" s="139">
        <f>'Tổng hợp VL,NC,M'!I694</f>
        <v>14158</v>
      </c>
      <c r="L650" s="166">
        <f>ROUND(H650*K650,0)</f>
        <v>156294721</v>
      </c>
      <c r="M650" s="34">
        <v>1</v>
      </c>
      <c r="N650" s="166"/>
      <c r="O650" s="166">
        <f>ROUND(H650*N650,0)</f>
        <v>0</v>
      </c>
      <c r="P650" s="166"/>
      <c r="Q650" s="166">
        <f>ROUND(H650*P650,0)</f>
        <v>0</v>
      </c>
      <c r="R650" s="166"/>
      <c r="S650" s="166">
        <f>ROUND(H650*R650,0)</f>
        <v>0</v>
      </c>
      <c r="T650" s="34"/>
      <c r="U650" s="34"/>
      <c r="V650" s="166">
        <f>ROUND((K650+N650+P650+R650)*(U650+T650),0)</f>
        <v>0</v>
      </c>
      <c r="W650" s="139">
        <f>K650+N650+P650+R650+V650</f>
        <v>14158</v>
      </c>
      <c r="X650" s="166">
        <f>K650-I650</f>
        <v>-362</v>
      </c>
      <c r="Y650" s="166">
        <f>ROUND(H650*X650,0)</f>
        <v>-3996235</v>
      </c>
      <c r="Z650" s="166">
        <f>W650-I650</f>
        <v>-362</v>
      </c>
      <c r="AA650" s="166">
        <f>ROUND(H650*Z650,0)</f>
        <v>-3996235</v>
      </c>
      <c r="AB650" s="166">
        <f>ROUND(H650*W650,0)</f>
        <v>156294721</v>
      </c>
    </row>
    <row r="651" spans="1:28" ht="30" hidden="1" x14ac:dyDescent="0.25">
      <c r="A651" s="168"/>
      <c r="B651" s="133" t="str">
        <f>'Công trình'!B20</f>
        <v>AF.61511</v>
      </c>
      <c r="C651" s="34"/>
      <c r="D651" s="133" t="str">
        <f>'Công trình'!C20</f>
        <v>Sản xuất, lắp dựng cốt thép xà dầm, giằng đường kính &lt;=10mm, chiều cao &lt;=4m</v>
      </c>
      <c r="E651" s="168"/>
      <c r="F651" s="20">
        <v>1</v>
      </c>
      <c r="G651" s="169"/>
      <c r="H651" s="45">
        <f>'Hao phí vật tư'!J150</f>
        <v>1110.2235000000001</v>
      </c>
      <c r="I651" s="166"/>
      <c r="J651" s="156">
        <f>ROUND(H651*I650,2)</f>
        <v>16120445.220000001</v>
      </c>
      <c r="K651" s="166"/>
      <c r="L651" s="156">
        <f>ROUND(H651*K650,2)</f>
        <v>15718544.310000001</v>
      </c>
      <c r="M651" s="34"/>
      <c r="N651" s="166"/>
      <c r="O651" s="156">
        <f>ROUND(H651*N650,2)</f>
        <v>0</v>
      </c>
      <c r="P651" s="166"/>
      <c r="Q651" s="156">
        <f>ROUND(H651*P650,2)</f>
        <v>0</v>
      </c>
      <c r="R651" s="166"/>
      <c r="S651" s="156">
        <f>ROUND(H651*R650,2)</f>
        <v>0</v>
      </c>
      <c r="T651" s="34"/>
      <c r="U651" s="34"/>
      <c r="V651" s="166"/>
      <c r="W651" s="166"/>
      <c r="X651" s="166"/>
      <c r="Y651" s="156">
        <f>ROUND(H651*X650,2)</f>
        <v>-401900.91</v>
      </c>
      <c r="Z651" s="166"/>
      <c r="AA651" s="156">
        <f>ROUND(H651*Z650,2)</f>
        <v>-401900.91</v>
      </c>
      <c r="AB651" s="156">
        <f>ROUND(H651*W650,2)</f>
        <v>15718544.310000001</v>
      </c>
    </row>
    <row r="652" spans="1:28" ht="30" hidden="1" x14ac:dyDescent="0.25">
      <c r="A652" s="168"/>
      <c r="B652" s="133" t="str">
        <f>'Công trình'!B32</f>
        <v>AF.61311</v>
      </c>
      <c r="C652" s="34"/>
      <c r="D652" s="133" t="str">
        <f>'Công trình'!C32</f>
        <v>Sản xuất, lắp dựng cốt thép tường đường kính &lt;=10mm, chiều cao &lt;=4m</v>
      </c>
      <c r="E652" s="168"/>
      <c r="F652" s="20">
        <v>1</v>
      </c>
      <c r="G652" s="169"/>
      <c r="H652" s="45">
        <f>'Hao phí vật tư'!J230</f>
        <v>879.57600000000002</v>
      </c>
      <c r="I652" s="166"/>
      <c r="J652" s="156">
        <f>ROUND(H652*I650,2)</f>
        <v>12771443.52</v>
      </c>
      <c r="K652" s="166"/>
      <c r="L652" s="156">
        <f>ROUND(H652*K650,2)</f>
        <v>12453037.01</v>
      </c>
      <c r="M652" s="34"/>
      <c r="N652" s="166"/>
      <c r="O652" s="156">
        <f>ROUND(H652*N650,2)</f>
        <v>0</v>
      </c>
      <c r="P652" s="166"/>
      <c r="Q652" s="156">
        <f>ROUND(H652*P650,2)</f>
        <v>0</v>
      </c>
      <c r="R652" s="166"/>
      <c r="S652" s="156">
        <f>ROUND(H652*R650,2)</f>
        <v>0</v>
      </c>
      <c r="T652" s="34"/>
      <c r="U652" s="34"/>
      <c r="V652" s="166"/>
      <c r="W652" s="166"/>
      <c r="X652" s="166"/>
      <c r="Y652" s="156">
        <f>ROUND(H652*X650,2)</f>
        <v>-318406.51</v>
      </c>
      <c r="Z652" s="166"/>
      <c r="AA652" s="156">
        <f>ROUND(H652*Z650,2)</f>
        <v>-318406.51</v>
      </c>
      <c r="AB652" s="156">
        <f>ROUND(H652*W650,2)</f>
        <v>12453037.01</v>
      </c>
    </row>
    <row r="653" spans="1:28" ht="30" hidden="1" x14ac:dyDescent="0.25">
      <c r="A653" s="168"/>
      <c r="B653" s="133" t="str">
        <f>'Công trình'!B60</f>
        <v>AF.61511</v>
      </c>
      <c r="C653" s="34"/>
      <c r="D653" s="133" t="str">
        <f>'Công trình'!C60</f>
        <v>Sản xuất, lắp dựng cốt thép xà dầm, giằng đường kính &lt;=10mm, chiều cao &lt;=4m</v>
      </c>
      <c r="E653" s="168"/>
      <c r="F653" s="20">
        <v>1</v>
      </c>
      <c r="G653" s="169"/>
      <c r="H653" s="45">
        <f>'Hao phí vật tư'!J456</f>
        <v>424.0095</v>
      </c>
      <c r="I653" s="166"/>
      <c r="J653" s="156">
        <f>ROUND(H653*I650,2)</f>
        <v>6156617.9400000004</v>
      </c>
      <c r="K653" s="166"/>
      <c r="L653" s="156">
        <f>ROUND(H653*K650,2)</f>
        <v>6003126.5</v>
      </c>
      <c r="M653" s="34"/>
      <c r="N653" s="166"/>
      <c r="O653" s="156">
        <f>ROUND(H653*N650,2)</f>
        <v>0</v>
      </c>
      <c r="P653" s="166"/>
      <c r="Q653" s="156">
        <f>ROUND(H653*P650,2)</f>
        <v>0</v>
      </c>
      <c r="R653" s="166"/>
      <c r="S653" s="156">
        <f>ROUND(H653*R650,2)</f>
        <v>0</v>
      </c>
      <c r="T653" s="34"/>
      <c r="U653" s="34"/>
      <c r="V653" s="166"/>
      <c r="W653" s="166"/>
      <c r="X653" s="166"/>
      <c r="Y653" s="156">
        <f>ROUND(H653*X650,2)</f>
        <v>-153491.44</v>
      </c>
      <c r="Z653" s="166"/>
      <c r="AA653" s="156">
        <f>ROUND(H653*Z650,2)</f>
        <v>-153491.44</v>
      </c>
      <c r="AB653" s="156">
        <f>ROUND(H653*W650,2)</f>
        <v>6003126.5</v>
      </c>
    </row>
    <row r="654" spans="1:28" ht="30" hidden="1" x14ac:dyDescent="0.25">
      <c r="A654" s="168"/>
      <c r="B654" s="133" t="str">
        <f>'Công trình'!B69</f>
        <v>AG.13111</v>
      </c>
      <c r="C654" s="34"/>
      <c r="D654" s="133" t="str">
        <f>'Công trình'!C69</f>
        <v>Sản xuất, lắp dựng cốt thép BT đúc sẵn cọc, đường kính &lt;=10mm</v>
      </c>
      <c r="E654" s="168"/>
      <c r="F654" s="20">
        <v>1</v>
      </c>
      <c r="G654" s="169"/>
      <c r="H654" s="45">
        <f>'Hao phí vật tư'!J520</f>
        <v>2315.2184999999999</v>
      </c>
      <c r="I654" s="166"/>
      <c r="J654" s="156">
        <f>ROUND(H654*I650,2)</f>
        <v>33616972.619999997</v>
      </c>
      <c r="K654" s="166"/>
      <c r="L654" s="156">
        <f>ROUND(H654*K650,2)</f>
        <v>32778863.52</v>
      </c>
      <c r="M654" s="34"/>
      <c r="N654" s="166"/>
      <c r="O654" s="156">
        <f>ROUND(H654*N650,2)</f>
        <v>0</v>
      </c>
      <c r="P654" s="166"/>
      <c r="Q654" s="156">
        <f>ROUND(H654*P650,2)</f>
        <v>0</v>
      </c>
      <c r="R654" s="166"/>
      <c r="S654" s="156">
        <f>ROUND(H654*R650,2)</f>
        <v>0</v>
      </c>
      <c r="T654" s="34"/>
      <c r="U654" s="34"/>
      <c r="V654" s="166"/>
      <c r="W654" s="166"/>
      <c r="X654" s="166"/>
      <c r="Y654" s="156">
        <f>ROUND(H654*X650,2)</f>
        <v>-838109.1</v>
      </c>
      <c r="Z654" s="166"/>
      <c r="AA654" s="156">
        <f>ROUND(H654*Z650,2)</f>
        <v>-838109.1</v>
      </c>
      <c r="AB654" s="156">
        <f>ROUND(H654*W650,2)</f>
        <v>32778863.52</v>
      </c>
    </row>
    <row r="655" spans="1:28" ht="30" hidden="1" x14ac:dyDescent="0.25">
      <c r="A655" s="168"/>
      <c r="B655" s="133" t="str">
        <f>'Công trình'!B80</f>
        <v>AG.13111</v>
      </c>
      <c r="C655" s="34"/>
      <c r="D655" s="133" t="str">
        <f>'Công trình'!C80</f>
        <v>Sản xuất, lắp dựng cốt thép BT đúc sẵn cọc, đường kính &lt;=10mm</v>
      </c>
      <c r="E655" s="168"/>
      <c r="F655" s="20">
        <v>1</v>
      </c>
      <c r="G655" s="169"/>
      <c r="H655" s="45">
        <f>'Hao phí vật tư'!J636</f>
        <v>1188.915</v>
      </c>
      <c r="I655" s="166"/>
      <c r="J655" s="156">
        <f>ROUND(H655*I650,2)</f>
        <v>17263045.800000001</v>
      </c>
      <c r="K655" s="166"/>
      <c r="L655" s="156">
        <f>ROUND(H655*K650,2)</f>
        <v>16832658.57</v>
      </c>
      <c r="M655" s="34"/>
      <c r="N655" s="166"/>
      <c r="O655" s="156">
        <f>ROUND(H655*N650,2)</f>
        <v>0</v>
      </c>
      <c r="P655" s="166"/>
      <c r="Q655" s="156">
        <f>ROUND(H655*P650,2)</f>
        <v>0</v>
      </c>
      <c r="R655" s="166"/>
      <c r="S655" s="156">
        <f>ROUND(H655*R650,2)</f>
        <v>0</v>
      </c>
      <c r="T655" s="34"/>
      <c r="U655" s="34"/>
      <c r="V655" s="166"/>
      <c r="W655" s="166"/>
      <c r="X655" s="166"/>
      <c r="Y655" s="156">
        <f>ROUND(H655*X650,2)</f>
        <v>-430387.23</v>
      </c>
      <c r="Z655" s="166"/>
      <c r="AA655" s="156">
        <f>ROUND(H655*Z650,2)</f>
        <v>-430387.23</v>
      </c>
      <c r="AB655" s="156">
        <f>ROUND(H655*W650,2)</f>
        <v>16832658.57</v>
      </c>
    </row>
    <row r="656" spans="1:28" ht="30" hidden="1" x14ac:dyDescent="0.25">
      <c r="A656" s="168"/>
      <c r="B656" s="133" t="str">
        <f>'Công trình'!B101</f>
        <v>AF.61110</v>
      </c>
      <c r="C656" s="34"/>
      <c r="D656" s="133" t="str">
        <f>'Công trình'!C101</f>
        <v>Sản xuất, lắp dựng cốt thép móng đường kính &lt;=10mm</v>
      </c>
      <c r="E656" s="168"/>
      <c r="F656" s="20">
        <v>1</v>
      </c>
      <c r="G656" s="169"/>
      <c r="H656" s="45">
        <f>'Hao phí vật tư'!J819</f>
        <v>99.093000000000004</v>
      </c>
      <c r="I656" s="166"/>
      <c r="J656" s="156">
        <f>ROUND(H656*I650,2)</f>
        <v>1438830.36</v>
      </c>
      <c r="K656" s="166"/>
      <c r="L656" s="156">
        <f>ROUND(H656*K650,2)</f>
        <v>1402958.69</v>
      </c>
      <c r="M656" s="34"/>
      <c r="N656" s="166"/>
      <c r="O656" s="156">
        <f>ROUND(H656*N650,2)</f>
        <v>0</v>
      </c>
      <c r="P656" s="166"/>
      <c r="Q656" s="156">
        <f>ROUND(H656*P650,2)</f>
        <v>0</v>
      </c>
      <c r="R656" s="166"/>
      <c r="S656" s="156">
        <f>ROUND(H656*R650,2)</f>
        <v>0</v>
      </c>
      <c r="T656" s="34"/>
      <c r="U656" s="34"/>
      <c r="V656" s="166"/>
      <c r="W656" s="166"/>
      <c r="X656" s="166"/>
      <c r="Y656" s="156">
        <f>ROUND(H656*X650,2)</f>
        <v>-35871.67</v>
      </c>
      <c r="Z656" s="166"/>
      <c r="AA656" s="156">
        <f>ROUND(H656*Z650,2)</f>
        <v>-35871.67</v>
      </c>
      <c r="AB656" s="156">
        <f>ROUND(H656*W650,2)</f>
        <v>1402958.69</v>
      </c>
    </row>
    <row r="657" spans="1:28" ht="30" hidden="1" x14ac:dyDescent="0.25">
      <c r="A657" s="168"/>
      <c r="B657" s="133" t="str">
        <f>'Công trình'!B183</f>
        <v>AF.61110</v>
      </c>
      <c r="C657" s="34"/>
      <c r="D657" s="133" t="str">
        <f>'Công trình'!C183</f>
        <v>Sản xuất, lắp dựng cốt thép bản dẫn đường kính &lt;=10mm</v>
      </c>
      <c r="E657" s="168"/>
      <c r="F657" s="20">
        <v>1</v>
      </c>
      <c r="G657" s="169"/>
      <c r="H657" s="45">
        <f>'Hao phí vật tư'!J1398</f>
        <v>13.3665</v>
      </c>
      <c r="I657" s="166"/>
      <c r="J657" s="156">
        <f>ROUND(H657*I650,2)</f>
        <v>194081.58</v>
      </c>
      <c r="K657" s="166"/>
      <c r="L657" s="156">
        <f>ROUND(H657*K650,2)</f>
        <v>189242.91</v>
      </c>
      <c r="M657" s="34"/>
      <c r="N657" s="166"/>
      <c r="O657" s="156">
        <f>ROUND(H657*N650,2)</f>
        <v>0</v>
      </c>
      <c r="P657" s="166"/>
      <c r="Q657" s="156">
        <f>ROUND(H657*P650,2)</f>
        <v>0</v>
      </c>
      <c r="R657" s="166"/>
      <c r="S657" s="156">
        <f>ROUND(H657*R650,2)</f>
        <v>0</v>
      </c>
      <c r="T657" s="34"/>
      <c r="U657" s="34"/>
      <c r="V657" s="166"/>
      <c r="W657" s="166"/>
      <c r="X657" s="166"/>
      <c r="Y657" s="156">
        <f>ROUND(H657*X650,2)</f>
        <v>-4838.67</v>
      </c>
      <c r="Z657" s="166"/>
      <c r="AA657" s="156">
        <f>ROUND(H657*Z650,2)</f>
        <v>-4838.67</v>
      </c>
      <c r="AB657" s="156">
        <f>ROUND(H657*W650,2)</f>
        <v>189242.91</v>
      </c>
    </row>
    <row r="658" spans="1:28" ht="30" hidden="1" x14ac:dyDescent="0.25">
      <c r="A658" s="168"/>
      <c r="B658" s="133" t="str">
        <f>'Công trình'!B202</f>
        <v>AF.61711</v>
      </c>
      <c r="C658" s="34"/>
      <c r="D658" s="133" t="str">
        <f>'Công trình'!C202</f>
        <v>Sản xuất, lắp dựng cốt thép mặt cầu đường kính &lt;=10mm, chiều cao &lt;=16m</v>
      </c>
      <c r="E658" s="168"/>
      <c r="F658" s="20">
        <v>1</v>
      </c>
      <c r="G658" s="169"/>
      <c r="H658" s="45">
        <f>'Hao phí vật tư'!J1566</f>
        <v>86.028000000000006</v>
      </c>
      <c r="I658" s="166"/>
      <c r="J658" s="156">
        <f>ROUND(H658*I650,2)</f>
        <v>1249126.56</v>
      </c>
      <c r="K658" s="166"/>
      <c r="L658" s="156">
        <f>ROUND(H658*K650,2)</f>
        <v>1217984.42</v>
      </c>
      <c r="M658" s="34"/>
      <c r="N658" s="166"/>
      <c r="O658" s="156">
        <f>ROUND(H658*N650,2)</f>
        <v>0</v>
      </c>
      <c r="P658" s="166"/>
      <c r="Q658" s="156">
        <f>ROUND(H658*P650,2)</f>
        <v>0</v>
      </c>
      <c r="R658" s="166"/>
      <c r="S658" s="156">
        <f>ROUND(H658*R650,2)</f>
        <v>0</v>
      </c>
      <c r="T658" s="34"/>
      <c r="U658" s="34"/>
      <c r="V658" s="166"/>
      <c r="W658" s="166"/>
      <c r="X658" s="166"/>
      <c r="Y658" s="156">
        <f>ROUND(H658*X650,2)</f>
        <v>-31142.14</v>
      </c>
      <c r="Z658" s="166"/>
      <c r="AA658" s="156">
        <f>ROUND(H658*Z650,2)</f>
        <v>-31142.14</v>
      </c>
      <c r="AB658" s="156">
        <f>ROUND(H658*W650,2)</f>
        <v>1217984.42</v>
      </c>
    </row>
    <row r="659" spans="1:28" ht="30" hidden="1" x14ac:dyDescent="0.25">
      <c r="A659" s="168"/>
      <c r="B659" s="133" t="str">
        <f>'Công trình'!B206</f>
        <v>AF.65410</v>
      </c>
      <c r="C659" s="34"/>
      <c r="D659" s="133" t="str">
        <f>'Công trình'!C206</f>
        <v>Công tác sản xuất lắp dựng cốt thép bê tông tại chỗ, cốt thép dầm cầu trên cạn, D ≤10mm</v>
      </c>
      <c r="E659" s="168"/>
      <c r="F659" s="20">
        <v>1</v>
      </c>
      <c r="G659" s="169"/>
      <c r="H659" s="45">
        <f>'Hao phí vật tư'!J1587</f>
        <v>279.4905</v>
      </c>
      <c r="I659" s="166"/>
      <c r="J659" s="156">
        <f>ROUND(H659*I650,2)</f>
        <v>4058202.06</v>
      </c>
      <c r="K659" s="166"/>
      <c r="L659" s="156">
        <f>ROUND(H659*K650,2)</f>
        <v>3957026.5</v>
      </c>
      <c r="M659" s="34"/>
      <c r="N659" s="166"/>
      <c r="O659" s="156">
        <f>ROUND(H659*N650,2)</f>
        <v>0</v>
      </c>
      <c r="P659" s="166"/>
      <c r="Q659" s="156">
        <f>ROUND(H659*P650,2)</f>
        <v>0</v>
      </c>
      <c r="R659" s="166"/>
      <c r="S659" s="156">
        <f>ROUND(H659*R650,2)</f>
        <v>0</v>
      </c>
      <c r="T659" s="34"/>
      <c r="U659" s="34"/>
      <c r="V659" s="166"/>
      <c r="W659" s="166"/>
      <c r="X659" s="166"/>
      <c r="Y659" s="156">
        <f>ROUND(H659*X650,2)</f>
        <v>-101175.56</v>
      </c>
      <c r="Z659" s="166"/>
      <c r="AA659" s="156">
        <f>ROUND(H659*Z650,2)</f>
        <v>-101175.56</v>
      </c>
      <c r="AB659" s="156">
        <f>ROUND(H659*W650,2)</f>
        <v>3957026.5</v>
      </c>
    </row>
    <row r="660" spans="1:28" ht="30" hidden="1" x14ac:dyDescent="0.25">
      <c r="A660" s="168"/>
      <c r="B660" s="133" t="str">
        <f>'Công trình'!B220</f>
        <v>AF.61110</v>
      </c>
      <c r="C660" s="34"/>
      <c r="D660" s="133" t="str">
        <f>'Công trình'!C220</f>
        <v>Sản xuất, lắp dựng cốt thép đường kính &lt;=10mm</v>
      </c>
      <c r="E660" s="168"/>
      <c r="F660" s="20">
        <v>1</v>
      </c>
      <c r="G660" s="169"/>
      <c r="H660" s="45">
        <f>'Hao phí vật tư'!J1656</f>
        <v>15.074999999999999</v>
      </c>
      <c r="I660" s="166"/>
      <c r="J660" s="156">
        <f>ROUND(H660*I650,2)</f>
        <v>218889</v>
      </c>
      <c r="K660" s="166"/>
      <c r="L660" s="156">
        <f>ROUND(H660*K650,2)</f>
        <v>213431.85</v>
      </c>
      <c r="M660" s="34"/>
      <c r="N660" s="166"/>
      <c r="O660" s="156">
        <f>ROUND(H660*N650,2)</f>
        <v>0</v>
      </c>
      <c r="P660" s="166"/>
      <c r="Q660" s="156">
        <f>ROUND(H660*P650,2)</f>
        <v>0</v>
      </c>
      <c r="R660" s="166"/>
      <c r="S660" s="156">
        <f>ROUND(H660*R650,2)</f>
        <v>0</v>
      </c>
      <c r="T660" s="34"/>
      <c r="U660" s="34"/>
      <c r="V660" s="166"/>
      <c r="W660" s="166"/>
      <c r="X660" s="166"/>
      <c r="Y660" s="156">
        <f>ROUND(H660*X650,2)</f>
        <v>-5457.15</v>
      </c>
      <c r="Z660" s="166"/>
      <c r="AA660" s="156">
        <f>ROUND(H660*Z650,2)</f>
        <v>-5457.15</v>
      </c>
      <c r="AB660" s="156">
        <f>ROUND(H660*W650,2)</f>
        <v>213431.85</v>
      </c>
    </row>
    <row r="661" spans="1:28" ht="30" hidden="1" x14ac:dyDescent="0.25">
      <c r="A661" s="168"/>
      <c r="B661" s="133" t="str">
        <f>'Công trình'!B226</f>
        <v>AG.13111</v>
      </c>
      <c r="C661" s="34"/>
      <c r="D661" s="133" t="str">
        <f>'Công trình'!C226</f>
        <v>Sản xuất, lắp dựng cốt thép BT đúc sẵn cọc, đường kính &lt;=10mm</v>
      </c>
      <c r="E661" s="168"/>
      <c r="F661" s="20">
        <v>1</v>
      </c>
      <c r="G661" s="169"/>
      <c r="H661" s="45">
        <f>'Hao phí vật tư'!J1696</f>
        <v>2457.5264999999999</v>
      </c>
      <c r="I661" s="166"/>
      <c r="J661" s="156">
        <f>ROUND(H661*I650,2)</f>
        <v>35683284.780000001</v>
      </c>
      <c r="K661" s="166"/>
      <c r="L661" s="156">
        <f>ROUND(H661*K650,2)</f>
        <v>34793660.189999998</v>
      </c>
      <c r="M661" s="34"/>
      <c r="N661" s="166"/>
      <c r="O661" s="156">
        <f>ROUND(H661*N650,2)</f>
        <v>0</v>
      </c>
      <c r="P661" s="166"/>
      <c r="Q661" s="156">
        <f>ROUND(H661*P650,2)</f>
        <v>0</v>
      </c>
      <c r="R661" s="166"/>
      <c r="S661" s="156">
        <f>ROUND(H661*R650,2)</f>
        <v>0</v>
      </c>
      <c r="T661" s="34"/>
      <c r="U661" s="34"/>
      <c r="V661" s="166"/>
      <c r="W661" s="166"/>
      <c r="X661" s="166"/>
      <c r="Y661" s="156">
        <f>ROUND(H661*X650,2)</f>
        <v>-889624.59</v>
      </c>
      <c r="Z661" s="166"/>
      <c r="AA661" s="156">
        <f>ROUND(H661*Z650,2)</f>
        <v>-889624.59</v>
      </c>
      <c r="AB661" s="156">
        <f>ROUND(H661*W650,2)</f>
        <v>34793660.189999998</v>
      </c>
    </row>
    <row r="662" spans="1:28" ht="30" hidden="1" x14ac:dyDescent="0.25">
      <c r="A662" s="168"/>
      <c r="B662" s="133" t="str">
        <f>'Công trình'!B257</f>
        <v>AF.61110</v>
      </c>
      <c r="C662" s="34"/>
      <c r="D662" s="133" t="str">
        <f>'Công trình'!C257</f>
        <v>Sản xuất, lắp dựng cốt thép đường kính &lt;=10mm</v>
      </c>
      <c r="E662" s="168"/>
      <c r="F662" s="20">
        <v>1</v>
      </c>
      <c r="G662" s="169"/>
      <c r="H662" s="45">
        <f>'Hao phí vật tư'!J1962</f>
        <v>1676.943</v>
      </c>
      <c r="I662" s="166"/>
      <c r="J662" s="156">
        <f>ROUND(H662*I650,2)</f>
        <v>24349212.359999999</v>
      </c>
      <c r="K662" s="166"/>
      <c r="L662" s="156">
        <f>ROUND(H662*K650,2)</f>
        <v>23742158.989999998</v>
      </c>
      <c r="M662" s="34"/>
      <c r="N662" s="166"/>
      <c r="O662" s="156">
        <f>ROUND(H662*N650,2)</f>
        <v>0</v>
      </c>
      <c r="P662" s="166"/>
      <c r="Q662" s="156">
        <f>ROUND(H662*P650,2)</f>
        <v>0</v>
      </c>
      <c r="R662" s="166"/>
      <c r="S662" s="156">
        <f>ROUND(H662*R650,2)</f>
        <v>0</v>
      </c>
      <c r="T662" s="34"/>
      <c r="U662" s="34"/>
      <c r="V662" s="166"/>
      <c r="W662" s="166"/>
      <c r="X662" s="166"/>
      <c r="Y662" s="156">
        <f>ROUND(H662*X650,2)</f>
        <v>-607053.37</v>
      </c>
      <c r="Z662" s="166"/>
      <c r="AA662" s="156">
        <f>ROUND(H662*Z650,2)</f>
        <v>-607053.37</v>
      </c>
      <c r="AB662" s="156">
        <f>ROUND(H662*W650,2)</f>
        <v>23742158.989999998</v>
      </c>
    </row>
    <row r="663" spans="1:28" ht="30" hidden="1" x14ac:dyDescent="0.25">
      <c r="A663" s="168"/>
      <c r="B663" s="133" t="str">
        <f>'Công trình'!B302</f>
        <v>AF.61110</v>
      </c>
      <c r="C663" s="34"/>
      <c r="D663" s="133" t="str">
        <f>'Công trình'!C302</f>
        <v>Sản xuất, lắp dựng cốt thép móng đường kính &lt;=10mm</v>
      </c>
      <c r="E663" s="168"/>
      <c r="F663" s="20">
        <v>1</v>
      </c>
      <c r="G663" s="169"/>
      <c r="H663" s="45">
        <f>'Hao phí vật tư'!J2266</f>
        <v>116.178</v>
      </c>
      <c r="I663" s="166"/>
      <c r="J663" s="156">
        <f>ROUND(H663*I650,2)</f>
        <v>1686904.56</v>
      </c>
      <c r="K663" s="166"/>
      <c r="L663" s="156">
        <f>ROUND(H663*K650,2)</f>
        <v>1644848.12</v>
      </c>
      <c r="M663" s="34"/>
      <c r="N663" s="166"/>
      <c r="O663" s="156">
        <f>ROUND(H663*N650,2)</f>
        <v>0</v>
      </c>
      <c r="P663" s="166"/>
      <c r="Q663" s="156">
        <f>ROUND(H663*P650,2)</f>
        <v>0</v>
      </c>
      <c r="R663" s="166"/>
      <c r="S663" s="156">
        <f>ROUND(H663*R650,2)</f>
        <v>0</v>
      </c>
      <c r="T663" s="34"/>
      <c r="U663" s="34"/>
      <c r="V663" s="166"/>
      <c r="W663" s="166"/>
      <c r="X663" s="166"/>
      <c r="Y663" s="156">
        <f>ROUND(H663*X650,2)</f>
        <v>-42056.44</v>
      </c>
      <c r="Z663" s="166"/>
      <c r="AA663" s="156">
        <f>ROUND(H663*Z650,2)</f>
        <v>-42056.44</v>
      </c>
      <c r="AB663" s="156">
        <f>ROUND(H663*W650,2)</f>
        <v>1644848.12</v>
      </c>
    </row>
    <row r="664" spans="1:28" ht="30" hidden="1" x14ac:dyDescent="0.25">
      <c r="A664" s="168"/>
      <c r="B664" s="133" t="str">
        <f>'Công trình'!B36</f>
        <v>AF.61511</v>
      </c>
      <c r="C664" s="34"/>
      <c r="D664" s="133" t="str">
        <f>'Công trình'!C36</f>
        <v>Sản xuất, lắp dựng cốt thép xà dầm, giằng đường kính &lt;=10mm, chiều cao &lt;=4m</v>
      </c>
      <c r="E664" s="168"/>
      <c r="F664" s="20">
        <v>1</v>
      </c>
      <c r="G664" s="169"/>
      <c r="H664" s="45">
        <f>'Hao phí vật tư'!J274</f>
        <v>377.67899999999997</v>
      </c>
      <c r="I664" s="166"/>
      <c r="J664" s="156">
        <f>ROUND(H664*I650,2)</f>
        <v>5483899.0800000001</v>
      </c>
      <c r="K664" s="166"/>
      <c r="L664" s="156">
        <f>ROUND(H664*K650,2)</f>
        <v>5347179.28</v>
      </c>
      <c r="M664" s="34"/>
      <c r="N664" s="166"/>
      <c r="O664" s="156">
        <f>ROUND(H664*N650,2)</f>
        <v>0</v>
      </c>
      <c r="P664" s="166"/>
      <c r="Q664" s="156">
        <f>ROUND(H664*P650,2)</f>
        <v>0</v>
      </c>
      <c r="R664" s="166"/>
      <c r="S664" s="156">
        <f>ROUND(H664*R650,2)</f>
        <v>0</v>
      </c>
      <c r="T664" s="34"/>
      <c r="U664" s="34"/>
      <c r="V664" s="166"/>
      <c r="W664" s="166"/>
      <c r="X664" s="166"/>
      <c r="Y664" s="156">
        <f>ROUND(H664*X650,2)</f>
        <v>-136719.79999999999</v>
      </c>
      <c r="Z664" s="166"/>
      <c r="AA664" s="156">
        <f>ROUND(H664*Z650,2)</f>
        <v>-136719.79999999999</v>
      </c>
      <c r="AB664" s="156">
        <f>ROUND(H664*W650,2)</f>
        <v>5347179.28</v>
      </c>
    </row>
    <row r="665" spans="1:28" x14ac:dyDescent="0.25">
      <c r="A665" s="168">
        <v>99</v>
      </c>
      <c r="B665" s="84" t="s">
        <v>465</v>
      </c>
      <c r="C665" s="34">
        <v>485</v>
      </c>
      <c r="D665" s="144" t="s">
        <v>474</v>
      </c>
      <c r="E665" s="168" t="s">
        <v>555</v>
      </c>
      <c r="F665" s="34"/>
      <c r="G665" s="169"/>
      <c r="H665" s="60">
        <f>SUM(H666:H681)</f>
        <v>32098.175999999992</v>
      </c>
      <c r="I665" s="166">
        <v>14470</v>
      </c>
      <c r="J665" s="166">
        <f>ROUND(H665*I665,0)</f>
        <v>464460607</v>
      </c>
      <c r="K665" s="139">
        <f>'Tổng hợp VL,NC,M'!I709</f>
        <v>14058</v>
      </c>
      <c r="L665" s="166">
        <f>ROUND(H665*K665,0)</f>
        <v>451236158</v>
      </c>
      <c r="M665" s="34">
        <v>1</v>
      </c>
      <c r="N665" s="166"/>
      <c r="O665" s="166">
        <f>ROUND(H665*N665,0)</f>
        <v>0</v>
      </c>
      <c r="P665" s="166"/>
      <c r="Q665" s="166">
        <f>ROUND(H665*P665,0)</f>
        <v>0</v>
      </c>
      <c r="R665" s="166"/>
      <c r="S665" s="166">
        <f>ROUND(H665*R665,0)</f>
        <v>0</v>
      </c>
      <c r="T665" s="34"/>
      <c r="U665" s="34"/>
      <c r="V665" s="166">
        <f>ROUND((K665+N665+P665+R665)*(U665+T665),0)</f>
        <v>0</v>
      </c>
      <c r="W665" s="139">
        <f>K665+N665+P665+R665+V665</f>
        <v>14058</v>
      </c>
      <c r="X665" s="166">
        <f>K665-I665</f>
        <v>-412</v>
      </c>
      <c r="Y665" s="166">
        <f>ROUND(H665*X665,0)</f>
        <v>-13224449</v>
      </c>
      <c r="Z665" s="166">
        <f>W665-I665</f>
        <v>-412</v>
      </c>
      <c r="AA665" s="166">
        <f>ROUND(H665*Z665,0)</f>
        <v>-13224449</v>
      </c>
      <c r="AB665" s="166">
        <f>ROUND(H665*W665,0)</f>
        <v>451236158</v>
      </c>
    </row>
    <row r="666" spans="1:28" ht="30" hidden="1" x14ac:dyDescent="0.25">
      <c r="A666" s="168"/>
      <c r="B666" s="133" t="str">
        <f>'Công trình'!B11</f>
        <v>AF.61120</v>
      </c>
      <c r="C666" s="34"/>
      <c r="D666" s="133" t="str">
        <f>'Công trình'!C11</f>
        <v>Sản xuất, lắp dựng cốt thép móng đường kính &lt;=18mm</v>
      </c>
      <c r="E666" s="168"/>
      <c r="F666" s="20">
        <v>1</v>
      </c>
      <c r="G666" s="169"/>
      <c r="H666" s="45">
        <f>'Hao phí vật tư'!J65</f>
        <v>9226.8179999999993</v>
      </c>
      <c r="I666" s="166"/>
      <c r="J666" s="156">
        <f>ROUND(H666*I665,2)</f>
        <v>133512056.45999999</v>
      </c>
      <c r="K666" s="166"/>
      <c r="L666" s="156">
        <f>ROUND(H666*K665,2)</f>
        <v>129710607.44</v>
      </c>
      <c r="M666" s="34"/>
      <c r="N666" s="166"/>
      <c r="O666" s="156">
        <f>ROUND(H666*N665,2)</f>
        <v>0</v>
      </c>
      <c r="P666" s="166"/>
      <c r="Q666" s="156">
        <f>ROUND(H666*P665,2)</f>
        <v>0</v>
      </c>
      <c r="R666" s="166"/>
      <c r="S666" s="156">
        <f>ROUND(H666*R665,2)</f>
        <v>0</v>
      </c>
      <c r="T666" s="34"/>
      <c r="U666" s="34"/>
      <c r="V666" s="166"/>
      <c r="W666" s="166"/>
      <c r="X666" s="166"/>
      <c r="Y666" s="156">
        <f>ROUND(H666*X665,2)</f>
        <v>-3801449.02</v>
      </c>
      <c r="Z666" s="166"/>
      <c r="AA666" s="156">
        <f>ROUND(H666*Z665,2)</f>
        <v>-3801449.02</v>
      </c>
      <c r="AB666" s="156">
        <f>ROUND(H666*W665,2)</f>
        <v>129710607.44</v>
      </c>
    </row>
    <row r="667" spans="1:28" ht="30" hidden="1" x14ac:dyDescent="0.25">
      <c r="A667" s="168"/>
      <c r="B667" s="133" t="str">
        <f>'Công trình'!B13</f>
        <v>AF.61321</v>
      </c>
      <c r="C667" s="34"/>
      <c r="D667" s="133" t="str">
        <f>'Công trình'!C13</f>
        <v>Sản xuất, lắp dựng cốt thép tường đường kính &lt;=18mm, chiều cao &lt;=4m</v>
      </c>
      <c r="E667" s="168"/>
      <c r="F667" s="20">
        <v>1</v>
      </c>
      <c r="G667" s="169"/>
      <c r="H667" s="45">
        <f>'Hao phí vật tư'!J85</f>
        <v>7777.9080000000004</v>
      </c>
      <c r="I667" s="166"/>
      <c r="J667" s="156">
        <f>ROUND(H667*I665,2)</f>
        <v>112546328.76000001</v>
      </c>
      <c r="K667" s="166"/>
      <c r="L667" s="156">
        <f>ROUND(H667*K665,2)</f>
        <v>109341830.66</v>
      </c>
      <c r="M667" s="34"/>
      <c r="N667" s="166"/>
      <c r="O667" s="156">
        <f>ROUND(H667*N665,2)</f>
        <v>0</v>
      </c>
      <c r="P667" s="166"/>
      <c r="Q667" s="156">
        <f>ROUND(H667*P665,2)</f>
        <v>0</v>
      </c>
      <c r="R667" s="166"/>
      <c r="S667" s="156">
        <f>ROUND(H667*R665,2)</f>
        <v>0</v>
      </c>
      <c r="T667" s="34"/>
      <c r="U667" s="34"/>
      <c r="V667" s="166"/>
      <c r="W667" s="166"/>
      <c r="X667" s="166"/>
      <c r="Y667" s="156">
        <f>ROUND(H667*X665,2)</f>
        <v>-3204498.1</v>
      </c>
      <c r="Z667" s="166"/>
      <c r="AA667" s="156">
        <f>ROUND(H667*Z665,2)</f>
        <v>-3204498.1</v>
      </c>
      <c r="AB667" s="156">
        <f>ROUND(H667*W665,2)</f>
        <v>109341830.66</v>
      </c>
    </row>
    <row r="668" spans="1:28" ht="30" hidden="1" x14ac:dyDescent="0.25">
      <c r="A668" s="168"/>
      <c r="B668" s="133" t="str">
        <f>'Công trình'!B22</f>
        <v>AF.61521</v>
      </c>
      <c r="C668" s="34"/>
      <c r="D668" s="133" t="str">
        <f>'Công trình'!C22</f>
        <v>Sản xuất, lắp dựng cốt thép xà dầm, giằng đường kính &lt;=18mm, chiều cao &lt;=4m</v>
      </c>
      <c r="E668" s="168"/>
      <c r="F668" s="20">
        <v>1</v>
      </c>
      <c r="G668" s="169"/>
      <c r="H668" s="45">
        <f>'Hao phí vật tư'!J159</f>
        <v>2202.9960000000001</v>
      </c>
      <c r="I668" s="166"/>
      <c r="J668" s="156">
        <f>ROUND(H668*I665,2)</f>
        <v>31877352.120000001</v>
      </c>
      <c r="K668" s="166"/>
      <c r="L668" s="156">
        <f>ROUND(H668*K665,2)</f>
        <v>30969717.77</v>
      </c>
      <c r="M668" s="34"/>
      <c r="N668" s="166"/>
      <c r="O668" s="156">
        <f>ROUND(H668*N665,2)</f>
        <v>0</v>
      </c>
      <c r="P668" s="166"/>
      <c r="Q668" s="156">
        <f>ROUND(H668*P665,2)</f>
        <v>0</v>
      </c>
      <c r="R668" s="166"/>
      <c r="S668" s="156">
        <f>ROUND(H668*R665,2)</f>
        <v>0</v>
      </c>
      <c r="T668" s="34"/>
      <c r="U668" s="34"/>
      <c r="V668" s="166"/>
      <c r="W668" s="166"/>
      <c r="X668" s="166"/>
      <c r="Y668" s="156">
        <f>ROUND(H668*X665,2)</f>
        <v>-907634.35</v>
      </c>
      <c r="Z668" s="166"/>
      <c r="AA668" s="156">
        <f>ROUND(H668*Z665,2)</f>
        <v>-907634.35</v>
      </c>
      <c r="AB668" s="156">
        <f>ROUND(H668*W665,2)</f>
        <v>30969717.77</v>
      </c>
    </row>
    <row r="669" spans="1:28" ht="30" hidden="1" x14ac:dyDescent="0.25">
      <c r="A669" s="168"/>
      <c r="B669" s="133" t="str">
        <f>'Công trình'!B33</f>
        <v>AF.61321</v>
      </c>
      <c r="C669" s="34"/>
      <c r="D669" s="133" t="str">
        <f>'Công trình'!C33</f>
        <v>Sản xuất, lắp dựng cốt thép tường đường kính &lt;=18mm, chiều cao &lt;=4m</v>
      </c>
      <c r="E669" s="168"/>
      <c r="F669" s="20">
        <v>1</v>
      </c>
      <c r="G669" s="169"/>
      <c r="H669" s="45">
        <f>'Hao phí vật tư'!J239</f>
        <v>862.10400000000004</v>
      </c>
      <c r="I669" s="166"/>
      <c r="J669" s="156">
        <f>ROUND(H669*I665,2)</f>
        <v>12474644.880000001</v>
      </c>
      <c r="K669" s="166"/>
      <c r="L669" s="156">
        <f>ROUND(H669*K665,2)</f>
        <v>12119458.029999999</v>
      </c>
      <c r="M669" s="34"/>
      <c r="N669" s="166"/>
      <c r="O669" s="156">
        <f>ROUND(H669*N665,2)</f>
        <v>0</v>
      </c>
      <c r="P669" s="166"/>
      <c r="Q669" s="156">
        <f>ROUND(H669*P665,2)</f>
        <v>0</v>
      </c>
      <c r="R669" s="166"/>
      <c r="S669" s="156">
        <f>ROUND(H669*R665,2)</f>
        <v>0</v>
      </c>
      <c r="T669" s="34"/>
      <c r="U669" s="34"/>
      <c r="V669" s="166"/>
      <c r="W669" s="166"/>
      <c r="X669" s="166"/>
      <c r="Y669" s="156">
        <f>ROUND(H669*X665,2)</f>
        <v>-355186.85</v>
      </c>
      <c r="Z669" s="166"/>
      <c r="AA669" s="156">
        <f>ROUND(H669*Z665,2)</f>
        <v>-355186.85</v>
      </c>
      <c r="AB669" s="156">
        <f>ROUND(H669*W665,2)</f>
        <v>12119458.029999999</v>
      </c>
    </row>
    <row r="670" spans="1:28" ht="30" hidden="1" x14ac:dyDescent="0.25">
      <c r="A670" s="168"/>
      <c r="B670" s="133" t="str">
        <f>'Công trình'!B61</f>
        <v>AF.61521</v>
      </c>
      <c r="C670" s="34"/>
      <c r="D670" s="133" t="str">
        <f>'Công trình'!C61</f>
        <v>Sản xuất, lắp dựng cốt thép xà dầm, giằng đường kính &lt;=18mm, chiều cao &lt;=4m</v>
      </c>
      <c r="E670" s="168"/>
      <c r="F670" s="20">
        <v>1</v>
      </c>
      <c r="G670" s="169"/>
      <c r="H670" s="45">
        <f>'Hao phí vật tư'!J465</f>
        <v>1866.6</v>
      </c>
      <c r="I670" s="166"/>
      <c r="J670" s="156">
        <f>ROUND(H670*I665,2)</f>
        <v>27009702</v>
      </c>
      <c r="K670" s="166"/>
      <c r="L670" s="156">
        <f>ROUND(H670*K665,2)</f>
        <v>26240662.800000001</v>
      </c>
      <c r="M670" s="34"/>
      <c r="N670" s="166"/>
      <c r="O670" s="156">
        <f>ROUND(H670*N665,2)</f>
        <v>0</v>
      </c>
      <c r="P670" s="166"/>
      <c r="Q670" s="156">
        <f>ROUND(H670*P665,2)</f>
        <v>0</v>
      </c>
      <c r="R670" s="166"/>
      <c r="S670" s="156">
        <f>ROUND(H670*R665,2)</f>
        <v>0</v>
      </c>
      <c r="T670" s="34"/>
      <c r="U670" s="34"/>
      <c r="V670" s="166"/>
      <c r="W670" s="166"/>
      <c r="X670" s="166"/>
      <c r="Y670" s="156">
        <f>ROUND(H670*X665,2)</f>
        <v>-769039.2</v>
      </c>
      <c r="Z670" s="166"/>
      <c r="AA670" s="156">
        <f>ROUND(H670*Z665,2)</f>
        <v>-769039.2</v>
      </c>
      <c r="AB670" s="156">
        <f>ROUND(H670*W665,2)</f>
        <v>26240662.800000001</v>
      </c>
    </row>
    <row r="671" spans="1:28" ht="30" hidden="1" x14ac:dyDescent="0.25">
      <c r="A671" s="168"/>
      <c r="B671" s="133" t="str">
        <f>'Công trình'!B70</f>
        <v>AG.13121</v>
      </c>
      <c r="C671" s="34"/>
      <c r="D671" s="133" t="str">
        <f>'Công trình'!C70</f>
        <v>Sản xuất, lắp dựng cốt thép BT đúc sẵn cọc, đường kính &lt;=18mm</v>
      </c>
      <c r="E671" s="168"/>
      <c r="F671" s="20">
        <v>1</v>
      </c>
      <c r="G671" s="169"/>
      <c r="H671" s="45">
        <f>'Hao phí vật tư'!J529</f>
        <v>428.60399999999998</v>
      </c>
      <c r="I671" s="166"/>
      <c r="J671" s="156">
        <f>ROUND(H671*I665,2)</f>
        <v>6201899.8799999999</v>
      </c>
      <c r="K671" s="166"/>
      <c r="L671" s="156">
        <f>ROUND(H671*K665,2)</f>
        <v>6025315.0300000003</v>
      </c>
      <c r="M671" s="34"/>
      <c r="N671" s="166"/>
      <c r="O671" s="156">
        <f>ROUND(H671*N665,2)</f>
        <v>0</v>
      </c>
      <c r="P671" s="166"/>
      <c r="Q671" s="156">
        <f>ROUND(H671*P665,2)</f>
        <v>0</v>
      </c>
      <c r="R671" s="166"/>
      <c r="S671" s="156">
        <f>ROUND(H671*R665,2)</f>
        <v>0</v>
      </c>
      <c r="T671" s="34"/>
      <c r="U671" s="34"/>
      <c r="V671" s="166"/>
      <c r="W671" s="166"/>
      <c r="X671" s="166"/>
      <c r="Y671" s="156">
        <f>ROUND(H671*X665,2)</f>
        <v>-176584.85</v>
      </c>
      <c r="Z671" s="166"/>
      <c r="AA671" s="156">
        <f>ROUND(H671*Z665,2)</f>
        <v>-176584.85</v>
      </c>
      <c r="AB671" s="156">
        <f>ROUND(H671*W665,2)</f>
        <v>6025315.0300000003</v>
      </c>
    </row>
    <row r="672" spans="1:28" ht="30" hidden="1" x14ac:dyDescent="0.25">
      <c r="A672" s="168"/>
      <c r="B672" s="133" t="str">
        <f>'Công trình'!B81</f>
        <v>AG.13121</v>
      </c>
      <c r="C672" s="34"/>
      <c r="D672" s="133" t="str">
        <f>'Công trình'!C81</f>
        <v>Sản xuất, lắp dựng cốt thép BT đúc sẵn cọc, đường kính &lt;=18mm</v>
      </c>
      <c r="E672" s="168"/>
      <c r="F672" s="20">
        <v>1</v>
      </c>
      <c r="G672" s="169"/>
      <c r="H672" s="45">
        <f>'Hao phí vật tư'!J645</f>
        <v>233.172</v>
      </c>
      <c r="I672" s="166"/>
      <c r="J672" s="156">
        <f>ROUND(H672*I665,2)</f>
        <v>3373998.84</v>
      </c>
      <c r="K672" s="166"/>
      <c r="L672" s="156">
        <f>ROUND(H672*K665,2)</f>
        <v>3277931.98</v>
      </c>
      <c r="M672" s="34"/>
      <c r="N672" s="166"/>
      <c r="O672" s="156">
        <f>ROUND(H672*N665,2)</f>
        <v>0</v>
      </c>
      <c r="P672" s="166"/>
      <c r="Q672" s="156">
        <f>ROUND(H672*P665,2)</f>
        <v>0</v>
      </c>
      <c r="R672" s="166"/>
      <c r="S672" s="156">
        <f>ROUND(H672*R665,2)</f>
        <v>0</v>
      </c>
      <c r="T672" s="34"/>
      <c r="U672" s="34"/>
      <c r="V672" s="166"/>
      <c r="W672" s="166"/>
      <c r="X672" s="166"/>
      <c r="Y672" s="156">
        <f>ROUND(H672*X665,2)</f>
        <v>-96066.86</v>
      </c>
      <c r="Z672" s="166"/>
      <c r="AA672" s="156">
        <f>ROUND(H672*Z665,2)</f>
        <v>-96066.86</v>
      </c>
      <c r="AB672" s="156">
        <f>ROUND(H672*W665,2)</f>
        <v>3277931.98</v>
      </c>
    </row>
    <row r="673" spans="1:28" ht="30" hidden="1" x14ac:dyDescent="0.25">
      <c r="A673" s="168"/>
      <c r="B673" s="133" t="str">
        <f>'Công trình'!B181</f>
        <v>AF.65120</v>
      </c>
      <c r="C673" s="34"/>
      <c r="D673" s="133" t="str">
        <f>'Công trình'!C181</f>
        <v>Sản xuất, lắp dựng cốt thép móng, mố, trụ, mũ mố, mũ trụ cầu trên cạn đường kính &lt;=18mm</v>
      </c>
      <c r="E673" s="168"/>
      <c r="F673" s="20">
        <v>1</v>
      </c>
      <c r="G673" s="169"/>
      <c r="H673" s="45">
        <f>'Hao phí vật tư'!J1377</f>
        <v>4366.62</v>
      </c>
      <c r="I673" s="166"/>
      <c r="J673" s="156">
        <f>ROUND(H673*I665,2)</f>
        <v>63184991.399999999</v>
      </c>
      <c r="K673" s="166"/>
      <c r="L673" s="156">
        <f>ROUND(H673*K665,2)</f>
        <v>61385943.960000001</v>
      </c>
      <c r="M673" s="34"/>
      <c r="N673" s="166"/>
      <c r="O673" s="156">
        <f>ROUND(H673*N665,2)</f>
        <v>0</v>
      </c>
      <c r="P673" s="166"/>
      <c r="Q673" s="156">
        <f>ROUND(H673*P665,2)</f>
        <v>0</v>
      </c>
      <c r="R673" s="166"/>
      <c r="S673" s="156">
        <f>ROUND(H673*R665,2)</f>
        <v>0</v>
      </c>
      <c r="T673" s="34"/>
      <c r="U673" s="34"/>
      <c r="V673" s="166"/>
      <c r="W673" s="166"/>
      <c r="X673" s="166"/>
      <c r="Y673" s="156">
        <f>ROUND(H673*X665,2)</f>
        <v>-1799047.44</v>
      </c>
      <c r="Z673" s="166"/>
      <c r="AA673" s="156">
        <f>ROUND(H673*Z665,2)</f>
        <v>-1799047.44</v>
      </c>
      <c r="AB673" s="156">
        <f>ROUND(H673*W665,2)</f>
        <v>61385943.960000001</v>
      </c>
    </row>
    <row r="674" spans="1:28" ht="30" hidden="1" x14ac:dyDescent="0.25">
      <c r="A674" s="168"/>
      <c r="B674" s="133" t="str">
        <f>'Công trình'!B184</f>
        <v>AF.61120</v>
      </c>
      <c r="C674" s="34"/>
      <c r="D674" s="133" t="str">
        <f>'Công trình'!C184</f>
        <v>Sản xuất, lắp dựng cốt thép bản dẫn đường kính &lt;=18mm</v>
      </c>
      <c r="E674" s="168"/>
      <c r="F674" s="20">
        <v>1</v>
      </c>
      <c r="G674" s="169"/>
      <c r="H674" s="45">
        <f>'Hao phí vật tư'!J1407</f>
        <v>1014.5940000000001</v>
      </c>
      <c r="I674" s="166"/>
      <c r="J674" s="156">
        <f>ROUND(H674*I665,2)</f>
        <v>14681175.18</v>
      </c>
      <c r="K674" s="166"/>
      <c r="L674" s="156">
        <f>ROUND(H674*K665,2)</f>
        <v>14263162.449999999</v>
      </c>
      <c r="M674" s="34"/>
      <c r="N674" s="166"/>
      <c r="O674" s="156">
        <f>ROUND(H674*N665,2)</f>
        <v>0</v>
      </c>
      <c r="P674" s="166"/>
      <c r="Q674" s="156">
        <f>ROUND(H674*P665,2)</f>
        <v>0</v>
      </c>
      <c r="R674" s="166"/>
      <c r="S674" s="156">
        <f>ROUND(H674*R665,2)</f>
        <v>0</v>
      </c>
      <c r="T674" s="34"/>
      <c r="U674" s="34"/>
      <c r="V674" s="166"/>
      <c r="W674" s="166"/>
      <c r="X674" s="166"/>
      <c r="Y674" s="156">
        <f>ROUND(H674*X665,2)</f>
        <v>-418012.73</v>
      </c>
      <c r="Z674" s="166"/>
      <c r="AA674" s="156">
        <f>ROUND(H674*Z665,2)</f>
        <v>-418012.73</v>
      </c>
      <c r="AB674" s="156">
        <f>ROUND(H674*W665,2)</f>
        <v>14263162.449999999</v>
      </c>
    </row>
    <row r="675" spans="1:28" ht="30" hidden="1" x14ac:dyDescent="0.25">
      <c r="A675" s="168"/>
      <c r="B675" s="133" t="str">
        <f>'Công trình'!B190</f>
        <v>AF.65120</v>
      </c>
      <c r="C675" s="34"/>
      <c r="D675" s="133" t="str">
        <f>'Công trình'!C190</f>
        <v>Sản xuất, lắp dựng cốt thép móng, mố, trụ, mũ mố, mũ trụ cầu trên cạn đường kính &lt;=18mm</v>
      </c>
      <c r="E675" s="168"/>
      <c r="F675" s="20">
        <v>1</v>
      </c>
      <c r="G675" s="169"/>
      <c r="H675" s="45">
        <f>'Hao phí vật tư'!J1461</f>
        <v>504.69600000000003</v>
      </c>
      <c r="I675" s="166"/>
      <c r="J675" s="156">
        <f>ROUND(H675*I665,2)</f>
        <v>7302951.1200000001</v>
      </c>
      <c r="K675" s="166"/>
      <c r="L675" s="156">
        <f>ROUND(H675*K665,2)</f>
        <v>7095016.3700000001</v>
      </c>
      <c r="M675" s="34"/>
      <c r="N675" s="166"/>
      <c r="O675" s="156">
        <f>ROUND(H675*N665,2)</f>
        <v>0</v>
      </c>
      <c r="P675" s="166"/>
      <c r="Q675" s="156">
        <f>ROUND(H675*P665,2)</f>
        <v>0</v>
      </c>
      <c r="R675" s="166"/>
      <c r="S675" s="156">
        <f>ROUND(H675*R665,2)</f>
        <v>0</v>
      </c>
      <c r="T675" s="34"/>
      <c r="U675" s="34"/>
      <c r="V675" s="166"/>
      <c r="W675" s="166"/>
      <c r="X675" s="166"/>
      <c r="Y675" s="156">
        <f>ROUND(H675*X665,2)</f>
        <v>-207934.75</v>
      </c>
      <c r="Z675" s="166"/>
      <c r="AA675" s="156">
        <f>ROUND(H675*Z665,2)</f>
        <v>-207934.75</v>
      </c>
      <c r="AB675" s="156">
        <f>ROUND(H675*W665,2)</f>
        <v>7095016.3700000001</v>
      </c>
    </row>
    <row r="676" spans="1:28" ht="30" hidden="1" x14ac:dyDescent="0.25">
      <c r="A676" s="168"/>
      <c r="B676" s="133" t="str">
        <f>'Công trình'!B208</f>
        <v>AF.65420</v>
      </c>
      <c r="C676" s="34"/>
      <c r="D676" s="133" t="str">
        <f>'Công trình'!C208</f>
        <v>Công tác sản xuất lắp dựng cốt thép bê tông tại chỗ, cốt thép dầm cầu trên cạn, D ≤18mm</v>
      </c>
      <c r="E676" s="168"/>
      <c r="F676" s="20">
        <v>1</v>
      </c>
      <c r="G676" s="169"/>
      <c r="H676" s="45">
        <f>'Hao phí vật tư'!J1597</f>
        <v>124.44</v>
      </c>
      <c r="I676" s="166"/>
      <c r="J676" s="156">
        <f>ROUND(H676*I665,2)</f>
        <v>1800646.8</v>
      </c>
      <c r="K676" s="166"/>
      <c r="L676" s="156">
        <f>ROUND(H676*K665,2)</f>
        <v>1749377.52</v>
      </c>
      <c r="M676" s="34"/>
      <c r="N676" s="166"/>
      <c r="O676" s="156">
        <f>ROUND(H676*N665,2)</f>
        <v>0</v>
      </c>
      <c r="P676" s="166"/>
      <c r="Q676" s="156">
        <f>ROUND(H676*P665,2)</f>
        <v>0</v>
      </c>
      <c r="R676" s="166"/>
      <c r="S676" s="156">
        <f>ROUND(H676*R665,2)</f>
        <v>0</v>
      </c>
      <c r="T676" s="34"/>
      <c r="U676" s="34"/>
      <c r="V676" s="166"/>
      <c r="W676" s="166"/>
      <c r="X676" s="166"/>
      <c r="Y676" s="156">
        <f>ROUND(H676*X665,2)</f>
        <v>-51269.279999999999</v>
      </c>
      <c r="Z676" s="166"/>
      <c r="AA676" s="156">
        <f>ROUND(H676*Z665,2)</f>
        <v>-51269.279999999999</v>
      </c>
      <c r="AB676" s="156">
        <f>ROUND(H676*W665,2)</f>
        <v>1749377.52</v>
      </c>
    </row>
    <row r="677" spans="1:28" ht="30" hidden="1" x14ac:dyDescent="0.25">
      <c r="A677" s="168"/>
      <c r="B677" s="133" t="str">
        <f>'Công trình'!B218</f>
        <v>AF.61120</v>
      </c>
      <c r="C677" s="34"/>
      <c r="D677" s="133" t="str">
        <f>'Công trình'!C218</f>
        <v>Sản xuất, lắp dựng cốt thép móng đường kính &lt;=18mm</v>
      </c>
      <c r="E677" s="168"/>
      <c r="F677" s="20">
        <v>1</v>
      </c>
      <c r="G677" s="169"/>
      <c r="H677" s="45">
        <f>'Hao phí vật tư'!J1647</f>
        <v>317.11799999999999</v>
      </c>
      <c r="I677" s="166"/>
      <c r="J677" s="156">
        <f>ROUND(H677*I665,2)</f>
        <v>4588697.46</v>
      </c>
      <c r="K677" s="166"/>
      <c r="L677" s="156">
        <f>ROUND(H677*K665,2)</f>
        <v>4458044.84</v>
      </c>
      <c r="M677" s="34"/>
      <c r="N677" s="166"/>
      <c r="O677" s="156">
        <f>ROUND(H677*N665,2)</f>
        <v>0</v>
      </c>
      <c r="P677" s="166"/>
      <c r="Q677" s="156">
        <f>ROUND(H677*P665,2)</f>
        <v>0</v>
      </c>
      <c r="R677" s="166"/>
      <c r="S677" s="156">
        <f>ROUND(H677*R665,2)</f>
        <v>0</v>
      </c>
      <c r="T677" s="34"/>
      <c r="U677" s="34"/>
      <c r="V677" s="166"/>
      <c r="W677" s="166"/>
      <c r="X677" s="166"/>
      <c r="Y677" s="156">
        <f>ROUND(H677*X665,2)</f>
        <v>-130652.62</v>
      </c>
      <c r="Z677" s="166"/>
      <c r="AA677" s="156">
        <f>ROUND(H677*Z665,2)</f>
        <v>-130652.62</v>
      </c>
      <c r="AB677" s="156">
        <f>ROUND(H677*W665,2)</f>
        <v>4458044.84</v>
      </c>
    </row>
    <row r="678" spans="1:28" ht="30" hidden="1" x14ac:dyDescent="0.25">
      <c r="A678" s="168"/>
      <c r="B678" s="133" t="str">
        <f>'Công trình'!B221</f>
        <v>AF.61120</v>
      </c>
      <c r="C678" s="34"/>
      <c r="D678" s="133" t="str">
        <f>'Công trình'!C221</f>
        <v>Sản xuất, lắp dựng cốt thép đường kính &lt;=18mm</v>
      </c>
      <c r="E678" s="168"/>
      <c r="F678" s="20">
        <v>1</v>
      </c>
      <c r="G678" s="169"/>
      <c r="H678" s="45">
        <f>'Hao phí vật tư'!J1665</f>
        <v>1808.0519999999999</v>
      </c>
      <c r="I678" s="166"/>
      <c r="J678" s="156">
        <f>ROUND(H678*I665,2)</f>
        <v>26162512.440000001</v>
      </c>
      <c r="K678" s="166"/>
      <c r="L678" s="156">
        <f>ROUND(H678*K665,2)</f>
        <v>25417595.02</v>
      </c>
      <c r="M678" s="34"/>
      <c r="N678" s="166"/>
      <c r="O678" s="156">
        <f>ROUND(H678*N665,2)</f>
        <v>0</v>
      </c>
      <c r="P678" s="166"/>
      <c r="Q678" s="156">
        <f>ROUND(H678*P665,2)</f>
        <v>0</v>
      </c>
      <c r="R678" s="166"/>
      <c r="S678" s="156">
        <f>ROUND(H678*R665,2)</f>
        <v>0</v>
      </c>
      <c r="T678" s="34"/>
      <c r="U678" s="34"/>
      <c r="V678" s="166"/>
      <c r="W678" s="166"/>
      <c r="X678" s="166"/>
      <c r="Y678" s="156">
        <f>ROUND(H678*X665,2)</f>
        <v>-744917.42</v>
      </c>
      <c r="Z678" s="166"/>
      <c r="AA678" s="156">
        <f>ROUND(H678*Z665,2)</f>
        <v>-744917.42</v>
      </c>
      <c r="AB678" s="156">
        <f>ROUND(H678*W665,2)</f>
        <v>25417595.02</v>
      </c>
    </row>
    <row r="679" spans="1:28" ht="30" hidden="1" x14ac:dyDescent="0.25">
      <c r="A679" s="168"/>
      <c r="B679" s="133" t="str">
        <f>'Công trình'!B227</f>
        <v>AG.13121</v>
      </c>
      <c r="C679" s="34"/>
      <c r="D679" s="133" t="str">
        <f>'Công trình'!C227</f>
        <v>Sản xuất, lắp dựng cốt thép BT đúc sẵn cọc, đường kính &lt;=18mm</v>
      </c>
      <c r="E679" s="168"/>
      <c r="F679" s="20">
        <v>1</v>
      </c>
      <c r="G679" s="169"/>
      <c r="H679" s="45">
        <f>'Hao phí vật tư'!J1705</f>
        <v>437.274</v>
      </c>
      <c r="I679" s="166"/>
      <c r="J679" s="156">
        <f>ROUND(H679*I665,2)</f>
        <v>6327354.7800000003</v>
      </c>
      <c r="K679" s="166"/>
      <c r="L679" s="156">
        <f>ROUND(H679*K665,2)</f>
        <v>6147197.8899999997</v>
      </c>
      <c r="M679" s="34"/>
      <c r="N679" s="166"/>
      <c r="O679" s="156">
        <f>ROUND(H679*N665,2)</f>
        <v>0</v>
      </c>
      <c r="P679" s="166"/>
      <c r="Q679" s="156">
        <f>ROUND(H679*P665,2)</f>
        <v>0</v>
      </c>
      <c r="R679" s="166"/>
      <c r="S679" s="156">
        <f>ROUND(H679*R665,2)</f>
        <v>0</v>
      </c>
      <c r="T679" s="34"/>
      <c r="U679" s="34"/>
      <c r="V679" s="166"/>
      <c r="W679" s="166"/>
      <c r="X679" s="166"/>
      <c r="Y679" s="156">
        <f>ROUND(H679*X665,2)</f>
        <v>-180156.89</v>
      </c>
      <c r="Z679" s="166"/>
      <c r="AA679" s="156">
        <f>ROUND(H679*Z665,2)</f>
        <v>-180156.89</v>
      </c>
      <c r="AB679" s="156">
        <f>ROUND(H679*W665,2)</f>
        <v>6147197.8899999997</v>
      </c>
    </row>
    <row r="680" spans="1:28" ht="30" hidden="1" x14ac:dyDescent="0.25">
      <c r="A680" s="168"/>
      <c r="B680" s="133" t="str">
        <f>'Công trình'!B258</f>
        <v>AF.61120</v>
      </c>
      <c r="C680" s="34"/>
      <c r="D680" s="133" t="str">
        <f>'Công trình'!C258</f>
        <v>Sản xuất, lắp dựng cốt thép đường kính &lt;=18mm</v>
      </c>
      <c r="E680" s="168"/>
      <c r="F680" s="20">
        <v>1</v>
      </c>
      <c r="G680" s="169"/>
      <c r="H680" s="45">
        <f>'Hao phí vật tư'!J1971</f>
        <v>649.33199999999999</v>
      </c>
      <c r="I680" s="166"/>
      <c r="J680" s="156">
        <f>ROUND(H680*I665,2)</f>
        <v>9395834.0399999991</v>
      </c>
      <c r="K680" s="166"/>
      <c r="L680" s="156">
        <f>ROUND(H680*K665,2)</f>
        <v>9128309.2599999998</v>
      </c>
      <c r="M680" s="34"/>
      <c r="N680" s="166"/>
      <c r="O680" s="156">
        <f>ROUND(H680*N665,2)</f>
        <v>0</v>
      </c>
      <c r="P680" s="166"/>
      <c r="Q680" s="156">
        <f>ROUND(H680*P665,2)</f>
        <v>0</v>
      </c>
      <c r="R680" s="166"/>
      <c r="S680" s="156">
        <f>ROUND(H680*R665,2)</f>
        <v>0</v>
      </c>
      <c r="T680" s="34"/>
      <c r="U680" s="34"/>
      <c r="V680" s="166"/>
      <c r="W680" s="166"/>
      <c r="X680" s="166"/>
      <c r="Y680" s="156">
        <f>ROUND(H680*X665,2)</f>
        <v>-267524.78000000003</v>
      </c>
      <c r="Z680" s="166"/>
      <c r="AA680" s="156">
        <f>ROUND(H680*Z665,2)</f>
        <v>-267524.78000000003</v>
      </c>
      <c r="AB680" s="156">
        <f>ROUND(H680*W665,2)</f>
        <v>9128309.2599999998</v>
      </c>
    </row>
    <row r="681" spans="1:28" ht="30" hidden="1" x14ac:dyDescent="0.25">
      <c r="A681" s="168"/>
      <c r="B681" s="133" t="str">
        <f>'Công trình'!B37</f>
        <v>AF.61521</v>
      </c>
      <c r="C681" s="34"/>
      <c r="D681" s="133" t="str">
        <f>'Công trình'!C37</f>
        <v>Sản xuất, lắp dựng cốt thép xà dầm, giằng đường kính &lt;=18mm, chiều cao &lt;=4m</v>
      </c>
      <c r="E681" s="168"/>
      <c r="F681" s="20">
        <v>1</v>
      </c>
      <c r="G681" s="169"/>
      <c r="H681" s="45">
        <f>'Hao phí vật tư'!J283</f>
        <v>277.84800000000001</v>
      </c>
      <c r="I681" s="166"/>
      <c r="J681" s="156">
        <f>ROUND(H681*I665,2)</f>
        <v>4020460.56</v>
      </c>
      <c r="K681" s="166"/>
      <c r="L681" s="156">
        <f>ROUND(H681*K665,2)</f>
        <v>3905987.18</v>
      </c>
      <c r="M681" s="34"/>
      <c r="N681" s="166"/>
      <c r="O681" s="156">
        <f>ROUND(H681*N665,2)</f>
        <v>0</v>
      </c>
      <c r="P681" s="166"/>
      <c r="Q681" s="156">
        <f>ROUND(H681*P665,2)</f>
        <v>0</v>
      </c>
      <c r="R681" s="166"/>
      <c r="S681" s="156">
        <f>ROUND(H681*R665,2)</f>
        <v>0</v>
      </c>
      <c r="T681" s="34"/>
      <c r="U681" s="34"/>
      <c r="V681" s="166"/>
      <c r="W681" s="166"/>
      <c r="X681" s="166"/>
      <c r="Y681" s="156">
        <f>ROUND(H681*X665,2)</f>
        <v>-114473.38</v>
      </c>
      <c r="Z681" s="166"/>
      <c r="AA681" s="156">
        <f>ROUND(H681*Z665,2)</f>
        <v>-114473.38</v>
      </c>
      <c r="AB681" s="156">
        <f>ROUND(H681*W665,2)</f>
        <v>3905987.18</v>
      </c>
    </row>
    <row r="682" spans="1:28" x14ac:dyDescent="0.25">
      <c r="A682" s="168">
        <v>100</v>
      </c>
      <c r="B682" s="84" t="s">
        <v>870</v>
      </c>
      <c r="C682" s="34">
        <v>486</v>
      </c>
      <c r="D682" s="144" t="s">
        <v>947</v>
      </c>
      <c r="E682" s="168" t="s">
        <v>555</v>
      </c>
      <c r="F682" s="34"/>
      <c r="G682" s="169"/>
      <c r="H682" s="60">
        <f>SUM(H683:H683)</f>
        <v>10538.028</v>
      </c>
      <c r="I682" s="166">
        <v>14470</v>
      </c>
      <c r="J682" s="166">
        <f>ROUND(H682*I682,0)</f>
        <v>152485265</v>
      </c>
      <c r="K682" s="139">
        <f>'Tổng hợp VL,NC,M'!I726</f>
        <v>14058</v>
      </c>
      <c r="L682" s="166">
        <f>ROUND(H682*K682,0)</f>
        <v>148143598</v>
      </c>
      <c r="M682" s="34">
        <v>1</v>
      </c>
      <c r="N682" s="166"/>
      <c r="O682" s="166">
        <f>ROUND(H682*N682,0)</f>
        <v>0</v>
      </c>
      <c r="P682" s="166"/>
      <c r="Q682" s="166">
        <f>ROUND(H682*P682,0)</f>
        <v>0</v>
      </c>
      <c r="R682" s="166"/>
      <c r="S682" s="166">
        <f>ROUND(H682*R682,0)</f>
        <v>0</v>
      </c>
      <c r="T682" s="34"/>
      <c r="U682" s="34"/>
      <c r="V682" s="166">
        <f>ROUND((K682+N682+P682+R682)*(U682+T682),0)</f>
        <v>0</v>
      </c>
      <c r="W682" s="139">
        <f>K682+N682+P682+R682+V682</f>
        <v>14058</v>
      </c>
      <c r="X682" s="166">
        <f>K682-I682</f>
        <v>-412</v>
      </c>
      <c r="Y682" s="166">
        <f>ROUND(H682*X682,0)</f>
        <v>-4341668</v>
      </c>
      <c r="Z682" s="166">
        <f>W682-I682</f>
        <v>-412</v>
      </c>
      <c r="AA682" s="166">
        <f>ROUND(H682*Z682,0)</f>
        <v>-4341668</v>
      </c>
      <c r="AB682" s="166">
        <f>ROUND(H682*W682,0)</f>
        <v>148143598</v>
      </c>
    </row>
    <row r="683" spans="1:28" ht="30" hidden="1" x14ac:dyDescent="0.25">
      <c r="A683" s="168"/>
      <c r="B683" s="133" t="str">
        <f>'Công trình'!B204</f>
        <v>AF.61721</v>
      </c>
      <c r="C683" s="34"/>
      <c r="D683" s="133" t="str">
        <f>'Công trình'!C204</f>
        <v>Sản xuất, lắp dựng cốt thép mặt cầu đường kính &gt;10mm, chiều cao &lt;=16m</v>
      </c>
      <c r="E683" s="168"/>
      <c r="F683" s="20">
        <v>1</v>
      </c>
      <c r="G683" s="169"/>
      <c r="H683" s="45">
        <f>'Hao phí vật tư'!J1576</f>
        <v>10538.028</v>
      </c>
      <c r="I683" s="166"/>
      <c r="J683" s="156">
        <f>ROUND(H683*I682,2)</f>
        <v>152485265.16</v>
      </c>
      <c r="K683" s="166"/>
      <c r="L683" s="156">
        <f>ROUND(H683*K682,2)</f>
        <v>148143597.62</v>
      </c>
      <c r="M683" s="34"/>
      <c r="N683" s="166"/>
      <c r="O683" s="156">
        <f>ROUND(H683*N682,2)</f>
        <v>0</v>
      </c>
      <c r="P683" s="166"/>
      <c r="Q683" s="156">
        <f>ROUND(H683*P682,2)</f>
        <v>0</v>
      </c>
      <c r="R683" s="166"/>
      <c r="S683" s="156">
        <f>ROUND(H683*R682,2)</f>
        <v>0</v>
      </c>
      <c r="T683" s="34"/>
      <c r="U683" s="34"/>
      <c r="V683" s="166"/>
      <c r="W683" s="166"/>
      <c r="X683" s="166"/>
      <c r="Y683" s="156">
        <f>ROUND(H683*X682,2)</f>
        <v>-4341667.54</v>
      </c>
      <c r="Z683" s="166"/>
      <c r="AA683" s="156">
        <f>ROUND(H683*Z682,2)</f>
        <v>-4341667.54</v>
      </c>
      <c r="AB683" s="156">
        <f>ROUND(H683*W682,2)</f>
        <v>148143597.62</v>
      </c>
    </row>
    <row r="684" spans="1:28" x14ac:dyDescent="0.25">
      <c r="A684" s="168">
        <v>101</v>
      </c>
      <c r="B684" s="84" t="s">
        <v>831</v>
      </c>
      <c r="C684" s="34">
        <v>487</v>
      </c>
      <c r="D684" s="144" t="s">
        <v>966</v>
      </c>
      <c r="E684" s="168" t="s">
        <v>555</v>
      </c>
      <c r="F684" s="34"/>
      <c r="G684" s="169"/>
      <c r="H684" s="60">
        <f>SUM(H685:H688)</f>
        <v>715.94190000000003</v>
      </c>
      <c r="I684" s="166">
        <v>14470</v>
      </c>
      <c r="J684" s="166">
        <f>ROUND(H684*I684,0)</f>
        <v>10359679</v>
      </c>
      <c r="K684" s="139">
        <f>'Tổng hợp VL,NC,M'!I728</f>
        <v>14058</v>
      </c>
      <c r="L684" s="166">
        <f>ROUND(H684*K684,0)</f>
        <v>10064711</v>
      </c>
      <c r="M684" s="34">
        <v>1</v>
      </c>
      <c r="N684" s="166"/>
      <c r="O684" s="166">
        <f>ROUND(H684*N684,0)</f>
        <v>0</v>
      </c>
      <c r="P684" s="166"/>
      <c r="Q684" s="166">
        <f>ROUND(H684*P684,0)</f>
        <v>0</v>
      </c>
      <c r="R684" s="166"/>
      <c r="S684" s="166">
        <f>ROUND(H684*R684,0)</f>
        <v>0</v>
      </c>
      <c r="T684" s="34"/>
      <c r="U684" s="34"/>
      <c r="V684" s="166">
        <f>ROUND((K684+N684+P684+R684)*(U684+T684),0)</f>
        <v>0</v>
      </c>
      <c r="W684" s="139">
        <f>K684+N684+P684+R684+V684</f>
        <v>14058</v>
      </c>
      <c r="X684" s="166">
        <f>K684-I684</f>
        <v>-412</v>
      </c>
      <c r="Y684" s="166">
        <f>ROUND(H684*X684,0)</f>
        <v>-294968</v>
      </c>
      <c r="Z684" s="166">
        <f>W684-I684</f>
        <v>-412</v>
      </c>
      <c r="AA684" s="166">
        <f>ROUND(H684*Z684,0)</f>
        <v>-294968</v>
      </c>
      <c r="AB684" s="166">
        <f>ROUND(H684*W684,0)</f>
        <v>10064711</v>
      </c>
    </row>
    <row r="685" spans="1:28" ht="30" hidden="1" x14ac:dyDescent="0.25">
      <c r="A685" s="168"/>
      <c r="B685" s="133" t="str">
        <f>'Công trình'!B39</f>
        <v>AI.13111</v>
      </c>
      <c r="C685" s="34"/>
      <c r="D685" s="133" t="str">
        <f>'Công trình'!C39</f>
        <v>Sản xuất cấu kiện thép đặt sẵn trong bê tông, khối lượng &lt;=10kg/cấu kiện</v>
      </c>
      <c r="E685" s="168"/>
      <c r="F685" s="20">
        <v>1</v>
      </c>
      <c r="G685" s="169"/>
      <c r="H685" s="45">
        <f>'Hao phí vật tư'!J295</f>
        <v>2.8652000000000002</v>
      </c>
      <c r="I685" s="166"/>
      <c r="J685" s="156">
        <f>ROUND(H685*I684,2)</f>
        <v>41459.440000000002</v>
      </c>
      <c r="K685" s="166"/>
      <c r="L685" s="156">
        <f>ROUND(H685*K684,2)</f>
        <v>40278.980000000003</v>
      </c>
      <c r="M685" s="34"/>
      <c r="N685" s="166"/>
      <c r="O685" s="156">
        <f>ROUND(H685*N684,2)</f>
        <v>0</v>
      </c>
      <c r="P685" s="166"/>
      <c r="Q685" s="156">
        <f>ROUND(H685*P684,2)</f>
        <v>0</v>
      </c>
      <c r="R685" s="166"/>
      <c r="S685" s="156">
        <f>ROUND(H685*R684,2)</f>
        <v>0</v>
      </c>
      <c r="T685" s="34"/>
      <c r="U685" s="34"/>
      <c r="V685" s="166"/>
      <c r="W685" s="166"/>
      <c r="X685" s="166"/>
      <c r="Y685" s="156">
        <f>ROUND(H685*X684,2)</f>
        <v>-1180.46</v>
      </c>
      <c r="Z685" s="166"/>
      <c r="AA685" s="156">
        <f>ROUND(H685*Z684,2)</f>
        <v>-1180.46</v>
      </c>
      <c r="AB685" s="156">
        <f>ROUND(H685*W684,2)</f>
        <v>40278.980000000003</v>
      </c>
    </row>
    <row r="686" spans="1:28" ht="30" hidden="1" x14ac:dyDescent="0.25">
      <c r="A686" s="168"/>
      <c r="B686" s="133" t="str">
        <f>'Công trình'!B72</f>
        <v>AI.13111</v>
      </c>
      <c r="C686" s="34"/>
      <c r="D686" s="133" t="str">
        <f>'Công trình'!C72</f>
        <v>Sản xuất cấu kiện thép đặt sẵn trong bê tông, khối lượng &lt;=10kg/cấu kiện</v>
      </c>
      <c r="E686" s="168"/>
      <c r="F686" s="20">
        <v>1</v>
      </c>
      <c r="G686" s="169"/>
      <c r="H686" s="45">
        <f>'Hao phí vật tư'!J551</f>
        <v>298.86239999999998</v>
      </c>
      <c r="I686" s="166"/>
      <c r="J686" s="156">
        <f>ROUND(H686*I684,2)</f>
        <v>4324538.93</v>
      </c>
      <c r="K686" s="166"/>
      <c r="L686" s="156">
        <f>ROUND(H686*K684,2)</f>
        <v>4201407.62</v>
      </c>
      <c r="M686" s="34"/>
      <c r="N686" s="166"/>
      <c r="O686" s="156">
        <f>ROUND(H686*N684,2)</f>
        <v>0</v>
      </c>
      <c r="P686" s="166"/>
      <c r="Q686" s="156">
        <f>ROUND(H686*P684,2)</f>
        <v>0</v>
      </c>
      <c r="R686" s="166"/>
      <c r="S686" s="156">
        <f>ROUND(H686*R684,2)</f>
        <v>0</v>
      </c>
      <c r="T686" s="34"/>
      <c r="U686" s="34"/>
      <c r="V686" s="166"/>
      <c r="W686" s="166"/>
      <c r="X686" s="166"/>
      <c r="Y686" s="156">
        <f>ROUND(H686*X684,2)</f>
        <v>-123131.31</v>
      </c>
      <c r="Z686" s="166"/>
      <c r="AA686" s="156">
        <f>ROUND(H686*Z684,2)</f>
        <v>-123131.31</v>
      </c>
      <c r="AB686" s="156">
        <f>ROUND(H686*W684,2)</f>
        <v>4201407.62</v>
      </c>
    </row>
    <row r="687" spans="1:28" ht="30" hidden="1" x14ac:dyDescent="0.25">
      <c r="A687" s="168"/>
      <c r="B687" s="133" t="str">
        <f>'Công trình'!B83</f>
        <v>AI.13111</v>
      </c>
      <c r="C687" s="34"/>
      <c r="D687" s="133" t="str">
        <f>'Công trình'!C83</f>
        <v>Sản xuất cấu kiện thép đặt sẵn trong bê tông, khối lượng &lt;=10kg/cấu kiện</v>
      </c>
      <c r="E687" s="168"/>
      <c r="F687" s="20">
        <v>1</v>
      </c>
      <c r="G687" s="169"/>
      <c r="H687" s="45">
        <f>'Hao phí vật tư'!J667</f>
        <v>141.1387</v>
      </c>
      <c r="I687" s="166"/>
      <c r="J687" s="156">
        <f>ROUND(H687*I684,2)</f>
        <v>2042276.99</v>
      </c>
      <c r="K687" s="166"/>
      <c r="L687" s="156">
        <f>ROUND(H687*K684,2)</f>
        <v>1984127.84</v>
      </c>
      <c r="M687" s="34"/>
      <c r="N687" s="166"/>
      <c r="O687" s="156">
        <f>ROUND(H687*N684,2)</f>
        <v>0</v>
      </c>
      <c r="P687" s="166"/>
      <c r="Q687" s="156">
        <f>ROUND(H687*P684,2)</f>
        <v>0</v>
      </c>
      <c r="R687" s="166"/>
      <c r="S687" s="156">
        <f>ROUND(H687*R684,2)</f>
        <v>0</v>
      </c>
      <c r="T687" s="34"/>
      <c r="U687" s="34"/>
      <c r="V687" s="166"/>
      <c r="W687" s="166"/>
      <c r="X687" s="166"/>
      <c r="Y687" s="156">
        <f>ROUND(H687*X684,2)</f>
        <v>-58149.14</v>
      </c>
      <c r="Z687" s="166"/>
      <c r="AA687" s="156">
        <f>ROUND(H687*Z684,2)</f>
        <v>-58149.14</v>
      </c>
      <c r="AB687" s="156">
        <f>ROUND(H687*W684,2)</f>
        <v>1984127.84</v>
      </c>
    </row>
    <row r="688" spans="1:28" ht="30" hidden="1" x14ac:dyDescent="0.25">
      <c r="A688" s="168"/>
      <c r="B688" s="133" t="str">
        <f>'Công trình'!B229</f>
        <v>AI.13111</v>
      </c>
      <c r="C688" s="34"/>
      <c r="D688" s="133" t="str">
        <f>'Công trình'!C229</f>
        <v>Sản xuất cấu kiện thép đặt sẵn trong bê tông, khối lượng &lt;=10kg/cấu kiện</v>
      </c>
      <c r="E688" s="168"/>
      <c r="F688" s="20">
        <v>1</v>
      </c>
      <c r="G688" s="169"/>
      <c r="H688" s="45">
        <f>'Hao phí vật tư'!J1727</f>
        <v>273.07560000000001</v>
      </c>
      <c r="I688" s="166"/>
      <c r="J688" s="156">
        <f>ROUND(H688*I684,2)</f>
        <v>3951403.93</v>
      </c>
      <c r="K688" s="166"/>
      <c r="L688" s="156">
        <f>ROUND(H688*K684,2)</f>
        <v>3838896.78</v>
      </c>
      <c r="M688" s="34"/>
      <c r="N688" s="166"/>
      <c r="O688" s="156">
        <f>ROUND(H688*N684,2)</f>
        <v>0</v>
      </c>
      <c r="P688" s="166"/>
      <c r="Q688" s="156">
        <f>ROUND(H688*P684,2)</f>
        <v>0</v>
      </c>
      <c r="R688" s="166"/>
      <c r="S688" s="156">
        <f>ROUND(H688*R684,2)</f>
        <v>0</v>
      </c>
      <c r="T688" s="34"/>
      <c r="U688" s="34"/>
      <c r="V688" s="166"/>
      <c r="W688" s="166"/>
      <c r="X688" s="166"/>
      <c r="Y688" s="156">
        <f>ROUND(H688*X684,2)</f>
        <v>-112507.15</v>
      </c>
      <c r="Z688" s="166"/>
      <c r="AA688" s="156">
        <f>ROUND(H688*Z684,2)</f>
        <v>-112507.15</v>
      </c>
      <c r="AB688" s="156">
        <f>ROUND(H688*W684,2)</f>
        <v>3838896.78</v>
      </c>
    </row>
    <row r="689" spans="1:28" x14ac:dyDescent="0.25">
      <c r="A689" s="168">
        <v>102</v>
      </c>
      <c r="B689" s="84" t="s">
        <v>784</v>
      </c>
      <c r="C689" s="34">
        <v>488</v>
      </c>
      <c r="D689" s="144" t="s">
        <v>861</v>
      </c>
      <c r="E689" s="168" t="s">
        <v>555</v>
      </c>
      <c r="F689" s="34"/>
      <c r="G689" s="169"/>
      <c r="H689" s="60">
        <f>SUM(H690:H697)</f>
        <v>45833.904000000002</v>
      </c>
      <c r="I689" s="166">
        <v>14470</v>
      </c>
      <c r="J689" s="166">
        <f>ROUND(H689*I689,0)</f>
        <v>663216591</v>
      </c>
      <c r="K689" s="139">
        <f>'Tổng hợp VL,NC,M'!I733</f>
        <v>14058</v>
      </c>
      <c r="L689" s="166">
        <f>ROUND(H689*K689,0)</f>
        <v>644333022</v>
      </c>
      <c r="M689" s="34">
        <v>1</v>
      </c>
      <c r="N689" s="166"/>
      <c r="O689" s="166">
        <f>ROUND(H689*N689,0)</f>
        <v>0</v>
      </c>
      <c r="P689" s="166"/>
      <c r="Q689" s="166">
        <f>ROUND(H689*P689,0)</f>
        <v>0</v>
      </c>
      <c r="R689" s="166"/>
      <c r="S689" s="166">
        <f>ROUND(H689*R689,0)</f>
        <v>0</v>
      </c>
      <c r="T689" s="34"/>
      <c r="U689" s="34"/>
      <c r="V689" s="166">
        <f>ROUND((K689+N689+P689+R689)*(U689+T689),0)</f>
        <v>0</v>
      </c>
      <c r="W689" s="139">
        <f>K689+N689+P689+R689+V689</f>
        <v>14058</v>
      </c>
      <c r="X689" s="166">
        <f>K689-I689</f>
        <v>-412</v>
      </c>
      <c r="Y689" s="166">
        <f>ROUND(H689*X689,0)</f>
        <v>-18883568</v>
      </c>
      <c r="Z689" s="166">
        <f>W689-I689</f>
        <v>-412</v>
      </c>
      <c r="AA689" s="166">
        <f>ROUND(H689*Z689,0)</f>
        <v>-18883568</v>
      </c>
      <c r="AB689" s="166">
        <f>ROUND(H689*W689,0)</f>
        <v>644333022</v>
      </c>
    </row>
    <row r="690" spans="1:28" ht="30" hidden="1" x14ac:dyDescent="0.25">
      <c r="A690" s="168"/>
      <c r="B690" s="133" t="str">
        <f>'Công trình'!B12</f>
        <v>AF.61130</v>
      </c>
      <c r="C690" s="34"/>
      <c r="D690" s="133" t="str">
        <f>'Công trình'!C12</f>
        <v>Sản xuất, lắp dựng cốt thép móng đường kính &gt;18mm</v>
      </c>
      <c r="E690" s="168"/>
      <c r="F690" s="20">
        <v>1</v>
      </c>
      <c r="G690" s="169"/>
      <c r="H690" s="45">
        <f>'Hao phí vật tư'!J75</f>
        <v>2677.7040000000002</v>
      </c>
      <c r="I690" s="166"/>
      <c r="J690" s="156">
        <f>ROUND(H690*I689,2)</f>
        <v>38746376.880000003</v>
      </c>
      <c r="K690" s="166"/>
      <c r="L690" s="156">
        <f>ROUND(H690*K689,2)</f>
        <v>37643162.829999998</v>
      </c>
      <c r="M690" s="34"/>
      <c r="N690" s="166"/>
      <c r="O690" s="156">
        <f>ROUND(H690*N689,2)</f>
        <v>0</v>
      </c>
      <c r="P690" s="166"/>
      <c r="Q690" s="156">
        <f>ROUND(H690*P689,2)</f>
        <v>0</v>
      </c>
      <c r="R690" s="166"/>
      <c r="S690" s="156">
        <f>ROUND(H690*R689,2)</f>
        <v>0</v>
      </c>
      <c r="T690" s="34"/>
      <c r="U690" s="34"/>
      <c r="V690" s="166"/>
      <c r="W690" s="166"/>
      <c r="X690" s="166"/>
      <c r="Y690" s="156">
        <f>ROUND(H690*X689,2)</f>
        <v>-1103214.05</v>
      </c>
      <c r="Z690" s="166"/>
      <c r="AA690" s="156">
        <f>ROUND(H690*Z689,2)</f>
        <v>-1103214.05</v>
      </c>
      <c r="AB690" s="156">
        <f>ROUND(H690*W689,2)</f>
        <v>37643162.829999998</v>
      </c>
    </row>
    <row r="691" spans="1:28" ht="30" hidden="1" x14ac:dyDescent="0.25">
      <c r="A691" s="168"/>
      <c r="B691" s="133" t="str">
        <f>'Công trình'!B14</f>
        <v>AF.61331</v>
      </c>
      <c r="C691" s="34"/>
      <c r="D691" s="133" t="str">
        <f>'Công trình'!C14</f>
        <v>Sản xuất, lắp dựng cốt thép tường đường kính &gt;18mm, chiều cao &lt;=4m</v>
      </c>
      <c r="E691" s="168"/>
      <c r="F691" s="20">
        <v>1</v>
      </c>
      <c r="G691" s="169"/>
      <c r="H691" s="45">
        <f>'Hao phí vật tư'!J95</f>
        <v>3011.04</v>
      </c>
      <c r="I691" s="166"/>
      <c r="J691" s="156">
        <f>ROUND(H691*I689,2)</f>
        <v>43569748.799999997</v>
      </c>
      <c r="K691" s="166"/>
      <c r="L691" s="156">
        <f>ROUND(H691*K689,2)</f>
        <v>42329200.32</v>
      </c>
      <c r="M691" s="34"/>
      <c r="N691" s="166"/>
      <c r="O691" s="156">
        <f>ROUND(H691*N689,2)</f>
        <v>0</v>
      </c>
      <c r="P691" s="166"/>
      <c r="Q691" s="156">
        <f>ROUND(H691*P689,2)</f>
        <v>0</v>
      </c>
      <c r="R691" s="166"/>
      <c r="S691" s="156">
        <f>ROUND(H691*R689,2)</f>
        <v>0</v>
      </c>
      <c r="T691" s="34"/>
      <c r="U691" s="34"/>
      <c r="V691" s="166"/>
      <c r="W691" s="166"/>
      <c r="X691" s="166"/>
      <c r="Y691" s="156">
        <f>ROUND(H691*X689,2)</f>
        <v>-1240548.48</v>
      </c>
      <c r="Z691" s="166"/>
      <c r="AA691" s="156">
        <f>ROUND(H691*Z689,2)</f>
        <v>-1240548.48</v>
      </c>
      <c r="AB691" s="156">
        <f>ROUND(H691*W689,2)</f>
        <v>42329200.32</v>
      </c>
    </row>
    <row r="692" spans="1:28" ht="30" hidden="1" x14ac:dyDescent="0.25">
      <c r="A692" s="168"/>
      <c r="B692" s="133" t="str">
        <f>'Công trình'!B71</f>
        <v>AG.13131</v>
      </c>
      <c r="C692" s="34"/>
      <c r="D692" s="133" t="str">
        <f>'Công trình'!C71</f>
        <v>Sản xuất, lắp dựng cốt thép BT đúc sẵn cọc, đường kính &gt;18mm</v>
      </c>
      <c r="E692" s="168"/>
      <c r="F692" s="20">
        <v>1</v>
      </c>
      <c r="G692" s="169"/>
      <c r="H692" s="45">
        <f>'Hao phí vật tư'!J539</f>
        <v>12809.262000000001</v>
      </c>
      <c r="I692" s="166"/>
      <c r="J692" s="156">
        <f>ROUND(H692*I689,2)</f>
        <v>185350021.13999999</v>
      </c>
      <c r="K692" s="166"/>
      <c r="L692" s="156">
        <f>ROUND(H692*K689,2)</f>
        <v>180072605.19999999</v>
      </c>
      <c r="M692" s="34"/>
      <c r="N692" s="166"/>
      <c r="O692" s="156">
        <f>ROUND(H692*N689,2)</f>
        <v>0</v>
      </c>
      <c r="P692" s="166"/>
      <c r="Q692" s="156">
        <f>ROUND(H692*P689,2)</f>
        <v>0</v>
      </c>
      <c r="R692" s="166"/>
      <c r="S692" s="156">
        <f>ROUND(H692*R689,2)</f>
        <v>0</v>
      </c>
      <c r="T692" s="34"/>
      <c r="U692" s="34"/>
      <c r="V692" s="166"/>
      <c r="W692" s="166"/>
      <c r="X692" s="166"/>
      <c r="Y692" s="156">
        <f>ROUND(H692*X689,2)</f>
        <v>-5277415.9400000004</v>
      </c>
      <c r="Z692" s="166"/>
      <c r="AA692" s="156">
        <f>ROUND(H692*Z689,2)</f>
        <v>-5277415.9400000004</v>
      </c>
      <c r="AB692" s="156">
        <f>ROUND(H692*W689,2)</f>
        <v>180072605.19999999</v>
      </c>
    </row>
    <row r="693" spans="1:28" ht="30" hidden="1" x14ac:dyDescent="0.25">
      <c r="A693" s="168"/>
      <c r="B693" s="133" t="str">
        <f>'Công trình'!B82</f>
        <v>AG.13131</v>
      </c>
      <c r="C693" s="34"/>
      <c r="D693" s="133" t="str">
        <f>'Công trình'!C82</f>
        <v>Sản xuất, lắp dựng cốt thép BT đúc sẵn cọc, đường kính &gt;18mm</v>
      </c>
      <c r="E693" s="168"/>
      <c r="F693" s="20">
        <v>1</v>
      </c>
      <c r="G693" s="169"/>
      <c r="H693" s="45">
        <f>'Hao phí vật tư'!J655</f>
        <v>6771.6779999999999</v>
      </c>
      <c r="I693" s="166"/>
      <c r="J693" s="156">
        <f>ROUND(H693*I689,2)</f>
        <v>97986180.659999996</v>
      </c>
      <c r="K693" s="166"/>
      <c r="L693" s="156">
        <f>ROUND(H693*K689,2)</f>
        <v>95196249.319999993</v>
      </c>
      <c r="M693" s="34"/>
      <c r="N693" s="166"/>
      <c r="O693" s="156">
        <f>ROUND(H693*N689,2)</f>
        <v>0</v>
      </c>
      <c r="P693" s="166"/>
      <c r="Q693" s="156">
        <f>ROUND(H693*P689,2)</f>
        <v>0</v>
      </c>
      <c r="R693" s="166"/>
      <c r="S693" s="156">
        <f>ROUND(H693*R689,2)</f>
        <v>0</v>
      </c>
      <c r="T693" s="34"/>
      <c r="U693" s="34"/>
      <c r="V693" s="166"/>
      <c r="W693" s="166"/>
      <c r="X693" s="166"/>
      <c r="Y693" s="156">
        <f>ROUND(H693*X689,2)</f>
        <v>-2789931.34</v>
      </c>
      <c r="Z693" s="166"/>
      <c r="AA693" s="156">
        <f>ROUND(H693*Z689,2)</f>
        <v>-2789931.34</v>
      </c>
      <c r="AB693" s="156">
        <f>ROUND(H693*W689,2)</f>
        <v>95196249.319999993</v>
      </c>
    </row>
    <row r="694" spans="1:28" ht="30" hidden="1" x14ac:dyDescent="0.25">
      <c r="A694" s="168"/>
      <c r="B694" s="133" t="str">
        <f>'Công trình'!B182</f>
        <v>AF.65130</v>
      </c>
      <c r="C694" s="34"/>
      <c r="D694" s="133" t="str">
        <f>'Công trình'!C182</f>
        <v>Sản xuất, lắp dựng cốt thép móng, mố, trụ, mũ mố, mũ trụ cầu trên cạn đường kính &gt;18mm</v>
      </c>
      <c r="E694" s="168"/>
      <c r="F694" s="20">
        <v>1</v>
      </c>
      <c r="G694" s="169"/>
      <c r="H694" s="45">
        <f>'Hao phí vật tư'!J1388</f>
        <v>4840.41</v>
      </c>
      <c r="I694" s="166"/>
      <c r="J694" s="156">
        <f>ROUND(H694*I689,2)</f>
        <v>70040732.700000003</v>
      </c>
      <c r="K694" s="166"/>
      <c r="L694" s="156">
        <f>ROUND(H694*K689,2)</f>
        <v>68046483.780000001</v>
      </c>
      <c r="M694" s="34"/>
      <c r="N694" s="166"/>
      <c r="O694" s="156">
        <f>ROUND(H694*N689,2)</f>
        <v>0</v>
      </c>
      <c r="P694" s="166"/>
      <c r="Q694" s="156">
        <f>ROUND(H694*P689,2)</f>
        <v>0</v>
      </c>
      <c r="R694" s="166"/>
      <c r="S694" s="156">
        <f>ROUND(H694*R689,2)</f>
        <v>0</v>
      </c>
      <c r="T694" s="34"/>
      <c r="U694" s="34"/>
      <c r="V694" s="166"/>
      <c r="W694" s="166"/>
      <c r="X694" s="166"/>
      <c r="Y694" s="156">
        <f>ROUND(H694*X689,2)</f>
        <v>-1994248.92</v>
      </c>
      <c r="Z694" s="166"/>
      <c r="AA694" s="156">
        <f>ROUND(H694*Z689,2)</f>
        <v>-1994248.92</v>
      </c>
      <c r="AB694" s="156">
        <f>ROUND(H694*W689,2)</f>
        <v>68046483.780000001</v>
      </c>
    </row>
    <row r="695" spans="1:28" ht="30" hidden="1" x14ac:dyDescent="0.25">
      <c r="A695" s="168"/>
      <c r="B695" s="133" t="str">
        <f>'Công trình'!B191</f>
        <v>AF.65130</v>
      </c>
      <c r="C695" s="34"/>
      <c r="D695" s="133" t="str">
        <f>'Công trình'!C191</f>
        <v>Sản xuất, lắp dựng cốt thép móng, mố, trụ, mũ mố, mũ trụ cầu trên cạn đường kính &gt;18mm</v>
      </c>
      <c r="E695" s="168"/>
      <c r="F695" s="20">
        <v>1</v>
      </c>
      <c r="G695" s="169"/>
      <c r="H695" s="45">
        <f>'Hao phí vật tư'!J1472</f>
        <v>1928.82</v>
      </c>
      <c r="I695" s="166"/>
      <c r="J695" s="156">
        <f>ROUND(H695*I689,2)</f>
        <v>27910025.399999999</v>
      </c>
      <c r="K695" s="166"/>
      <c r="L695" s="156">
        <f>ROUND(H695*K689,2)</f>
        <v>27115351.559999999</v>
      </c>
      <c r="M695" s="34"/>
      <c r="N695" s="166"/>
      <c r="O695" s="156">
        <f>ROUND(H695*N689,2)</f>
        <v>0</v>
      </c>
      <c r="P695" s="166"/>
      <c r="Q695" s="156">
        <f>ROUND(H695*P689,2)</f>
        <v>0</v>
      </c>
      <c r="R695" s="166"/>
      <c r="S695" s="156">
        <f>ROUND(H695*R689,2)</f>
        <v>0</v>
      </c>
      <c r="T695" s="34"/>
      <c r="U695" s="34"/>
      <c r="V695" s="166"/>
      <c r="W695" s="166"/>
      <c r="X695" s="166"/>
      <c r="Y695" s="156">
        <f>ROUND(H695*X689,2)</f>
        <v>-794673.84</v>
      </c>
      <c r="Z695" s="166"/>
      <c r="AA695" s="156">
        <f>ROUND(H695*Z689,2)</f>
        <v>-794673.84</v>
      </c>
      <c r="AB695" s="156">
        <f>ROUND(H695*W689,2)</f>
        <v>27115351.559999999</v>
      </c>
    </row>
    <row r="696" spans="1:28" ht="30" hidden="1" x14ac:dyDescent="0.25">
      <c r="A696" s="168"/>
      <c r="B696" s="133" t="str">
        <f>'Công trình'!B210</f>
        <v>AF.65430</v>
      </c>
      <c r="C696" s="34"/>
      <c r="D696" s="133" t="str">
        <f>'Công trình'!C210</f>
        <v>Công tác sản xuất lắp dựng cốt thép bê tông tại chỗ, cốt thép dầm cầu trên cạn, D &gt;18mm</v>
      </c>
      <c r="E696" s="168"/>
      <c r="F696" s="20">
        <v>1</v>
      </c>
      <c r="G696" s="169"/>
      <c r="H696" s="45">
        <f>'Hao phí vật tư'!J1608</f>
        <v>216.95400000000001</v>
      </c>
      <c r="I696" s="166"/>
      <c r="J696" s="156">
        <f>ROUND(H696*I689,2)</f>
        <v>3139324.38</v>
      </c>
      <c r="K696" s="166"/>
      <c r="L696" s="156">
        <f>ROUND(H696*K689,2)</f>
        <v>3049939.33</v>
      </c>
      <c r="M696" s="34"/>
      <c r="N696" s="166"/>
      <c r="O696" s="156">
        <f>ROUND(H696*N689,2)</f>
        <v>0</v>
      </c>
      <c r="P696" s="166"/>
      <c r="Q696" s="156">
        <f>ROUND(H696*P689,2)</f>
        <v>0</v>
      </c>
      <c r="R696" s="166"/>
      <c r="S696" s="156">
        <f>ROUND(H696*R689,2)</f>
        <v>0</v>
      </c>
      <c r="T696" s="34"/>
      <c r="U696" s="34"/>
      <c r="V696" s="166"/>
      <c r="W696" s="166"/>
      <c r="X696" s="166"/>
      <c r="Y696" s="156">
        <f>ROUND(H696*X689,2)</f>
        <v>-89385.05</v>
      </c>
      <c r="Z696" s="166"/>
      <c r="AA696" s="156">
        <f>ROUND(H696*Z689,2)</f>
        <v>-89385.05</v>
      </c>
      <c r="AB696" s="156">
        <f>ROUND(H696*W689,2)</f>
        <v>3049939.33</v>
      </c>
    </row>
    <row r="697" spans="1:28" ht="30" hidden="1" x14ac:dyDescent="0.25">
      <c r="A697" s="168"/>
      <c r="B697" s="133" t="str">
        <f>'Công trình'!B228</f>
        <v>AG.13131</v>
      </c>
      <c r="C697" s="34"/>
      <c r="D697" s="133" t="str">
        <f>'Công trình'!C228</f>
        <v>Sản xuất, lắp dựng cốt thép BT đúc sẵn cọc, đường kính &gt;18mm</v>
      </c>
      <c r="E697" s="168"/>
      <c r="F697" s="20">
        <v>1</v>
      </c>
      <c r="G697" s="169"/>
      <c r="H697" s="45">
        <f>'Hao phí vật tư'!J1715</f>
        <v>13578.036</v>
      </c>
      <c r="I697" s="166"/>
      <c r="J697" s="156">
        <f>ROUND(H697*I689,2)</f>
        <v>196474180.91999999</v>
      </c>
      <c r="K697" s="166"/>
      <c r="L697" s="156">
        <f>ROUND(H697*K689,2)</f>
        <v>190880030.09</v>
      </c>
      <c r="M697" s="34"/>
      <c r="N697" s="166"/>
      <c r="O697" s="156">
        <f>ROUND(H697*N689,2)</f>
        <v>0</v>
      </c>
      <c r="P697" s="166"/>
      <c r="Q697" s="156">
        <f>ROUND(H697*P689,2)</f>
        <v>0</v>
      </c>
      <c r="R697" s="166"/>
      <c r="S697" s="156">
        <f>ROUND(H697*R689,2)</f>
        <v>0</v>
      </c>
      <c r="T697" s="34"/>
      <c r="U697" s="34"/>
      <c r="V697" s="166"/>
      <c r="W697" s="166"/>
      <c r="X697" s="166"/>
      <c r="Y697" s="156">
        <f>ROUND(H697*X689,2)</f>
        <v>-5594150.8300000001</v>
      </c>
      <c r="Z697" s="166"/>
      <c r="AA697" s="156">
        <f>ROUND(H697*Z689,2)</f>
        <v>-5594150.8300000001</v>
      </c>
      <c r="AB697" s="156">
        <f>ROUND(H697*W689,2)</f>
        <v>190880030.09</v>
      </c>
    </row>
    <row r="698" spans="1:28" x14ac:dyDescent="0.25">
      <c r="A698" s="168">
        <v>103</v>
      </c>
      <c r="B698" s="84" t="s">
        <v>1038</v>
      </c>
      <c r="C698" s="34">
        <v>118</v>
      </c>
      <c r="D698" s="144" t="s">
        <v>278</v>
      </c>
      <c r="E698" s="168" t="s">
        <v>1123</v>
      </c>
      <c r="F698" s="34"/>
      <c r="G698" s="169"/>
      <c r="H698" s="60">
        <f>SUM(H699:H699)</f>
        <v>56</v>
      </c>
      <c r="I698" s="166">
        <v>12000</v>
      </c>
      <c r="J698" s="166">
        <f>ROUND(H698*I698,0)</f>
        <v>672000</v>
      </c>
      <c r="K698" s="166">
        <f>'Tổng hợp VL,NC,M'!I742</f>
        <v>12000</v>
      </c>
      <c r="L698" s="166">
        <f>ROUND(H698*K698,0)</f>
        <v>672000</v>
      </c>
      <c r="M698" s="34">
        <v>1</v>
      </c>
      <c r="N698" s="166"/>
      <c r="O698" s="166">
        <f>ROUND(H698*N698,0)</f>
        <v>0</v>
      </c>
      <c r="P698" s="166"/>
      <c r="Q698" s="166">
        <f>ROUND(H698*P698,0)</f>
        <v>0</v>
      </c>
      <c r="R698" s="166"/>
      <c r="S698" s="166">
        <f>ROUND(H698*R698,0)</f>
        <v>0</v>
      </c>
      <c r="T698" s="34"/>
      <c r="U698" s="34"/>
      <c r="V698" s="166">
        <f>ROUND((K698+N698+P698+R698)*(U698+T698),0)</f>
        <v>0</v>
      </c>
      <c r="W698" s="166">
        <f>K698+N698+P698+R698+V698</f>
        <v>12000</v>
      </c>
      <c r="X698" s="166">
        <f>K698-I698</f>
        <v>0</v>
      </c>
      <c r="Y698" s="166">
        <f>ROUND(H698*X698,0)</f>
        <v>0</v>
      </c>
      <c r="Z698" s="166">
        <f>W698-I698</f>
        <v>0</v>
      </c>
      <c r="AA698" s="166">
        <f>ROUND(H698*Z698,0)</f>
        <v>0</v>
      </c>
      <c r="AB698" s="166">
        <f>ROUND(H698*W698,0)</f>
        <v>672000</v>
      </c>
    </row>
    <row r="699" spans="1:28" hidden="1" x14ac:dyDescent="0.25">
      <c r="A699" s="168"/>
      <c r="B699" s="133" t="str">
        <f>'Công trình'!B282</f>
        <v>TT</v>
      </c>
      <c r="C699" s="34"/>
      <c r="D699" s="133" t="str">
        <f>'Công trình'!C282</f>
        <v>Tiêu phản quang</v>
      </c>
      <c r="E699" s="168"/>
      <c r="F699" s="20">
        <v>1</v>
      </c>
      <c r="G699" s="169"/>
      <c r="H699" s="45">
        <f>'Hao phí vật tư'!J2112</f>
        <v>56</v>
      </c>
      <c r="I699" s="166"/>
      <c r="J699" s="156">
        <f>ROUND(H699*I698,2)</f>
        <v>672000</v>
      </c>
      <c r="K699" s="166"/>
      <c r="L699" s="156">
        <f>ROUND(H699*K698,2)</f>
        <v>672000</v>
      </c>
      <c r="M699" s="34"/>
      <c r="N699" s="166"/>
      <c r="O699" s="156">
        <f>ROUND(H699*N698,2)</f>
        <v>0</v>
      </c>
      <c r="P699" s="166"/>
      <c r="Q699" s="156">
        <f>ROUND(H699*P698,2)</f>
        <v>0</v>
      </c>
      <c r="R699" s="166"/>
      <c r="S699" s="156">
        <f>ROUND(H699*R698,2)</f>
        <v>0</v>
      </c>
      <c r="T699" s="34"/>
      <c r="U699" s="34"/>
      <c r="V699" s="166"/>
      <c r="W699" s="166"/>
      <c r="X699" s="166"/>
      <c r="Y699" s="156">
        <f>ROUND(H699*X698,2)</f>
        <v>0</v>
      </c>
      <c r="Z699" s="166"/>
      <c r="AA699" s="156">
        <f>ROUND(H699*Z698,2)</f>
        <v>0</v>
      </c>
      <c r="AB699" s="156">
        <f>ROUND(H699*W698,2)</f>
        <v>672000</v>
      </c>
    </row>
    <row r="700" spans="1:28" x14ac:dyDescent="0.25">
      <c r="A700" s="168">
        <v>104</v>
      </c>
      <c r="B700" s="84" t="s">
        <v>928</v>
      </c>
      <c r="C700" s="34">
        <v>469</v>
      </c>
      <c r="D700" s="144" t="s">
        <v>390</v>
      </c>
      <c r="E700" s="168" t="s">
        <v>113</v>
      </c>
      <c r="F700" s="34"/>
      <c r="G700" s="169"/>
      <c r="H700" s="60">
        <f>SUM(H701:H701)</f>
        <v>78</v>
      </c>
      <c r="I700" s="166">
        <v>53180</v>
      </c>
      <c r="J700" s="166">
        <f>ROUND(H700*I700,0)</f>
        <v>4148040</v>
      </c>
      <c r="K700" s="166">
        <f>'Tổng hợp VL,NC,M'!I744</f>
        <v>53180</v>
      </c>
      <c r="L700" s="166">
        <f>ROUND(H700*K700,0)</f>
        <v>4148040</v>
      </c>
      <c r="M700" s="34">
        <v>1</v>
      </c>
      <c r="N700" s="166"/>
      <c r="O700" s="166">
        <f>ROUND(H700*N700,0)</f>
        <v>0</v>
      </c>
      <c r="P700" s="166"/>
      <c r="Q700" s="166">
        <f>ROUND(H700*P700,0)</f>
        <v>0</v>
      </c>
      <c r="R700" s="166"/>
      <c r="S700" s="166">
        <f>ROUND(H700*R700,0)</f>
        <v>0</v>
      </c>
      <c r="T700" s="34"/>
      <c r="U700" s="34"/>
      <c r="V700" s="166">
        <f>ROUND((K700+N700+P700+R700)*(U700+T700),0)</f>
        <v>0</v>
      </c>
      <c r="W700" s="166">
        <f>K700+N700+P700+R700+V700</f>
        <v>53180</v>
      </c>
      <c r="X700" s="166">
        <f>K700-I700</f>
        <v>0</v>
      </c>
      <c r="Y700" s="166">
        <f>ROUND(H700*X700,0)</f>
        <v>0</v>
      </c>
      <c r="Z700" s="166">
        <f>W700-I700</f>
        <v>0</v>
      </c>
      <c r="AA700" s="166">
        <f>ROUND(H700*Z700,0)</f>
        <v>0</v>
      </c>
      <c r="AB700" s="166">
        <f>ROUND(H700*W700,0)</f>
        <v>4148040</v>
      </c>
    </row>
    <row r="701" spans="1:28" hidden="1" x14ac:dyDescent="0.25">
      <c r="A701" s="168"/>
      <c r="B701" s="133" t="str">
        <f>'Công trình'!B275</f>
        <v>AD.34130</v>
      </c>
      <c r="C701" s="34"/>
      <c r="D701" s="133" t="str">
        <f>'Công trình'!C275</f>
        <v>Lắp đặt dải phân cách bằng tôn lượn sóng</v>
      </c>
      <c r="E701" s="168"/>
      <c r="F701" s="20">
        <v>1</v>
      </c>
      <c r="G701" s="169"/>
      <c r="H701" s="45">
        <f>'Hao phí vật tư'!J2087</f>
        <v>78</v>
      </c>
      <c r="I701" s="166"/>
      <c r="J701" s="156">
        <f>ROUND(H701*I700,2)</f>
        <v>4148040</v>
      </c>
      <c r="K701" s="166"/>
      <c r="L701" s="156">
        <f>ROUND(H701*K700,2)</f>
        <v>4148040</v>
      </c>
      <c r="M701" s="34"/>
      <c r="N701" s="166"/>
      <c r="O701" s="156">
        <f>ROUND(H701*N700,2)</f>
        <v>0</v>
      </c>
      <c r="P701" s="166"/>
      <c r="Q701" s="156">
        <f>ROUND(H701*P700,2)</f>
        <v>0</v>
      </c>
      <c r="R701" s="166"/>
      <c r="S701" s="156">
        <f>ROUND(H701*R700,2)</f>
        <v>0</v>
      </c>
      <c r="T701" s="34"/>
      <c r="U701" s="34"/>
      <c r="V701" s="166"/>
      <c r="W701" s="166"/>
      <c r="X701" s="166"/>
      <c r="Y701" s="156">
        <f>ROUND(H701*X700,2)</f>
        <v>0</v>
      </c>
      <c r="Z701" s="166"/>
      <c r="AA701" s="156">
        <f>ROUND(H701*Z700,2)</f>
        <v>0</v>
      </c>
      <c r="AB701" s="156">
        <f>ROUND(H701*W700,2)</f>
        <v>4148040</v>
      </c>
    </row>
    <row r="702" spans="1:28" x14ac:dyDescent="0.25">
      <c r="A702" s="168">
        <v>105</v>
      </c>
      <c r="B702" s="84" t="s">
        <v>283</v>
      </c>
      <c r="C702" s="34">
        <v>414</v>
      </c>
      <c r="D702" s="144" t="s">
        <v>1018</v>
      </c>
      <c r="E702" s="168" t="s">
        <v>555</v>
      </c>
      <c r="F702" s="34"/>
      <c r="G702" s="169"/>
      <c r="H702" s="60">
        <f>SUM(H703:H706)</f>
        <v>524.08900000000006</v>
      </c>
      <c r="I702" s="166">
        <v>22880</v>
      </c>
      <c r="J702" s="166">
        <f>ROUND(H702*I702,0)</f>
        <v>11991156</v>
      </c>
      <c r="K702" s="166">
        <f>'Tổng hợp VL,NC,M'!I746</f>
        <v>22880</v>
      </c>
      <c r="L702" s="166">
        <f>ROUND(H702*K702,0)</f>
        <v>11991156</v>
      </c>
      <c r="M702" s="34">
        <v>1</v>
      </c>
      <c r="N702" s="166"/>
      <c r="O702" s="166">
        <f>ROUND(H702*N702,0)</f>
        <v>0</v>
      </c>
      <c r="P702" s="166"/>
      <c r="Q702" s="166">
        <f>ROUND(H702*P702,0)</f>
        <v>0</v>
      </c>
      <c r="R702" s="166"/>
      <c r="S702" s="166">
        <f>ROUND(H702*R702,0)</f>
        <v>0</v>
      </c>
      <c r="T702" s="34"/>
      <c r="U702" s="34"/>
      <c r="V702" s="166">
        <f>ROUND((K702+N702+P702+R702)*(U702+T702),0)</f>
        <v>0</v>
      </c>
      <c r="W702" s="166">
        <f>K702+N702+P702+R702+V702</f>
        <v>22880</v>
      </c>
      <c r="X702" s="166">
        <f>K702-I702</f>
        <v>0</v>
      </c>
      <c r="Y702" s="166">
        <f>ROUND(H702*X702,0)</f>
        <v>0</v>
      </c>
      <c r="Z702" s="166">
        <f>W702-I702</f>
        <v>0</v>
      </c>
      <c r="AA702" s="166">
        <f>ROUND(H702*Z702,0)</f>
        <v>0</v>
      </c>
      <c r="AB702" s="166">
        <f>ROUND(H702*W702,0)</f>
        <v>11991156</v>
      </c>
    </row>
    <row r="703" spans="1:28" hidden="1" x14ac:dyDescent="0.25">
      <c r="A703" s="168"/>
      <c r="B703" s="133" t="str">
        <f>'Công trình'!B223</f>
        <v>TT</v>
      </c>
      <c r="C703" s="34"/>
      <c r="D703" s="133" t="str">
        <f>'Công trình'!C223</f>
        <v>Tôn (206x700x0.1)cm</v>
      </c>
      <c r="E703" s="168"/>
      <c r="F703" s="20">
        <v>1</v>
      </c>
      <c r="G703" s="169"/>
      <c r="H703" s="45">
        <f>'Hao phí vật tư'!J1679</f>
        <v>249.029</v>
      </c>
      <c r="I703" s="166"/>
      <c r="J703" s="156">
        <f>ROUND(H703*I702,2)</f>
        <v>5697783.5199999996</v>
      </c>
      <c r="K703" s="166"/>
      <c r="L703" s="156">
        <f>ROUND(H703*K702,2)</f>
        <v>5697783.5199999996</v>
      </c>
      <c r="M703" s="34"/>
      <c r="N703" s="166"/>
      <c r="O703" s="156">
        <f>ROUND(H703*N702,2)</f>
        <v>0</v>
      </c>
      <c r="P703" s="166"/>
      <c r="Q703" s="156">
        <f>ROUND(H703*P702,2)</f>
        <v>0</v>
      </c>
      <c r="R703" s="166"/>
      <c r="S703" s="156">
        <f>ROUND(H703*R702,2)</f>
        <v>0</v>
      </c>
      <c r="T703" s="34"/>
      <c r="U703" s="34"/>
      <c r="V703" s="166"/>
      <c r="W703" s="166"/>
      <c r="X703" s="166"/>
      <c r="Y703" s="156">
        <f>ROUND(H703*X702,2)</f>
        <v>0</v>
      </c>
      <c r="Z703" s="166"/>
      <c r="AA703" s="156">
        <f>ROUND(H703*Z702,2)</f>
        <v>0</v>
      </c>
      <c r="AB703" s="156">
        <f>ROUND(H703*W702,2)</f>
        <v>5697783.5199999996</v>
      </c>
    </row>
    <row r="704" spans="1:28" hidden="1" x14ac:dyDescent="0.25">
      <c r="A704" s="168"/>
      <c r="B704" s="133" t="str">
        <f>'Công trình'!B269</f>
        <v>AD.32411</v>
      </c>
      <c r="C704" s="34"/>
      <c r="D704" s="133" t="str">
        <f>'Công trình'!C269</f>
        <v>Biển báo (1.2 x 1.2)m</v>
      </c>
      <c r="E704" s="168"/>
      <c r="F704" s="20">
        <v>1</v>
      </c>
      <c r="G704" s="169"/>
      <c r="H704" s="45">
        <f>'Hao phí vật tư'!J2054</f>
        <v>258.39999999999998</v>
      </c>
      <c r="I704" s="166"/>
      <c r="J704" s="156">
        <f>ROUND(H704*I702,2)</f>
        <v>5912192</v>
      </c>
      <c r="K704" s="166"/>
      <c r="L704" s="156">
        <f>ROUND(H704*K702,2)</f>
        <v>5912192</v>
      </c>
      <c r="M704" s="34"/>
      <c r="N704" s="166"/>
      <c r="O704" s="156">
        <f>ROUND(H704*N702,2)</f>
        <v>0</v>
      </c>
      <c r="P704" s="166"/>
      <c r="Q704" s="156">
        <f>ROUND(H704*P702,2)</f>
        <v>0</v>
      </c>
      <c r="R704" s="166"/>
      <c r="S704" s="156">
        <f>ROUND(H704*R702,2)</f>
        <v>0</v>
      </c>
      <c r="T704" s="34"/>
      <c r="U704" s="34"/>
      <c r="V704" s="166"/>
      <c r="W704" s="166"/>
      <c r="X704" s="166"/>
      <c r="Y704" s="156">
        <f>ROUND(H704*X702,2)</f>
        <v>0</v>
      </c>
      <c r="Z704" s="166"/>
      <c r="AA704" s="156">
        <f>ROUND(H704*Z702,2)</f>
        <v>0</v>
      </c>
      <c r="AB704" s="156">
        <f>ROUND(H704*W702,2)</f>
        <v>5912192</v>
      </c>
    </row>
    <row r="705" spans="1:28" ht="30" hidden="1" x14ac:dyDescent="0.25">
      <c r="A705" s="168"/>
      <c r="B705" s="133" t="str">
        <f>'Công trình'!B290</f>
        <v>AD.32421</v>
      </c>
      <c r="C705" s="34"/>
      <c r="D705" s="133" t="str">
        <f>'Công trình'!C290</f>
        <v>Biển báo bằng tôn hình tròn D70cm, dày 1.2mm, sơn phản quang (Biển 115)</v>
      </c>
      <c r="E705" s="168"/>
      <c r="F705" s="20">
        <v>1</v>
      </c>
      <c r="G705" s="169"/>
      <c r="H705" s="45">
        <f>'Hao phí vật tư'!J2170</f>
        <v>10.34</v>
      </c>
      <c r="I705" s="166"/>
      <c r="J705" s="156">
        <f>ROUND(H705*I702,2)</f>
        <v>236579.20000000001</v>
      </c>
      <c r="K705" s="166"/>
      <c r="L705" s="156">
        <f>ROUND(H705*K702,2)</f>
        <v>236579.20000000001</v>
      </c>
      <c r="M705" s="34"/>
      <c r="N705" s="166"/>
      <c r="O705" s="156">
        <f>ROUND(H705*N702,2)</f>
        <v>0</v>
      </c>
      <c r="P705" s="166"/>
      <c r="Q705" s="156">
        <f>ROUND(H705*P702,2)</f>
        <v>0</v>
      </c>
      <c r="R705" s="166"/>
      <c r="S705" s="156">
        <f>ROUND(H705*R702,2)</f>
        <v>0</v>
      </c>
      <c r="T705" s="34"/>
      <c r="U705" s="34"/>
      <c r="V705" s="166"/>
      <c r="W705" s="166"/>
      <c r="X705" s="166"/>
      <c r="Y705" s="156">
        <f>ROUND(H705*X702,2)</f>
        <v>0</v>
      </c>
      <c r="Z705" s="166"/>
      <c r="AA705" s="156">
        <f>ROUND(H705*Z702,2)</f>
        <v>0</v>
      </c>
      <c r="AB705" s="156">
        <f>ROUND(H705*W702,2)</f>
        <v>236579.20000000001</v>
      </c>
    </row>
    <row r="706" spans="1:28" hidden="1" x14ac:dyDescent="0.25">
      <c r="A706" s="168"/>
      <c r="B706" s="133" t="str">
        <f>'Công trình'!B291</f>
        <v>AD.32441</v>
      </c>
      <c r="C706" s="34"/>
      <c r="D706" s="133" t="str">
        <f>'Công trình'!C291</f>
        <v>Biển hình chữ nhật (40x60) (biển 439)</v>
      </c>
      <c r="E706" s="168"/>
      <c r="F706" s="20">
        <v>1</v>
      </c>
      <c r="G706" s="169"/>
      <c r="H706" s="45">
        <f>'Hao phí vật tư'!J2182</f>
        <v>6.32</v>
      </c>
      <c r="I706" s="166"/>
      <c r="J706" s="156">
        <f>ROUND(H706*I702,2)</f>
        <v>144601.60000000001</v>
      </c>
      <c r="K706" s="166"/>
      <c r="L706" s="156">
        <f>ROUND(H706*K702,2)</f>
        <v>144601.60000000001</v>
      </c>
      <c r="M706" s="34"/>
      <c r="N706" s="166"/>
      <c r="O706" s="156">
        <f>ROUND(H706*N702,2)</f>
        <v>0</v>
      </c>
      <c r="P706" s="166"/>
      <c r="Q706" s="156">
        <f>ROUND(H706*P702,2)</f>
        <v>0</v>
      </c>
      <c r="R706" s="166"/>
      <c r="S706" s="156">
        <f>ROUND(H706*R702,2)</f>
        <v>0</v>
      </c>
      <c r="T706" s="34"/>
      <c r="U706" s="34"/>
      <c r="V706" s="166"/>
      <c r="W706" s="166"/>
      <c r="X706" s="166"/>
      <c r="Y706" s="156">
        <f>ROUND(H706*X702,2)</f>
        <v>0</v>
      </c>
      <c r="Z706" s="166"/>
      <c r="AA706" s="156">
        <f>ROUND(H706*Z702,2)</f>
        <v>0</v>
      </c>
      <c r="AB706" s="156">
        <f>ROUND(H706*W702,2)</f>
        <v>144601.60000000001</v>
      </c>
    </row>
    <row r="707" spans="1:28" x14ac:dyDescent="0.25">
      <c r="A707" s="168">
        <v>106</v>
      </c>
      <c r="B707" s="84" t="s">
        <v>647</v>
      </c>
      <c r="C707" s="34">
        <v>170</v>
      </c>
      <c r="D707" s="144" t="s">
        <v>652</v>
      </c>
      <c r="E707" s="168" t="s">
        <v>1123</v>
      </c>
      <c r="F707" s="34"/>
      <c r="G707" s="169"/>
      <c r="H707" s="60">
        <f>SUM(H708:H708)</f>
        <v>15.6</v>
      </c>
      <c r="I707" s="166">
        <v>40000</v>
      </c>
      <c r="J707" s="166">
        <f>ROUND(H707*I707,0)</f>
        <v>624000</v>
      </c>
      <c r="K707" s="166">
        <f>'Tổng hợp VL,NC,M'!I751</f>
        <v>40000</v>
      </c>
      <c r="L707" s="166">
        <f>ROUND(H707*K707,0)</f>
        <v>624000</v>
      </c>
      <c r="M707" s="34">
        <v>1</v>
      </c>
      <c r="N707" s="166"/>
      <c r="O707" s="166">
        <f>ROUND(H707*N707,0)</f>
        <v>0</v>
      </c>
      <c r="P707" s="166"/>
      <c r="Q707" s="166">
        <f>ROUND(H707*P707,0)</f>
        <v>0</v>
      </c>
      <c r="R707" s="166"/>
      <c r="S707" s="166">
        <f>ROUND(H707*R707,0)</f>
        <v>0</v>
      </c>
      <c r="T707" s="34"/>
      <c r="U707" s="34"/>
      <c r="V707" s="166">
        <f>ROUND((K707+N707+P707+R707)*(U707+T707),0)</f>
        <v>0</v>
      </c>
      <c r="W707" s="166">
        <f>K707+N707+P707+R707+V707</f>
        <v>40000</v>
      </c>
      <c r="X707" s="166">
        <f>K707-I707</f>
        <v>0</v>
      </c>
      <c r="Y707" s="166">
        <f>ROUND(H707*X707,0)</f>
        <v>0</v>
      </c>
      <c r="Z707" s="166">
        <f>W707-I707</f>
        <v>0</v>
      </c>
      <c r="AA707" s="166">
        <f>ROUND(H707*Z707,0)</f>
        <v>0</v>
      </c>
      <c r="AB707" s="166">
        <f>ROUND(H707*W707,0)</f>
        <v>624000</v>
      </c>
    </row>
    <row r="708" spans="1:28" hidden="1" x14ac:dyDescent="0.25">
      <c r="A708" s="168"/>
      <c r="B708" s="133" t="str">
        <f>'Công trình'!B275</f>
        <v>AD.34130</v>
      </c>
      <c r="C708" s="34"/>
      <c r="D708" s="133" t="str">
        <f>'Công trình'!C275</f>
        <v>Lắp đặt dải phân cách bằng tôn lượn sóng</v>
      </c>
      <c r="E708" s="168"/>
      <c r="F708" s="20">
        <v>1</v>
      </c>
      <c r="G708" s="169"/>
      <c r="H708" s="45">
        <f>'Hao phí vật tư'!J2088</f>
        <v>15.6</v>
      </c>
      <c r="I708" s="166"/>
      <c r="J708" s="156">
        <f>ROUND(H708*I707,2)</f>
        <v>624000</v>
      </c>
      <c r="K708" s="166"/>
      <c r="L708" s="156">
        <f>ROUND(H708*K707,2)</f>
        <v>624000</v>
      </c>
      <c r="M708" s="34"/>
      <c r="N708" s="166"/>
      <c r="O708" s="156">
        <f>ROUND(H708*N707,2)</f>
        <v>0</v>
      </c>
      <c r="P708" s="166"/>
      <c r="Q708" s="156">
        <f>ROUND(H708*P707,2)</f>
        <v>0</v>
      </c>
      <c r="R708" s="166"/>
      <c r="S708" s="156">
        <f>ROUND(H708*R707,2)</f>
        <v>0</v>
      </c>
      <c r="T708" s="34"/>
      <c r="U708" s="34"/>
      <c r="V708" s="166"/>
      <c r="W708" s="166"/>
      <c r="X708" s="166"/>
      <c r="Y708" s="156">
        <f>ROUND(H708*X707,2)</f>
        <v>0</v>
      </c>
      <c r="Z708" s="166"/>
      <c r="AA708" s="156">
        <f>ROUND(H708*Z707,2)</f>
        <v>0</v>
      </c>
      <c r="AB708" s="156">
        <f>ROUND(H708*W707,2)</f>
        <v>624000</v>
      </c>
    </row>
    <row r="709" spans="1:28" x14ac:dyDescent="0.25">
      <c r="A709" s="168">
        <v>107</v>
      </c>
      <c r="B709" s="84" t="s">
        <v>1092</v>
      </c>
      <c r="C709" s="34">
        <v>174</v>
      </c>
      <c r="D709" s="144" t="s">
        <v>262</v>
      </c>
      <c r="E709" s="168" t="s">
        <v>205</v>
      </c>
      <c r="F709" s="34"/>
      <c r="G709" s="169"/>
      <c r="H709" s="60">
        <f>SUM(H710:H715)</f>
        <v>7158.3049999999994</v>
      </c>
      <c r="I709" s="166">
        <v>13200</v>
      </c>
      <c r="J709" s="166">
        <f>ROUND(H709*I709,0)</f>
        <v>94489626</v>
      </c>
      <c r="K709" s="156">
        <f>'Tổng hợp VL,NC,M'!I753</f>
        <v>23517</v>
      </c>
      <c r="L709" s="166">
        <f>ROUND(H709*K709,0)</f>
        <v>168341859</v>
      </c>
      <c r="M709" s="34">
        <v>1</v>
      </c>
      <c r="N709" s="166"/>
      <c r="O709" s="166">
        <f>ROUND(H709*N709,0)</f>
        <v>0</v>
      </c>
      <c r="P709" s="166"/>
      <c r="Q709" s="166">
        <f>ROUND(H709*P709,0)</f>
        <v>0</v>
      </c>
      <c r="R709" s="166"/>
      <c r="S709" s="166">
        <f>ROUND(H709*R709,0)</f>
        <v>0</v>
      </c>
      <c r="T709" s="34"/>
      <c r="U709" s="34"/>
      <c r="V709" s="166">
        <f>ROUND((K709+N709+P709+R709)*(U709+T709),0)</f>
        <v>0</v>
      </c>
      <c r="W709" s="156">
        <f>K709+N709+P709+R709+V709</f>
        <v>23517</v>
      </c>
      <c r="X709" s="166">
        <f>K709-I709</f>
        <v>10317</v>
      </c>
      <c r="Y709" s="166">
        <f>ROUND(H709*X709,0)</f>
        <v>73852233</v>
      </c>
      <c r="Z709" s="166">
        <f>W709-I709</f>
        <v>10317</v>
      </c>
      <c r="AA709" s="166">
        <f>ROUND(H709*Z709,0)</f>
        <v>73852233</v>
      </c>
      <c r="AB709" s="166">
        <f>ROUND(H709*W709,0)</f>
        <v>168341859</v>
      </c>
    </row>
    <row r="710" spans="1:28" hidden="1" x14ac:dyDescent="0.25">
      <c r="A710" s="168"/>
      <c r="B710" s="133" t="str">
        <f>'Công trình'!B28</f>
        <v>AL.16122</v>
      </c>
      <c r="C710" s="34"/>
      <c r="D710" s="133" t="str">
        <f>'Công trình'!C28</f>
        <v>Rải vải địa kỹ thuật làm móng công trình</v>
      </c>
      <c r="E710" s="168"/>
      <c r="F710" s="20">
        <v>1</v>
      </c>
      <c r="G710" s="169"/>
      <c r="H710" s="45">
        <f>'Hao phí vật tư'!J195</f>
        <v>891</v>
      </c>
      <c r="I710" s="166"/>
      <c r="J710" s="156">
        <f>ROUND(H710*I709,2)</f>
        <v>11761200</v>
      </c>
      <c r="K710" s="166"/>
      <c r="L710" s="156">
        <f>ROUND(H710*K709,2)</f>
        <v>20953647</v>
      </c>
      <c r="M710" s="34"/>
      <c r="N710" s="166"/>
      <c r="O710" s="156">
        <f>ROUND(H710*N709,2)</f>
        <v>0</v>
      </c>
      <c r="P710" s="166"/>
      <c r="Q710" s="156">
        <f>ROUND(H710*P709,2)</f>
        <v>0</v>
      </c>
      <c r="R710" s="166"/>
      <c r="S710" s="156">
        <f>ROUND(H710*R709,2)</f>
        <v>0</v>
      </c>
      <c r="T710" s="34"/>
      <c r="U710" s="34"/>
      <c r="V710" s="166"/>
      <c r="W710" s="166"/>
      <c r="X710" s="166"/>
      <c r="Y710" s="156">
        <f>ROUND(H710*X709,2)</f>
        <v>9192447</v>
      </c>
      <c r="Z710" s="166"/>
      <c r="AA710" s="156">
        <f>ROUND(H710*Z709,2)</f>
        <v>9192447</v>
      </c>
      <c r="AB710" s="156">
        <f>ROUND(H710*W709,2)</f>
        <v>20953647</v>
      </c>
    </row>
    <row r="711" spans="1:28" hidden="1" x14ac:dyDescent="0.25">
      <c r="A711" s="168"/>
      <c r="B711" s="133" t="str">
        <f>'Công trình'!B49</f>
        <v>AL.16122</v>
      </c>
      <c r="C711" s="34"/>
      <c r="D711" s="133" t="str">
        <f>'Công trình'!C49</f>
        <v>Rải vải địa kỹ thuật làm móng công trình</v>
      </c>
      <c r="E711" s="168"/>
      <c r="F711" s="20">
        <v>1</v>
      </c>
      <c r="G711" s="169"/>
      <c r="H711" s="45">
        <f>'Hao phí vật tư'!J364</f>
        <v>2617.087</v>
      </c>
      <c r="I711" s="166"/>
      <c r="J711" s="156">
        <f>ROUND(H711*I709,2)</f>
        <v>34545548.399999999</v>
      </c>
      <c r="K711" s="166"/>
      <c r="L711" s="156">
        <f>ROUND(H711*K709,2)</f>
        <v>61546034.979999997</v>
      </c>
      <c r="M711" s="34"/>
      <c r="N711" s="166"/>
      <c r="O711" s="156">
        <f>ROUND(H711*N709,2)</f>
        <v>0</v>
      </c>
      <c r="P711" s="166"/>
      <c r="Q711" s="156">
        <f>ROUND(H711*P709,2)</f>
        <v>0</v>
      </c>
      <c r="R711" s="166"/>
      <c r="S711" s="156">
        <f>ROUND(H711*R709,2)</f>
        <v>0</v>
      </c>
      <c r="T711" s="34"/>
      <c r="U711" s="34"/>
      <c r="V711" s="166"/>
      <c r="W711" s="166"/>
      <c r="X711" s="166"/>
      <c r="Y711" s="156">
        <f>ROUND(H711*X709,2)</f>
        <v>27000486.579999998</v>
      </c>
      <c r="Z711" s="166"/>
      <c r="AA711" s="156">
        <f>ROUND(H711*Z709,2)</f>
        <v>27000486.579999998</v>
      </c>
      <c r="AB711" s="156">
        <f>ROUND(H711*W709,2)</f>
        <v>61546034.979999997</v>
      </c>
    </row>
    <row r="712" spans="1:28" hidden="1" x14ac:dyDescent="0.25">
      <c r="A712" s="168"/>
      <c r="B712" s="133" t="str">
        <f>'Công trình'!B53</f>
        <v>AL.16122</v>
      </c>
      <c r="C712" s="34"/>
      <c r="D712" s="133" t="str">
        <f>'Công trình'!C53</f>
        <v>Rải vải địa kỹ thuật làm móng công trình</v>
      </c>
      <c r="E712" s="168"/>
      <c r="F712" s="20">
        <v>1</v>
      </c>
      <c r="G712" s="169"/>
      <c r="H712" s="45">
        <f>'Hao phí vật tư'!J389</f>
        <v>841.64300000000003</v>
      </c>
      <c r="I712" s="166"/>
      <c r="J712" s="156">
        <f>ROUND(H712*I709,2)</f>
        <v>11109687.6</v>
      </c>
      <c r="K712" s="166"/>
      <c r="L712" s="156">
        <f>ROUND(H712*K709,2)</f>
        <v>19792918.43</v>
      </c>
      <c r="M712" s="34"/>
      <c r="N712" s="166"/>
      <c r="O712" s="156">
        <f>ROUND(H712*N709,2)</f>
        <v>0</v>
      </c>
      <c r="P712" s="166"/>
      <c r="Q712" s="156">
        <f>ROUND(H712*P709,2)</f>
        <v>0</v>
      </c>
      <c r="R712" s="166"/>
      <c r="S712" s="156">
        <f>ROUND(H712*R709,2)</f>
        <v>0</v>
      </c>
      <c r="T712" s="34"/>
      <c r="U712" s="34"/>
      <c r="V712" s="166"/>
      <c r="W712" s="166"/>
      <c r="X712" s="166"/>
      <c r="Y712" s="156">
        <f>ROUND(H712*X709,2)</f>
        <v>8683230.8300000001</v>
      </c>
      <c r="Z712" s="166"/>
      <c r="AA712" s="156">
        <f>ROUND(H712*Z709,2)</f>
        <v>8683230.8300000001</v>
      </c>
      <c r="AB712" s="156">
        <f>ROUND(H712*W709,2)</f>
        <v>19792918.43</v>
      </c>
    </row>
    <row r="713" spans="1:28" hidden="1" x14ac:dyDescent="0.25">
      <c r="A713" s="168"/>
      <c r="B713" s="133" t="str">
        <f>'Công trình'!B97</f>
        <v>AL.16122</v>
      </c>
      <c r="C713" s="34"/>
      <c r="D713" s="133" t="str">
        <f>'Công trình'!C97</f>
        <v>Rải vải địa kỹ thuật làm móng công trình</v>
      </c>
      <c r="E713" s="168"/>
      <c r="F713" s="20">
        <v>1</v>
      </c>
      <c r="G713" s="169"/>
      <c r="H713" s="45">
        <f>'Hao phí vật tư'!J783</f>
        <v>541.20000000000005</v>
      </c>
      <c r="I713" s="166"/>
      <c r="J713" s="156">
        <f>ROUND(H713*I709,2)</f>
        <v>7143840</v>
      </c>
      <c r="K713" s="166"/>
      <c r="L713" s="156">
        <f>ROUND(H713*K709,2)</f>
        <v>12727400.4</v>
      </c>
      <c r="M713" s="34"/>
      <c r="N713" s="166"/>
      <c r="O713" s="156">
        <f>ROUND(H713*N709,2)</f>
        <v>0</v>
      </c>
      <c r="P713" s="166"/>
      <c r="Q713" s="156">
        <f>ROUND(H713*P709,2)</f>
        <v>0</v>
      </c>
      <c r="R713" s="166"/>
      <c r="S713" s="156">
        <f>ROUND(H713*R709,2)</f>
        <v>0</v>
      </c>
      <c r="T713" s="34"/>
      <c r="U713" s="34"/>
      <c r="V713" s="166"/>
      <c r="W713" s="166"/>
      <c r="X713" s="166"/>
      <c r="Y713" s="156">
        <f>ROUND(H713*X709,2)</f>
        <v>5583560.4000000004</v>
      </c>
      <c r="Z713" s="166"/>
      <c r="AA713" s="156">
        <f>ROUND(H713*Z709,2)</f>
        <v>5583560.4000000004</v>
      </c>
      <c r="AB713" s="156">
        <f>ROUND(H713*W709,2)</f>
        <v>12727400.4</v>
      </c>
    </row>
    <row r="714" spans="1:28" hidden="1" x14ac:dyDescent="0.25">
      <c r="A714" s="168"/>
      <c r="B714" s="133" t="str">
        <f>'Công trình'!B150</f>
        <v>AL.16122</v>
      </c>
      <c r="C714" s="34"/>
      <c r="D714" s="133" t="str">
        <f>'Công trình'!C150</f>
        <v>Rải vải địa kỹ thuật làm móng công trình</v>
      </c>
      <c r="E714" s="168"/>
      <c r="F714" s="20">
        <v>1</v>
      </c>
      <c r="G714" s="169"/>
      <c r="H714" s="45">
        <f>'Hao phí vật tư'!J1143</f>
        <v>80.531000000000006</v>
      </c>
      <c r="I714" s="166"/>
      <c r="J714" s="156">
        <f>ROUND(H714*I709,2)</f>
        <v>1063009.2</v>
      </c>
      <c r="K714" s="166"/>
      <c r="L714" s="156">
        <f>ROUND(H714*K709,2)</f>
        <v>1893847.53</v>
      </c>
      <c r="M714" s="34"/>
      <c r="N714" s="166"/>
      <c r="O714" s="156">
        <f>ROUND(H714*N709,2)</f>
        <v>0</v>
      </c>
      <c r="P714" s="166"/>
      <c r="Q714" s="156">
        <f>ROUND(H714*P709,2)</f>
        <v>0</v>
      </c>
      <c r="R714" s="166"/>
      <c r="S714" s="156">
        <f>ROUND(H714*R709,2)</f>
        <v>0</v>
      </c>
      <c r="T714" s="34"/>
      <c r="U714" s="34"/>
      <c r="V714" s="166"/>
      <c r="W714" s="166"/>
      <c r="X714" s="166"/>
      <c r="Y714" s="156">
        <f>ROUND(H714*X709,2)</f>
        <v>830838.33</v>
      </c>
      <c r="Z714" s="166"/>
      <c r="AA714" s="156">
        <f>ROUND(H714*Z709,2)</f>
        <v>830838.33</v>
      </c>
      <c r="AB714" s="156">
        <f>ROUND(H714*W709,2)</f>
        <v>1893847.53</v>
      </c>
    </row>
    <row r="715" spans="1:28" hidden="1" x14ac:dyDescent="0.25">
      <c r="A715" s="168"/>
      <c r="B715" s="133" t="str">
        <f>'Công trình'!B253</f>
        <v>AL.16122</v>
      </c>
      <c r="C715" s="34"/>
      <c r="D715" s="133" t="str">
        <f>'Công trình'!C253</f>
        <v>Rải vải địa kỹ thuật làm móng công trình</v>
      </c>
      <c r="E715" s="168"/>
      <c r="F715" s="20">
        <v>1</v>
      </c>
      <c r="G715" s="169"/>
      <c r="H715" s="45">
        <f>'Hao phí vật tư'!J1930</f>
        <v>2186.8440000000001</v>
      </c>
      <c r="I715" s="166"/>
      <c r="J715" s="156">
        <f>ROUND(H715*I709,2)</f>
        <v>28866340.800000001</v>
      </c>
      <c r="K715" s="166"/>
      <c r="L715" s="156">
        <f>ROUND(H715*K709,2)</f>
        <v>51428010.350000001</v>
      </c>
      <c r="M715" s="34"/>
      <c r="N715" s="166"/>
      <c r="O715" s="156">
        <f>ROUND(H715*N709,2)</f>
        <v>0</v>
      </c>
      <c r="P715" s="166"/>
      <c r="Q715" s="156">
        <f>ROUND(H715*P709,2)</f>
        <v>0</v>
      </c>
      <c r="R715" s="166"/>
      <c r="S715" s="156">
        <f>ROUND(H715*R709,2)</f>
        <v>0</v>
      </c>
      <c r="T715" s="34"/>
      <c r="U715" s="34"/>
      <c r="V715" s="166"/>
      <c r="W715" s="166"/>
      <c r="X715" s="166"/>
      <c r="Y715" s="156">
        <f>ROUND(H715*X709,2)</f>
        <v>22561669.550000001</v>
      </c>
      <c r="Z715" s="166"/>
      <c r="AA715" s="156">
        <f>ROUND(H715*Z709,2)</f>
        <v>22561669.550000001</v>
      </c>
      <c r="AB715" s="156">
        <f>ROUND(H715*W709,2)</f>
        <v>51428010.350000001</v>
      </c>
    </row>
    <row r="716" spans="1:28" x14ac:dyDescent="0.25">
      <c r="A716" s="168">
        <v>108</v>
      </c>
      <c r="B716" s="84" t="s">
        <v>289</v>
      </c>
      <c r="C716" s="34">
        <v>396</v>
      </c>
      <c r="D716" s="144" t="s">
        <v>300</v>
      </c>
      <c r="E716" s="168" t="s">
        <v>555</v>
      </c>
      <c r="F716" s="34"/>
      <c r="G716" s="169"/>
      <c r="H716" s="60">
        <f>SUM(H717:H720)</f>
        <v>58630.582999999999</v>
      </c>
      <c r="I716" s="166">
        <v>1504</v>
      </c>
      <c r="J716" s="166">
        <f>ROUND(H716*I716,0)</f>
        <v>88180397</v>
      </c>
      <c r="K716" s="156">
        <f>'Tổng hợp VL,NC,M'!I760</f>
        <v>1513</v>
      </c>
      <c r="L716" s="166">
        <f>ROUND(H716*K716,0)</f>
        <v>88708072</v>
      </c>
      <c r="M716" s="34">
        <v>1</v>
      </c>
      <c r="N716" s="166"/>
      <c r="O716" s="166">
        <f>ROUND(H716*N716,0)</f>
        <v>0</v>
      </c>
      <c r="P716" s="166"/>
      <c r="Q716" s="166">
        <f>ROUND(H716*P716,0)</f>
        <v>0</v>
      </c>
      <c r="R716" s="166"/>
      <c r="S716" s="166">
        <f>ROUND(H716*R716,0)</f>
        <v>0</v>
      </c>
      <c r="T716" s="34"/>
      <c r="U716" s="34"/>
      <c r="V716" s="166">
        <f>ROUND((K716+N716+P716+R716)*(U716+T716),0)</f>
        <v>0</v>
      </c>
      <c r="W716" s="156">
        <f>K716+N716+P716+R716+V716</f>
        <v>1513</v>
      </c>
      <c r="X716" s="166">
        <f>K716-I716</f>
        <v>9</v>
      </c>
      <c r="Y716" s="166">
        <f>ROUND(H716*X716,0)</f>
        <v>527675</v>
      </c>
      <c r="Z716" s="166">
        <f>W716-I716</f>
        <v>9</v>
      </c>
      <c r="AA716" s="166">
        <f>ROUND(H716*Z716,0)</f>
        <v>527675</v>
      </c>
      <c r="AB716" s="166">
        <f>ROUND(H716*W716,0)</f>
        <v>88708072</v>
      </c>
    </row>
    <row r="717" spans="1:28" hidden="1" x14ac:dyDescent="0.25">
      <c r="A717" s="168"/>
      <c r="B717" s="133" t="str">
        <f>'Công trình'!B92</f>
        <v>AF.11121</v>
      </c>
      <c r="C717" s="34"/>
      <c r="D717" s="133" t="str">
        <f>'Công trình'!C92</f>
        <v>Bê tông M100 đá 4x6</v>
      </c>
      <c r="E717" s="168"/>
      <c r="F717" s="20">
        <v>1</v>
      </c>
      <c r="G717" s="169"/>
      <c r="H717" s="45">
        <f>'Hao phí vật tư'!J744</f>
        <v>20687.55</v>
      </c>
      <c r="I717" s="166"/>
      <c r="J717" s="156">
        <f>ROUND(H717*I716,2)</f>
        <v>31114075.199999999</v>
      </c>
      <c r="K717" s="166"/>
      <c r="L717" s="156">
        <f>ROUND(H717*K716,2)</f>
        <v>31300263.149999999</v>
      </c>
      <c r="M717" s="34"/>
      <c r="N717" s="166"/>
      <c r="O717" s="156">
        <f>ROUND(H717*N716,2)</f>
        <v>0</v>
      </c>
      <c r="P717" s="166"/>
      <c r="Q717" s="156">
        <f>ROUND(H717*P716,2)</f>
        <v>0</v>
      </c>
      <c r="R717" s="166"/>
      <c r="S717" s="156">
        <f>ROUND(H717*R716,2)</f>
        <v>0</v>
      </c>
      <c r="T717" s="34"/>
      <c r="U717" s="34"/>
      <c r="V717" s="166"/>
      <c r="W717" s="166"/>
      <c r="X717" s="166"/>
      <c r="Y717" s="156">
        <f>ROUND(H717*X716,2)</f>
        <v>186187.95</v>
      </c>
      <c r="Z717" s="166"/>
      <c r="AA717" s="156">
        <f>ROUND(H717*Z716,2)</f>
        <v>186187.95</v>
      </c>
      <c r="AB717" s="156">
        <f>ROUND(H717*W716,2)</f>
        <v>31300263.149999999</v>
      </c>
    </row>
    <row r="718" spans="1:28" ht="30" hidden="1" x14ac:dyDescent="0.25">
      <c r="A718" s="168"/>
      <c r="B718" s="133" t="str">
        <f>'Công trình'!B177</f>
        <v>AF.11121</v>
      </c>
      <c r="C718" s="34"/>
      <c r="D718" s="133" t="str">
        <f>'Công trình'!C177</f>
        <v>Bê tông lót móng rộng &gt;250cm đá 4x6, vữa BT mác 100</v>
      </c>
      <c r="E718" s="168"/>
      <c r="F718" s="20">
        <v>1</v>
      </c>
      <c r="G718" s="169"/>
      <c r="H718" s="45">
        <f>'Hao phí vật tư'!J1336</f>
        <v>1661.0295000000001</v>
      </c>
      <c r="I718" s="166"/>
      <c r="J718" s="156">
        <f>ROUND(H718*I716,2)</f>
        <v>2498188.37</v>
      </c>
      <c r="K718" s="166"/>
      <c r="L718" s="156">
        <f>ROUND(H718*K716,2)</f>
        <v>2513137.63</v>
      </c>
      <c r="M718" s="34"/>
      <c r="N718" s="166"/>
      <c r="O718" s="156">
        <f>ROUND(H718*N716,2)</f>
        <v>0</v>
      </c>
      <c r="P718" s="166"/>
      <c r="Q718" s="156">
        <f>ROUND(H718*P716,2)</f>
        <v>0</v>
      </c>
      <c r="R718" s="166"/>
      <c r="S718" s="156">
        <f>ROUND(H718*R716,2)</f>
        <v>0</v>
      </c>
      <c r="T718" s="34"/>
      <c r="U718" s="34"/>
      <c r="V718" s="166"/>
      <c r="W718" s="166"/>
      <c r="X718" s="166"/>
      <c r="Y718" s="156">
        <f>ROUND(H718*X716,2)</f>
        <v>14949.27</v>
      </c>
      <c r="Z718" s="166"/>
      <c r="AA718" s="156">
        <f>ROUND(H718*Z716,2)</f>
        <v>14949.27</v>
      </c>
      <c r="AB718" s="156">
        <f>ROUND(H718*W716,2)</f>
        <v>2513137.63</v>
      </c>
    </row>
    <row r="719" spans="1:28" hidden="1" x14ac:dyDescent="0.25">
      <c r="A719" s="168"/>
      <c r="B719" s="133" t="str">
        <f>'Công trình'!B196</f>
        <v>AF.14315</v>
      </c>
      <c r="C719" s="34"/>
      <c r="D719" s="133" t="str">
        <f>'Công trình'!C196</f>
        <v>Bê tông mặt cầu đá 1x2, vữa BT mác 300</v>
      </c>
      <c r="E719" s="168"/>
      <c r="F719" s="20">
        <v>1</v>
      </c>
      <c r="G719" s="169"/>
      <c r="H719" s="45">
        <f>'Hao phí vật tư'!J1496</f>
        <v>25315.593499999999</v>
      </c>
      <c r="I719" s="166"/>
      <c r="J719" s="156">
        <f>ROUND(H719*I716,2)</f>
        <v>38074652.619999997</v>
      </c>
      <c r="K719" s="166"/>
      <c r="L719" s="156">
        <f>ROUND(H719*K716,2)</f>
        <v>38302492.969999999</v>
      </c>
      <c r="M719" s="34"/>
      <c r="N719" s="166"/>
      <c r="O719" s="156">
        <f>ROUND(H719*N716,2)</f>
        <v>0</v>
      </c>
      <c r="P719" s="166"/>
      <c r="Q719" s="156">
        <f>ROUND(H719*P716,2)</f>
        <v>0</v>
      </c>
      <c r="R719" s="166"/>
      <c r="S719" s="156">
        <f>ROUND(H719*R716,2)</f>
        <v>0</v>
      </c>
      <c r="T719" s="34"/>
      <c r="U719" s="34"/>
      <c r="V719" s="166"/>
      <c r="W719" s="166"/>
      <c r="X719" s="166"/>
      <c r="Y719" s="156">
        <f>ROUND(H719*X716,2)</f>
        <v>227840.34</v>
      </c>
      <c r="Z719" s="166"/>
      <c r="AA719" s="156">
        <f>ROUND(H719*Z716,2)</f>
        <v>227840.34</v>
      </c>
      <c r="AB719" s="156">
        <f>ROUND(H719*W716,2)</f>
        <v>38302492.969999999</v>
      </c>
    </row>
    <row r="720" spans="1:28" ht="30" hidden="1" x14ac:dyDescent="0.25">
      <c r="A720" s="168"/>
      <c r="B720" s="133" t="str">
        <f>'Công trình'!B10</f>
        <v>AF.11121</v>
      </c>
      <c r="C720" s="34"/>
      <c r="D720" s="133" t="str">
        <f>'Công trình'!C10</f>
        <v>Bê tông lót móng rộng &gt;250cm đá 4x6, vữa BT mác 100</v>
      </c>
      <c r="E720" s="168"/>
      <c r="F720" s="20">
        <v>1</v>
      </c>
      <c r="G720" s="169"/>
      <c r="H720" s="45">
        <f>'Hao phí vật tư'!J52</f>
        <v>10966.41</v>
      </c>
      <c r="I720" s="166"/>
      <c r="J720" s="156">
        <f>ROUND(H720*I716,2)</f>
        <v>16493480.640000001</v>
      </c>
      <c r="K720" s="166"/>
      <c r="L720" s="156">
        <f>ROUND(H720*K716,2)</f>
        <v>16592178.33</v>
      </c>
      <c r="M720" s="34"/>
      <c r="N720" s="166"/>
      <c r="O720" s="156">
        <f>ROUND(H720*N716,2)</f>
        <v>0</v>
      </c>
      <c r="P720" s="166"/>
      <c r="Q720" s="156">
        <f>ROUND(H720*P716,2)</f>
        <v>0</v>
      </c>
      <c r="R720" s="166"/>
      <c r="S720" s="156">
        <f>ROUND(H720*R716,2)</f>
        <v>0</v>
      </c>
      <c r="T720" s="34"/>
      <c r="U720" s="34"/>
      <c r="V720" s="166"/>
      <c r="W720" s="166"/>
      <c r="X720" s="166"/>
      <c r="Y720" s="156">
        <f>ROUND(H720*X716,2)</f>
        <v>98697.69</v>
      </c>
      <c r="Z720" s="166"/>
      <c r="AA720" s="156">
        <f>ROUND(H720*Z716,2)</f>
        <v>98697.69</v>
      </c>
      <c r="AB720" s="156">
        <f>ROUND(H720*W716,2)</f>
        <v>16592178.33</v>
      </c>
    </row>
    <row r="721" spans="1:28" x14ac:dyDescent="0.25">
      <c r="A721" s="168">
        <v>109</v>
      </c>
      <c r="B721" s="84" t="s">
        <v>972</v>
      </c>
      <c r="C721" s="34">
        <v>397</v>
      </c>
      <c r="D721" s="144" t="s">
        <v>265</v>
      </c>
      <c r="E721" s="168" t="s">
        <v>555</v>
      </c>
      <c r="F721" s="34"/>
      <c r="G721" s="169"/>
      <c r="H721" s="60">
        <f>SUM(H722:H762)</f>
        <v>464808.59579999995</v>
      </c>
      <c r="I721" s="166">
        <v>1504</v>
      </c>
      <c r="J721" s="166">
        <f>ROUND(H721*I721,0)</f>
        <v>699072128</v>
      </c>
      <c r="K721" s="156">
        <f>'Tổng hợp VL,NC,M'!I765</f>
        <v>1513</v>
      </c>
      <c r="L721" s="166">
        <f>ROUND(H721*K721,0)</f>
        <v>703255405</v>
      </c>
      <c r="M721" s="34">
        <v>1</v>
      </c>
      <c r="N721" s="166"/>
      <c r="O721" s="166">
        <f>ROUND(H721*N721,0)</f>
        <v>0</v>
      </c>
      <c r="P721" s="166"/>
      <c r="Q721" s="166">
        <f>ROUND(H721*P721,0)</f>
        <v>0</v>
      </c>
      <c r="R721" s="166"/>
      <c r="S721" s="166">
        <f>ROUND(H721*R721,0)</f>
        <v>0</v>
      </c>
      <c r="T721" s="34"/>
      <c r="U721" s="34"/>
      <c r="V721" s="166">
        <f>ROUND((K721+N721+P721+R721)*(U721+T721),0)</f>
        <v>0</v>
      </c>
      <c r="W721" s="156">
        <f>K721+N721+P721+R721+V721</f>
        <v>1513</v>
      </c>
      <c r="X721" s="166">
        <f>K721-I721</f>
        <v>9</v>
      </c>
      <c r="Y721" s="166">
        <f>ROUND(H721*X721,0)</f>
        <v>4183277</v>
      </c>
      <c r="Z721" s="166">
        <f>W721-I721</f>
        <v>9</v>
      </c>
      <c r="AA721" s="166">
        <f>ROUND(H721*Z721,0)</f>
        <v>4183277</v>
      </c>
      <c r="AB721" s="166">
        <f>ROUND(H721*W721,0)</f>
        <v>703255405</v>
      </c>
    </row>
    <row r="722" spans="1:28" ht="30" hidden="1" x14ac:dyDescent="0.25">
      <c r="A722" s="168"/>
      <c r="B722" s="133" t="str">
        <f>'Công trình'!B18</f>
        <v>AF.12314</v>
      </c>
      <c r="C722" s="34"/>
      <c r="D722" s="133" t="str">
        <f>'Công trình'!C18</f>
        <v>Bê tông xà dầm, giằng nhà đá 1x2, vữa BT mác 250</v>
      </c>
      <c r="E722" s="168"/>
      <c r="F722" s="20">
        <v>1</v>
      </c>
      <c r="G722" s="169"/>
      <c r="H722" s="45">
        <f>'Hao phí vật tư'!J123</f>
        <v>21722.691800000001</v>
      </c>
      <c r="I722" s="166"/>
      <c r="J722" s="156">
        <f>ROUND(H722*I721,2)</f>
        <v>32670928.469999999</v>
      </c>
      <c r="K722" s="166"/>
      <c r="L722" s="156">
        <f>ROUND(H722*K721,2)</f>
        <v>32866432.690000001</v>
      </c>
      <c r="M722" s="34"/>
      <c r="N722" s="166"/>
      <c r="O722" s="156">
        <f>ROUND(H722*N721,2)</f>
        <v>0</v>
      </c>
      <c r="P722" s="166"/>
      <c r="Q722" s="156">
        <f>ROUND(H722*P721,2)</f>
        <v>0</v>
      </c>
      <c r="R722" s="166"/>
      <c r="S722" s="156">
        <f>ROUND(H722*R721,2)</f>
        <v>0</v>
      </c>
      <c r="T722" s="34"/>
      <c r="U722" s="34"/>
      <c r="V722" s="166"/>
      <c r="W722" s="166"/>
      <c r="X722" s="166"/>
      <c r="Y722" s="156">
        <f>ROUND(H722*X721,2)</f>
        <v>195504.23</v>
      </c>
      <c r="Z722" s="166"/>
      <c r="AA722" s="156">
        <f>ROUND(H722*Z721,2)</f>
        <v>195504.23</v>
      </c>
      <c r="AB722" s="156">
        <f>ROUND(H722*W721,2)</f>
        <v>32866432.690000001</v>
      </c>
    </row>
    <row r="723" spans="1:28" ht="30" hidden="1" x14ac:dyDescent="0.25">
      <c r="A723" s="168"/>
      <c r="B723" s="133" t="str">
        <f>'Công trình'!B30</f>
        <v>AF.12113</v>
      </c>
      <c r="C723" s="34"/>
      <c r="D723" s="133" t="str">
        <f>'Công trình'!C30</f>
        <v>Bê tông tường dày &lt;=45cm, chiều cao &lt;=4m đá 1x2, vữa BT mác 200</v>
      </c>
      <c r="E723" s="168"/>
      <c r="F723" s="20">
        <v>1</v>
      </c>
      <c r="G723" s="169"/>
      <c r="H723" s="45">
        <f>'Hao phí vật tư'!J203</f>
        <v>7540.4944999999998</v>
      </c>
      <c r="I723" s="166"/>
      <c r="J723" s="156">
        <f>ROUND(H723*I721,2)</f>
        <v>11340903.73</v>
      </c>
      <c r="K723" s="166"/>
      <c r="L723" s="156">
        <f>ROUND(H723*K721,2)</f>
        <v>11408768.18</v>
      </c>
      <c r="M723" s="34"/>
      <c r="N723" s="166"/>
      <c r="O723" s="156">
        <f>ROUND(H723*N721,2)</f>
        <v>0</v>
      </c>
      <c r="P723" s="166"/>
      <c r="Q723" s="156">
        <f>ROUND(H723*P721,2)</f>
        <v>0</v>
      </c>
      <c r="R723" s="166"/>
      <c r="S723" s="156">
        <f>ROUND(H723*R721,2)</f>
        <v>0</v>
      </c>
      <c r="T723" s="34"/>
      <c r="U723" s="34"/>
      <c r="V723" s="166"/>
      <c r="W723" s="166"/>
      <c r="X723" s="166"/>
      <c r="Y723" s="156">
        <f>ROUND(H723*X721,2)</f>
        <v>67864.45</v>
      </c>
      <c r="Z723" s="166"/>
      <c r="AA723" s="156">
        <f>ROUND(H723*Z721,2)</f>
        <v>67864.45</v>
      </c>
      <c r="AB723" s="156">
        <f>ROUND(H723*W721,2)</f>
        <v>11408768.18</v>
      </c>
    </row>
    <row r="724" spans="1:28" ht="30" hidden="1" x14ac:dyDescent="0.25">
      <c r="A724" s="168"/>
      <c r="B724" s="133" t="str">
        <f>'Công trình'!B43</f>
        <v>AF.11212</v>
      </c>
      <c r="C724" s="34"/>
      <c r="D724" s="133" t="str">
        <f>'Công trình'!C43</f>
        <v>Bê tông móng rộng &lt;=250cm đá 1x2, vữa BT mác 150</v>
      </c>
      <c r="E724" s="168"/>
      <c r="F724" s="20">
        <v>1</v>
      </c>
      <c r="G724" s="169"/>
      <c r="H724" s="45">
        <f>'Hao phí vật tư'!J321</f>
        <v>14.329499999999999</v>
      </c>
      <c r="I724" s="166"/>
      <c r="J724" s="156">
        <f>ROUND(H724*I721,2)</f>
        <v>21551.57</v>
      </c>
      <c r="K724" s="166"/>
      <c r="L724" s="156">
        <f>ROUND(H724*K721,2)</f>
        <v>21680.53</v>
      </c>
      <c r="M724" s="34"/>
      <c r="N724" s="166"/>
      <c r="O724" s="156">
        <f>ROUND(H724*N721,2)</f>
        <v>0</v>
      </c>
      <c r="P724" s="166"/>
      <c r="Q724" s="156">
        <f>ROUND(H724*P721,2)</f>
        <v>0</v>
      </c>
      <c r="R724" s="166"/>
      <c r="S724" s="156">
        <f>ROUND(H724*R721,2)</f>
        <v>0</v>
      </c>
      <c r="T724" s="34"/>
      <c r="U724" s="34"/>
      <c r="V724" s="166"/>
      <c r="W724" s="166"/>
      <c r="X724" s="166"/>
      <c r="Y724" s="156">
        <f>ROUND(H724*X721,2)</f>
        <v>128.97</v>
      </c>
      <c r="Z724" s="166"/>
      <c r="AA724" s="156">
        <f>ROUND(H724*Z721,2)</f>
        <v>128.97</v>
      </c>
      <c r="AB724" s="156">
        <f>ROUND(H724*W721,2)</f>
        <v>21680.53</v>
      </c>
    </row>
    <row r="725" spans="1:28" ht="30" hidden="1" x14ac:dyDescent="0.25">
      <c r="A725" s="168"/>
      <c r="B725" s="133" t="str">
        <f>'Công trình'!B44</f>
        <v>AF.11213</v>
      </c>
      <c r="C725" s="34"/>
      <c r="D725" s="133" t="str">
        <f>'Công trình'!C44</f>
        <v>Bê tông móng rộng &lt;=250cm đá 1x2, vữa BT mác 200</v>
      </c>
      <c r="E725" s="168"/>
      <c r="F725" s="20">
        <v>1</v>
      </c>
      <c r="G725" s="169"/>
      <c r="H725" s="45">
        <f>'Hao phí vật tư'!J333</f>
        <v>57.604999999999997</v>
      </c>
      <c r="I725" s="166"/>
      <c r="J725" s="156">
        <f>ROUND(H725*I721,2)</f>
        <v>86637.92</v>
      </c>
      <c r="K725" s="166"/>
      <c r="L725" s="156">
        <f>ROUND(H725*K721,2)</f>
        <v>87156.37</v>
      </c>
      <c r="M725" s="34"/>
      <c r="N725" s="166"/>
      <c r="O725" s="156">
        <f>ROUND(H725*N721,2)</f>
        <v>0</v>
      </c>
      <c r="P725" s="166"/>
      <c r="Q725" s="156">
        <f>ROUND(H725*P721,2)</f>
        <v>0</v>
      </c>
      <c r="R725" s="166"/>
      <c r="S725" s="156">
        <f>ROUND(H725*R721,2)</f>
        <v>0</v>
      </c>
      <c r="T725" s="34"/>
      <c r="U725" s="34"/>
      <c r="V725" s="166"/>
      <c r="W725" s="166"/>
      <c r="X725" s="166"/>
      <c r="Y725" s="156">
        <f>ROUND(H725*X721,2)</f>
        <v>518.45000000000005</v>
      </c>
      <c r="Z725" s="166"/>
      <c r="AA725" s="156">
        <f>ROUND(H725*Z721,2)</f>
        <v>518.45000000000005</v>
      </c>
      <c r="AB725" s="156">
        <f>ROUND(H725*W721,2)</f>
        <v>87156.37</v>
      </c>
    </row>
    <row r="726" spans="1:28" ht="30" hidden="1" x14ac:dyDescent="0.25">
      <c r="A726" s="168"/>
      <c r="B726" s="133" t="str">
        <f>'Công trình'!B52</f>
        <v>AG.11412</v>
      </c>
      <c r="C726" s="34"/>
      <c r="D726" s="133" t="str">
        <f>'Công trình'!C52</f>
        <v>Sản xuất bê tông tấm BT tự chèn đúc sẵn đá 1x2, vữa BT mác 150</v>
      </c>
      <c r="E726" s="168"/>
      <c r="F726" s="20">
        <v>1</v>
      </c>
      <c r="G726" s="169"/>
      <c r="H726" s="45">
        <f>'Hao phí vật tư'!J378</f>
        <v>21713.9303</v>
      </c>
      <c r="I726" s="166"/>
      <c r="J726" s="156">
        <f>ROUND(H726*I721,2)</f>
        <v>32657751.170000002</v>
      </c>
      <c r="K726" s="166"/>
      <c r="L726" s="156">
        <f>ROUND(H726*K721,2)</f>
        <v>32853176.539999999</v>
      </c>
      <c r="M726" s="34"/>
      <c r="N726" s="166"/>
      <c r="O726" s="156">
        <f>ROUND(H726*N721,2)</f>
        <v>0</v>
      </c>
      <c r="P726" s="166"/>
      <c r="Q726" s="156">
        <f>ROUND(H726*P721,2)</f>
        <v>0</v>
      </c>
      <c r="R726" s="166"/>
      <c r="S726" s="156">
        <f>ROUND(H726*R721,2)</f>
        <v>0</v>
      </c>
      <c r="T726" s="34"/>
      <c r="U726" s="34"/>
      <c r="V726" s="166"/>
      <c r="W726" s="166"/>
      <c r="X726" s="166"/>
      <c r="Y726" s="156">
        <f>ROUND(H726*X721,2)</f>
        <v>195425.37</v>
      </c>
      <c r="Z726" s="166"/>
      <c r="AA726" s="156">
        <f>ROUND(H726*Z721,2)</f>
        <v>195425.37</v>
      </c>
      <c r="AB726" s="156">
        <f>ROUND(H726*W721,2)</f>
        <v>32853176.539999999</v>
      </c>
    </row>
    <row r="727" spans="1:28" ht="30" hidden="1" x14ac:dyDescent="0.25">
      <c r="A727" s="168"/>
      <c r="B727" s="133" t="str">
        <f>'Công trình'!B55</f>
        <v>AG.42111</v>
      </c>
      <c r="C727" s="34"/>
      <c r="D727" s="133" t="str">
        <f>'Công trình'!C55</f>
        <v>Lắp các loại cấu kiện BT đúc sẵn bằng thủ công trọng lượng &lt;=50kg, vữa XM mác 100</v>
      </c>
      <c r="E727" s="168"/>
      <c r="F727" s="20">
        <v>1</v>
      </c>
      <c r="G727" s="169"/>
      <c r="H727" s="45">
        <f>'Hao phí vật tư'!J401</f>
        <v>4304.3392999999996</v>
      </c>
      <c r="I727" s="166"/>
      <c r="J727" s="156">
        <f>ROUND(H727*I721,2)</f>
        <v>6473726.3099999996</v>
      </c>
      <c r="K727" s="166"/>
      <c r="L727" s="156">
        <f>ROUND(H727*K721,2)</f>
        <v>6512465.3600000003</v>
      </c>
      <c r="M727" s="34"/>
      <c r="N727" s="166"/>
      <c r="O727" s="156">
        <f>ROUND(H727*N721,2)</f>
        <v>0</v>
      </c>
      <c r="P727" s="166"/>
      <c r="Q727" s="156">
        <f>ROUND(H727*P721,2)</f>
        <v>0</v>
      </c>
      <c r="R727" s="166"/>
      <c r="S727" s="156">
        <f>ROUND(H727*R721,2)</f>
        <v>0</v>
      </c>
      <c r="T727" s="34"/>
      <c r="U727" s="34"/>
      <c r="V727" s="166"/>
      <c r="W727" s="166"/>
      <c r="X727" s="166"/>
      <c r="Y727" s="156">
        <f>ROUND(H727*X721,2)</f>
        <v>38739.050000000003</v>
      </c>
      <c r="Z727" s="166"/>
      <c r="AA727" s="156">
        <f>ROUND(H727*Z721,2)</f>
        <v>38739.050000000003</v>
      </c>
      <c r="AB727" s="156">
        <f>ROUND(H727*W721,2)</f>
        <v>6512465.3600000003</v>
      </c>
    </row>
    <row r="728" spans="1:28" hidden="1" x14ac:dyDescent="0.25">
      <c r="A728" s="168"/>
      <c r="B728" s="133" t="str">
        <f>'Công trình'!B57</f>
        <v>AF.12313</v>
      </c>
      <c r="C728" s="34"/>
      <c r="D728" s="133" t="str">
        <f>'Công trình'!C57</f>
        <v>Bê tông xà dầm, giằng đá 1x2, vữa BT mác 200</v>
      </c>
      <c r="E728" s="168"/>
      <c r="F728" s="20">
        <v>1</v>
      </c>
      <c r="G728" s="169"/>
      <c r="H728" s="45">
        <f>'Hao phí vật tư'!J420</f>
        <v>10043.4318</v>
      </c>
      <c r="I728" s="166"/>
      <c r="J728" s="156">
        <f>ROUND(H728*I721,2)</f>
        <v>15105321.43</v>
      </c>
      <c r="K728" s="166"/>
      <c r="L728" s="156">
        <f>ROUND(H728*K721,2)</f>
        <v>15195712.310000001</v>
      </c>
      <c r="M728" s="34"/>
      <c r="N728" s="166"/>
      <c r="O728" s="156">
        <f>ROUND(H728*N721,2)</f>
        <v>0</v>
      </c>
      <c r="P728" s="166"/>
      <c r="Q728" s="156">
        <f>ROUND(H728*P721,2)</f>
        <v>0</v>
      </c>
      <c r="R728" s="166"/>
      <c r="S728" s="156">
        <f>ROUND(H728*R721,2)</f>
        <v>0</v>
      </c>
      <c r="T728" s="34"/>
      <c r="U728" s="34"/>
      <c r="V728" s="166"/>
      <c r="W728" s="166"/>
      <c r="X728" s="166"/>
      <c r="Y728" s="156">
        <f>ROUND(H728*X721,2)</f>
        <v>90390.89</v>
      </c>
      <c r="Z728" s="166"/>
      <c r="AA728" s="156">
        <f>ROUND(H728*Z721,2)</f>
        <v>90390.89</v>
      </c>
      <c r="AB728" s="156">
        <f>ROUND(H728*W721,2)</f>
        <v>15195712.310000001</v>
      </c>
    </row>
    <row r="729" spans="1:28" hidden="1" x14ac:dyDescent="0.25">
      <c r="A729" s="168"/>
      <c r="B729" s="133" t="str">
        <f>'Công trình'!B58</f>
        <v>AK.41124</v>
      </c>
      <c r="C729" s="34"/>
      <c r="D729" s="133" t="str">
        <f>'Công trình'!C58</f>
        <v>Vữa lót M75 dày 3cm</v>
      </c>
      <c r="E729" s="168"/>
      <c r="F729" s="20">
        <v>1</v>
      </c>
      <c r="G729" s="169"/>
      <c r="H729" s="45">
        <f>'Hao phí vật tư'!J433</f>
        <v>692.63459999999998</v>
      </c>
      <c r="I729" s="166"/>
      <c r="J729" s="156">
        <f>ROUND(H729*I721,2)</f>
        <v>1041722.44</v>
      </c>
      <c r="K729" s="166"/>
      <c r="L729" s="156">
        <f>ROUND(H729*K721,2)</f>
        <v>1047956.15</v>
      </c>
      <c r="M729" s="34"/>
      <c r="N729" s="166"/>
      <c r="O729" s="156">
        <f>ROUND(H729*N721,2)</f>
        <v>0</v>
      </c>
      <c r="P729" s="166"/>
      <c r="Q729" s="156">
        <f>ROUND(H729*P721,2)</f>
        <v>0</v>
      </c>
      <c r="R729" s="166"/>
      <c r="S729" s="156">
        <f>ROUND(H729*R721,2)</f>
        <v>0</v>
      </c>
      <c r="T729" s="34"/>
      <c r="U729" s="34"/>
      <c r="V729" s="166"/>
      <c r="W729" s="166"/>
      <c r="X729" s="166"/>
      <c r="Y729" s="156">
        <f>ROUND(H729*X721,2)</f>
        <v>6233.71</v>
      </c>
      <c r="Z729" s="166"/>
      <c r="AA729" s="156">
        <f>ROUND(H729*Z721,2)</f>
        <v>6233.71</v>
      </c>
      <c r="AB729" s="156">
        <f>ROUND(H729*W721,2)</f>
        <v>1047956.15</v>
      </c>
    </row>
    <row r="730" spans="1:28" ht="30" hidden="1" x14ac:dyDescent="0.25">
      <c r="A730" s="168"/>
      <c r="B730" s="133" t="str">
        <f>'Công trình'!B63</f>
        <v>AF.11223</v>
      </c>
      <c r="C730" s="34"/>
      <c r="D730" s="133" t="str">
        <f>'Công trình'!C63</f>
        <v>Bê tông lát mái rộng &gt;250cm đá 1x2, vữa BT mác 200</v>
      </c>
      <c r="E730" s="168"/>
      <c r="F730" s="20">
        <v>1</v>
      </c>
      <c r="G730" s="169"/>
      <c r="H730" s="45">
        <f>'Hao phí vật tư'!J475</f>
        <v>46950.955300000001</v>
      </c>
      <c r="I730" s="166"/>
      <c r="J730" s="156">
        <f>ROUND(H730*I721,2)</f>
        <v>70614236.769999996</v>
      </c>
      <c r="K730" s="166"/>
      <c r="L730" s="156">
        <f>ROUND(H730*K721,2)</f>
        <v>71036795.370000005</v>
      </c>
      <c r="M730" s="34"/>
      <c r="N730" s="166"/>
      <c r="O730" s="156">
        <f>ROUND(H730*N721,2)</f>
        <v>0</v>
      </c>
      <c r="P730" s="166"/>
      <c r="Q730" s="156">
        <f>ROUND(H730*P721,2)</f>
        <v>0</v>
      </c>
      <c r="R730" s="166"/>
      <c r="S730" s="156">
        <f>ROUND(H730*R721,2)</f>
        <v>0</v>
      </c>
      <c r="T730" s="34"/>
      <c r="U730" s="34"/>
      <c r="V730" s="166"/>
      <c r="W730" s="166"/>
      <c r="X730" s="166"/>
      <c r="Y730" s="156">
        <f>ROUND(H730*X721,2)</f>
        <v>422558.6</v>
      </c>
      <c r="Z730" s="166"/>
      <c r="AA730" s="156">
        <f>ROUND(H730*Z721,2)</f>
        <v>422558.6</v>
      </c>
      <c r="AB730" s="156">
        <f>ROUND(H730*W721,2)</f>
        <v>71036795.370000005</v>
      </c>
    </row>
    <row r="731" spans="1:28" hidden="1" x14ac:dyDescent="0.25">
      <c r="A731" s="168"/>
      <c r="B731" s="133" t="str">
        <f>'Công trình'!B64</f>
        <v>AK.41124</v>
      </c>
      <c r="C731" s="34"/>
      <c r="D731" s="133" t="str">
        <f>'Công trình'!C64</f>
        <v>Vữa lót M75 dày 3cm</v>
      </c>
      <c r="E731" s="168"/>
      <c r="F731" s="20">
        <v>1</v>
      </c>
      <c r="G731" s="169"/>
      <c r="H731" s="45">
        <f>'Hao phí vật tư'!J488</f>
        <v>10792.9089</v>
      </c>
      <c r="I731" s="166"/>
      <c r="J731" s="156">
        <f>ROUND(H731*I721,2)</f>
        <v>16232534.99</v>
      </c>
      <c r="K731" s="166"/>
      <c r="L731" s="156">
        <f>ROUND(H731*K721,2)</f>
        <v>16329671.17</v>
      </c>
      <c r="M731" s="34"/>
      <c r="N731" s="166"/>
      <c r="O731" s="156">
        <f>ROUND(H731*N721,2)</f>
        <v>0</v>
      </c>
      <c r="P731" s="166"/>
      <c r="Q731" s="156">
        <f>ROUND(H731*P721,2)</f>
        <v>0</v>
      </c>
      <c r="R731" s="166"/>
      <c r="S731" s="156">
        <f>ROUND(H731*R721,2)</f>
        <v>0</v>
      </c>
      <c r="T731" s="34"/>
      <c r="U731" s="34"/>
      <c r="V731" s="166"/>
      <c r="W731" s="166"/>
      <c r="X731" s="166"/>
      <c r="Y731" s="156">
        <f>ROUND(H731*X721,2)</f>
        <v>97136.18</v>
      </c>
      <c r="Z731" s="166"/>
      <c r="AA731" s="156">
        <f>ROUND(H731*Z721,2)</f>
        <v>97136.18</v>
      </c>
      <c r="AB731" s="156">
        <f>ROUND(H731*W721,2)</f>
        <v>16329671.17</v>
      </c>
    </row>
    <row r="732" spans="1:28" ht="30" hidden="1" x14ac:dyDescent="0.25">
      <c r="A732" s="168"/>
      <c r="B732" s="133" t="str">
        <f>'Công trình'!B68</f>
        <v>AG.11125</v>
      </c>
      <c r="C732" s="34"/>
      <c r="D732" s="133" t="str">
        <f>'Công trình'!C68</f>
        <v>Sản xuất bê tông cọc cừ đúc sẵn đá 1x2, vữa BT mác 300</v>
      </c>
      <c r="E732" s="168"/>
      <c r="F732" s="20">
        <v>1</v>
      </c>
      <c r="G732" s="169"/>
      <c r="H732" s="45">
        <f>'Hao phí vật tư'!J506</f>
        <v>27107.950099999998</v>
      </c>
      <c r="I732" s="166"/>
      <c r="J732" s="156">
        <f>ROUND(H732*I721,2)</f>
        <v>40770356.950000003</v>
      </c>
      <c r="K732" s="166"/>
      <c r="L732" s="156">
        <f>ROUND(H732*K721,2)</f>
        <v>41014328.5</v>
      </c>
      <c r="M732" s="34"/>
      <c r="N732" s="166"/>
      <c r="O732" s="156">
        <f>ROUND(H732*N721,2)</f>
        <v>0</v>
      </c>
      <c r="P732" s="166"/>
      <c r="Q732" s="156">
        <f>ROUND(H732*P721,2)</f>
        <v>0</v>
      </c>
      <c r="R732" s="166"/>
      <c r="S732" s="156">
        <f>ROUND(H732*R721,2)</f>
        <v>0</v>
      </c>
      <c r="T732" s="34"/>
      <c r="U732" s="34"/>
      <c r="V732" s="166"/>
      <c r="W732" s="166"/>
      <c r="X732" s="166"/>
      <c r="Y732" s="156">
        <f>ROUND(H732*X721,2)</f>
        <v>243971.55</v>
      </c>
      <c r="Z732" s="166"/>
      <c r="AA732" s="156">
        <f>ROUND(H732*Z721,2)</f>
        <v>243971.55</v>
      </c>
      <c r="AB732" s="156">
        <f>ROUND(H732*W721,2)</f>
        <v>41014328.5</v>
      </c>
    </row>
    <row r="733" spans="1:28" ht="30" hidden="1" x14ac:dyDescent="0.25">
      <c r="A733" s="168"/>
      <c r="B733" s="133" t="str">
        <f>'Công trình'!B79</f>
        <v>AG.11125</v>
      </c>
      <c r="C733" s="34"/>
      <c r="D733" s="133" t="str">
        <f>'Công trình'!C79</f>
        <v>Sản xuất bê tông cọc cừ đúc sẵn đá 1x2, vữa BT mác 300</v>
      </c>
      <c r="E733" s="168"/>
      <c r="F733" s="20">
        <v>1</v>
      </c>
      <c r="G733" s="169"/>
      <c r="H733" s="45">
        <f>'Hao phí vật tư'!J622</f>
        <v>10617.691699999999</v>
      </c>
      <c r="I733" s="166"/>
      <c r="J733" s="156">
        <f>ROUND(H733*I721,2)</f>
        <v>15969008.32</v>
      </c>
      <c r="K733" s="166"/>
      <c r="L733" s="156">
        <f>ROUND(H733*K721,2)</f>
        <v>16064567.539999999</v>
      </c>
      <c r="M733" s="34"/>
      <c r="N733" s="166"/>
      <c r="O733" s="156">
        <f>ROUND(H733*N721,2)</f>
        <v>0</v>
      </c>
      <c r="P733" s="166"/>
      <c r="Q733" s="156">
        <f>ROUND(H733*P721,2)</f>
        <v>0</v>
      </c>
      <c r="R733" s="166"/>
      <c r="S733" s="156">
        <f>ROUND(H733*R721,2)</f>
        <v>0</v>
      </c>
      <c r="T733" s="34"/>
      <c r="U733" s="34"/>
      <c r="V733" s="166"/>
      <c r="W733" s="166"/>
      <c r="X733" s="166"/>
      <c r="Y733" s="156">
        <f>ROUND(H733*X721,2)</f>
        <v>95559.23</v>
      </c>
      <c r="Z733" s="166"/>
      <c r="AA733" s="156">
        <f>ROUND(H733*Z721,2)</f>
        <v>95559.23</v>
      </c>
      <c r="AB733" s="156">
        <f>ROUND(H733*W721,2)</f>
        <v>16064567.539999999</v>
      </c>
    </row>
    <row r="734" spans="1:28" ht="30" hidden="1" x14ac:dyDescent="0.25">
      <c r="A734" s="168"/>
      <c r="B734" s="133" t="str">
        <f>'Công trình'!B167</f>
        <v>AG.11413</v>
      </c>
      <c r="C734" s="34"/>
      <c r="D734" s="133" t="str">
        <f>'Công trình'!C167</f>
        <v>Bê tông tấm đan đúc sẵn đá 1x2, vữa BT mác 200</v>
      </c>
      <c r="E734" s="168"/>
      <c r="F734" s="20">
        <v>1</v>
      </c>
      <c r="G734" s="169"/>
      <c r="H734" s="45">
        <f>'Hao phí vật tư'!J1259</f>
        <v>2504.1876999999999</v>
      </c>
      <c r="I734" s="166"/>
      <c r="J734" s="156">
        <f>ROUND(H734*I721,2)</f>
        <v>3766298.3</v>
      </c>
      <c r="K734" s="166"/>
      <c r="L734" s="156">
        <f>ROUND(H734*K721,2)</f>
        <v>3788835.99</v>
      </c>
      <c r="M734" s="34"/>
      <c r="N734" s="166"/>
      <c r="O734" s="156">
        <f>ROUND(H734*N721,2)</f>
        <v>0</v>
      </c>
      <c r="P734" s="166"/>
      <c r="Q734" s="156">
        <f>ROUND(H734*P721,2)</f>
        <v>0</v>
      </c>
      <c r="R734" s="166"/>
      <c r="S734" s="156">
        <f>ROUND(H734*R721,2)</f>
        <v>0</v>
      </c>
      <c r="T734" s="34"/>
      <c r="U734" s="34"/>
      <c r="V734" s="166"/>
      <c r="W734" s="166"/>
      <c r="X734" s="166"/>
      <c r="Y734" s="156">
        <f>ROUND(H734*X721,2)</f>
        <v>22537.69</v>
      </c>
      <c r="Z734" s="166"/>
      <c r="AA734" s="156">
        <f>ROUND(H734*Z721,2)</f>
        <v>22537.69</v>
      </c>
      <c r="AB734" s="156">
        <f>ROUND(H734*W721,2)</f>
        <v>3788835.99</v>
      </c>
    </row>
    <row r="735" spans="1:28" ht="30" hidden="1" x14ac:dyDescent="0.25">
      <c r="A735" s="168"/>
      <c r="B735" s="133" t="str">
        <f>'Công trình'!B169</f>
        <v>AG.42141</v>
      </c>
      <c r="C735" s="34"/>
      <c r="D735" s="133" t="str">
        <f>'Công trình'!C169</f>
        <v>Lắp các loại cấu kiện BT đúc sẵn bằng thủ công trọng lượng &gt;250kg, vữa XM mác 100</v>
      </c>
      <c r="E735" s="168"/>
      <c r="F735" s="20">
        <v>1</v>
      </c>
      <c r="G735" s="169"/>
      <c r="H735" s="45">
        <f>'Hao phí vật tư'!J1281</f>
        <v>181.18219999999999</v>
      </c>
      <c r="I735" s="166"/>
      <c r="J735" s="156">
        <f>ROUND(H735*I721,2)</f>
        <v>272498.03000000003</v>
      </c>
      <c r="K735" s="166"/>
      <c r="L735" s="156">
        <f>ROUND(H735*K721,2)</f>
        <v>274128.67</v>
      </c>
      <c r="M735" s="34"/>
      <c r="N735" s="166"/>
      <c r="O735" s="156">
        <f>ROUND(H735*N721,2)</f>
        <v>0</v>
      </c>
      <c r="P735" s="166"/>
      <c r="Q735" s="156">
        <f>ROUND(H735*P721,2)</f>
        <v>0</v>
      </c>
      <c r="R735" s="166"/>
      <c r="S735" s="156">
        <f>ROUND(H735*R721,2)</f>
        <v>0</v>
      </c>
      <c r="T735" s="34"/>
      <c r="U735" s="34"/>
      <c r="V735" s="166"/>
      <c r="W735" s="166"/>
      <c r="X735" s="166"/>
      <c r="Y735" s="156">
        <f>ROUND(H735*X721,2)</f>
        <v>1630.64</v>
      </c>
      <c r="Z735" s="166"/>
      <c r="AA735" s="156">
        <f>ROUND(H735*Z721,2)</f>
        <v>1630.64</v>
      </c>
      <c r="AB735" s="156">
        <f>ROUND(H735*W721,2)</f>
        <v>274128.67</v>
      </c>
    </row>
    <row r="736" spans="1:28" ht="30" hidden="1" x14ac:dyDescent="0.25">
      <c r="A736" s="168"/>
      <c r="B736" s="133" t="str">
        <f>'Công trình'!B174</f>
        <v>AF.14115</v>
      </c>
      <c r="C736" s="34"/>
      <c r="D736" s="133" t="str">
        <f>'Công trình'!C174</f>
        <v>Bê tông móng, mố trụ cầu trên cạn đá 1x2, vữa BT mác 300</v>
      </c>
      <c r="E736" s="168"/>
      <c r="F736" s="20">
        <v>1</v>
      </c>
      <c r="G736" s="169"/>
      <c r="H736" s="45">
        <f>'Hao phí vật tư'!J1298</f>
        <v>37748.474499999997</v>
      </c>
      <c r="I736" s="166"/>
      <c r="J736" s="156">
        <f>ROUND(H736*I721,2)</f>
        <v>56773705.649999999</v>
      </c>
      <c r="K736" s="166"/>
      <c r="L736" s="156">
        <f>ROUND(H736*K721,2)</f>
        <v>57113441.920000002</v>
      </c>
      <c r="M736" s="34"/>
      <c r="N736" s="166"/>
      <c r="O736" s="156">
        <f>ROUND(H736*N721,2)</f>
        <v>0</v>
      </c>
      <c r="P736" s="166"/>
      <c r="Q736" s="156">
        <f>ROUND(H736*P721,2)</f>
        <v>0</v>
      </c>
      <c r="R736" s="166"/>
      <c r="S736" s="156">
        <f>ROUND(H736*R721,2)</f>
        <v>0</v>
      </c>
      <c r="T736" s="34"/>
      <c r="U736" s="34"/>
      <c r="V736" s="166"/>
      <c r="W736" s="166"/>
      <c r="X736" s="166"/>
      <c r="Y736" s="156">
        <f>ROUND(H736*X721,2)</f>
        <v>339736.27</v>
      </c>
      <c r="Z736" s="166"/>
      <c r="AA736" s="156">
        <f>ROUND(H736*Z721,2)</f>
        <v>339736.27</v>
      </c>
      <c r="AB736" s="156">
        <f>ROUND(H736*W721,2)</f>
        <v>57113441.920000002</v>
      </c>
    </row>
    <row r="737" spans="1:28" hidden="1" x14ac:dyDescent="0.25">
      <c r="A737" s="168"/>
      <c r="B737" s="133" t="str">
        <f>'Công trình'!B176</f>
        <v>AK.41125</v>
      </c>
      <c r="C737" s="34"/>
      <c r="D737" s="133" t="str">
        <f>'Công trình'!C176</f>
        <v>Vữa xi măng M100 độ dốc 10%</v>
      </c>
      <c r="E737" s="168"/>
      <c r="F737" s="20">
        <v>1</v>
      </c>
      <c r="G737" s="169"/>
      <c r="H737" s="45">
        <f>'Hao phí vật tư'!J1327</f>
        <v>48.901400000000002</v>
      </c>
      <c r="I737" s="166"/>
      <c r="J737" s="156">
        <f>ROUND(H737*I721,2)</f>
        <v>73547.710000000006</v>
      </c>
      <c r="K737" s="166"/>
      <c r="L737" s="156">
        <f>ROUND(H737*K721,2)</f>
        <v>73987.820000000007</v>
      </c>
      <c r="M737" s="34"/>
      <c r="N737" s="166"/>
      <c r="O737" s="156">
        <f>ROUND(H737*N721,2)</f>
        <v>0</v>
      </c>
      <c r="P737" s="166"/>
      <c r="Q737" s="156">
        <f>ROUND(H737*P721,2)</f>
        <v>0</v>
      </c>
      <c r="R737" s="166"/>
      <c r="S737" s="156">
        <f>ROUND(H737*R721,2)</f>
        <v>0</v>
      </c>
      <c r="T737" s="34"/>
      <c r="U737" s="34"/>
      <c r="V737" s="166"/>
      <c r="W737" s="166"/>
      <c r="X737" s="166"/>
      <c r="Y737" s="156">
        <f>ROUND(H737*X721,2)</f>
        <v>440.11</v>
      </c>
      <c r="Z737" s="166"/>
      <c r="AA737" s="156">
        <f>ROUND(H737*Z721,2)</f>
        <v>440.11</v>
      </c>
      <c r="AB737" s="156">
        <f>ROUND(H737*W721,2)</f>
        <v>73987.820000000007</v>
      </c>
    </row>
    <row r="738" spans="1:28" ht="30" hidden="1" x14ac:dyDescent="0.25">
      <c r="A738" s="168"/>
      <c r="B738" s="133" t="str">
        <f>'Công trình'!B186</f>
        <v>AF.14115</v>
      </c>
      <c r="C738" s="34"/>
      <c r="D738" s="133" t="str">
        <f>'Công trình'!C186</f>
        <v>Bê tông móng, mố trụ cầu trên cạn đá 1x2, vữa BT mác 300</v>
      </c>
      <c r="E738" s="168"/>
      <c r="F738" s="20">
        <v>1</v>
      </c>
      <c r="G738" s="169"/>
      <c r="H738" s="45">
        <f>'Hao phí vật tư'!J1415</f>
        <v>1349.3920000000001</v>
      </c>
      <c r="I738" s="166"/>
      <c r="J738" s="156">
        <f>ROUND(H738*I721,2)</f>
        <v>2029485.57</v>
      </c>
      <c r="K738" s="166"/>
      <c r="L738" s="156">
        <f>ROUND(H738*K721,2)</f>
        <v>2041630.1</v>
      </c>
      <c r="M738" s="34"/>
      <c r="N738" s="166"/>
      <c r="O738" s="156">
        <f>ROUND(H738*N721,2)</f>
        <v>0</v>
      </c>
      <c r="P738" s="166"/>
      <c r="Q738" s="156">
        <f>ROUND(H738*P721,2)</f>
        <v>0</v>
      </c>
      <c r="R738" s="166"/>
      <c r="S738" s="156">
        <f>ROUND(H738*R721,2)</f>
        <v>0</v>
      </c>
      <c r="T738" s="34"/>
      <c r="U738" s="34"/>
      <c r="V738" s="166"/>
      <c r="W738" s="166"/>
      <c r="X738" s="166"/>
      <c r="Y738" s="156">
        <f>ROUND(H738*X721,2)</f>
        <v>12144.53</v>
      </c>
      <c r="Z738" s="166"/>
      <c r="AA738" s="156">
        <f>ROUND(H738*Z721,2)</f>
        <v>12144.53</v>
      </c>
      <c r="AB738" s="156">
        <f>ROUND(H738*W721,2)</f>
        <v>2041630.1</v>
      </c>
    </row>
    <row r="739" spans="1:28" hidden="1" x14ac:dyDescent="0.25">
      <c r="A739" s="168"/>
      <c r="B739" s="133" t="str">
        <f>'Công trình'!B187</f>
        <v>AK.41125</v>
      </c>
      <c r="C739" s="34"/>
      <c r="D739" s="133" t="str">
        <f>'Công trình'!C187</f>
        <v>Vữa xi măng dày 3cm, vữa XM mác 100</v>
      </c>
      <c r="E739" s="168"/>
      <c r="F739" s="20">
        <v>1</v>
      </c>
      <c r="G739" s="169"/>
      <c r="H739" s="45">
        <f>'Hao phí vật tư'!J1429</f>
        <v>9.9799000000000007</v>
      </c>
      <c r="I739" s="166"/>
      <c r="J739" s="156">
        <f>ROUND(H739*I721,2)</f>
        <v>15009.77</v>
      </c>
      <c r="K739" s="166"/>
      <c r="L739" s="156">
        <f>ROUND(H739*K721,2)</f>
        <v>15099.59</v>
      </c>
      <c r="M739" s="34"/>
      <c r="N739" s="166"/>
      <c r="O739" s="156">
        <f>ROUND(H739*N721,2)</f>
        <v>0</v>
      </c>
      <c r="P739" s="166"/>
      <c r="Q739" s="156">
        <f>ROUND(H739*P721,2)</f>
        <v>0</v>
      </c>
      <c r="R739" s="166"/>
      <c r="S739" s="156">
        <f>ROUND(H739*R721,2)</f>
        <v>0</v>
      </c>
      <c r="T739" s="34"/>
      <c r="U739" s="34"/>
      <c r="V739" s="166"/>
      <c r="W739" s="166"/>
      <c r="X739" s="166"/>
      <c r="Y739" s="156">
        <f>ROUND(H739*X721,2)</f>
        <v>89.82</v>
      </c>
      <c r="Z739" s="166"/>
      <c r="AA739" s="156">
        <f>ROUND(H739*Z721,2)</f>
        <v>89.82</v>
      </c>
      <c r="AB739" s="156">
        <f>ROUND(H739*W721,2)</f>
        <v>15099.59</v>
      </c>
    </row>
    <row r="740" spans="1:28" hidden="1" x14ac:dyDescent="0.25">
      <c r="A740" s="168"/>
      <c r="B740" s="133" t="str">
        <f>'Công trình'!B197</f>
        <v>AF.15225</v>
      </c>
      <c r="C740" s="34"/>
      <c r="D740" s="133" t="str">
        <f>'Công trình'!C197</f>
        <v>Bê tông dầm cầu đá 1x2, vữa BT mác 300</v>
      </c>
      <c r="E740" s="168"/>
      <c r="F740" s="20">
        <v>1</v>
      </c>
      <c r="G740" s="169"/>
      <c r="H740" s="45">
        <f>'Hao phí vật tư'!J1510</f>
        <v>1176.8844999999999</v>
      </c>
      <c r="I740" s="166"/>
      <c r="J740" s="156">
        <f>ROUND(H740*I721,2)</f>
        <v>1770034.29</v>
      </c>
      <c r="K740" s="166"/>
      <c r="L740" s="156">
        <f>ROUND(H740*K721,2)</f>
        <v>1780626.25</v>
      </c>
      <c r="M740" s="34"/>
      <c r="N740" s="166"/>
      <c r="O740" s="156">
        <f>ROUND(H740*N721,2)</f>
        <v>0</v>
      </c>
      <c r="P740" s="166"/>
      <c r="Q740" s="156">
        <f>ROUND(H740*P721,2)</f>
        <v>0</v>
      </c>
      <c r="R740" s="166"/>
      <c r="S740" s="156">
        <f>ROUND(H740*R721,2)</f>
        <v>0</v>
      </c>
      <c r="T740" s="34"/>
      <c r="U740" s="34"/>
      <c r="V740" s="166"/>
      <c r="W740" s="166"/>
      <c r="X740" s="166"/>
      <c r="Y740" s="156">
        <f>ROUND(H740*X721,2)</f>
        <v>10591.96</v>
      </c>
      <c r="Z740" s="166"/>
      <c r="AA740" s="156">
        <f>ROUND(H740*Z721,2)</f>
        <v>10591.96</v>
      </c>
      <c r="AB740" s="156">
        <f>ROUND(H740*W721,2)</f>
        <v>1780626.25</v>
      </c>
    </row>
    <row r="741" spans="1:28" ht="30" hidden="1" x14ac:dyDescent="0.25">
      <c r="A741" s="168"/>
      <c r="B741" s="133" t="str">
        <f>'Công trình'!B225</f>
        <v>AG.11125</v>
      </c>
      <c r="C741" s="34"/>
      <c r="D741" s="133" t="str">
        <f>'Công trình'!C225</f>
        <v>Sản xuất bê tông cọc cừ đúc sẵn đá 1x2, vữa BT mác 300</v>
      </c>
      <c r="E741" s="168"/>
      <c r="F741" s="20">
        <v>1</v>
      </c>
      <c r="G741" s="169"/>
      <c r="H741" s="45">
        <f>'Hao phí vật tư'!J1682</f>
        <v>29298.299800000001</v>
      </c>
      <c r="I741" s="166"/>
      <c r="J741" s="156">
        <f>ROUND(H741*I721,2)</f>
        <v>44064642.899999999</v>
      </c>
      <c r="K741" s="166"/>
      <c r="L741" s="156">
        <f>ROUND(H741*K721,2)</f>
        <v>44328327.600000001</v>
      </c>
      <c r="M741" s="34"/>
      <c r="N741" s="166"/>
      <c r="O741" s="156">
        <f>ROUND(H741*N721,2)</f>
        <v>0</v>
      </c>
      <c r="P741" s="166"/>
      <c r="Q741" s="156">
        <f>ROUND(H741*P721,2)</f>
        <v>0</v>
      </c>
      <c r="R741" s="166"/>
      <c r="S741" s="156">
        <f>ROUND(H741*R721,2)</f>
        <v>0</v>
      </c>
      <c r="T741" s="34"/>
      <c r="U741" s="34"/>
      <c r="V741" s="166"/>
      <c r="W741" s="166"/>
      <c r="X741" s="166"/>
      <c r="Y741" s="156">
        <f>ROUND(H741*X721,2)</f>
        <v>263684.7</v>
      </c>
      <c r="Z741" s="166"/>
      <c r="AA741" s="156">
        <f>ROUND(H741*Z721,2)</f>
        <v>263684.7</v>
      </c>
      <c r="AB741" s="156">
        <f>ROUND(H741*W721,2)</f>
        <v>44328327.600000001</v>
      </c>
    </row>
    <row r="742" spans="1:28" ht="30" hidden="1" x14ac:dyDescent="0.25">
      <c r="A742" s="168"/>
      <c r="B742" s="133" t="str">
        <f>'Công trình'!B247</f>
        <v>AF.12313</v>
      </c>
      <c r="C742" s="34"/>
      <c r="D742" s="133" t="str">
        <f>'Công trình'!C247</f>
        <v>Bê tông dầm chặn chân, đá 1x2, vữa BT mác 200</v>
      </c>
      <c r="E742" s="168"/>
      <c r="F742" s="20">
        <v>1</v>
      </c>
      <c r="G742" s="169"/>
      <c r="H742" s="45">
        <f>'Hao phí vật tư'!J1865</f>
        <v>5138.366</v>
      </c>
      <c r="I742" s="166"/>
      <c r="J742" s="156">
        <f>ROUND(H742*I721,2)</f>
        <v>7728102.46</v>
      </c>
      <c r="K742" s="166"/>
      <c r="L742" s="156">
        <f>ROUND(H742*K721,2)</f>
        <v>7774347.7599999998</v>
      </c>
      <c r="M742" s="34"/>
      <c r="N742" s="166"/>
      <c r="O742" s="156">
        <f>ROUND(H742*N721,2)</f>
        <v>0</v>
      </c>
      <c r="P742" s="166"/>
      <c r="Q742" s="156">
        <f>ROUND(H742*P721,2)</f>
        <v>0</v>
      </c>
      <c r="R742" s="166"/>
      <c r="S742" s="156">
        <f>ROUND(H742*R721,2)</f>
        <v>0</v>
      </c>
      <c r="T742" s="34"/>
      <c r="U742" s="34"/>
      <c r="V742" s="166"/>
      <c r="W742" s="166"/>
      <c r="X742" s="166"/>
      <c r="Y742" s="156">
        <f>ROUND(H742*X721,2)</f>
        <v>46245.29</v>
      </c>
      <c r="Z742" s="166"/>
      <c r="AA742" s="156">
        <f>ROUND(H742*Z721,2)</f>
        <v>46245.29</v>
      </c>
      <c r="AB742" s="156">
        <f>ROUND(H742*W721,2)</f>
        <v>7774347.7599999998</v>
      </c>
    </row>
    <row r="743" spans="1:28" hidden="1" x14ac:dyDescent="0.25">
      <c r="A743" s="168"/>
      <c r="B743" s="133" t="str">
        <f>'Công trình'!B248</f>
        <v>AK.41124</v>
      </c>
      <c r="C743" s="34"/>
      <c r="D743" s="133" t="str">
        <f>'Công trình'!C248</f>
        <v>Vữa lót M75-3cm</v>
      </c>
      <c r="E743" s="168"/>
      <c r="F743" s="20">
        <v>1</v>
      </c>
      <c r="G743" s="169"/>
      <c r="H743" s="45">
        <f>'Hao phí vật tư'!J1878</f>
        <v>567.00519999999995</v>
      </c>
      <c r="I743" s="166"/>
      <c r="J743" s="156">
        <f>ROUND(H743*I721,2)</f>
        <v>852775.82</v>
      </c>
      <c r="K743" s="166"/>
      <c r="L743" s="156">
        <f>ROUND(H743*K721,2)</f>
        <v>857878.87</v>
      </c>
      <c r="M743" s="34"/>
      <c r="N743" s="166"/>
      <c r="O743" s="156">
        <f>ROUND(H743*N721,2)</f>
        <v>0</v>
      </c>
      <c r="P743" s="166"/>
      <c r="Q743" s="156">
        <f>ROUND(H743*P721,2)</f>
        <v>0</v>
      </c>
      <c r="R743" s="166"/>
      <c r="S743" s="156">
        <f>ROUND(H743*R721,2)</f>
        <v>0</v>
      </c>
      <c r="T743" s="34"/>
      <c r="U743" s="34"/>
      <c r="V743" s="166"/>
      <c r="W743" s="166"/>
      <c r="X743" s="166"/>
      <c r="Y743" s="156">
        <f>ROUND(H743*X721,2)</f>
        <v>5103.05</v>
      </c>
      <c r="Z743" s="166"/>
      <c r="AA743" s="156">
        <f>ROUND(H743*Z721,2)</f>
        <v>5103.05</v>
      </c>
      <c r="AB743" s="156">
        <f>ROUND(H743*W721,2)</f>
        <v>857878.87</v>
      </c>
    </row>
    <row r="744" spans="1:28" ht="30" hidden="1" x14ac:dyDescent="0.25">
      <c r="A744" s="168"/>
      <c r="B744" s="133" t="str">
        <f>'Công trình'!B250</f>
        <v>AG.11413</v>
      </c>
      <c r="C744" s="34"/>
      <c r="D744" s="133" t="str">
        <f>'Công trình'!C250</f>
        <v>Sản xuất bê tông lục giác, đá 1x2, vữa BT mác 200</v>
      </c>
      <c r="E744" s="168"/>
      <c r="F744" s="20">
        <v>1</v>
      </c>
      <c r="G744" s="169"/>
      <c r="H744" s="45">
        <f>'Hao phí vật tư'!J1900</f>
        <v>20666.678899999999</v>
      </c>
      <c r="I744" s="166"/>
      <c r="J744" s="156">
        <f>ROUND(H744*I721,2)</f>
        <v>31082685.07</v>
      </c>
      <c r="K744" s="166"/>
      <c r="L744" s="156">
        <f>ROUND(H744*K721,2)</f>
        <v>31268685.18</v>
      </c>
      <c r="M744" s="34"/>
      <c r="N744" s="166"/>
      <c r="O744" s="156">
        <f>ROUND(H744*N721,2)</f>
        <v>0</v>
      </c>
      <c r="P744" s="166"/>
      <c r="Q744" s="156">
        <f>ROUND(H744*P721,2)</f>
        <v>0</v>
      </c>
      <c r="R744" s="166"/>
      <c r="S744" s="156">
        <f>ROUND(H744*R721,2)</f>
        <v>0</v>
      </c>
      <c r="T744" s="34"/>
      <c r="U744" s="34"/>
      <c r="V744" s="166"/>
      <c r="W744" s="166"/>
      <c r="X744" s="166"/>
      <c r="Y744" s="156">
        <f>ROUND(H744*X721,2)</f>
        <v>186000.11</v>
      </c>
      <c r="Z744" s="166"/>
      <c r="AA744" s="156">
        <f>ROUND(H744*Z721,2)</f>
        <v>186000.11</v>
      </c>
      <c r="AB744" s="156">
        <f>ROUND(H744*W721,2)</f>
        <v>31268685.18</v>
      </c>
    </row>
    <row r="745" spans="1:28" ht="30" hidden="1" x14ac:dyDescent="0.25">
      <c r="A745" s="168"/>
      <c r="B745" s="133" t="str">
        <f>'Công trình'!B255</f>
        <v>AF.14325</v>
      </c>
      <c r="C745" s="34"/>
      <c r="D745" s="133" t="str">
        <f>'Công trình'!C255</f>
        <v>Bê tông lan can, gờ chắn đá 1x2, vữa BT mác 300</v>
      </c>
      <c r="E745" s="168"/>
      <c r="F745" s="20">
        <v>1</v>
      </c>
      <c r="G745" s="169"/>
      <c r="H745" s="45">
        <f>'Hao phí vật tư'!J1936</f>
        <v>8215.1905000000006</v>
      </c>
      <c r="I745" s="166"/>
      <c r="J745" s="156">
        <f>ROUND(H745*I721,2)</f>
        <v>12355646.51</v>
      </c>
      <c r="K745" s="166"/>
      <c r="L745" s="156">
        <f>ROUND(H745*K721,2)</f>
        <v>12429583.23</v>
      </c>
      <c r="M745" s="34"/>
      <c r="N745" s="166"/>
      <c r="O745" s="156">
        <f>ROUND(H745*N721,2)</f>
        <v>0</v>
      </c>
      <c r="P745" s="166"/>
      <c r="Q745" s="156">
        <f>ROUND(H745*P721,2)</f>
        <v>0</v>
      </c>
      <c r="R745" s="166"/>
      <c r="S745" s="156">
        <f>ROUND(H745*R721,2)</f>
        <v>0</v>
      </c>
      <c r="T745" s="34"/>
      <c r="U745" s="34"/>
      <c r="V745" s="166"/>
      <c r="W745" s="166"/>
      <c r="X745" s="166"/>
      <c r="Y745" s="156">
        <f>ROUND(H745*X721,2)</f>
        <v>73936.710000000006</v>
      </c>
      <c r="Z745" s="166"/>
      <c r="AA745" s="156">
        <f>ROUND(H745*Z721,2)</f>
        <v>73936.710000000006</v>
      </c>
      <c r="AB745" s="156">
        <f>ROUND(H745*W721,2)</f>
        <v>12429583.23</v>
      </c>
    </row>
    <row r="746" spans="1:28" hidden="1" x14ac:dyDescent="0.25">
      <c r="A746" s="168"/>
      <c r="B746" s="133" t="str">
        <f>'Công trình'!B263</f>
        <v>AI.63211</v>
      </c>
      <c r="C746" s="34"/>
      <c r="D746" s="133" t="str">
        <f>'Công trình'!C263</f>
        <v>Lắp dựng lan can sắt, vữa XM mác 75</v>
      </c>
      <c r="E746" s="168"/>
      <c r="F746" s="20">
        <v>1</v>
      </c>
      <c r="G746" s="169"/>
      <c r="H746" s="45">
        <f>'Hao phí vật tư'!J2009</f>
        <v>65.033299999999997</v>
      </c>
      <c r="I746" s="166"/>
      <c r="J746" s="156">
        <f>ROUND(H746*I721,2)</f>
        <v>97810.08</v>
      </c>
      <c r="K746" s="166"/>
      <c r="L746" s="156">
        <f>ROUND(H746*K721,2)</f>
        <v>98395.38</v>
      </c>
      <c r="M746" s="34"/>
      <c r="N746" s="166"/>
      <c r="O746" s="156">
        <f>ROUND(H746*N721,2)</f>
        <v>0</v>
      </c>
      <c r="P746" s="166"/>
      <c r="Q746" s="156">
        <f>ROUND(H746*P721,2)</f>
        <v>0</v>
      </c>
      <c r="R746" s="166"/>
      <c r="S746" s="156">
        <f>ROUND(H746*R721,2)</f>
        <v>0</v>
      </c>
      <c r="T746" s="34"/>
      <c r="U746" s="34"/>
      <c r="V746" s="166"/>
      <c r="W746" s="166"/>
      <c r="X746" s="166"/>
      <c r="Y746" s="156">
        <f>ROUND(H746*X721,2)</f>
        <v>585.29999999999995</v>
      </c>
      <c r="Z746" s="166"/>
      <c r="AA746" s="156">
        <f>ROUND(H746*Z721,2)</f>
        <v>585.29999999999995</v>
      </c>
      <c r="AB746" s="156">
        <f>ROUND(H746*W721,2)</f>
        <v>98395.38</v>
      </c>
    </row>
    <row r="747" spans="1:28" ht="30" hidden="1" x14ac:dyDescent="0.25">
      <c r="A747" s="168"/>
      <c r="B747" s="133" t="str">
        <f>'Công trình'!B267</f>
        <v>AF.11212</v>
      </c>
      <c r="C747" s="34"/>
      <c r="D747" s="133" t="str">
        <f>'Công trình'!C267</f>
        <v>Bê tông móng rộng &lt;=250cm đá 1x2, vữa BT mác 150</v>
      </c>
      <c r="E747" s="168"/>
      <c r="F747" s="20">
        <v>1</v>
      </c>
      <c r="G747" s="169"/>
      <c r="H747" s="45">
        <f>'Hao phí vật tư'!J2031</f>
        <v>812.005</v>
      </c>
      <c r="I747" s="166"/>
      <c r="J747" s="156">
        <f>ROUND(H747*I721,2)</f>
        <v>1221255.52</v>
      </c>
      <c r="K747" s="166"/>
      <c r="L747" s="156">
        <f>ROUND(H747*K721,2)</f>
        <v>1228563.57</v>
      </c>
      <c r="M747" s="34"/>
      <c r="N747" s="166"/>
      <c r="O747" s="156">
        <f>ROUND(H747*N721,2)</f>
        <v>0</v>
      </c>
      <c r="P747" s="166"/>
      <c r="Q747" s="156">
        <f>ROUND(H747*P721,2)</f>
        <v>0</v>
      </c>
      <c r="R747" s="166"/>
      <c r="S747" s="156">
        <f>ROUND(H747*R721,2)</f>
        <v>0</v>
      </c>
      <c r="T747" s="34"/>
      <c r="U747" s="34"/>
      <c r="V747" s="166"/>
      <c r="W747" s="166"/>
      <c r="X747" s="166"/>
      <c r="Y747" s="156">
        <f>ROUND(H747*X721,2)</f>
        <v>7308.05</v>
      </c>
      <c r="Z747" s="166"/>
      <c r="AA747" s="156">
        <f>ROUND(H747*Z721,2)</f>
        <v>7308.05</v>
      </c>
      <c r="AB747" s="156">
        <f>ROUND(H747*W721,2)</f>
        <v>1228563.57</v>
      </c>
    </row>
    <row r="748" spans="1:28" ht="30" hidden="1" x14ac:dyDescent="0.25">
      <c r="A748" s="168"/>
      <c r="B748" s="133" t="str">
        <f>'Công trình'!B284</f>
        <v>AF.11213</v>
      </c>
      <c r="C748" s="34"/>
      <c r="D748" s="133" t="str">
        <f>'Công trình'!C284</f>
        <v>Bê tông móng rộng &lt;=250cm đá 1x2, vữa BT mác 200</v>
      </c>
      <c r="E748" s="168"/>
      <c r="F748" s="20">
        <v>1</v>
      </c>
      <c r="G748" s="169"/>
      <c r="H748" s="45">
        <f>'Hao phí vật tư'!J2122</f>
        <v>2258.116</v>
      </c>
      <c r="I748" s="166"/>
      <c r="J748" s="156">
        <f>ROUND(H748*I721,2)</f>
        <v>3396206.46</v>
      </c>
      <c r="K748" s="166"/>
      <c r="L748" s="156">
        <f>ROUND(H748*K721,2)</f>
        <v>3416529.51</v>
      </c>
      <c r="M748" s="34"/>
      <c r="N748" s="166"/>
      <c r="O748" s="156">
        <f>ROUND(H748*N721,2)</f>
        <v>0</v>
      </c>
      <c r="P748" s="166"/>
      <c r="Q748" s="156">
        <f>ROUND(H748*P721,2)</f>
        <v>0</v>
      </c>
      <c r="R748" s="166"/>
      <c r="S748" s="156">
        <f>ROUND(H748*R721,2)</f>
        <v>0</v>
      </c>
      <c r="T748" s="34"/>
      <c r="U748" s="34"/>
      <c r="V748" s="166"/>
      <c r="W748" s="166"/>
      <c r="X748" s="166"/>
      <c r="Y748" s="156">
        <f>ROUND(H748*X721,2)</f>
        <v>20323.04</v>
      </c>
      <c r="Z748" s="166"/>
      <c r="AA748" s="156">
        <f>ROUND(H748*Z721,2)</f>
        <v>20323.04</v>
      </c>
      <c r="AB748" s="156">
        <f>ROUND(H748*W721,2)</f>
        <v>3416529.51</v>
      </c>
    </row>
    <row r="749" spans="1:28" ht="30" hidden="1" x14ac:dyDescent="0.25">
      <c r="A749" s="168"/>
      <c r="B749" s="133" t="str">
        <f>'Công trình'!B285</f>
        <v>AF.11212</v>
      </c>
      <c r="C749" s="34"/>
      <c r="D749" s="133" t="str">
        <f>'Công trình'!C285</f>
        <v>Bê tông móng rộng &lt;=250cm đá 1x2, vữa BT mác 150</v>
      </c>
      <c r="E749" s="168"/>
      <c r="F749" s="20">
        <v>1</v>
      </c>
      <c r="G749" s="169"/>
      <c r="H749" s="45">
        <f>'Hao phí vật tư'!J2134</f>
        <v>334.35500000000002</v>
      </c>
      <c r="I749" s="166"/>
      <c r="J749" s="156">
        <f>ROUND(H749*I721,2)</f>
        <v>502869.92</v>
      </c>
      <c r="K749" s="166"/>
      <c r="L749" s="156">
        <f>ROUND(H749*K721,2)</f>
        <v>505879.12</v>
      </c>
      <c r="M749" s="34"/>
      <c r="N749" s="166"/>
      <c r="O749" s="156">
        <f>ROUND(H749*N721,2)</f>
        <v>0</v>
      </c>
      <c r="P749" s="166"/>
      <c r="Q749" s="156">
        <f>ROUND(H749*P721,2)</f>
        <v>0</v>
      </c>
      <c r="R749" s="166"/>
      <c r="S749" s="156">
        <f>ROUND(H749*R721,2)</f>
        <v>0</v>
      </c>
      <c r="T749" s="34"/>
      <c r="U749" s="34"/>
      <c r="V749" s="166"/>
      <c r="W749" s="166"/>
      <c r="X749" s="166"/>
      <c r="Y749" s="156">
        <f>ROUND(H749*X721,2)</f>
        <v>3009.2</v>
      </c>
      <c r="Z749" s="166"/>
      <c r="AA749" s="156">
        <f>ROUND(H749*Z721,2)</f>
        <v>3009.2</v>
      </c>
      <c r="AB749" s="156">
        <f>ROUND(H749*W721,2)</f>
        <v>505879.12</v>
      </c>
    </row>
    <row r="750" spans="1:28" hidden="1" x14ac:dyDescent="0.25">
      <c r="A750" s="168"/>
      <c r="B750" s="133" t="str">
        <f>'Công trình'!B286</f>
        <v>AK.41124</v>
      </c>
      <c r="C750" s="34"/>
      <c r="D750" s="133" t="str">
        <f>'Công trình'!C286</f>
        <v>Vữa lót M75 dày 3cm</v>
      </c>
      <c r="E750" s="168"/>
      <c r="F750" s="20">
        <v>1</v>
      </c>
      <c r="G750" s="169"/>
      <c r="H750" s="45">
        <f>'Hao phí vật tư'!J2146</f>
        <v>90.104200000000006</v>
      </c>
      <c r="I750" s="166"/>
      <c r="J750" s="156">
        <f>ROUND(H750*I721,2)</f>
        <v>135516.72</v>
      </c>
      <c r="K750" s="166"/>
      <c r="L750" s="156">
        <f>ROUND(H750*K721,2)</f>
        <v>136327.65</v>
      </c>
      <c r="M750" s="34"/>
      <c r="N750" s="166"/>
      <c r="O750" s="156">
        <f>ROUND(H750*N721,2)</f>
        <v>0</v>
      </c>
      <c r="P750" s="166"/>
      <c r="Q750" s="156">
        <f>ROUND(H750*P721,2)</f>
        <v>0</v>
      </c>
      <c r="R750" s="166"/>
      <c r="S750" s="156">
        <f>ROUND(H750*R721,2)</f>
        <v>0</v>
      </c>
      <c r="T750" s="34"/>
      <c r="U750" s="34"/>
      <c r="V750" s="166"/>
      <c r="W750" s="166"/>
      <c r="X750" s="166"/>
      <c r="Y750" s="156">
        <f>ROUND(H750*X721,2)</f>
        <v>810.94</v>
      </c>
      <c r="Z750" s="166"/>
      <c r="AA750" s="156">
        <f>ROUND(H750*Z721,2)</f>
        <v>810.94</v>
      </c>
      <c r="AB750" s="156">
        <f>ROUND(H750*W721,2)</f>
        <v>136327.65</v>
      </c>
    </row>
    <row r="751" spans="1:28" ht="30" hidden="1" x14ac:dyDescent="0.25">
      <c r="A751" s="168"/>
      <c r="B751" s="133" t="str">
        <f>'Công trình'!B252</f>
        <v>AG.42111</v>
      </c>
      <c r="C751" s="34"/>
      <c r="D751" s="133" t="str">
        <f>'Công trình'!C252</f>
        <v>Lắp các loại cấu kiện BT đúc sẵn bằng thủ công trọng lượng &lt;=50kg, vữa XM mác 100</v>
      </c>
      <c r="E751" s="168"/>
      <c r="F751" s="20">
        <v>1</v>
      </c>
      <c r="G751" s="169"/>
      <c r="H751" s="45">
        <f>'Hao phí vật tư'!J1922</f>
        <v>6209.1848</v>
      </c>
      <c r="I751" s="166"/>
      <c r="J751" s="156">
        <f>ROUND(H751*I721,2)</f>
        <v>9338613.9399999995</v>
      </c>
      <c r="K751" s="166"/>
      <c r="L751" s="156">
        <f>ROUND(H751*K721,2)</f>
        <v>9394496.5999999996</v>
      </c>
      <c r="M751" s="34"/>
      <c r="N751" s="166"/>
      <c r="O751" s="156">
        <f>ROUND(H751*N721,2)</f>
        <v>0</v>
      </c>
      <c r="P751" s="166"/>
      <c r="Q751" s="156">
        <f>ROUND(H751*P721,2)</f>
        <v>0</v>
      </c>
      <c r="R751" s="166"/>
      <c r="S751" s="156">
        <f>ROUND(H751*R721,2)</f>
        <v>0</v>
      </c>
      <c r="T751" s="34"/>
      <c r="U751" s="34"/>
      <c r="V751" s="166"/>
      <c r="W751" s="166"/>
      <c r="X751" s="166"/>
      <c r="Y751" s="156">
        <f>ROUND(H751*X721,2)</f>
        <v>55882.66</v>
      </c>
      <c r="Z751" s="166"/>
      <c r="AA751" s="156">
        <f>ROUND(H751*Z721,2)</f>
        <v>55882.66</v>
      </c>
      <c r="AB751" s="156">
        <f>ROUND(H751*W721,2)</f>
        <v>9394496.5999999996</v>
      </c>
    </row>
    <row r="752" spans="1:28" hidden="1" x14ac:dyDescent="0.25">
      <c r="A752" s="168"/>
      <c r="B752" s="133" t="str">
        <f>'Công trình'!B265</f>
        <v>AK.41115</v>
      </c>
      <c r="C752" s="34"/>
      <c r="D752" s="133" t="str">
        <f>'Công trình'!C265</f>
        <v>Vữa xi măng M100</v>
      </c>
      <c r="E752" s="168"/>
      <c r="F752" s="20">
        <v>1</v>
      </c>
      <c r="G752" s="169"/>
      <c r="H752" s="45">
        <f>'Hao phí vật tư'!J2022</f>
        <v>118.80800000000001</v>
      </c>
      <c r="I752" s="166"/>
      <c r="J752" s="156">
        <f>ROUND(H752*I721,2)</f>
        <v>178687.23</v>
      </c>
      <c r="K752" s="166"/>
      <c r="L752" s="156">
        <f>ROUND(H752*K721,2)</f>
        <v>179756.5</v>
      </c>
      <c r="M752" s="34"/>
      <c r="N752" s="166"/>
      <c r="O752" s="156">
        <f>ROUND(H752*N721,2)</f>
        <v>0</v>
      </c>
      <c r="P752" s="166"/>
      <c r="Q752" s="156">
        <f>ROUND(H752*P721,2)</f>
        <v>0</v>
      </c>
      <c r="R752" s="166"/>
      <c r="S752" s="156">
        <f>ROUND(H752*R721,2)</f>
        <v>0</v>
      </c>
      <c r="T752" s="34"/>
      <c r="U752" s="34"/>
      <c r="V752" s="166"/>
      <c r="W752" s="166"/>
      <c r="X752" s="166"/>
      <c r="Y752" s="156">
        <f>ROUND(H752*X721,2)</f>
        <v>1069.27</v>
      </c>
      <c r="Z752" s="166"/>
      <c r="AA752" s="156">
        <f>ROUND(H752*Z721,2)</f>
        <v>1069.27</v>
      </c>
      <c r="AB752" s="156">
        <f>ROUND(H752*W721,2)</f>
        <v>179756.5</v>
      </c>
    </row>
    <row r="753" spans="1:28" ht="30" hidden="1" x14ac:dyDescent="0.25">
      <c r="A753" s="168"/>
      <c r="B753" s="133" t="str">
        <f>'Công trình'!B295</f>
        <v>AF.11213</v>
      </c>
      <c r="C753" s="34"/>
      <c r="D753" s="133" t="str">
        <f>'Công trình'!C295</f>
        <v>Bê tông móng rộng &lt;=250cm đá 1x2, vữa BT mác 200</v>
      </c>
      <c r="E753" s="168"/>
      <c r="F753" s="20">
        <v>1</v>
      </c>
      <c r="G753" s="169"/>
      <c r="H753" s="45">
        <f>'Hao phí vật tư'!J2206</f>
        <v>48.964300000000001</v>
      </c>
      <c r="I753" s="166"/>
      <c r="J753" s="156">
        <f>ROUND(H753*I721,2)</f>
        <v>73642.31</v>
      </c>
      <c r="K753" s="166"/>
      <c r="L753" s="156">
        <f>ROUND(H753*K721,2)</f>
        <v>74082.990000000005</v>
      </c>
      <c r="M753" s="34"/>
      <c r="N753" s="166"/>
      <c r="O753" s="156">
        <f>ROUND(H753*N721,2)</f>
        <v>0</v>
      </c>
      <c r="P753" s="166"/>
      <c r="Q753" s="156">
        <f>ROUND(H753*P721,2)</f>
        <v>0</v>
      </c>
      <c r="R753" s="166"/>
      <c r="S753" s="156">
        <f>ROUND(H753*R721,2)</f>
        <v>0</v>
      </c>
      <c r="T753" s="34"/>
      <c r="U753" s="34"/>
      <c r="V753" s="166"/>
      <c r="W753" s="166"/>
      <c r="X753" s="166"/>
      <c r="Y753" s="156">
        <f>ROUND(H753*X721,2)</f>
        <v>440.68</v>
      </c>
      <c r="Z753" s="166"/>
      <c r="AA753" s="156">
        <f>ROUND(H753*Z721,2)</f>
        <v>440.68</v>
      </c>
      <c r="AB753" s="156">
        <f>ROUND(H753*W721,2)</f>
        <v>74082.990000000005</v>
      </c>
    </row>
    <row r="754" spans="1:28" ht="30" hidden="1" x14ac:dyDescent="0.25">
      <c r="A754" s="168"/>
      <c r="B754" s="133" t="str">
        <f>'Công trình'!B296</f>
        <v>AF.11212</v>
      </c>
      <c r="C754" s="34"/>
      <c r="D754" s="133" t="str">
        <f>'Công trình'!C296</f>
        <v>Bê tông móng rộng &lt;=250cm đá 1x2, vữa BT mác 150</v>
      </c>
      <c r="E754" s="168"/>
      <c r="F754" s="20">
        <v>1</v>
      </c>
      <c r="G754" s="169"/>
      <c r="H754" s="45">
        <f>'Hao phí vật tư'!J2218</f>
        <v>14.329499999999999</v>
      </c>
      <c r="I754" s="166"/>
      <c r="J754" s="156">
        <f>ROUND(H754*I721,2)</f>
        <v>21551.57</v>
      </c>
      <c r="K754" s="166"/>
      <c r="L754" s="156">
        <f>ROUND(H754*K721,2)</f>
        <v>21680.53</v>
      </c>
      <c r="M754" s="34"/>
      <c r="N754" s="166"/>
      <c r="O754" s="156">
        <f>ROUND(H754*N721,2)</f>
        <v>0</v>
      </c>
      <c r="P754" s="166"/>
      <c r="Q754" s="156">
        <f>ROUND(H754*P721,2)</f>
        <v>0</v>
      </c>
      <c r="R754" s="166"/>
      <c r="S754" s="156">
        <f>ROUND(H754*R721,2)</f>
        <v>0</v>
      </c>
      <c r="T754" s="34"/>
      <c r="U754" s="34"/>
      <c r="V754" s="166"/>
      <c r="W754" s="166"/>
      <c r="X754" s="166"/>
      <c r="Y754" s="156">
        <f>ROUND(H754*X721,2)</f>
        <v>128.97</v>
      </c>
      <c r="Z754" s="166"/>
      <c r="AA754" s="156">
        <f>ROUND(H754*Z721,2)</f>
        <v>128.97</v>
      </c>
      <c r="AB754" s="156">
        <f>ROUND(H754*W721,2)</f>
        <v>21680.53</v>
      </c>
    </row>
    <row r="755" spans="1:28" ht="30" hidden="1" x14ac:dyDescent="0.25">
      <c r="A755" s="168"/>
      <c r="B755" s="133" t="str">
        <f>'Công trình'!B300</f>
        <v>AG.11113</v>
      </c>
      <c r="C755" s="34"/>
      <c r="D755" s="133" t="str">
        <f>'Công trình'!C300</f>
        <v>Sản xuất bê tông cọc, cột đúc sẵn đá 1x2, vữa BT mác 200</v>
      </c>
      <c r="E755" s="168"/>
      <c r="F755" s="20">
        <v>1</v>
      </c>
      <c r="G755" s="169"/>
      <c r="H755" s="45">
        <f>'Hao phí vật tư'!J2240</f>
        <v>256.69349999999997</v>
      </c>
      <c r="I755" s="166"/>
      <c r="J755" s="156">
        <f>ROUND(H755*I721,2)</f>
        <v>386067.02</v>
      </c>
      <c r="K755" s="166"/>
      <c r="L755" s="156">
        <f>ROUND(H755*K721,2)</f>
        <v>388377.27</v>
      </c>
      <c r="M755" s="34"/>
      <c r="N755" s="166"/>
      <c r="O755" s="156">
        <f>ROUND(H755*N721,2)</f>
        <v>0</v>
      </c>
      <c r="P755" s="166"/>
      <c r="Q755" s="156">
        <f>ROUND(H755*P721,2)</f>
        <v>0</v>
      </c>
      <c r="R755" s="166"/>
      <c r="S755" s="156">
        <f>ROUND(H755*R721,2)</f>
        <v>0</v>
      </c>
      <c r="T755" s="34"/>
      <c r="U755" s="34"/>
      <c r="V755" s="166"/>
      <c r="W755" s="166"/>
      <c r="X755" s="166"/>
      <c r="Y755" s="156">
        <f>ROUND(H755*X721,2)</f>
        <v>2310.2399999999998</v>
      </c>
      <c r="Z755" s="166"/>
      <c r="AA755" s="156">
        <f>ROUND(H755*Z721,2)</f>
        <v>2310.2399999999998</v>
      </c>
      <c r="AB755" s="156">
        <f>ROUND(H755*W721,2)</f>
        <v>388377.27</v>
      </c>
    </row>
    <row r="756" spans="1:28" ht="30" hidden="1" x14ac:dyDescent="0.25">
      <c r="A756" s="168"/>
      <c r="B756" s="133" t="str">
        <f>'Công trình'!B301</f>
        <v>AF.11212</v>
      </c>
      <c r="C756" s="34"/>
      <c r="D756" s="133" t="str">
        <f>'Công trình'!C301</f>
        <v>Bê tông móng rộng &lt;=250cm đá 1x2, vữa BT mác 150</v>
      </c>
      <c r="E756" s="168"/>
      <c r="F756" s="20">
        <v>1</v>
      </c>
      <c r="G756" s="169"/>
      <c r="H756" s="45">
        <f>'Hao phí vật tư'!J2253</f>
        <v>343.90800000000002</v>
      </c>
      <c r="I756" s="166"/>
      <c r="J756" s="156">
        <f>ROUND(H756*I721,2)</f>
        <v>517237.63</v>
      </c>
      <c r="K756" s="166"/>
      <c r="L756" s="156">
        <f>ROUND(H756*K721,2)</f>
        <v>520332.79999999999</v>
      </c>
      <c r="M756" s="34"/>
      <c r="N756" s="166"/>
      <c r="O756" s="156">
        <f>ROUND(H756*N721,2)</f>
        <v>0</v>
      </c>
      <c r="P756" s="166"/>
      <c r="Q756" s="156">
        <f>ROUND(H756*P721,2)</f>
        <v>0</v>
      </c>
      <c r="R756" s="166"/>
      <c r="S756" s="156">
        <f>ROUND(H756*R721,2)</f>
        <v>0</v>
      </c>
      <c r="T756" s="34"/>
      <c r="U756" s="34"/>
      <c r="V756" s="166"/>
      <c r="W756" s="166"/>
      <c r="X756" s="166"/>
      <c r="Y756" s="156">
        <f>ROUND(H756*X721,2)</f>
        <v>3095.17</v>
      </c>
      <c r="Z756" s="166"/>
      <c r="AA756" s="156">
        <f>ROUND(H756*Z721,2)</f>
        <v>3095.17</v>
      </c>
      <c r="AB756" s="156">
        <f>ROUND(H756*W721,2)</f>
        <v>520332.79999999999</v>
      </c>
    </row>
    <row r="757" spans="1:28" ht="30" hidden="1" x14ac:dyDescent="0.25">
      <c r="A757" s="168"/>
      <c r="B757" s="133" t="str">
        <f>'Công trình'!B303</f>
        <v>AG.42111</v>
      </c>
      <c r="C757" s="34"/>
      <c r="D757" s="133" t="str">
        <f>'Công trình'!C303</f>
        <v>Lắp các loại cấu kiện BT đúc sẵn bằng thủ công trọng lượng &lt;=50kg, vữa XM mác 100</v>
      </c>
      <c r="E757" s="168"/>
      <c r="F757" s="20">
        <v>1</v>
      </c>
      <c r="G757" s="169"/>
      <c r="H757" s="45">
        <f>'Hao phí vật tư'!J2273</f>
        <v>35.643999999999998</v>
      </c>
      <c r="I757" s="166"/>
      <c r="J757" s="156">
        <f>ROUND(H757*I721,2)</f>
        <v>53608.58</v>
      </c>
      <c r="K757" s="166"/>
      <c r="L757" s="156">
        <f>ROUND(H757*K721,2)</f>
        <v>53929.37</v>
      </c>
      <c r="M757" s="34"/>
      <c r="N757" s="166"/>
      <c r="O757" s="156">
        <f>ROUND(H757*N721,2)</f>
        <v>0</v>
      </c>
      <c r="P757" s="166"/>
      <c r="Q757" s="156">
        <f>ROUND(H757*P721,2)</f>
        <v>0</v>
      </c>
      <c r="R757" s="166"/>
      <c r="S757" s="156">
        <f>ROUND(H757*R721,2)</f>
        <v>0</v>
      </c>
      <c r="T757" s="34"/>
      <c r="U757" s="34"/>
      <c r="V757" s="166"/>
      <c r="W757" s="166"/>
      <c r="X757" s="166"/>
      <c r="Y757" s="156">
        <f>ROUND(H757*X721,2)</f>
        <v>320.8</v>
      </c>
      <c r="Z757" s="166"/>
      <c r="AA757" s="156">
        <f>ROUND(H757*Z721,2)</f>
        <v>320.8</v>
      </c>
      <c r="AB757" s="156">
        <f>ROUND(H757*W721,2)</f>
        <v>53929.37</v>
      </c>
    </row>
    <row r="758" spans="1:28" ht="30" hidden="1" x14ac:dyDescent="0.25">
      <c r="A758" s="168"/>
      <c r="B758" s="133" t="str">
        <f>'Công trình'!B7</f>
        <v>AF.11224</v>
      </c>
      <c r="C758" s="34"/>
      <c r="D758" s="133" t="str">
        <f>'Công trình'!C7</f>
        <v>Bê tông móng rộng &gt;250cm đá 1x2, vữa BT mác 250</v>
      </c>
      <c r="E758" s="168"/>
      <c r="F758" s="20">
        <v>1</v>
      </c>
      <c r="G758" s="169"/>
      <c r="H758" s="45">
        <f>'Hao phí vật tư'!J11</f>
        <v>55082.659500000002</v>
      </c>
      <c r="I758" s="166"/>
      <c r="J758" s="156">
        <f>ROUND(H758*I721,2)</f>
        <v>82844319.890000001</v>
      </c>
      <c r="K758" s="166"/>
      <c r="L758" s="156">
        <f>ROUND(H758*K721,2)</f>
        <v>83340063.819999993</v>
      </c>
      <c r="M758" s="34"/>
      <c r="N758" s="166"/>
      <c r="O758" s="156">
        <f>ROUND(H758*N721,2)</f>
        <v>0</v>
      </c>
      <c r="P758" s="166"/>
      <c r="Q758" s="156">
        <f>ROUND(H758*P721,2)</f>
        <v>0</v>
      </c>
      <c r="R758" s="166"/>
      <c r="S758" s="156">
        <f>ROUND(H758*R721,2)</f>
        <v>0</v>
      </c>
      <c r="T758" s="34"/>
      <c r="U758" s="34"/>
      <c r="V758" s="166"/>
      <c r="W758" s="166"/>
      <c r="X758" s="166"/>
      <c r="Y758" s="156">
        <f>ROUND(H758*X721,2)</f>
        <v>495743.94</v>
      </c>
      <c r="Z758" s="166"/>
      <c r="AA758" s="156">
        <f>ROUND(H758*Z721,2)</f>
        <v>495743.94</v>
      </c>
      <c r="AB758" s="156">
        <f>ROUND(H758*W721,2)</f>
        <v>83340063.819999993</v>
      </c>
    </row>
    <row r="759" spans="1:28" ht="30" hidden="1" x14ac:dyDescent="0.25">
      <c r="A759" s="168"/>
      <c r="B759" s="133" t="str">
        <f>'Công trình'!B8</f>
        <v>AF.12144</v>
      </c>
      <c r="C759" s="34"/>
      <c r="D759" s="133" t="str">
        <f>'Công trình'!C8</f>
        <v>Bê tông tường dày &gt;45cm, chiều cao &lt;=16m đá 1x2, vữa BT mác 250</v>
      </c>
      <c r="E759" s="168"/>
      <c r="F759" s="20">
        <v>1</v>
      </c>
      <c r="G759" s="169"/>
      <c r="H759" s="45">
        <f>'Hao phí vật tư'!J26</f>
        <v>53852.567300000002</v>
      </c>
      <c r="I759" s="166"/>
      <c r="J759" s="156">
        <f>ROUND(H759*I721,2)</f>
        <v>80994261.219999999</v>
      </c>
      <c r="K759" s="166"/>
      <c r="L759" s="156">
        <f>ROUND(H759*K721,2)</f>
        <v>81478934.319999993</v>
      </c>
      <c r="M759" s="34"/>
      <c r="N759" s="166"/>
      <c r="O759" s="156">
        <f>ROUND(H759*N721,2)</f>
        <v>0</v>
      </c>
      <c r="P759" s="166"/>
      <c r="Q759" s="156">
        <f>ROUND(H759*P721,2)</f>
        <v>0</v>
      </c>
      <c r="R759" s="166"/>
      <c r="S759" s="156">
        <f>ROUND(H759*R721,2)</f>
        <v>0</v>
      </c>
      <c r="T759" s="34"/>
      <c r="U759" s="34"/>
      <c r="V759" s="166"/>
      <c r="W759" s="166"/>
      <c r="X759" s="166"/>
      <c r="Y759" s="156">
        <f>ROUND(H759*X721,2)</f>
        <v>484673.11</v>
      </c>
      <c r="Z759" s="166"/>
      <c r="AA759" s="156">
        <f>ROUND(H759*Z721,2)</f>
        <v>484673.11</v>
      </c>
      <c r="AB759" s="156">
        <f>ROUND(H759*W721,2)</f>
        <v>81478934.319999993</v>
      </c>
    </row>
    <row r="760" spans="1:28" hidden="1" x14ac:dyDescent="0.25">
      <c r="A760" s="168"/>
      <c r="B760" s="133" t="str">
        <f>'Công trình'!B175</f>
        <v>AF.11225</v>
      </c>
      <c r="C760" s="34"/>
      <c r="D760" s="133" t="str">
        <f>'Công trình'!C175</f>
        <v>Bê tông bản dẫn đá 1x2, vữa BT mác 300</v>
      </c>
      <c r="E760" s="168"/>
      <c r="F760" s="20">
        <v>1</v>
      </c>
      <c r="G760" s="169"/>
      <c r="H760" s="45">
        <f>'Hao phí vật tư'!J1314</f>
        <v>6900.3</v>
      </c>
      <c r="I760" s="166"/>
      <c r="J760" s="156">
        <f>ROUND(H760*I721,2)</f>
        <v>10378051.199999999</v>
      </c>
      <c r="K760" s="166"/>
      <c r="L760" s="156">
        <f>ROUND(H760*K721,2)</f>
        <v>10440153.9</v>
      </c>
      <c r="M760" s="34"/>
      <c r="N760" s="166"/>
      <c r="O760" s="156">
        <f>ROUND(H760*N721,2)</f>
        <v>0</v>
      </c>
      <c r="P760" s="166"/>
      <c r="Q760" s="156">
        <f>ROUND(H760*P721,2)</f>
        <v>0</v>
      </c>
      <c r="R760" s="166"/>
      <c r="S760" s="156">
        <f>ROUND(H760*R721,2)</f>
        <v>0</v>
      </c>
      <c r="T760" s="34"/>
      <c r="U760" s="34"/>
      <c r="V760" s="166"/>
      <c r="W760" s="166"/>
      <c r="X760" s="166"/>
      <c r="Y760" s="156">
        <f>ROUND(H760*X721,2)</f>
        <v>62102.7</v>
      </c>
      <c r="Z760" s="166"/>
      <c r="AA760" s="156">
        <f>ROUND(H760*Z721,2)</f>
        <v>62102.7</v>
      </c>
      <c r="AB760" s="156">
        <f>ROUND(H760*W721,2)</f>
        <v>10440153.9</v>
      </c>
    </row>
    <row r="761" spans="1:28" hidden="1" x14ac:dyDescent="0.25">
      <c r="A761" s="168"/>
      <c r="B761" s="133" t="str">
        <f>'Công trình'!B9</f>
        <v>AF.11333</v>
      </c>
      <c r="C761" s="34"/>
      <c r="D761" s="133" t="str">
        <f>'Công trình'!C9</f>
        <v>Bê tông bịt đáy đá 4x6, vữa BT mác 200</v>
      </c>
      <c r="E761" s="168"/>
      <c r="F761" s="20">
        <v>1</v>
      </c>
      <c r="G761" s="169"/>
      <c r="H761" s="45">
        <f>'Hao phí vật tư'!J40</f>
        <v>66950</v>
      </c>
      <c r="I761" s="166"/>
      <c r="J761" s="156">
        <f>ROUND(H761*I721,2)</f>
        <v>100692800</v>
      </c>
      <c r="K761" s="166"/>
      <c r="L761" s="156">
        <f>ROUND(H761*K721,2)</f>
        <v>101295350</v>
      </c>
      <c r="M761" s="34"/>
      <c r="N761" s="166"/>
      <c r="O761" s="156">
        <f>ROUND(H761*N721,2)</f>
        <v>0</v>
      </c>
      <c r="P761" s="166"/>
      <c r="Q761" s="156">
        <f>ROUND(H761*P721,2)</f>
        <v>0</v>
      </c>
      <c r="R761" s="166"/>
      <c r="S761" s="156">
        <f>ROUND(H761*R721,2)</f>
        <v>0</v>
      </c>
      <c r="T761" s="34"/>
      <c r="U761" s="34"/>
      <c r="V761" s="166"/>
      <c r="W761" s="166"/>
      <c r="X761" s="166"/>
      <c r="Y761" s="156">
        <f>ROUND(H761*X721,2)</f>
        <v>602550</v>
      </c>
      <c r="Z761" s="166"/>
      <c r="AA761" s="156">
        <f>ROUND(H761*Z721,2)</f>
        <v>602550</v>
      </c>
      <c r="AB761" s="156">
        <f>ROUND(H761*W721,2)</f>
        <v>101295350</v>
      </c>
    </row>
    <row r="762" spans="1:28" hidden="1" x14ac:dyDescent="0.25">
      <c r="A762" s="168"/>
      <c r="B762" s="133" t="str">
        <f>'Công trình'!B34</f>
        <v>AF.12313</v>
      </c>
      <c r="C762" s="34"/>
      <c r="D762" s="133" t="str">
        <f>'Công trình'!C34</f>
        <v>Bê tông dầm, giằng đá 1x2, vữa BT mác 200</v>
      </c>
      <c r="E762" s="168"/>
      <c r="F762" s="20">
        <v>1</v>
      </c>
      <c r="G762" s="169"/>
      <c r="H762" s="45">
        <f>'Hao phí vật tư'!J247</f>
        <v>2972.4180000000001</v>
      </c>
      <c r="I762" s="166"/>
      <c r="J762" s="156">
        <f>ROUND(H762*I721,2)</f>
        <v>4470516.67</v>
      </c>
      <c r="K762" s="166"/>
      <c r="L762" s="156">
        <f>ROUND(H762*K721,2)</f>
        <v>4497268.43</v>
      </c>
      <c r="M762" s="34"/>
      <c r="N762" s="166"/>
      <c r="O762" s="156">
        <f>ROUND(H762*N721,2)</f>
        <v>0</v>
      </c>
      <c r="P762" s="166"/>
      <c r="Q762" s="156">
        <f>ROUND(H762*P721,2)</f>
        <v>0</v>
      </c>
      <c r="R762" s="166"/>
      <c r="S762" s="156">
        <f>ROUND(H762*R721,2)</f>
        <v>0</v>
      </c>
      <c r="T762" s="34"/>
      <c r="U762" s="34"/>
      <c r="V762" s="166"/>
      <c r="W762" s="166"/>
      <c r="X762" s="166"/>
      <c r="Y762" s="156">
        <f>ROUND(H762*X721,2)</f>
        <v>26751.759999999998</v>
      </c>
      <c r="Z762" s="166"/>
      <c r="AA762" s="156">
        <f>ROUND(H762*Z721,2)</f>
        <v>26751.759999999998</v>
      </c>
      <c r="AB762" s="156">
        <f>ROUND(H762*W721,2)</f>
        <v>4497268.43</v>
      </c>
    </row>
    <row r="763" spans="1:28" x14ac:dyDescent="0.25">
      <c r="A763" s="168">
        <v>110</v>
      </c>
      <c r="B763" s="84" t="s">
        <v>657</v>
      </c>
      <c r="C763" s="34">
        <v>442</v>
      </c>
      <c r="D763" s="144" t="s">
        <v>467</v>
      </c>
      <c r="E763" s="168" t="s">
        <v>555</v>
      </c>
      <c r="F763" s="34"/>
      <c r="G763" s="169"/>
      <c r="H763" s="60">
        <f>SUM(H764:H765)</f>
        <v>9886.7929999999997</v>
      </c>
      <c r="I763" s="166">
        <v>1504</v>
      </c>
      <c r="J763" s="166">
        <f>ROUND(H763*I763,0)</f>
        <v>14869737</v>
      </c>
      <c r="K763" s="156">
        <f>'Tổng hợp VL,NC,M'!I807</f>
        <v>1513</v>
      </c>
      <c r="L763" s="166">
        <f>ROUND(H763*K763,0)</f>
        <v>14958718</v>
      </c>
      <c r="M763" s="34">
        <v>1</v>
      </c>
      <c r="N763" s="166"/>
      <c r="O763" s="166">
        <f>ROUND(H763*N763,0)</f>
        <v>0</v>
      </c>
      <c r="P763" s="166"/>
      <c r="Q763" s="166">
        <f>ROUND(H763*P763,0)</f>
        <v>0</v>
      </c>
      <c r="R763" s="166"/>
      <c r="S763" s="166">
        <f>ROUND(H763*R763,0)</f>
        <v>0</v>
      </c>
      <c r="T763" s="34"/>
      <c r="U763" s="34"/>
      <c r="V763" s="166">
        <f>ROUND((K763+N763+P763+R763)*(U763+T763),0)</f>
        <v>0</v>
      </c>
      <c r="W763" s="156">
        <f>K763+N763+P763+R763+V763</f>
        <v>1513</v>
      </c>
      <c r="X763" s="166">
        <f>K763-I763</f>
        <v>9</v>
      </c>
      <c r="Y763" s="166">
        <f>ROUND(H763*X763,0)</f>
        <v>88981</v>
      </c>
      <c r="Z763" s="166">
        <f>W763-I763</f>
        <v>9</v>
      </c>
      <c r="AA763" s="166">
        <f>ROUND(H763*Z763,0)</f>
        <v>88981</v>
      </c>
      <c r="AB763" s="166">
        <f>ROUND(H763*W763,0)</f>
        <v>14958718</v>
      </c>
    </row>
    <row r="764" spans="1:28" hidden="1" x14ac:dyDescent="0.25">
      <c r="A764" s="168"/>
      <c r="B764" s="133" t="str">
        <f>'Công trình'!B217</f>
        <v>AF.11215</v>
      </c>
      <c r="C764" s="34"/>
      <c r="D764" s="133" t="str">
        <f>'Công trình'!C217</f>
        <v>BT M300 đổ sau có phụ gia</v>
      </c>
      <c r="E764" s="168"/>
      <c r="F764" s="20">
        <v>1</v>
      </c>
      <c r="G764" s="169"/>
      <c r="H764" s="45">
        <f>'Hao phí vật tư'!J1632</f>
        <v>454.03399999999999</v>
      </c>
      <c r="I764" s="166"/>
      <c r="J764" s="156">
        <f>ROUND(H764*I763,2)</f>
        <v>682867.14</v>
      </c>
      <c r="K764" s="166"/>
      <c r="L764" s="156">
        <f>ROUND(H764*K763,2)</f>
        <v>686953.44</v>
      </c>
      <c r="M764" s="34"/>
      <c r="N764" s="166"/>
      <c r="O764" s="156">
        <f>ROUND(H764*N763,2)</f>
        <v>0</v>
      </c>
      <c r="P764" s="166"/>
      <c r="Q764" s="156">
        <f>ROUND(H764*P763,2)</f>
        <v>0</v>
      </c>
      <c r="R764" s="166"/>
      <c r="S764" s="156">
        <f>ROUND(H764*R763,2)</f>
        <v>0</v>
      </c>
      <c r="T764" s="34"/>
      <c r="U764" s="34"/>
      <c r="V764" s="166"/>
      <c r="W764" s="166"/>
      <c r="X764" s="166"/>
      <c r="Y764" s="156">
        <f>ROUND(H764*X763,2)</f>
        <v>4086.31</v>
      </c>
      <c r="Z764" s="166"/>
      <c r="AA764" s="156">
        <f>ROUND(H764*Z763,2)</f>
        <v>4086.31</v>
      </c>
      <c r="AB764" s="156">
        <f>ROUND(H764*W763,2)</f>
        <v>686953.44</v>
      </c>
    </row>
    <row r="765" spans="1:28" hidden="1" x14ac:dyDescent="0.25">
      <c r="A765" s="168"/>
      <c r="B765" s="133" t="str">
        <f>'Công trình'!B198</f>
        <v>TT</v>
      </c>
      <c r="C765" s="34"/>
      <c r="D765" s="133" t="str">
        <f>'Công trình'!C198</f>
        <v>Vữa xi măng dày 7cm, vữa XM mác 400</v>
      </c>
      <c r="E765" s="168"/>
      <c r="F765" s="20">
        <v>1</v>
      </c>
      <c r="G765" s="169"/>
      <c r="H765" s="45">
        <f>'Hao phí vật tư'!J1525</f>
        <v>9432.759</v>
      </c>
      <c r="I765" s="166"/>
      <c r="J765" s="156">
        <f>ROUND(H765*I763,2)</f>
        <v>14186869.539999999</v>
      </c>
      <c r="K765" s="166"/>
      <c r="L765" s="156">
        <f>ROUND(H765*K763,2)</f>
        <v>14271764.369999999</v>
      </c>
      <c r="M765" s="34"/>
      <c r="N765" s="166"/>
      <c r="O765" s="156">
        <f>ROUND(H765*N763,2)</f>
        <v>0</v>
      </c>
      <c r="P765" s="166"/>
      <c r="Q765" s="156">
        <f>ROUND(H765*P763,2)</f>
        <v>0</v>
      </c>
      <c r="R765" s="166"/>
      <c r="S765" s="156">
        <f>ROUND(H765*R763,2)</f>
        <v>0</v>
      </c>
      <c r="T765" s="34"/>
      <c r="U765" s="34"/>
      <c r="V765" s="166"/>
      <c r="W765" s="166"/>
      <c r="X765" s="166"/>
      <c r="Y765" s="156">
        <f>ROUND(H765*X763,2)</f>
        <v>84894.83</v>
      </c>
      <c r="Z765" s="166"/>
      <c r="AA765" s="156">
        <f>ROUND(H765*Z763,2)</f>
        <v>84894.83</v>
      </c>
      <c r="AB765" s="156">
        <f>ROUND(H765*W763,2)</f>
        <v>14271764.369999999</v>
      </c>
    </row>
    <row r="766" spans="1:28" x14ac:dyDescent="0.25">
      <c r="A766" s="168">
        <v>111</v>
      </c>
      <c r="B766" s="84" t="s">
        <v>629</v>
      </c>
      <c r="C766" s="34">
        <v>179</v>
      </c>
      <c r="D766" s="144" t="s">
        <v>392</v>
      </c>
      <c r="E766" s="7" t="s">
        <v>584</v>
      </c>
      <c r="F766" s="34"/>
      <c r="G766" s="169"/>
      <c r="H766" s="60"/>
      <c r="I766" s="166"/>
      <c r="J766" s="166">
        <f>ROUND(SUM(J767:J908),0)</f>
        <v>153216971</v>
      </c>
      <c r="K766" s="166"/>
      <c r="L766" s="166">
        <f>ROUND(SUM(L767:L908),0)</f>
        <v>155786258</v>
      </c>
      <c r="M766" s="34">
        <v>1</v>
      </c>
      <c r="N766" s="166"/>
      <c r="O766" s="166">
        <f>ROUND(SUM(O767:O908),0)</f>
        <v>0</v>
      </c>
      <c r="P766" s="166"/>
      <c r="Q766" s="166">
        <f>ROUND(SUM(Q767:Q908),0)</f>
        <v>0</v>
      </c>
      <c r="R766" s="166"/>
      <c r="S766" s="166">
        <f>ROUND(SUM(S767:S908),0)</f>
        <v>0</v>
      </c>
      <c r="T766" s="34"/>
      <c r="U766" s="34"/>
      <c r="V766" s="166">
        <f>ROUND((K766+N766+P766+R766)*(U766+T766),0)</f>
        <v>0</v>
      </c>
      <c r="W766" s="166">
        <f>K766+N766+P766+R766+V766</f>
        <v>0</v>
      </c>
      <c r="X766" s="166"/>
      <c r="Y766" s="166">
        <f>ROUND(SUM(Y767:Y908),0)</f>
        <v>2569286</v>
      </c>
      <c r="Z766" s="166"/>
      <c r="AA766" s="166">
        <f>ROUND(SUM(AA767:AA908),0)</f>
        <v>2569286</v>
      </c>
      <c r="AB766" s="166">
        <f>ROUND(SUM(AB767:AB908),0)</f>
        <v>155786258</v>
      </c>
    </row>
    <row r="767" spans="1:28" ht="30" hidden="1" x14ac:dyDescent="0.25">
      <c r="A767" s="168"/>
      <c r="B767" s="133" t="str">
        <f>'Công trình'!B15</f>
        <v>AF.82511</v>
      </c>
      <c r="C767" s="34"/>
      <c r="D767" s="133" t="str">
        <f>'Công trình'!C15</f>
        <v>Sản xuất, lắp dựng, tháo dỡ ván khuôn thép, ván khuôn móng</v>
      </c>
      <c r="E767" s="168"/>
      <c r="F767" s="20">
        <v>1</v>
      </c>
      <c r="G767" s="169"/>
      <c r="H767" s="45">
        <f>'Hao phí vật tư'!G105</f>
        <v>10</v>
      </c>
      <c r="I767" s="166"/>
      <c r="J767" s="156">
        <f>ROUND((J557+J607)*H767/100,2)</f>
        <v>58124.27</v>
      </c>
      <c r="K767" s="166"/>
      <c r="L767" s="156">
        <f>ROUND((L557+L607)*H767/100,2)</f>
        <v>49294.43</v>
      </c>
      <c r="M767" s="34"/>
      <c r="N767" s="166"/>
      <c r="O767" s="156">
        <f>ROUND((O557+O607)*H767/100,2)</f>
        <v>0</v>
      </c>
      <c r="P767" s="166"/>
      <c r="Q767" s="156">
        <f>ROUND((Q557+Q607)*H767/100,2)</f>
        <v>0</v>
      </c>
      <c r="R767" s="166"/>
      <c r="S767" s="156">
        <f>ROUND((S557+S607)*H767/100,2)</f>
        <v>0</v>
      </c>
      <c r="T767" s="34"/>
      <c r="U767" s="34"/>
      <c r="V767" s="166"/>
      <c r="W767" s="166"/>
      <c r="X767" s="166"/>
      <c r="Y767" s="156">
        <f>ROUND((Y557+Y607)*H767/100,2)</f>
        <v>-8829.84</v>
      </c>
      <c r="Z767" s="166"/>
      <c r="AA767" s="156">
        <f>ROUND((AA557+AA607)*H767/100,2)</f>
        <v>-8829.84</v>
      </c>
      <c r="AB767" s="156">
        <f>ROUND((AB557+AB607)*H767/100,2)</f>
        <v>49294.43</v>
      </c>
    </row>
    <row r="768" spans="1:28" ht="30" hidden="1" x14ac:dyDescent="0.25">
      <c r="A768" s="168"/>
      <c r="B768" s="133" t="str">
        <f>'Công trình'!B16</f>
        <v>AF.82111</v>
      </c>
      <c r="C768" s="34"/>
      <c r="D768" s="133" t="str">
        <f>'Công trình'!C16</f>
        <v>Sản xuất, lắp dựng tháo dỡ ván khuôn thép tường, chiều cao &lt;=16m</v>
      </c>
      <c r="E768" s="168"/>
      <c r="F768" s="20">
        <v>1</v>
      </c>
      <c r="G768" s="169"/>
      <c r="H768" s="45">
        <f>'Hao phí vật tư'!G114</f>
        <v>5</v>
      </c>
      <c r="I768" s="166"/>
      <c r="J768" s="156">
        <f>ROUND((J295+J455+J558+J608)*H768/100,2)</f>
        <v>646424.99</v>
      </c>
      <c r="K768" s="166"/>
      <c r="L768" s="156">
        <f>ROUND((L295+L455+L558+L608)*H768/100,2)</f>
        <v>559870.79</v>
      </c>
      <c r="M768" s="34"/>
      <c r="N768" s="166"/>
      <c r="O768" s="156">
        <f>ROUND((O295+O455+O558+O608)*H768/100,2)</f>
        <v>0</v>
      </c>
      <c r="P768" s="166"/>
      <c r="Q768" s="156">
        <f>ROUND((Q295+Q455+Q558+Q608)*H768/100,2)</f>
        <v>0</v>
      </c>
      <c r="R768" s="166"/>
      <c r="S768" s="156">
        <f>ROUND((S295+S455+S558+S608)*H768/100,2)</f>
        <v>0</v>
      </c>
      <c r="T768" s="34"/>
      <c r="U768" s="34"/>
      <c r="V768" s="166"/>
      <c r="W768" s="166"/>
      <c r="X768" s="166"/>
      <c r="Y768" s="156">
        <f>ROUND((Y295+Y455+Y558+Y608)*H768/100,2)</f>
        <v>-86554.2</v>
      </c>
      <c r="Z768" s="166"/>
      <c r="AA768" s="156">
        <f>ROUND((AA295+AA455+AA558+AA608)*H768/100,2)</f>
        <v>-86554.2</v>
      </c>
      <c r="AB768" s="156">
        <f>ROUND((AB295+AB455+AB558+AB608)*H768/100,2)</f>
        <v>559870.79</v>
      </c>
    </row>
    <row r="769" spans="1:28" ht="30" hidden="1" x14ac:dyDescent="0.25">
      <c r="A769" s="168"/>
      <c r="B769" s="133" t="str">
        <f>'Công trình'!B18</f>
        <v>AF.12314</v>
      </c>
      <c r="C769" s="34"/>
      <c r="D769" s="133" t="str">
        <f>'Công trình'!C18</f>
        <v>Bê tông xà dầm, giằng nhà đá 1x2, vữa BT mác 250</v>
      </c>
      <c r="E769" s="168"/>
      <c r="F769" s="20">
        <v>1</v>
      </c>
      <c r="G769" s="169"/>
      <c r="H769" s="45">
        <f>'Hao phí vật tư'!G127</f>
        <v>1</v>
      </c>
      <c r="I769" s="166"/>
      <c r="J769" s="156">
        <f>ROUND((J55+J143+J354+J722)*H769/100,2)</f>
        <v>572931.64</v>
      </c>
      <c r="K769" s="166"/>
      <c r="L769" s="156">
        <f>ROUND((L55+L143+L354+L722)*H769/100,2)</f>
        <v>673631.24</v>
      </c>
      <c r="M769" s="34"/>
      <c r="N769" s="166"/>
      <c r="O769" s="156">
        <f>ROUND((O55+O143+O354+O722)*H769/100,2)</f>
        <v>0</v>
      </c>
      <c r="P769" s="166"/>
      <c r="Q769" s="156">
        <f>ROUND((Q55+Q143+Q354+Q722)*H769/100,2)</f>
        <v>0</v>
      </c>
      <c r="R769" s="166"/>
      <c r="S769" s="156">
        <f>ROUND((S55+S143+S354+S722)*H769/100,2)</f>
        <v>0</v>
      </c>
      <c r="T769" s="34"/>
      <c r="U769" s="34"/>
      <c r="V769" s="166"/>
      <c r="W769" s="166"/>
      <c r="X769" s="166"/>
      <c r="Y769" s="156">
        <f>ROUND((Y55+Y143+Y354+Y722)*H769/100,2)</f>
        <v>100699.6</v>
      </c>
      <c r="Z769" s="166"/>
      <c r="AA769" s="156">
        <f>ROUND((AA55+AA143+AA354+AA722)*H769/100,2)</f>
        <v>100699.6</v>
      </c>
      <c r="AB769" s="156">
        <f>ROUND((AB55+AB143+AB354+AB722)*H769/100,2)</f>
        <v>673631.24</v>
      </c>
    </row>
    <row r="770" spans="1:28" ht="30" hidden="1" x14ac:dyDescent="0.25">
      <c r="A770" s="168"/>
      <c r="B770" s="133" t="str">
        <f>'Công trình'!B19</f>
        <v>AF.82111</v>
      </c>
      <c r="C770" s="34"/>
      <c r="D770" s="133" t="str">
        <f>'Công trình'!C19</f>
        <v>Sản xuất, lắp dựng tháo dỡ ván khuôn thép dầm, giằng, chiều cao &lt;=16m</v>
      </c>
      <c r="E770" s="168"/>
      <c r="F770" s="20">
        <v>1</v>
      </c>
      <c r="G770" s="169"/>
      <c r="H770" s="45">
        <f>'Hao phí vật tư'!G140</f>
        <v>5</v>
      </c>
      <c r="I770" s="166"/>
      <c r="J770" s="156">
        <f>ROUND((J296+J456+J559+J609)*H770/100,2)</f>
        <v>588607.53</v>
      </c>
      <c r="K770" s="166"/>
      <c r="L770" s="156">
        <f>ROUND((L296+L456+L559+L609)*H770/100,2)</f>
        <v>509794.95</v>
      </c>
      <c r="M770" s="34"/>
      <c r="N770" s="166"/>
      <c r="O770" s="156">
        <f>ROUND((O296+O456+O559+O609)*H770/100,2)</f>
        <v>0</v>
      </c>
      <c r="P770" s="166"/>
      <c r="Q770" s="156">
        <f>ROUND((Q296+Q456+Q559+Q609)*H770/100,2)</f>
        <v>0</v>
      </c>
      <c r="R770" s="166"/>
      <c r="S770" s="156">
        <f>ROUND((S296+S456+S559+S609)*H770/100,2)</f>
        <v>0</v>
      </c>
      <c r="T770" s="34"/>
      <c r="U770" s="34"/>
      <c r="V770" s="166"/>
      <c r="W770" s="166"/>
      <c r="X770" s="166"/>
      <c r="Y770" s="156">
        <f>ROUND((Y296+Y456+Y559+Y609)*H770/100,2)</f>
        <v>-78812.58</v>
      </c>
      <c r="Z770" s="166"/>
      <c r="AA770" s="156">
        <f>ROUND((AA296+AA456+AA559+AA609)*H770/100,2)</f>
        <v>-78812.58</v>
      </c>
      <c r="AB770" s="156">
        <f>ROUND((AB296+AB456+AB559+AB609)*H770/100,2)</f>
        <v>509794.95</v>
      </c>
    </row>
    <row r="771" spans="1:28" ht="60" hidden="1" x14ac:dyDescent="0.25">
      <c r="A771" s="168"/>
      <c r="B771" s="133" t="str">
        <f>'Công trình'!B26</f>
        <v>AC.12412</v>
      </c>
      <c r="C771" s="34"/>
      <c r="D771" s="133" t="str">
        <f>'Công trình'!C26</f>
        <v>Đóng cọc cừ máng bê tông dự ứng lực trên cạn bằng búa rung kết hợp tách mũi nước áp lực SW600A, chiều cao máng cọc 60-84cm, L=18M</v>
      </c>
      <c r="E771" s="168"/>
      <c r="F771" s="20">
        <v>1</v>
      </c>
      <c r="G771" s="169"/>
      <c r="H771" s="45">
        <f>'Hao phí vật tư'!G185</f>
        <v>5</v>
      </c>
      <c r="I771" s="166"/>
      <c r="J771" s="156">
        <f>ROUND((J139+J424+J426+J546+J603)*H771/100,2)</f>
        <v>79252527.870000005</v>
      </c>
      <c r="K771" s="166"/>
      <c r="L771" s="156">
        <f>ROUND((L139+L424+L426+L546+L603)*H771/100,2)</f>
        <v>79252527.870000005</v>
      </c>
      <c r="M771" s="34"/>
      <c r="N771" s="166"/>
      <c r="O771" s="156">
        <f>ROUND((O139+O424+O426+O546+O603)*H771/100,2)</f>
        <v>0</v>
      </c>
      <c r="P771" s="166"/>
      <c r="Q771" s="156">
        <f>ROUND((Q139+Q424+Q426+Q546+Q603)*H771/100,2)</f>
        <v>0</v>
      </c>
      <c r="R771" s="166"/>
      <c r="S771" s="156">
        <f>ROUND((S139+S424+S426+S546+S603)*H771/100,2)</f>
        <v>0</v>
      </c>
      <c r="T771" s="34"/>
      <c r="U771" s="34"/>
      <c r="V771" s="166"/>
      <c r="W771" s="166"/>
      <c r="X771" s="166"/>
      <c r="Y771" s="156">
        <f>ROUND((Y139+Y424+Y426+Y546+Y603)*H771/100,2)</f>
        <v>0</v>
      </c>
      <c r="Z771" s="166"/>
      <c r="AA771" s="156">
        <f>ROUND((AA139+AA424+AA426+AA546+AA603)*H771/100,2)</f>
        <v>0</v>
      </c>
      <c r="AB771" s="156">
        <f>ROUND((AB139+AB424+AB426+AB546+AB603)*H771/100,2)</f>
        <v>79252527.870000005</v>
      </c>
    </row>
    <row r="772" spans="1:28" hidden="1" x14ac:dyDescent="0.25">
      <c r="A772" s="168"/>
      <c r="B772" s="133" t="str">
        <f>'Công trình'!B28</f>
        <v>AL.16122</v>
      </c>
      <c r="C772" s="34"/>
      <c r="D772" s="133" t="str">
        <f>'Công trình'!C28</f>
        <v>Rải vải địa kỹ thuật làm móng công trình</v>
      </c>
      <c r="E772" s="168"/>
      <c r="F772" s="20">
        <v>1</v>
      </c>
      <c r="G772" s="169"/>
      <c r="H772" s="45">
        <f>'Hao phí vật tư'!G196</f>
        <v>0.2</v>
      </c>
      <c r="I772" s="166"/>
      <c r="J772" s="156">
        <f>ROUND((J710)*H772/100,2)</f>
        <v>23522.400000000001</v>
      </c>
      <c r="K772" s="166"/>
      <c r="L772" s="156">
        <f>ROUND((L710)*H772/100,2)</f>
        <v>41907.29</v>
      </c>
      <c r="M772" s="34"/>
      <c r="N772" s="166"/>
      <c r="O772" s="156">
        <f>ROUND((O710)*H772/100,2)</f>
        <v>0</v>
      </c>
      <c r="P772" s="166"/>
      <c r="Q772" s="156">
        <f>ROUND((Q710)*H772/100,2)</f>
        <v>0</v>
      </c>
      <c r="R772" s="166"/>
      <c r="S772" s="156">
        <f>ROUND((S710)*H772/100,2)</f>
        <v>0</v>
      </c>
      <c r="T772" s="34"/>
      <c r="U772" s="34"/>
      <c r="V772" s="166"/>
      <c r="W772" s="166"/>
      <c r="X772" s="166"/>
      <c r="Y772" s="156">
        <f>ROUND((Y710)*H772/100,2)</f>
        <v>18384.89</v>
      </c>
      <c r="Z772" s="166"/>
      <c r="AA772" s="156">
        <f>ROUND((AA710)*H772/100,2)</f>
        <v>18384.89</v>
      </c>
      <c r="AB772" s="156">
        <f>ROUND((AB710)*H772/100,2)</f>
        <v>41907.29</v>
      </c>
    </row>
    <row r="773" spans="1:28" ht="30" hidden="1" x14ac:dyDescent="0.25">
      <c r="A773" s="168"/>
      <c r="B773" s="133" t="str">
        <f>'Công trình'!B30</f>
        <v>AF.12113</v>
      </c>
      <c r="C773" s="34"/>
      <c r="D773" s="133" t="str">
        <f>'Công trình'!C30</f>
        <v>Bê tông tường dày &lt;=45cm, chiều cao &lt;=4m đá 1x2, vữa BT mác 200</v>
      </c>
      <c r="E773" s="168"/>
      <c r="F773" s="20">
        <v>1</v>
      </c>
      <c r="G773" s="169"/>
      <c r="H773" s="45">
        <f>'Hao phí vật tư'!G208</f>
        <v>2</v>
      </c>
      <c r="I773" s="166"/>
      <c r="J773" s="156">
        <f>ROUND((J56+J144+J269+J276+J315+J355+J723)*H773/100,2)</f>
        <v>529540.18000000005</v>
      </c>
      <c r="K773" s="166"/>
      <c r="L773" s="156">
        <f>ROUND((L56+L144+L269+L276+L315+L355+L723)*H773/100,2)</f>
        <v>599144.31999999995</v>
      </c>
      <c r="M773" s="34"/>
      <c r="N773" s="166"/>
      <c r="O773" s="156">
        <f>ROUND((O56+O144+O269+O276+O315+O355+O723)*H773/100,2)</f>
        <v>0</v>
      </c>
      <c r="P773" s="166"/>
      <c r="Q773" s="156">
        <f>ROUND((Q56+Q144+Q269+Q276+Q315+Q355+Q723)*H773/100,2)</f>
        <v>0</v>
      </c>
      <c r="R773" s="166"/>
      <c r="S773" s="156">
        <f>ROUND((S56+S144+S269+S276+S315+S355+S723)*H773/100,2)</f>
        <v>0</v>
      </c>
      <c r="T773" s="34"/>
      <c r="U773" s="34"/>
      <c r="V773" s="166"/>
      <c r="W773" s="166"/>
      <c r="X773" s="166"/>
      <c r="Y773" s="156">
        <f>ROUND((Y56+Y144+Y269+Y276+Y315+Y355+Y723)*H773/100,2)</f>
        <v>69604.14</v>
      </c>
      <c r="Z773" s="166"/>
      <c r="AA773" s="156">
        <f>ROUND((AA56+AA144+AA269+AA276+AA315+AA355+AA723)*H773/100,2)</f>
        <v>69604.14</v>
      </c>
      <c r="AB773" s="156">
        <f>ROUND((AB56+AB144+AB269+AB276+AB315+AB355+AB723)*H773/100,2)</f>
        <v>599144.31999999995</v>
      </c>
    </row>
    <row r="774" spans="1:28" ht="30" hidden="1" x14ac:dyDescent="0.25">
      <c r="A774" s="168"/>
      <c r="B774" s="133" t="str">
        <f>'Công trình'!B31</f>
        <v>AF.82111</v>
      </c>
      <c r="C774" s="34"/>
      <c r="D774" s="133" t="str">
        <f>'Công trình'!C31</f>
        <v>Sản xuất, lắp dựng tháo dỡ ván khuôn thép tường, chiều cao &lt;=16m</v>
      </c>
      <c r="E774" s="168"/>
      <c r="F774" s="20">
        <v>1</v>
      </c>
      <c r="G774" s="169"/>
      <c r="H774" s="45">
        <f>'Hao phí vật tư'!G220</f>
        <v>5</v>
      </c>
      <c r="I774" s="166"/>
      <c r="J774" s="156">
        <f>ROUND((J297+J458+J560+J610)*H774/100,2)</f>
        <v>210143.42</v>
      </c>
      <c r="K774" s="166"/>
      <c r="L774" s="156">
        <f>ROUND((L297+L458+L560+L610)*H774/100,2)</f>
        <v>182005.98</v>
      </c>
      <c r="M774" s="34"/>
      <c r="N774" s="166"/>
      <c r="O774" s="156">
        <f>ROUND((O297+O458+O560+O610)*H774/100,2)</f>
        <v>0</v>
      </c>
      <c r="P774" s="166"/>
      <c r="Q774" s="156">
        <f>ROUND((Q297+Q458+Q560+Q610)*H774/100,2)</f>
        <v>0</v>
      </c>
      <c r="R774" s="166"/>
      <c r="S774" s="156">
        <f>ROUND((S297+S458+S560+S610)*H774/100,2)</f>
        <v>0</v>
      </c>
      <c r="T774" s="34"/>
      <c r="U774" s="34"/>
      <c r="V774" s="166"/>
      <c r="W774" s="166"/>
      <c r="X774" s="166"/>
      <c r="Y774" s="156">
        <f>ROUND((Y297+Y458+Y560+Y610)*H774/100,2)</f>
        <v>-28137.439999999999</v>
      </c>
      <c r="Z774" s="166"/>
      <c r="AA774" s="156">
        <f>ROUND((AA297+AA458+AA560+AA610)*H774/100,2)</f>
        <v>-28137.439999999999</v>
      </c>
      <c r="AB774" s="156">
        <f>ROUND((AB297+AB458+AB560+AB610)*H774/100,2)</f>
        <v>182005.98</v>
      </c>
    </row>
    <row r="775" spans="1:28" ht="30" hidden="1" x14ac:dyDescent="0.25">
      <c r="A775" s="168"/>
      <c r="B775" s="133" t="str">
        <f>'Công trình'!B39</f>
        <v>AI.13111</v>
      </c>
      <c r="C775" s="34"/>
      <c r="D775" s="133" t="str">
        <f>'Công trình'!C39</f>
        <v>Sản xuất cấu kiện thép đặt sẵn trong bê tông, khối lượng &lt;=10kg/cấu kiện</v>
      </c>
      <c r="E775" s="168"/>
      <c r="F775" s="20">
        <v>1</v>
      </c>
      <c r="G775" s="169"/>
      <c r="H775" s="45">
        <f>'Hao phí vật tư'!G297</f>
        <v>2.5</v>
      </c>
      <c r="I775" s="166"/>
      <c r="J775" s="156">
        <f>ROUND((J187+J201+J402+J460+J611+J685)*H775/100,2)</f>
        <v>4693.4399999999996</v>
      </c>
      <c r="K775" s="166"/>
      <c r="L775" s="156">
        <f>ROUND((L187+L201+L402+L460+L611+L685)*H775/100,2)</f>
        <v>3918.33</v>
      </c>
      <c r="M775" s="34"/>
      <c r="N775" s="166"/>
      <c r="O775" s="156">
        <f>ROUND((O187+O201+O402+O460+O611+O685)*H775/100,2)</f>
        <v>0</v>
      </c>
      <c r="P775" s="166"/>
      <c r="Q775" s="156">
        <f>ROUND((Q187+Q201+Q402+Q460+Q611+Q685)*H775/100,2)</f>
        <v>0</v>
      </c>
      <c r="R775" s="166"/>
      <c r="S775" s="156">
        <f>ROUND((S187+S201+S402+S460+S611+S685)*H775/100,2)</f>
        <v>0</v>
      </c>
      <c r="T775" s="34"/>
      <c r="U775" s="34"/>
      <c r="V775" s="166"/>
      <c r="W775" s="166"/>
      <c r="X775" s="166"/>
      <c r="Y775" s="156">
        <f>ROUND((Y187+Y201+Y402+Y460+Y611+Y685)*H775/100,2)</f>
        <v>-775.11</v>
      </c>
      <c r="Z775" s="166"/>
      <c r="AA775" s="156">
        <f>ROUND((AA187+AA201+AA402+AA460+AA611+AA685)*H775/100,2)</f>
        <v>-775.11</v>
      </c>
      <c r="AB775" s="156">
        <f>ROUND((AB187+AB201+AB402+AB460+AB611+AB685)*H775/100,2)</f>
        <v>3918.33</v>
      </c>
    </row>
    <row r="776" spans="1:28" ht="30" hidden="1" x14ac:dyDescent="0.25">
      <c r="A776" s="168"/>
      <c r="B776" s="133" t="str">
        <f>'Công trình'!B42</f>
        <v>AC.11121</v>
      </c>
      <c r="C776" s="34"/>
      <c r="D776" s="133" t="str">
        <f>'Công trình'!C42</f>
        <v>Đóng cọc tràm chiều dài cọc ngập đất &gt;2,5m đất cấp I</v>
      </c>
      <c r="E776" s="168"/>
      <c r="F776" s="20">
        <v>1</v>
      </c>
      <c r="G776" s="169"/>
      <c r="H776" s="45">
        <f>'Hao phí vật tư'!G316</f>
        <v>5</v>
      </c>
      <c r="I776" s="166"/>
      <c r="J776" s="156">
        <f>ROUND((J102+J125+J308)*H776/100,2)</f>
        <v>6473.93</v>
      </c>
      <c r="K776" s="166"/>
      <c r="L776" s="156">
        <f>ROUND((L102+L125+L308)*H776/100,2)</f>
        <v>9867.7900000000009</v>
      </c>
      <c r="M776" s="34"/>
      <c r="N776" s="166"/>
      <c r="O776" s="156">
        <f>ROUND((O102+O125+O308)*H776/100,2)</f>
        <v>0</v>
      </c>
      <c r="P776" s="166"/>
      <c r="Q776" s="156">
        <f>ROUND((Q102+Q125+Q308)*H776/100,2)</f>
        <v>0</v>
      </c>
      <c r="R776" s="166"/>
      <c r="S776" s="156">
        <f>ROUND((S102+S125+S308)*H776/100,2)</f>
        <v>0</v>
      </c>
      <c r="T776" s="34"/>
      <c r="U776" s="34"/>
      <c r="V776" s="166"/>
      <c r="W776" s="166"/>
      <c r="X776" s="166"/>
      <c r="Y776" s="156">
        <f>ROUND((Y102+Y125+Y308)*H776/100,2)</f>
        <v>3393.87</v>
      </c>
      <c r="Z776" s="166"/>
      <c r="AA776" s="156">
        <f>ROUND((AA102+AA125+AA308)*H776/100,2)</f>
        <v>3393.87</v>
      </c>
      <c r="AB776" s="156">
        <f>ROUND((AB102+AB125+AB308)*H776/100,2)</f>
        <v>9867.7900000000009</v>
      </c>
    </row>
    <row r="777" spans="1:28" ht="30" hidden="1" x14ac:dyDescent="0.25">
      <c r="A777" s="168"/>
      <c r="B777" s="133" t="str">
        <f>'Công trình'!B43</f>
        <v>AF.11212</v>
      </c>
      <c r="C777" s="34"/>
      <c r="D777" s="133" t="str">
        <f>'Công trình'!C43</f>
        <v>Bê tông móng rộng &lt;=250cm đá 1x2, vữa BT mác 150</v>
      </c>
      <c r="E777" s="168"/>
      <c r="F777" s="20">
        <v>1</v>
      </c>
      <c r="G777" s="169"/>
      <c r="H777" s="45">
        <f>'Hao phí vật tư'!G325</f>
        <v>1</v>
      </c>
      <c r="I777" s="166"/>
      <c r="J777" s="156">
        <f>ROUND((J57+J145+J356+J724)*H777/100,2)</f>
        <v>452.23</v>
      </c>
      <c r="K777" s="166"/>
      <c r="L777" s="156">
        <f>ROUND((L57+L145+L356+L724)*H777/100,2)</f>
        <v>550.11</v>
      </c>
      <c r="M777" s="34"/>
      <c r="N777" s="166"/>
      <c r="O777" s="156">
        <f>ROUND((O57+O145+O356+O724)*H777/100,2)</f>
        <v>0</v>
      </c>
      <c r="P777" s="166"/>
      <c r="Q777" s="156">
        <f>ROUND((Q57+Q145+Q356+Q724)*H777/100,2)</f>
        <v>0</v>
      </c>
      <c r="R777" s="166"/>
      <c r="S777" s="156">
        <f>ROUND((S57+S145+S356+S724)*H777/100,2)</f>
        <v>0</v>
      </c>
      <c r="T777" s="34"/>
      <c r="U777" s="34"/>
      <c r="V777" s="166"/>
      <c r="W777" s="166"/>
      <c r="X777" s="166"/>
      <c r="Y777" s="156">
        <f>ROUND((Y57+Y145+Y356+Y724)*H777/100,2)</f>
        <v>97.88</v>
      </c>
      <c r="Z777" s="166"/>
      <c r="AA777" s="156">
        <f>ROUND((AA57+AA145+AA356+AA724)*H777/100,2)</f>
        <v>97.88</v>
      </c>
      <c r="AB777" s="156">
        <f>ROUND((AB57+AB145+AB356+AB724)*H777/100,2)</f>
        <v>550.11</v>
      </c>
    </row>
    <row r="778" spans="1:28" ht="30" hidden="1" x14ac:dyDescent="0.25">
      <c r="A778" s="168"/>
      <c r="B778" s="133" t="str">
        <f>'Công trình'!B44</f>
        <v>AF.11213</v>
      </c>
      <c r="C778" s="34"/>
      <c r="D778" s="133" t="str">
        <f>'Công trình'!C44</f>
        <v>Bê tông móng rộng &lt;=250cm đá 1x2, vữa BT mác 200</v>
      </c>
      <c r="E778" s="168"/>
      <c r="F778" s="20">
        <v>1</v>
      </c>
      <c r="G778" s="169"/>
      <c r="H778" s="45">
        <f>'Hao phí vật tư'!G337</f>
        <v>1</v>
      </c>
      <c r="I778" s="166"/>
      <c r="J778" s="156">
        <f>ROUND((J58+J146+J357+J725)*H778/100,2)</f>
        <v>1640.69</v>
      </c>
      <c r="K778" s="166"/>
      <c r="L778" s="156">
        <f>ROUND((L58+L146+L357+L725)*H778/100,2)</f>
        <v>1959.31</v>
      </c>
      <c r="M778" s="34"/>
      <c r="N778" s="166"/>
      <c r="O778" s="156">
        <f>ROUND((O58+O146+O357+O725)*H778/100,2)</f>
        <v>0</v>
      </c>
      <c r="P778" s="166"/>
      <c r="Q778" s="156">
        <f>ROUND((Q58+Q146+Q357+Q725)*H778/100,2)</f>
        <v>0</v>
      </c>
      <c r="R778" s="166"/>
      <c r="S778" s="156">
        <f>ROUND((S58+S146+S357+S725)*H778/100,2)</f>
        <v>0</v>
      </c>
      <c r="T778" s="34"/>
      <c r="U778" s="34"/>
      <c r="V778" s="166"/>
      <c r="W778" s="166"/>
      <c r="X778" s="166"/>
      <c r="Y778" s="156">
        <f>ROUND((Y58+Y146+Y357+Y725)*H778/100,2)</f>
        <v>318.62</v>
      </c>
      <c r="Z778" s="166"/>
      <c r="AA778" s="156">
        <f>ROUND((AA58+AA146+AA357+AA725)*H778/100,2)</f>
        <v>318.62</v>
      </c>
      <c r="AB778" s="156">
        <f>ROUND((AB58+AB146+AB357+AB725)*H778/100,2)</f>
        <v>1959.31</v>
      </c>
    </row>
    <row r="779" spans="1:28" ht="30" hidden="1" x14ac:dyDescent="0.25">
      <c r="A779" s="168"/>
      <c r="B779" s="133" t="str">
        <f>'Công trình'!B45</f>
        <v>AK.84422</v>
      </c>
      <c r="C779" s="34"/>
      <c r="D779" s="133" t="str">
        <f>'Công trình'!C45</f>
        <v>Sơn dầm, trần, cột, tường 1 nước lót + 2 nước phủ bằng sơn ICI Dulux</v>
      </c>
      <c r="E779" s="168"/>
      <c r="F779" s="20">
        <v>1</v>
      </c>
      <c r="G779" s="169"/>
      <c r="H779" s="45">
        <f>'Hao phí vật tư'!G347</f>
        <v>1</v>
      </c>
      <c r="I779" s="166"/>
      <c r="J779" s="156">
        <f>ROUND((J534+J536)*H779/100,2)</f>
        <v>634.26</v>
      </c>
      <c r="K779" s="166"/>
      <c r="L779" s="156">
        <f>ROUND((L534+L536)*H779/100,2)</f>
        <v>634.26</v>
      </c>
      <c r="M779" s="34"/>
      <c r="N779" s="166"/>
      <c r="O779" s="156">
        <f>ROUND((O534+O536)*H779/100,2)</f>
        <v>0</v>
      </c>
      <c r="P779" s="166"/>
      <c r="Q779" s="156">
        <f>ROUND((Q534+Q536)*H779/100,2)</f>
        <v>0</v>
      </c>
      <c r="R779" s="166"/>
      <c r="S779" s="156">
        <f>ROUND((S534+S536)*H779/100,2)</f>
        <v>0</v>
      </c>
      <c r="T779" s="34"/>
      <c r="U779" s="34"/>
      <c r="V779" s="166"/>
      <c r="W779" s="166"/>
      <c r="X779" s="166"/>
      <c r="Y779" s="156">
        <f>ROUND((Y534+Y536)*H779/100,2)</f>
        <v>0</v>
      </c>
      <c r="Z779" s="166"/>
      <c r="AA779" s="156">
        <f>ROUND((AA534+AA536)*H779/100,2)</f>
        <v>0</v>
      </c>
      <c r="AB779" s="156">
        <f>ROUND((AB534+AB536)*H779/100,2)</f>
        <v>634.26</v>
      </c>
    </row>
    <row r="780" spans="1:28" hidden="1" x14ac:dyDescent="0.25">
      <c r="A780" s="168"/>
      <c r="B780" s="133" t="str">
        <f>'Công trình'!B49</f>
        <v>AL.16122</v>
      </c>
      <c r="C780" s="34"/>
      <c r="D780" s="133" t="str">
        <f>'Công trình'!C49</f>
        <v>Rải vải địa kỹ thuật làm móng công trình</v>
      </c>
      <c r="E780" s="168"/>
      <c r="F780" s="20">
        <v>1</v>
      </c>
      <c r="G780" s="169"/>
      <c r="H780" s="45">
        <f>'Hao phí vật tư'!G365</f>
        <v>0.2</v>
      </c>
      <c r="I780" s="166"/>
      <c r="J780" s="156">
        <f>ROUND((J711)*H780/100,2)</f>
        <v>69091.100000000006</v>
      </c>
      <c r="K780" s="166"/>
      <c r="L780" s="156">
        <f>ROUND((L711)*H780/100,2)</f>
        <v>123092.07</v>
      </c>
      <c r="M780" s="34"/>
      <c r="N780" s="166"/>
      <c r="O780" s="156">
        <f>ROUND((O711)*H780/100,2)</f>
        <v>0</v>
      </c>
      <c r="P780" s="166"/>
      <c r="Q780" s="156">
        <f>ROUND((Q711)*H780/100,2)</f>
        <v>0</v>
      </c>
      <c r="R780" s="166"/>
      <c r="S780" s="156">
        <f>ROUND((S711)*H780/100,2)</f>
        <v>0</v>
      </c>
      <c r="T780" s="34"/>
      <c r="U780" s="34"/>
      <c r="V780" s="166"/>
      <c r="W780" s="166"/>
      <c r="X780" s="166"/>
      <c r="Y780" s="156">
        <f>ROUND((Y711)*H780/100,2)</f>
        <v>54000.97</v>
      </c>
      <c r="Z780" s="166"/>
      <c r="AA780" s="156">
        <f>ROUND((AA711)*H780/100,2)</f>
        <v>54000.97</v>
      </c>
      <c r="AB780" s="156">
        <f>ROUND((AB711)*H780/100,2)</f>
        <v>123092.07</v>
      </c>
    </row>
    <row r="781" spans="1:28" ht="30" hidden="1" x14ac:dyDescent="0.25">
      <c r="A781" s="168"/>
      <c r="B781" s="133" t="str">
        <f>'Công trình'!B50</f>
        <v>AC.11121</v>
      </c>
      <c r="C781" s="34"/>
      <c r="D781" s="133" t="str">
        <f>'Công trình'!C50</f>
        <v>Đóng cọc tràm chiều dài cọc ngập đất &gt;2,5m đất cấp I</v>
      </c>
      <c r="E781" s="168"/>
      <c r="F781" s="20">
        <v>1</v>
      </c>
      <c r="G781" s="169"/>
      <c r="H781" s="45">
        <f>'Hao phí vật tư'!G373</f>
        <v>5</v>
      </c>
      <c r="I781" s="166"/>
      <c r="J781" s="156">
        <f>ROUND((J103+J126+J309)*H781/100,2)</f>
        <v>3207839.4</v>
      </c>
      <c r="K781" s="166"/>
      <c r="L781" s="156">
        <f>ROUND((L103+L126+L309)*H781/100,2)</f>
        <v>4889499.26</v>
      </c>
      <c r="M781" s="34"/>
      <c r="N781" s="166"/>
      <c r="O781" s="156">
        <f>ROUND((O103+O126+O309)*H781/100,2)</f>
        <v>0</v>
      </c>
      <c r="P781" s="166"/>
      <c r="Q781" s="156">
        <f>ROUND((Q103+Q126+Q309)*H781/100,2)</f>
        <v>0</v>
      </c>
      <c r="R781" s="166"/>
      <c r="S781" s="156">
        <f>ROUND((S103+S126+S309)*H781/100,2)</f>
        <v>0</v>
      </c>
      <c r="T781" s="34"/>
      <c r="U781" s="34"/>
      <c r="V781" s="166"/>
      <c r="W781" s="166"/>
      <c r="X781" s="166"/>
      <c r="Y781" s="156">
        <f>ROUND((Y103+Y126+Y309)*H781/100,2)</f>
        <v>1681659.86</v>
      </c>
      <c r="Z781" s="166"/>
      <c r="AA781" s="156">
        <f>ROUND((AA103+AA126+AA309)*H781/100,2)</f>
        <v>1681659.86</v>
      </c>
      <c r="AB781" s="156">
        <f>ROUND((AB103+AB126+AB309)*H781/100,2)</f>
        <v>4889499.26</v>
      </c>
    </row>
    <row r="782" spans="1:28" ht="30" hidden="1" x14ac:dyDescent="0.25">
      <c r="A782" s="168"/>
      <c r="B782" s="133" t="str">
        <f>'Công trình'!B52</f>
        <v>AG.11412</v>
      </c>
      <c r="C782" s="34"/>
      <c r="D782" s="133" t="str">
        <f>'Công trình'!C52</f>
        <v>Sản xuất bê tông tấm BT tự chèn đúc sẵn đá 1x2, vữa BT mác 150</v>
      </c>
      <c r="E782" s="168"/>
      <c r="F782" s="20">
        <v>1</v>
      </c>
      <c r="G782" s="169"/>
      <c r="H782" s="45">
        <f>'Hao phí vật tư'!G382</f>
        <v>0.5</v>
      </c>
      <c r="I782" s="166"/>
      <c r="J782" s="156">
        <f>ROUND((J59+J147+J358+J726)*H782/100,2)</f>
        <v>342660.48</v>
      </c>
      <c r="K782" s="166"/>
      <c r="L782" s="156">
        <f>ROUND((L59+L147+L358+L726)*H782/100,2)</f>
        <v>416787.99</v>
      </c>
      <c r="M782" s="34"/>
      <c r="N782" s="166"/>
      <c r="O782" s="156">
        <f>ROUND((O59+O147+O358+O726)*H782/100,2)</f>
        <v>0</v>
      </c>
      <c r="P782" s="166"/>
      <c r="Q782" s="156">
        <f>ROUND((Q59+Q147+Q358+Q726)*H782/100,2)</f>
        <v>0</v>
      </c>
      <c r="R782" s="166"/>
      <c r="S782" s="156">
        <f>ROUND((S59+S147+S358+S726)*H782/100,2)</f>
        <v>0</v>
      </c>
      <c r="T782" s="34"/>
      <c r="U782" s="34"/>
      <c r="V782" s="166"/>
      <c r="W782" s="166"/>
      <c r="X782" s="166"/>
      <c r="Y782" s="156">
        <f>ROUND((Y59+Y147+Y358+Y726)*H782/100,2)</f>
        <v>74127.509999999995</v>
      </c>
      <c r="Z782" s="166"/>
      <c r="AA782" s="156">
        <f>ROUND((AA59+AA147+AA358+AA726)*H782/100,2)</f>
        <v>74127.509999999995</v>
      </c>
      <c r="AB782" s="156">
        <f>ROUND((AB59+AB147+AB358+AB726)*H782/100,2)</f>
        <v>416787.99</v>
      </c>
    </row>
    <row r="783" spans="1:28" hidden="1" x14ac:dyDescent="0.25">
      <c r="A783" s="168"/>
      <c r="B783" s="133" t="str">
        <f>'Công trình'!B53</f>
        <v>AL.16122</v>
      </c>
      <c r="C783" s="34"/>
      <c r="D783" s="133" t="str">
        <f>'Công trình'!C53</f>
        <v>Rải vải địa kỹ thuật làm móng công trình</v>
      </c>
      <c r="E783" s="168"/>
      <c r="F783" s="20">
        <v>1</v>
      </c>
      <c r="G783" s="169"/>
      <c r="H783" s="45">
        <f>'Hao phí vật tư'!G390</f>
        <v>0.2</v>
      </c>
      <c r="I783" s="166"/>
      <c r="J783" s="156">
        <f>ROUND((J712)*H783/100,2)</f>
        <v>22219.38</v>
      </c>
      <c r="K783" s="166"/>
      <c r="L783" s="156">
        <f>ROUND((L712)*H783/100,2)</f>
        <v>39585.839999999997</v>
      </c>
      <c r="M783" s="34"/>
      <c r="N783" s="166"/>
      <c r="O783" s="156">
        <f>ROUND((O712)*H783/100,2)</f>
        <v>0</v>
      </c>
      <c r="P783" s="166"/>
      <c r="Q783" s="156">
        <f>ROUND((Q712)*H783/100,2)</f>
        <v>0</v>
      </c>
      <c r="R783" s="166"/>
      <c r="S783" s="156">
        <f>ROUND((S712)*H783/100,2)</f>
        <v>0</v>
      </c>
      <c r="T783" s="34"/>
      <c r="U783" s="34"/>
      <c r="V783" s="166"/>
      <c r="W783" s="166"/>
      <c r="X783" s="166"/>
      <c r="Y783" s="156">
        <f>ROUND((Y712)*H783/100,2)</f>
        <v>17366.46</v>
      </c>
      <c r="Z783" s="166"/>
      <c r="AA783" s="156">
        <f>ROUND((AA712)*H783/100,2)</f>
        <v>17366.46</v>
      </c>
      <c r="AB783" s="156">
        <f>ROUND((AB712)*H783/100,2)</f>
        <v>39585.839999999997</v>
      </c>
    </row>
    <row r="784" spans="1:28" hidden="1" x14ac:dyDescent="0.25">
      <c r="A784" s="168"/>
      <c r="B784" s="133" t="str">
        <f>'Công trình'!B54</f>
        <v>AB.13411</v>
      </c>
      <c r="C784" s="34"/>
      <c r="D784" s="133" t="str">
        <f>'Công trình'!C54</f>
        <v>Đắp cát nền móng công trình</v>
      </c>
      <c r="E784" s="168"/>
      <c r="F784" s="20">
        <v>1</v>
      </c>
      <c r="G784" s="169"/>
      <c r="H784" s="45">
        <f>'Hao phí vật tư'!G396</f>
        <v>2</v>
      </c>
      <c r="I784" s="166"/>
      <c r="J784" s="156">
        <f>ROUND((J53)*H784/100,2)</f>
        <v>130696.16</v>
      </c>
      <c r="K784" s="166"/>
      <c r="L784" s="156">
        <f>ROUND((L53)*H784/100,2)</f>
        <v>392088.48</v>
      </c>
      <c r="M784" s="34"/>
      <c r="N784" s="166"/>
      <c r="O784" s="156">
        <f>ROUND((O53)*H784/100,2)</f>
        <v>0</v>
      </c>
      <c r="P784" s="166"/>
      <c r="Q784" s="156">
        <f>ROUND((Q53)*H784/100,2)</f>
        <v>0</v>
      </c>
      <c r="R784" s="166"/>
      <c r="S784" s="156">
        <f>ROUND((S53)*H784/100,2)</f>
        <v>0</v>
      </c>
      <c r="T784" s="34"/>
      <c r="U784" s="34"/>
      <c r="V784" s="166"/>
      <c r="W784" s="166"/>
      <c r="X784" s="166"/>
      <c r="Y784" s="156">
        <f>ROUND((Y53)*H784/100,2)</f>
        <v>261392.32</v>
      </c>
      <c r="Z784" s="166"/>
      <c r="AA784" s="156">
        <f>ROUND((AA53)*H784/100,2)</f>
        <v>261392.32</v>
      </c>
      <c r="AB784" s="156">
        <f>ROUND((AB53)*H784/100,2)</f>
        <v>392088.48</v>
      </c>
    </row>
    <row r="785" spans="1:28" ht="30" hidden="1" x14ac:dyDescent="0.25">
      <c r="A785" s="168"/>
      <c r="B785" s="133" t="str">
        <f>'Công trình'!B55</f>
        <v>AG.42111</v>
      </c>
      <c r="C785" s="34"/>
      <c r="D785" s="133" t="str">
        <f>'Công trình'!C55</f>
        <v>Lắp các loại cấu kiện BT đúc sẵn bằng thủ công trọng lượng &lt;=50kg, vữa XM mác 100</v>
      </c>
      <c r="E785" s="168"/>
      <c r="F785" s="20">
        <v>1</v>
      </c>
      <c r="G785" s="169"/>
      <c r="H785" s="45">
        <f>'Hao phí vật tư'!G404</f>
        <v>10</v>
      </c>
      <c r="I785" s="166"/>
      <c r="J785" s="156">
        <f>ROUND((J60+J359+J727)*H785/100,2)</f>
        <v>1001824.72</v>
      </c>
      <c r="K785" s="166"/>
      <c r="L785" s="156">
        <f>ROUND((L60+L359+L727)*H785/100,2)</f>
        <v>1324502.6200000001</v>
      </c>
      <c r="M785" s="34"/>
      <c r="N785" s="166"/>
      <c r="O785" s="156">
        <f>ROUND((O60+O359+O727)*H785/100,2)</f>
        <v>0</v>
      </c>
      <c r="P785" s="166"/>
      <c r="Q785" s="156">
        <f>ROUND((Q60+Q359+Q727)*H785/100,2)</f>
        <v>0</v>
      </c>
      <c r="R785" s="166"/>
      <c r="S785" s="156">
        <f>ROUND((S60+S359+S727)*H785/100,2)</f>
        <v>0</v>
      </c>
      <c r="T785" s="34"/>
      <c r="U785" s="34"/>
      <c r="V785" s="166"/>
      <c r="W785" s="166"/>
      <c r="X785" s="166"/>
      <c r="Y785" s="156">
        <f>ROUND((Y60+Y359+Y727)*H785/100,2)</f>
        <v>322677.90999999997</v>
      </c>
      <c r="Z785" s="166"/>
      <c r="AA785" s="156">
        <f>ROUND((AA60+AA359+AA727)*H785/100,2)</f>
        <v>322677.90999999997</v>
      </c>
      <c r="AB785" s="156">
        <f>ROUND((AB60+AB359+AB727)*H785/100,2)</f>
        <v>1324502.6200000001</v>
      </c>
    </row>
    <row r="786" spans="1:28" ht="30" hidden="1" x14ac:dyDescent="0.25">
      <c r="A786" s="168"/>
      <c r="B786" s="133" t="str">
        <f>'Công trình'!B59</f>
        <v>AF.82111</v>
      </c>
      <c r="C786" s="34"/>
      <c r="D786" s="133" t="str">
        <f>'Công trình'!C59</f>
        <v>Sản xuất, lắp dựng tháo dỡ ván khuôn thép dầm, giằng, chiều cao &lt;=16m</v>
      </c>
      <c r="E786" s="168"/>
      <c r="F786" s="20">
        <v>1</v>
      </c>
      <c r="G786" s="169"/>
      <c r="H786" s="45">
        <f>'Hao phí vật tư'!G446</f>
        <v>5</v>
      </c>
      <c r="I786" s="166"/>
      <c r="J786" s="156">
        <f>ROUND((J298+J461+J561+J612)*H786/100,2)</f>
        <v>416371.08</v>
      </c>
      <c r="K786" s="166"/>
      <c r="L786" s="156">
        <f>ROUND((L298+L461+L561+L612)*H786/100,2)</f>
        <v>360620.33</v>
      </c>
      <c r="M786" s="34"/>
      <c r="N786" s="166"/>
      <c r="O786" s="156">
        <f>ROUND((O298+O461+O561+O612)*H786/100,2)</f>
        <v>0</v>
      </c>
      <c r="P786" s="166"/>
      <c r="Q786" s="156">
        <f>ROUND((Q298+Q461+Q561+Q612)*H786/100,2)</f>
        <v>0</v>
      </c>
      <c r="R786" s="166"/>
      <c r="S786" s="156">
        <f>ROUND((S298+S461+S561+S612)*H786/100,2)</f>
        <v>0</v>
      </c>
      <c r="T786" s="34"/>
      <c r="U786" s="34"/>
      <c r="V786" s="166"/>
      <c r="W786" s="166"/>
      <c r="X786" s="166"/>
      <c r="Y786" s="156">
        <f>ROUND((Y298+Y461+Y561+Y612)*H786/100,2)</f>
        <v>-55750.75</v>
      </c>
      <c r="Z786" s="166"/>
      <c r="AA786" s="156">
        <f>ROUND((AA298+AA461+AA561+AA612)*H786/100,2)</f>
        <v>-55750.75</v>
      </c>
      <c r="AB786" s="156">
        <f>ROUND((AB298+AB461+AB561+AB612)*H786/100,2)</f>
        <v>360620.33</v>
      </c>
    </row>
    <row r="787" spans="1:28" hidden="1" x14ac:dyDescent="0.25">
      <c r="A787" s="168"/>
      <c r="B787" s="133" t="str">
        <f>'Công trình'!B57</f>
        <v>AF.12313</v>
      </c>
      <c r="C787" s="34"/>
      <c r="D787" s="133" t="str">
        <f>'Công trình'!C57</f>
        <v>Bê tông xà dầm, giằng đá 1x2, vữa BT mác 200</v>
      </c>
      <c r="E787" s="168"/>
      <c r="F787" s="20">
        <v>1</v>
      </c>
      <c r="G787" s="169"/>
      <c r="H787" s="45">
        <f>'Hao phí vật tư'!G424</f>
        <v>1</v>
      </c>
      <c r="I787" s="166"/>
      <c r="J787" s="156">
        <f>ROUND((J61+J148+J360+J728)*H787/100,2)</f>
        <v>286018.40000000002</v>
      </c>
      <c r="K787" s="166"/>
      <c r="L787" s="156">
        <f>ROUND((L61+L148+L360+L728)*H787/100,2)</f>
        <v>341552.15</v>
      </c>
      <c r="M787" s="34"/>
      <c r="N787" s="166"/>
      <c r="O787" s="156">
        <f>ROUND((O61+O148+O360+O728)*H787/100,2)</f>
        <v>0</v>
      </c>
      <c r="P787" s="166"/>
      <c r="Q787" s="156">
        <f>ROUND((Q61+Q148+Q360+Q728)*H787/100,2)</f>
        <v>0</v>
      </c>
      <c r="R787" s="166"/>
      <c r="S787" s="156">
        <f>ROUND((S61+S148+S360+S728)*H787/100,2)</f>
        <v>0</v>
      </c>
      <c r="T787" s="34"/>
      <c r="U787" s="34"/>
      <c r="V787" s="166"/>
      <c r="W787" s="166"/>
      <c r="X787" s="166"/>
      <c r="Y787" s="156">
        <f>ROUND((Y61+Y148+Y360+Y728)*H787/100,2)</f>
        <v>55533.75</v>
      </c>
      <c r="Z787" s="166"/>
      <c r="AA787" s="156">
        <f>ROUND((AA61+AA148+AA360+AA728)*H787/100,2)</f>
        <v>55533.75</v>
      </c>
      <c r="AB787" s="156">
        <f>ROUND((AB61+AB148+AB360+AB728)*H787/100,2)</f>
        <v>341552.15</v>
      </c>
    </row>
    <row r="788" spans="1:28" ht="30" hidden="1" x14ac:dyDescent="0.25">
      <c r="A788" s="168"/>
      <c r="B788" s="133" t="str">
        <f>'Công trình'!B63</f>
        <v>AF.11223</v>
      </c>
      <c r="C788" s="34"/>
      <c r="D788" s="133" t="str">
        <f>'Công trình'!C63</f>
        <v>Bê tông lát mái rộng &gt;250cm đá 1x2, vữa BT mác 200</v>
      </c>
      <c r="E788" s="168"/>
      <c r="F788" s="20">
        <v>1</v>
      </c>
      <c r="G788" s="169"/>
      <c r="H788" s="45">
        <f>'Hao phí vật tư'!G480</f>
        <v>1</v>
      </c>
      <c r="I788" s="166"/>
      <c r="J788" s="156">
        <f>ROUND((J63+J149+J270+J277+J316+J362+J730)*H788/100,2)</f>
        <v>1434707.28</v>
      </c>
      <c r="K788" s="166"/>
      <c r="L788" s="156">
        <f>ROUND((L63+L149+L270+L277+L316+L362+L730)*H788/100,2)</f>
        <v>1681178.72</v>
      </c>
      <c r="M788" s="34"/>
      <c r="N788" s="166"/>
      <c r="O788" s="156">
        <f>ROUND((O63+O149+O270+O277+O316+O362+O730)*H788/100,2)</f>
        <v>0</v>
      </c>
      <c r="P788" s="166"/>
      <c r="Q788" s="156">
        <f>ROUND((Q63+Q149+Q270+Q277+Q316+Q362+Q730)*H788/100,2)</f>
        <v>0</v>
      </c>
      <c r="R788" s="166"/>
      <c r="S788" s="156">
        <f>ROUND((S63+S149+S270+S277+S316+S362+S730)*H788/100,2)</f>
        <v>0</v>
      </c>
      <c r="T788" s="34"/>
      <c r="U788" s="34"/>
      <c r="V788" s="166"/>
      <c r="W788" s="166"/>
      <c r="X788" s="166"/>
      <c r="Y788" s="156">
        <f>ROUND((Y63+Y149+Y270+Y277+Y316+Y362+Y730)*H788/100,2)</f>
        <v>246471.44</v>
      </c>
      <c r="Z788" s="166"/>
      <c r="AA788" s="156">
        <f>ROUND((AA63+AA149+AA270+AA277+AA316+AA362+AA730)*H788/100,2)</f>
        <v>246471.44</v>
      </c>
      <c r="AB788" s="156">
        <f>ROUND((AB63+AB149+AB270+AB277+AB316+AB362+AB730)*H788/100,2)</f>
        <v>1681178.72</v>
      </c>
    </row>
    <row r="789" spans="1:28" hidden="1" x14ac:dyDescent="0.25">
      <c r="A789" s="168"/>
      <c r="B789" s="133" t="str">
        <f>'Công trình'!B65</f>
        <v>AF.82511</v>
      </c>
      <c r="C789" s="34"/>
      <c r="D789" s="133" t="str">
        <f>'Công trình'!C65</f>
        <v>Sản xuất, lắp dựng tháo dỡ ván khuôn lát mái</v>
      </c>
      <c r="E789" s="168"/>
      <c r="F789" s="20">
        <v>1</v>
      </c>
      <c r="G789" s="169"/>
      <c r="H789" s="45">
        <f>'Hao phí vật tư'!G501</f>
        <v>1</v>
      </c>
      <c r="I789" s="166"/>
      <c r="J789" s="156">
        <f>ROUND((J271+J299+J306+J310)*H789/100,2)</f>
        <v>49780.38</v>
      </c>
      <c r="K789" s="166"/>
      <c r="L789" s="156">
        <f>ROUND((L271+L299+L306+L310)*H789/100,2)</f>
        <v>43076.29</v>
      </c>
      <c r="M789" s="34"/>
      <c r="N789" s="166"/>
      <c r="O789" s="156">
        <f>ROUND((O271+O299+O306+O310)*H789/100,2)</f>
        <v>0</v>
      </c>
      <c r="P789" s="166"/>
      <c r="Q789" s="156">
        <f>ROUND((Q271+Q299+Q306+Q310)*H789/100,2)</f>
        <v>0</v>
      </c>
      <c r="R789" s="166"/>
      <c r="S789" s="156">
        <f>ROUND((S271+S299+S306+S310)*H789/100,2)</f>
        <v>0</v>
      </c>
      <c r="T789" s="34"/>
      <c r="U789" s="34"/>
      <c r="V789" s="166"/>
      <c r="W789" s="166"/>
      <c r="X789" s="166"/>
      <c r="Y789" s="156">
        <f>ROUND((Y271+Y299+Y306+Y310)*H789/100,2)</f>
        <v>-6704.09</v>
      </c>
      <c r="Z789" s="166"/>
      <c r="AA789" s="156">
        <f>ROUND((AA271+AA299+AA306+AA310)*H789/100,2)</f>
        <v>-6704.09</v>
      </c>
      <c r="AB789" s="156">
        <f>ROUND((AB271+AB299+AB306+AB310)*H789/100,2)</f>
        <v>43076.29</v>
      </c>
    </row>
    <row r="790" spans="1:28" ht="30" hidden="1" x14ac:dyDescent="0.25">
      <c r="A790" s="168"/>
      <c r="B790" s="133" t="str">
        <f>'Công trình'!B68</f>
        <v>AG.11125</v>
      </c>
      <c r="C790" s="34"/>
      <c r="D790" s="133" t="str">
        <f>'Công trình'!C68</f>
        <v>Sản xuất bê tông cọc cừ đúc sẵn đá 1x2, vữa BT mác 300</v>
      </c>
      <c r="E790" s="168"/>
      <c r="F790" s="20">
        <v>1</v>
      </c>
      <c r="G790" s="169"/>
      <c r="H790" s="45">
        <f>'Hao phí vật tư'!G510</f>
        <v>0.5</v>
      </c>
      <c r="I790" s="166"/>
      <c r="J790" s="156">
        <f>ROUND((J65+J150+J364+J732)*H790/100,2)</f>
        <v>335769.55</v>
      </c>
      <c r="K790" s="166"/>
      <c r="L790" s="156">
        <f>ROUND((L65+L150+L364+L732)*H790/100,2)</f>
        <v>389358</v>
      </c>
      <c r="M790" s="34"/>
      <c r="N790" s="166"/>
      <c r="O790" s="156">
        <f>ROUND((O65+O150+O364+O732)*H790/100,2)</f>
        <v>0</v>
      </c>
      <c r="P790" s="166"/>
      <c r="Q790" s="156">
        <f>ROUND((Q65+Q150+Q364+Q732)*H790/100,2)</f>
        <v>0</v>
      </c>
      <c r="R790" s="166"/>
      <c r="S790" s="156">
        <f>ROUND((S65+S150+S364+S732)*H790/100,2)</f>
        <v>0</v>
      </c>
      <c r="T790" s="34"/>
      <c r="U790" s="34"/>
      <c r="V790" s="166"/>
      <c r="W790" s="166"/>
      <c r="X790" s="166"/>
      <c r="Y790" s="156">
        <f>ROUND((Y65+Y150+Y364+Y732)*H790/100,2)</f>
        <v>53588.46</v>
      </c>
      <c r="Z790" s="166"/>
      <c r="AA790" s="156">
        <f>ROUND((AA65+AA150+AA364+AA732)*H790/100,2)</f>
        <v>53588.46</v>
      </c>
      <c r="AB790" s="156">
        <f>ROUND((AB65+AB150+AB364+AB732)*H790/100,2)</f>
        <v>389358</v>
      </c>
    </row>
    <row r="791" spans="1:28" ht="30" hidden="1" x14ac:dyDescent="0.25">
      <c r="A791" s="168"/>
      <c r="B791" s="133" t="str">
        <f>'Công trình'!B72</f>
        <v>AI.13111</v>
      </c>
      <c r="C791" s="34"/>
      <c r="D791" s="133" t="str">
        <f>'Công trình'!C72</f>
        <v>Sản xuất cấu kiện thép đặt sẵn trong bê tông, khối lượng &lt;=10kg/cấu kiện</v>
      </c>
      <c r="E791" s="168"/>
      <c r="F791" s="20">
        <v>1</v>
      </c>
      <c r="G791" s="169"/>
      <c r="H791" s="45">
        <f>'Hao phí vật tư'!G553</f>
        <v>2.5</v>
      </c>
      <c r="I791" s="166"/>
      <c r="J791" s="156">
        <f>ROUND((J188+J202+J403+J465+J613+J686)*H791/100,2)</f>
        <v>489563.61</v>
      </c>
      <c r="K791" s="166"/>
      <c r="L791" s="156">
        <f>ROUND((L188+L202+L403+L465+L613+L686)*H791/100,2)</f>
        <v>408713.3</v>
      </c>
      <c r="M791" s="34"/>
      <c r="N791" s="166"/>
      <c r="O791" s="156">
        <f>ROUND((O188+O202+O403+O465+O613+O686)*H791/100,2)</f>
        <v>0</v>
      </c>
      <c r="P791" s="166"/>
      <c r="Q791" s="156">
        <f>ROUND((Q188+Q202+Q403+Q465+Q613+Q686)*H791/100,2)</f>
        <v>0</v>
      </c>
      <c r="R791" s="166"/>
      <c r="S791" s="156">
        <f>ROUND((S188+S202+S403+S465+S613+S686)*H791/100,2)</f>
        <v>0</v>
      </c>
      <c r="T791" s="34"/>
      <c r="U791" s="34"/>
      <c r="V791" s="166"/>
      <c r="W791" s="166"/>
      <c r="X791" s="166"/>
      <c r="Y791" s="156">
        <f>ROUND((Y188+Y202+Y403+Y465+Y613+Y686)*H791/100,2)</f>
        <v>-80850.31</v>
      </c>
      <c r="Z791" s="166"/>
      <c r="AA791" s="156">
        <f>ROUND((AA188+AA202+AA403+AA465+AA613+AA686)*H791/100,2)</f>
        <v>-80850.31</v>
      </c>
      <c r="AB791" s="156">
        <f>ROUND((AB188+AB202+AB403+AB465+AB613+AB686)*H791/100,2)</f>
        <v>408713.3</v>
      </c>
    </row>
    <row r="792" spans="1:28" hidden="1" x14ac:dyDescent="0.25">
      <c r="A792" s="168"/>
      <c r="B792" s="133" t="str">
        <f>'Công trình'!B76</f>
        <v>AC.29341</v>
      </c>
      <c r="C792" s="34"/>
      <c r="D792" s="133" t="str">
        <f>'Công trình'!C76</f>
        <v>Nối cọc BTCT 35x35cm</v>
      </c>
      <c r="E792" s="168"/>
      <c r="F792" s="20">
        <v>1</v>
      </c>
      <c r="G792" s="169"/>
      <c r="H792" s="45">
        <f>'Hao phí vật tư'!G604</f>
        <v>3</v>
      </c>
      <c r="I792" s="166"/>
      <c r="J792" s="156">
        <f>ROUND((J466+J552)*H792/100,2)</f>
        <v>77158.19</v>
      </c>
      <c r="K792" s="166"/>
      <c r="L792" s="156">
        <f>ROUND((L466+L552)*H792/100,2)</f>
        <v>77158.19</v>
      </c>
      <c r="M792" s="34"/>
      <c r="N792" s="166"/>
      <c r="O792" s="156">
        <f>ROUND((O466+O552)*H792/100,2)</f>
        <v>0</v>
      </c>
      <c r="P792" s="166"/>
      <c r="Q792" s="156">
        <f>ROUND((Q466+Q552)*H792/100,2)</f>
        <v>0</v>
      </c>
      <c r="R792" s="166"/>
      <c r="S792" s="156">
        <f>ROUND((S466+S552)*H792/100,2)</f>
        <v>0</v>
      </c>
      <c r="T792" s="34"/>
      <c r="U792" s="34"/>
      <c r="V792" s="166"/>
      <c r="W792" s="166"/>
      <c r="X792" s="166"/>
      <c r="Y792" s="156">
        <f>ROUND((Y466+Y552)*H792/100,2)</f>
        <v>0</v>
      </c>
      <c r="Z792" s="166"/>
      <c r="AA792" s="156">
        <f>ROUND((AA466+AA552)*H792/100,2)</f>
        <v>0</v>
      </c>
      <c r="AB792" s="156">
        <f>ROUND((AB466+AB552)*H792/100,2)</f>
        <v>77158.19</v>
      </c>
    </row>
    <row r="793" spans="1:28" hidden="1" x14ac:dyDescent="0.25">
      <c r="A793" s="168"/>
      <c r="B793" s="133" t="str">
        <f>'Công trình'!B74</f>
        <v>AI.52211</v>
      </c>
      <c r="C793" s="34"/>
      <c r="D793" s="133" t="str">
        <f>'Công trình'!C74</f>
        <v>Sản xuất kết cấu thép hộp nối cọc</v>
      </c>
      <c r="E793" s="168"/>
      <c r="F793" s="20">
        <v>1</v>
      </c>
      <c r="G793" s="169"/>
      <c r="H793" s="45">
        <f>'Hao phí vật tư'!G580</f>
        <v>2</v>
      </c>
      <c r="I793" s="166"/>
      <c r="J793" s="156">
        <f>ROUND((J189+J203+J404+J467+J562+J614)*H793/100,2)</f>
        <v>920539.16</v>
      </c>
      <c r="K793" s="166"/>
      <c r="L793" s="156">
        <f>ROUND((L189+L203+L404+L467+L562+L614)*H793/100,2)</f>
        <v>842775.9</v>
      </c>
      <c r="M793" s="34"/>
      <c r="N793" s="166"/>
      <c r="O793" s="156">
        <f>ROUND((O189+O203+O404+O467+O562+O614)*H793/100,2)</f>
        <v>0</v>
      </c>
      <c r="P793" s="166"/>
      <c r="Q793" s="156">
        <f>ROUND((Q189+Q203+Q404+Q467+Q562+Q614)*H793/100,2)</f>
        <v>0</v>
      </c>
      <c r="R793" s="166"/>
      <c r="S793" s="156">
        <f>ROUND((S189+S203+S404+S467+S562+S614)*H793/100,2)</f>
        <v>0</v>
      </c>
      <c r="T793" s="34"/>
      <c r="U793" s="34"/>
      <c r="V793" s="166"/>
      <c r="W793" s="166"/>
      <c r="X793" s="166"/>
      <c r="Y793" s="156">
        <f>ROUND((Y189+Y203+Y404+Y467+Y562+Y614)*H793/100,2)</f>
        <v>-77763.259999999995</v>
      </c>
      <c r="Z793" s="166"/>
      <c r="AA793" s="156">
        <f>ROUND((AA189+AA203+AA404+AA467+AA562+AA614)*H793/100,2)</f>
        <v>-77763.259999999995</v>
      </c>
      <c r="AB793" s="156">
        <f>ROUND((AB189+AB203+AB404+AB467+AB562+AB614)*H793/100,2)</f>
        <v>842775.9</v>
      </c>
    </row>
    <row r="794" spans="1:28" ht="30" hidden="1" x14ac:dyDescent="0.25">
      <c r="A794" s="168"/>
      <c r="B794" s="133" t="str">
        <f>'Công trình'!B79</f>
        <v>AG.11125</v>
      </c>
      <c r="C794" s="34"/>
      <c r="D794" s="133" t="str">
        <f>'Công trình'!C79</f>
        <v>Sản xuất bê tông cọc cừ đúc sẵn đá 1x2, vữa BT mác 300</v>
      </c>
      <c r="E794" s="168"/>
      <c r="F794" s="20">
        <v>1</v>
      </c>
      <c r="G794" s="169"/>
      <c r="H794" s="45">
        <f>'Hao phí vật tư'!G626</f>
        <v>0.5</v>
      </c>
      <c r="I794" s="166"/>
      <c r="J794" s="156">
        <f>ROUND((J66+J151+J365+J733)*H794/100,2)</f>
        <v>131514.76999999999</v>
      </c>
      <c r="K794" s="166"/>
      <c r="L794" s="156">
        <f>ROUND((L66+L151+L365+L733)*H794/100,2)</f>
        <v>152504.4</v>
      </c>
      <c r="M794" s="34"/>
      <c r="N794" s="166"/>
      <c r="O794" s="156">
        <f>ROUND((O66+O151+O365+O733)*H794/100,2)</f>
        <v>0</v>
      </c>
      <c r="P794" s="166"/>
      <c r="Q794" s="156">
        <f>ROUND((Q66+Q151+Q365+Q733)*H794/100,2)</f>
        <v>0</v>
      </c>
      <c r="R794" s="166"/>
      <c r="S794" s="156">
        <f>ROUND((S66+S151+S365+S733)*H794/100,2)</f>
        <v>0</v>
      </c>
      <c r="T794" s="34"/>
      <c r="U794" s="34"/>
      <c r="V794" s="166"/>
      <c r="W794" s="166"/>
      <c r="X794" s="166"/>
      <c r="Y794" s="156">
        <f>ROUND((Y66+Y151+Y365+Y733)*H794/100,2)</f>
        <v>20989.63</v>
      </c>
      <c r="Z794" s="166"/>
      <c r="AA794" s="156">
        <f>ROUND((AA66+AA151+AA365+AA733)*H794/100,2)</f>
        <v>20989.63</v>
      </c>
      <c r="AB794" s="156">
        <f>ROUND((AB66+AB151+AB365+AB733)*H794/100,2)</f>
        <v>152504.4</v>
      </c>
    </row>
    <row r="795" spans="1:28" ht="30" hidden="1" x14ac:dyDescent="0.25">
      <c r="A795" s="168"/>
      <c r="B795" s="133" t="str">
        <f>'Công trình'!B83</f>
        <v>AI.13111</v>
      </c>
      <c r="C795" s="34"/>
      <c r="D795" s="133" t="str">
        <f>'Công trình'!C83</f>
        <v>Sản xuất cấu kiện thép đặt sẵn trong bê tông, khối lượng &lt;=10kg/cấu kiện</v>
      </c>
      <c r="E795" s="168"/>
      <c r="F795" s="20">
        <v>1</v>
      </c>
      <c r="G795" s="169"/>
      <c r="H795" s="45">
        <f>'Hao phí vật tư'!G669</f>
        <v>2.5</v>
      </c>
      <c r="I795" s="166"/>
      <c r="J795" s="156">
        <f>ROUND((J190+J204+J405+J471+J615+J687)*H795/100,2)</f>
        <v>231197.93</v>
      </c>
      <c r="K795" s="166"/>
      <c r="L795" s="156">
        <f>ROUND((L190+L204+L405+L471+L615+L687)*H795/100,2)</f>
        <v>193016.13</v>
      </c>
      <c r="M795" s="34"/>
      <c r="N795" s="166"/>
      <c r="O795" s="156">
        <f>ROUND((O190+O204+O405+O471+O615+O687)*H795/100,2)</f>
        <v>0</v>
      </c>
      <c r="P795" s="166"/>
      <c r="Q795" s="156">
        <f>ROUND((Q190+Q204+Q405+Q471+Q615+Q687)*H795/100,2)</f>
        <v>0</v>
      </c>
      <c r="R795" s="166"/>
      <c r="S795" s="156">
        <f>ROUND((S190+S204+S405+S471+S615+S687)*H795/100,2)</f>
        <v>0</v>
      </c>
      <c r="T795" s="34"/>
      <c r="U795" s="34"/>
      <c r="V795" s="166"/>
      <c r="W795" s="166"/>
      <c r="X795" s="166"/>
      <c r="Y795" s="156">
        <f>ROUND((Y190+Y204+Y405+Y471+Y615+Y687)*H795/100,2)</f>
        <v>-38181.800000000003</v>
      </c>
      <c r="Z795" s="166"/>
      <c r="AA795" s="156">
        <f>ROUND((AA190+AA204+AA405+AA471+AA615+AA687)*H795/100,2)</f>
        <v>-38181.800000000003</v>
      </c>
      <c r="AB795" s="156">
        <f>ROUND((AB190+AB204+AB405+AB471+AB615+AB687)*H795/100,2)</f>
        <v>193016.13</v>
      </c>
    </row>
    <row r="796" spans="1:28" hidden="1" x14ac:dyDescent="0.25">
      <c r="A796" s="168"/>
      <c r="B796" s="133" t="str">
        <f>'Công trình'!B85</f>
        <v>AI.52211</v>
      </c>
      <c r="C796" s="34"/>
      <c r="D796" s="133" t="str">
        <f>'Công trình'!C85</f>
        <v>Sản xuất kết cấu thép hộp nối cọc</v>
      </c>
      <c r="E796" s="168"/>
      <c r="F796" s="20">
        <v>1</v>
      </c>
      <c r="G796" s="169"/>
      <c r="H796" s="45">
        <f>'Hao phí vật tư'!G696</f>
        <v>2</v>
      </c>
      <c r="I796" s="166"/>
      <c r="J796" s="156">
        <f>ROUND((J191+J205+J406+J472+J563+J616)*H796/100,2)</f>
        <v>400383.37</v>
      </c>
      <c r="K796" s="166"/>
      <c r="L796" s="156">
        <f>ROUND((L191+L205+L406+L472+L563+L616)*H796/100,2)</f>
        <v>366560.68</v>
      </c>
      <c r="M796" s="34"/>
      <c r="N796" s="166"/>
      <c r="O796" s="156">
        <f>ROUND((O191+O205+O406+O472+O563+O616)*H796/100,2)</f>
        <v>0</v>
      </c>
      <c r="P796" s="166"/>
      <c r="Q796" s="156">
        <f>ROUND((Q191+Q205+Q406+Q472+Q563+Q616)*H796/100,2)</f>
        <v>0</v>
      </c>
      <c r="R796" s="166"/>
      <c r="S796" s="156">
        <f>ROUND((S191+S205+S406+S472+S563+S616)*H796/100,2)</f>
        <v>0</v>
      </c>
      <c r="T796" s="34"/>
      <c r="U796" s="34"/>
      <c r="V796" s="166"/>
      <c r="W796" s="166"/>
      <c r="X796" s="166"/>
      <c r="Y796" s="156">
        <f>ROUND((Y191+Y205+Y406+Y472+Y563+Y616)*H796/100,2)</f>
        <v>-33822.69</v>
      </c>
      <c r="Z796" s="166"/>
      <c r="AA796" s="156">
        <f>ROUND((AA191+AA205+AA406+AA472+AA563+AA616)*H796/100,2)</f>
        <v>-33822.69</v>
      </c>
      <c r="AB796" s="156">
        <f>ROUND((AB191+AB205+AB406+AB472+AB563+AB616)*H796/100,2)</f>
        <v>366560.68</v>
      </c>
    </row>
    <row r="797" spans="1:28" hidden="1" x14ac:dyDescent="0.25">
      <c r="A797" s="168"/>
      <c r="B797" s="133" t="str">
        <f>'Công trình'!B87</f>
        <v>AC.29331</v>
      </c>
      <c r="C797" s="34"/>
      <c r="D797" s="133" t="str">
        <f>'Công trình'!C87</f>
        <v>Nối cọc BTCT 30x30cm</v>
      </c>
      <c r="E797" s="168"/>
      <c r="F797" s="20">
        <v>1</v>
      </c>
      <c r="G797" s="169"/>
      <c r="H797" s="45">
        <f>'Hao phí vật tư'!G720</f>
        <v>3</v>
      </c>
      <c r="I797" s="166"/>
      <c r="J797" s="156">
        <f>ROUND((J474+J555)*H797/100,2)</f>
        <v>9759.32</v>
      </c>
      <c r="K797" s="166"/>
      <c r="L797" s="156">
        <f>ROUND((L474+L555)*H797/100,2)</f>
        <v>9759.32</v>
      </c>
      <c r="M797" s="34"/>
      <c r="N797" s="166"/>
      <c r="O797" s="156">
        <f>ROUND((O474+O555)*H797/100,2)</f>
        <v>0</v>
      </c>
      <c r="P797" s="166"/>
      <c r="Q797" s="156">
        <f>ROUND((Q474+Q555)*H797/100,2)</f>
        <v>0</v>
      </c>
      <c r="R797" s="166"/>
      <c r="S797" s="156">
        <f>ROUND((S474+S555)*H797/100,2)</f>
        <v>0</v>
      </c>
      <c r="T797" s="34"/>
      <c r="U797" s="34"/>
      <c r="V797" s="166"/>
      <c r="W797" s="166"/>
      <c r="X797" s="166"/>
      <c r="Y797" s="156">
        <f>ROUND((Y474+Y555)*H797/100,2)</f>
        <v>0</v>
      </c>
      <c r="Z797" s="166"/>
      <c r="AA797" s="156">
        <f>ROUND((AA474+AA555)*H797/100,2)</f>
        <v>0</v>
      </c>
      <c r="AB797" s="156">
        <f>ROUND((AB474+AB555)*H797/100,2)</f>
        <v>9759.32</v>
      </c>
    </row>
    <row r="798" spans="1:28" ht="30" hidden="1" x14ac:dyDescent="0.25">
      <c r="A798" s="168"/>
      <c r="B798" s="133" t="str">
        <f>'Công trình'!B96</f>
        <v>AC.11121</v>
      </c>
      <c r="C798" s="34"/>
      <c r="D798" s="133" t="str">
        <f>'Công trình'!C96</f>
        <v>Đóng cọc tràm chiều dài cọc ngập đất &gt;2,5m đất cấp I</v>
      </c>
      <c r="E798" s="168"/>
      <c r="F798" s="20">
        <v>1</v>
      </c>
      <c r="G798" s="169"/>
      <c r="H798" s="45">
        <f>'Hao phí vật tư'!G778</f>
        <v>5</v>
      </c>
      <c r="I798" s="166"/>
      <c r="J798" s="156">
        <f>ROUND((J104+J127+J311)*H798/100,2)</f>
        <v>517914</v>
      </c>
      <c r="K798" s="166"/>
      <c r="L798" s="156">
        <f>ROUND((L104+L127+L311)*H798/100,2)</f>
        <v>789423.38</v>
      </c>
      <c r="M798" s="34"/>
      <c r="N798" s="166"/>
      <c r="O798" s="156">
        <f>ROUND((O104+O127+O311)*H798/100,2)</f>
        <v>0</v>
      </c>
      <c r="P798" s="166"/>
      <c r="Q798" s="156">
        <f>ROUND((Q104+Q127+Q311)*H798/100,2)</f>
        <v>0</v>
      </c>
      <c r="R798" s="166"/>
      <c r="S798" s="156">
        <f>ROUND((S104+S127+S311)*H798/100,2)</f>
        <v>0</v>
      </c>
      <c r="T798" s="34"/>
      <c r="U798" s="34"/>
      <c r="V798" s="166"/>
      <c r="W798" s="166"/>
      <c r="X798" s="166"/>
      <c r="Y798" s="156">
        <f>ROUND((Y104+Y127+Y311)*H798/100,2)</f>
        <v>271509.38</v>
      </c>
      <c r="Z798" s="166"/>
      <c r="AA798" s="156">
        <f>ROUND((AA104+AA127+AA311)*H798/100,2)</f>
        <v>271509.38</v>
      </c>
      <c r="AB798" s="156">
        <f>ROUND((AB104+AB127+AB311)*H798/100,2)</f>
        <v>789423.38</v>
      </c>
    </row>
    <row r="799" spans="1:28" hidden="1" x14ac:dyDescent="0.25">
      <c r="A799" s="168"/>
      <c r="B799" s="133" t="str">
        <f>'Công trình'!B97</f>
        <v>AL.16122</v>
      </c>
      <c r="C799" s="34"/>
      <c r="D799" s="133" t="str">
        <f>'Công trình'!C97</f>
        <v>Rải vải địa kỹ thuật làm móng công trình</v>
      </c>
      <c r="E799" s="168"/>
      <c r="F799" s="20">
        <v>1</v>
      </c>
      <c r="G799" s="169"/>
      <c r="H799" s="45">
        <f>'Hao phí vật tư'!G784</f>
        <v>0.2</v>
      </c>
      <c r="I799" s="166"/>
      <c r="J799" s="156">
        <f>ROUND((J713)*H799/100,2)</f>
        <v>14287.68</v>
      </c>
      <c r="K799" s="166"/>
      <c r="L799" s="156">
        <f>ROUND((L713)*H799/100,2)</f>
        <v>25454.799999999999</v>
      </c>
      <c r="M799" s="34"/>
      <c r="N799" s="166"/>
      <c r="O799" s="156">
        <f>ROUND((O713)*H799/100,2)</f>
        <v>0</v>
      </c>
      <c r="P799" s="166"/>
      <c r="Q799" s="156">
        <f>ROUND((Q713)*H799/100,2)</f>
        <v>0</v>
      </c>
      <c r="R799" s="166"/>
      <c r="S799" s="156">
        <f>ROUND((S713)*H799/100,2)</f>
        <v>0</v>
      </c>
      <c r="T799" s="34"/>
      <c r="U799" s="34"/>
      <c r="V799" s="166"/>
      <c r="W799" s="166"/>
      <c r="X799" s="166"/>
      <c r="Y799" s="156">
        <f>ROUND((Y713)*H799/100,2)</f>
        <v>11167.12</v>
      </c>
      <c r="Z799" s="166"/>
      <c r="AA799" s="156">
        <f>ROUND((AA713)*H799/100,2)</f>
        <v>11167.12</v>
      </c>
      <c r="AB799" s="156">
        <f>ROUND((AB713)*H799/100,2)</f>
        <v>25454.799999999999</v>
      </c>
    </row>
    <row r="800" spans="1:28" ht="30" hidden="1" x14ac:dyDescent="0.25">
      <c r="A800" s="168"/>
      <c r="B800" s="133" t="str">
        <f>'Công trình'!B105</f>
        <v>AI.11131</v>
      </c>
      <c r="C800" s="34"/>
      <c r="D800" s="133" t="str">
        <f>'Công trình'!C105</f>
        <v>Khấu hao cọc dẫn bằng thép hình (đóng nhổ 40 lần trong 1 tháng)</v>
      </c>
      <c r="E800" s="168"/>
      <c r="F800" s="20">
        <v>1</v>
      </c>
      <c r="G800" s="169"/>
      <c r="H800" s="45">
        <f>'Hao phí vật tư'!G850</f>
        <v>5</v>
      </c>
      <c r="I800" s="166"/>
      <c r="J800" s="156">
        <f>ROUND((J206+J407+J475+J564+J617)*H800/100,2)</f>
        <v>1832973.48</v>
      </c>
      <c r="K800" s="166"/>
      <c r="L800" s="156">
        <f>ROUND((L206+L407+L475+L564+L617)*H800/100,2)</f>
        <v>1741430.12</v>
      </c>
      <c r="M800" s="34"/>
      <c r="N800" s="166"/>
      <c r="O800" s="156">
        <f>ROUND((O206+O407+O475+O564+O617)*H800/100,2)</f>
        <v>0</v>
      </c>
      <c r="P800" s="166"/>
      <c r="Q800" s="156">
        <f>ROUND((Q206+Q407+Q475+Q564+Q617)*H800/100,2)</f>
        <v>0</v>
      </c>
      <c r="R800" s="166"/>
      <c r="S800" s="156">
        <f>ROUND((S206+S407+S475+S564+S617)*H800/100,2)</f>
        <v>0</v>
      </c>
      <c r="T800" s="34"/>
      <c r="U800" s="34"/>
      <c r="V800" s="166"/>
      <c r="W800" s="166"/>
      <c r="X800" s="166"/>
      <c r="Y800" s="156">
        <f>ROUND((Y206+Y407+Y475+Y564+Y617)*H800/100,2)</f>
        <v>-91543.360000000001</v>
      </c>
      <c r="Z800" s="166"/>
      <c r="AA800" s="156">
        <f>ROUND((AA206+AA407+AA475+AA564+AA617)*H800/100,2)</f>
        <v>-91543.360000000001</v>
      </c>
      <c r="AB800" s="156">
        <f>ROUND((AB206+AB407+AB475+AB564+AB617)*H800/100,2)</f>
        <v>1741430.12</v>
      </c>
    </row>
    <row r="801" spans="1:28" ht="30" hidden="1" x14ac:dyDescent="0.25">
      <c r="A801" s="168"/>
      <c r="B801" s="133" t="str">
        <f>'Công trình'!B86</f>
        <v>AC.17111</v>
      </c>
      <c r="C801" s="34"/>
      <c r="D801" s="133" t="str">
        <f>'Công trình'!C86</f>
        <v>Đóng cọc BTCT 30x30 chiều dài &lt;=24m trên mặt nước bằng tàu đóng cọc búa 1,8T</v>
      </c>
      <c r="E801" s="168"/>
      <c r="F801" s="20">
        <v>1</v>
      </c>
      <c r="G801" s="169"/>
      <c r="H801" s="45">
        <f>'Hao phí vật tư'!G707</f>
        <v>2</v>
      </c>
      <c r="I801" s="166"/>
      <c r="J801" s="156">
        <f>ROUND((J110)*H801/100,2)</f>
        <v>0</v>
      </c>
      <c r="K801" s="166"/>
      <c r="L801" s="156">
        <f>ROUND((L110)*H801/100,2)</f>
        <v>0</v>
      </c>
      <c r="M801" s="34"/>
      <c r="N801" s="166"/>
      <c r="O801" s="156">
        <f>ROUND((O110)*H801/100,2)</f>
        <v>0</v>
      </c>
      <c r="P801" s="166"/>
      <c r="Q801" s="156">
        <f>ROUND((Q110)*H801/100,2)</f>
        <v>0</v>
      </c>
      <c r="R801" s="166"/>
      <c r="S801" s="156">
        <f>ROUND((S110)*H801/100,2)</f>
        <v>0</v>
      </c>
      <c r="T801" s="34"/>
      <c r="U801" s="34"/>
      <c r="V801" s="166"/>
      <c r="W801" s="166"/>
      <c r="X801" s="166"/>
      <c r="Y801" s="156">
        <f>ROUND((Y110)*H801/100,2)</f>
        <v>0</v>
      </c>
      <c r="Z801" s="166"/>
      <c r="AA801" s="156">
        <f>ROUND((AA110)*H801/100,2)</f>
        <v>0</v>
      </c>
      <c r="AB801" s="156">
        <f>ROUND((AB110)*H801/100,2)</f>
        <v>0</v>
      </c>
    </row>
    <row r="802" spans="1:28" ht="30" hidden="1" x14ac:dyDescent="0.25">
      <c r="A802" s="168"/>
      <c r="B802" s="133" t="str">
        <f>'Công trình'!B75</f>
        <v>AC.17112</v>
      </c>
      <c r="C802" s="34"/>
      <c r="D802" s="133" t="str">
        <f>'Công trình'!C75</f>
        <v>Đóng cọc BTCT 35x35 chiều dài &lt;=24m trên mặt nước bằng tàu đóng cọc búa 1,8T</v>
      </c>
      <c r="E802" s="168"/>
      <c r="F802" s="20">
        <v>1</v>
      </c>
      <c r="G802" s="169"/>
      <c r="H802" s="45">
        <f>'Hao phí vật tư'!G591</f>
        <v>2</v>
      </c>
      <c r="I802" s="166"/>
      <c r="J802" s="156">
        <f>ROUND((J112)*H802/100,2)</f>
        <v>0</v>
      </c>
      <c r="K802" s="166"/>
      <c r="L802" s="156">
        <f>ROUND((L112)*H802/100,2)</f>
        <v>0</v>
      </c>
      <c r="M802" s="34"/>
      <c r="N802" s="166"/>
      <c r="O802" s="156">
        <f>ROUND((O112)*H802/100,2)</f>
        <v>0</v>
      </c>
      <c r="P802" s="166"/>
      <c r="Q802" s="156">
        <f>ROUND((Q112)*H802/100,2)</f>
        <v>0</v>
      </c>
      <c r="R802" s="166"/>
      <c r="S802" s="156">
        <f>ROUND((S112)*H802/100,2)</f>
        <v>0</v>
      </c>
      <c r="T802" s="34"/>
      <c r="U802" s="34"/>
      <c r="V802" s="166"/>
      <c r="W802" s="166"/>
      <c r="X802" s="166"/>
      <c r="Y802" s="156">
        <f>ROUND((Y112)*H802/100,2)</f>
        <v>0</v>
      </c>
      <c r="Z802" s="166"/>
      <c r="AA802" s="156">
        <f>ROUND((AA112)*H802/100,2)</f>
        <v>0</v>
      </c>
      <c r="AB802" s="156">
        <f>ROUND((AB112)*H802/100,2)</f>
        <v>0</v>
      </c>
    </row>
    <row r="803" spans="1:28" ht="30" hidden="1" x14ac:dyDescent="0.25">
      <c r="A803" s="168"/>
      <c r="B803" s="133" t="str">
        <f>'Công trình'!B107</f>
        <v>AC.17112</v>
      </c>
      <c r="C803" s="34"/>
      <c r="D803" s="133" t="str">
        <f>'Công trình'!C107</f>
        <v>Đóng cọc âm BTCT 35x35 chiều dài &lt;=24m trên mặt nước bằng tàu đóng cọc búa 1,8T</v>
      </c>
      <c r="E803" s="168"/>
      <c r="F803" s="20">
        <v>1</v>
      </c>
      <c r="G803" s="169"/>
      <c r="H803" s="45">
        <f>'Hao phí vật tư'!G854</f>
        <v>2</v>
      </c>
      <c r="I803" s="166"/>
      <c r="J803" s="156">
        <f>ROUND((J113)*H803/100,2)</f>
        <v>0</v>
      </c>
      <c r="K803" s="166"/>
      <c r="L803" s="156">
        <f>ROUND((L113)*H803/100,2)</f>
        <v>0</v>
      </c>
      <c r="M803" s="34"/>
      <c r="N803" s="166"/>
      <c r="O803" s="156">
        <f>ROUND((O113)*H803/100,2)</f>
        <v>0</v>
      </c>
      <c r="P803" s="166"/>
      <c r="Q803" s="156">
        <f>ROUND((Q113)*H803/100,2)</f>
        <v>0</v>
      </c>
      <c r="R803" s="166"/>
      <c r="S803" s="156">
        <f>ROUND((S113)*H803/100,2)</f>
        <v>0</v>
      </c>
      <c r="T803" s="34"/>
      <c r="U803" s="34"/>
      <c r="V803" s="166"/>
      <c r="W803" s="166"/>
      <c r="X803" s="166"/>
      <c r="Y803" s="156">
        <f>ROUND((Y113)*H803/100,2)</f>
        <v>0</v>
      </c>
      <c r="Z803" s="166"/>
      <c r="AA803" s="156">
        <f>ROUND((AA113)*H803/100,2)</f>
        <v>0</v>
      </c>
      <c r="AB803" s="156">
        <f>ROUND((AB113)*H803/100,2)</f>
        <v>0</v>
      </c>
    </row>
    <row r="804" spans="1:28" hidden="1" x14ac:dyDescent="0.25">
      <c r="A804" s="168"/>
      <c r="B804" s="133" t="str">
        <f>'Công trình'!B109</f>
        <v>AI.11912</v>
      </c>
      <c r="C804" s="34"/>
      <c r="D804" s="133" t="str">
        <f>'Công trình'!C109</f>
        <v>Sản xuất hệ sàn đạo, sàn thao tác</v>
      </c>
      <c r="E804" s="168"/>
      <c r="F804" s="20">
        <v>1</v>
      </c>
      <c r="G804" s="169"/>
      <c r="H804" s="45">
        <f>'Hao phí vật tư'!G870</f>
        <v>5</v>
      </c>
      <c r="I804" s="166"/>
      <c r="J804" s="156">
        <f>ROUND((J207+J408+J476+J565+J618)*H804/100,2)</f>
        <v>92186.97</v>
      </c>
      <c r="K804" s="166"/>
      <c r="L804" s="156">
        <f>ROUND((L207+L408+L476+L565+L618)*H804/100,2)</f>
        <v>92186.97</v>
      </c>
      <c r="M804" s="34"/>
      <c r="N804" s="166"/>
      <c r="O804" s="156">
        <f>ROUND((O207+O408+O476+O565+O618)*H804/100,2)</f>
        <v>0</v>
      </c>
      <c r="P804" s="166"/>
      <c r="Q804" s="156">
        <f>ROUND((Q207+Q408+Q476+Q565+Q618)*H804/100,2)</f>
        <v>0</v>
      </c>
      <c r="R804" s="166"/>
      <c r="S804" s="156">
        <f>ROUND((S207+S408+S476+S565+S618)*H804/100,2)</f>
        <v>0</v>
      </c>
      <c r="T804" s="34"/>
      <c r="U804" s="34"/>
      <c r="V804" s="166"/>
      <c r="W804" s="166"/>
      <c r="X804" s="166"/>
      <c r="Y804" s="156">
        <f>ROUND((Y207+Y408+Y476+Y565+Y618)*H804/100,2)</f>
        <v>0</v>
      </c>
      <c r="Z804" s="166"/>
      <c r="AA804" s="156">
        <f>ROUND((AA207+AA408+AA476+AA565+AA618)*H804/100,2)</f>
        <v>0</v>
      </c>
      <c r="AB804" s="156">
        <f>ROUND((AB207+AB408+AB476+AB565+AB618)*H804/100,2)</f>
        <v>92186.97</v>
      </c>
    </row>
    <row r="805" spans="1:28" ht="30" hidden="1" x14ac:dyDescent="0.25">
      <c r="A805" s="168"/>
      <c r="B805" s="133" t="str">
        <f>'Công trình'!B110</f>
        <v>TT</v>
      </c>
      <c r="C805" s="34"/>
      <c r="D805" s="133" t="str">
        <f>'Công trình'!C110</f>
        <v>Khấu hao hệ sàn đạo, sàn thao tác (Thi công trong vòng 1 tháng và 5 lần đóng nhổ)</v>
      </c>
      <c r="E805" s="168"/>
      <c r="F805" s="20">
        <v>1</v>
      </c>
      <c r="G805" s="169"/>
      <c r="H805" s="45">
        <f>'Hao phí vật tư'!G884</f>
        <v>5</v>
      </c>
      <c r="I805" s="166"/>
      <c r="J805" s="156">
        <f>ROUND((J208+J409+J477+J566+J619)*H805/100,2)</f>
        <v>795102.56</v>
      </c>
      <c r="K805" s="166"/>
      <c r="L805" s="156">
        <f>ROUND((L208+L409+L477+L566+L619)*H805/100,2)</f>
        <v>711516.94</v>
      </c>
      <c r="M805" s="34"/>
      <c r="N805" s="166"/>
      <c r="O805" s="156">
        <f>ROUND((O208+O409+O477+O566+O619)*H805/100,2)</f>
        <v>0</v>
      </c>
      <c r="P805" s="166"/>
      <c r="Q805" s="156">
        <f>ROUND((Q208+Q409+Q477+Q566+Q619)*H805/100,2)</f>
        <v>0</v>
      </c>
      <c r="R805" s="166"/>
      <c r="S805" s="156">
        <f>ROUND((S208+S409+S477+S566+S619)*H805/100,2)</f>
        <v>0</v>
      </c>
      <c r="T805" s="34"/>
      <c r="U805" s="34"/>
      <c r="V805" s="166"/>
      <c r="W805" s="166"/>
      <c r="X805" s="166"/>
      <c r="Y805" s="156">
        <f>ROUND((Y208+Y409+Y477+Y566+Y619)*H805/100,2)</f>
        <v>-83585.62</v>
      </c>
      <c r="Z805" s="166"/>
      <c r="AA805" s="156">
        <f>ROUND((AA208+AA409+AA477+AA566+AA619)*H805/100,2)</f>
        <v>-83585.62</v>
      </c>
      <c r="AB805" s="156">
        <f>ROUND((AB208+AB409+AB477+AB566+AB619)*H805/100,2)</f>
        <v>711516.94</v>
      </c>
    </row>
    <row r="806" spans="1:28" hidden="1" x14ac:dyDescent="0.25">
      <c r="A806" s="168"/>
      <c r="B806" s="133" t="str">
        <f>'Công trình'!B104</f>
        <v>AI.11131</v>
      </c>
      <c r="C806" s="34"/>
      <c r="D806" s="133" t="str">
        <f>'Công trình'!C104</f>
        <v>Sản xuất cọc dẫn bằng thép hình</v>
      </c>
      <c r="E806" s="168"/>
      <c r="F806" s="20">
        <v>1</v>
      </c>
      <c r="G806" s="169"/>
      <c r="H806" s="45">
        <f>'Hao phí vật tư'!G834</f>
        <v>5</v>
      </c>
      <c r="I806" s="166"/>
      <c r="J806" s="156">
        <f>ROUND((J209+J410+J478+J567+J620)*H806/100,2)</f>
        <v>36864.339999999997</v>
      </c>
      <c r="K806" s="166"/>
      <c r="L806" s="156">
        <f>ROUND((L209+L410+L478+L567+L620)*H806/100,2)</f>
        <v>36864.339999999997</v>
      </c>
      <c r="M806" s="34"/>
      <c r="N806" s="166"/>
      <c r="O806" s="156">
        <f>ROUND((O209+O410+O478+O567+O620)*H806/100,2)</f>
        <v>0</v>
      </c>
      <c r="P806" s="166"/>
      <c r="Q806" s="156">
        <f>ROUND((Q209+Q410+Q478+Q567+Q620)*H806/100,2)</f>
        <v>0</v>
      </c>
      <c r="R806" s="166"/>
      <c r="S806" s="156">
        <f>ROUND((S209+S410+S478+S567+S620)*H806/100,2)</f>
        <v>0</v>
      </c>
      <c r="T806" s="34"/>
      <c r="U806" s="34"/>
      <c r="V806" s="166"/>
      <c r="W806" s="166"/>
      <c r="X806" s="166"/>
      <c r="Y806" s="156">
        <f>ROUND((Y209+Y410+Y478+Y567+Y620)*H806/100,2)</f>
        <v>0</v>
      </c>
      <c r="Z806" s="166"/>
      <c r="AA806" s="156">
        <f>ROUND((AA209+AA410+AA478+AA567+AA620)*H806/100,2)</f>
        <v>0</v>
      </c>
      <c r="AB806" s="156">
        <f>ROUND((AB209+AB410+AB478+AB567+AB620)*H806/100,2)</f>
        <v>36864.339999999997</v>
      </c>
    </row>
    <row r="807" spans="1:28" hidden="1" x14ac:dyDescent="0.25">
      <c r="A807" s="168"/>
      <c r="B807" s="133" t="str">
        <f>'Công trình'!B120</f>
        <v>AI.11912</v>
      </c>
      <c r="C807" s="34"/>
      <c r="D807" s="133" t="str">
        <f>'Công trình'!C120</f>
        <v>Sản xuất hệ sàn đạo, sàn thao tác</v>
      </c>
      <c r="E807" s="168"/>
      <c r="F807" s="20">
        <v>1</v>
      </c>
      <c r="G807" s="169"/>
      <c r="H807" s="45">
        <f>'Hao phí vật tư'!G942</f>
        <v>5</v>
      </c>
      <c r="I807" s="166"/>
      <c r="J807" s="156">
        <f>ROUND((J210+J411+J479+J568+J621)*H807/100,2)</f>
        <v>189961.25</v>
      </c>
      <c r="K807" s="166"/>
      <c r="L807" s="156">
        <f>ROUND((L210+L411+L479+L568+L621)*H807/100,2)</f>
        <v>189961.25</v>
      </c>
      <c r="M807" s="34"/>
      <c r="N807" s="166"/>
      <c r="O807" s="156">
        <f>ROUND((O210+O411+O479+O568+O621)*H807/100,2)</f>
        <v>0</v>
      </c>
      <c r="P807" s="166"/>
      <c r="Q807" s="156">
        <f>ROUND((Q210+Q411+Q479+Q568+Q621)*H807/100,2)</f>
        <v>0</v>
      </c>
      <c r="R807" s="166"/>
      <c r="S807" s="156">
        <f>ROUND((S210+S411+S479+S568+S621)*H807/100,2)</f>
        <v>0</v>
      </c>
      <c r="T807" s="34"/>
      <c r="U807" s="34"/>
      <c r="V807" s="166"/>
      <c r="W807" s="166"/>
      <c r="X807" s="166"/>
      <c r="Y807" s="156">
        <f>ROUND((Y210+Y411+Y479+Y568+Y621)*H807/100,2)</f>
        <v>0</v>
      </c>
      <c r="Z807" s="166"/>
      <c r="AA807" s="156">
        <f>ROUND((AA210+AA411+AA479+AA568+AA621)*H807/100,2)</f>
        <v>0</v>
      </c>
      <c r="AB807" s="156">
        <f>ROUND((AB210+AB411+AB479+AB568+AB621)*H807/100,2)</f>
        <v>189961.25</v>
      </c>
    </row>
    <row r="808" spans="1:28" ht="30" hidden="1" x14ac:dyDescent="0.25">
      <c r="A808" s="168"/>
      <c r="B808" s="133" t="str">
        <f>'Công trình'!B121</f>
        <v>TT</v>
      </c>
      <c r="C808" s="34"/>
      <c r="D808" s="133" t="str">
        <f>'Công trình'!C121</f>
        <v>Khấu hao hệ sàn đạo, sàn thao tác (Thi công trong vòng 1 tháng và 4 lần đóng nhổ)</v>
      </c>
      <c r="E808" s="168"/>
      <c r="F808" s="20">
        <v>1</v>
      </c>
      <c r="G808" s="169"/>
      <c r="H808" s="45">
        <f>'Hao phí vật tư'!G956</f>
        <v>5</v>
      </c>
      <c r="I808" s="166"/>
      <c r="J808" s="156">
        <f>ROUND((J211+J412+J480+J569+J622)*H808/100,2)</f>
        <v>1327694.52</v>
      </c>
      <c r="K808" s="166"/>
      <c r="L808" s="156">
        <f>ROUND((L211+L412+L480+L569+L622)*H808/100,2)</f>
        <v>1188119.8600000001</v>
      </c>
      <c r="M808" s="34"/>
      <c r="N808" s="166"/>
      <c r="O808" s="156">
        <f>ROUND((O211+O412+O480+O569+O622)*H808/100,2)</f>
        <v>0</v>
      </c>
      <c r="P808" s="166"/>
      <c r="Q808" s="156">
        <f>ROUND((Q211+Q412+Q480+Q569+Q622)*H808/100,2)</f>
        <v>0</v>
      </c>
      <c r="R808" s="166"/>
      <c r="S808" s="156">
        <f>ROUND((S211+S412+S480+S569+S622)*H808/100,2)</f>
        <v>0</v>
      </c>
      <c r="T808" s="34"/>
      <c r="U808" s="34"/>
      <c r="V808" s="166"/>
      <c r="W808" s="166"/>
      <c r="X808" s="166"/>
      <c r="Y808" s="156">
        <f>ROUND((Y211+Y412+Y480+Y569+Y622)*H808/100,2)</f>
        <v>-139574.66</v>
      </c>
      <c r="Z808" s="166"/>
      <c r="AA808" s="156">
        <f>ROUND((AA211+AA412+AA480+AA569+AA622)*H808/100,2)</f>
        <v>-139574.66</v>
      </c>
      <c r="AB808" s="156">
        <f>ROUND((AB211+AB412+AB480+AB569+AB622)*H808/100,2)</f>
        <v>1188119.8600000001</v>
      </c>
    </row>
    <row r="809" spans="1:28" ht="30" hidden="1" x14ac:dyDescent="0.25">
      <c r="A809" s="168"/>
      <c r="B809" s="133" t="str">
        <f>'Công trình'!B112</f>
        <v>AI.63311</v>
      </c>
      <c r="C809" s="34"/>
      <c r="D809" s="133" t="str">
        <f>'Công trình'!C112</f>
        <v>Lắp dựng kết cấu thép hệ khung dàn, sàn đạo trên cạn</v>
      </c>
      <c r="E809" s="168"/>
      <c r="F809" s="20">
        <v>1</v>
      </c>
      <c r="G809" s="169"/>
      <c r="H809" s="45">
        <f>'Hao phí vật tư'!G890</f>
        <v>5</v>
      </c>
      <c r="I809" s="166"/>
      <c r="J809" s="156">
        <f>ROUND((J21+J481+J570)*H809/100,2)</f>
        <v>225030.46</v>
      </c>
      <c r="K809" s="166"/>
      <c r="L809" s="156">
        <f>ROUND((L21+L481+L570)*H809/100,2)</f>
        <v>224814.75</v>
      </c>
      <c r="M809" s="34"/>
      <c r="N809" s="166"/>
      <c r="O809" s="156">
        <f>ROUND((O21+O481+O570)*H809/100,2)</f>
        <v>0</v>
      </c>
      <c r="P809" s="166"/>
      <c r="Q809" s="156">
        <f>ROUND((Q21+Q481+Q570)*H809/100,2)</f>
        <v>0</v>
      </c>
      <c r="R809" s="166"/>
      <c r="S809" s="156">
        <f>ROUND((S21+S481+S570)*H809/100,2)</f>
        <v>0</v>
      </c>
      <c r="T809" s="34"/>
      <c r="U809" s="34"/>
      <c r="V809" s="166"/>
      <c r="W809" s="166"/>
      <c r="X809" s="166"/>
      <c r="Y809" s="156">
        <f>ROUND((Y21+Y481+Y570)*H809/100,2)</f>
        <v>-215.71</v>
      </c>
      <c r="Z809" s="166"/>
      <c r="AA809" s="156">
        <f>ROUND((AA21+AA481+AA570)*H809/100,2)</f>
        <v>-215.71</v>
      </c>
      <c r="AB809" s="156">
        <f>ROUND((AB21+AB481+AB570)*H809/100,2)</f>
        <v>224814.75</v>
      </c>
    </row>
    <row r="810" spans="1:28" ht="30" hidden="1" x14ac:dyDescent="0.25">
      <c r="A810" s="168"/>
      <c r="B810" s="133" t="str">
        <f>'Công trình'!B113</f>
        <v>AI.63311</v>
      </c>
      <c r="C810" s="34"/>
      <c r="D810" s="133" t="str">
        <f>'Công trình'!C113</f>
        <v>Tháo dỡ kết cấu thép hệ khung dàn, sàn đạo trên cạn (60% Đg)</v>
      </c>
      <c r="E810" s="168"/>
      <c r="F810" s="20">
        <v>1</v>
      </c>
      <c r="G810" s="169"/>
      <c r="H810" s="45">
        <f>'Hao phí vật tư'!G901</f>
        <v>5</v>
      </c>
      <c r="I810" s="166"/>
      <c r="J810" s="156">
        <f>ROUND((J22+J482+J571)*H810/100,2)</f>
        <v>135018.28</v>
      </c>
      <c r="K810" s="166"/>
      <c r="L810" s="156">
        <f>ROUND((L22+L482+L571)*H810/100,2)</f>
        <v>134888.85</v>
      </c>
      <c r="M810" s="34"/>
      <c r="N810" s="166"/>
      <c r="O810" s="156">
        <f>ROUND((O22+O482+O571)*H810/100,2)</f>
        <v>0</v>
      </c>
      <c r="P810" s="166"/>
      <c r="Q810" s="156">
        <f>ROUND((Q22+Q482+Q571)*H810/100,2)</f>
        <v>0</v>
      </c>
      <c r="R810" s="166"/>
      <c r="S810" s="156">
        <f>ROUND((S22+S482+S571)*H810/100,2)</f>
        <v>0</v>
      </c>
      <c r="T810" s="34"/>
      <c r="U810" s="34"/>
      <c r="V810" s="166"/>
      <c r="W810" s="166"/>
      <c r="X810" s="166"/>
      <c r="Y810" s="156">
        <f>ROUND((Y22+Y482+Y571)*H810/100,2)</f>
        <v>-129.41999999999999</v>
      </c>
      <c r="Z810" s="166"/>
      <c r="AA810" s="156">
        <f>ROUND((AA22+AA482+AA571)*H810/100,2)</f>
        <v>-129.41999999999999</v>
      </c>
      <c r="AB810" s="156">
        <f>ROUND((AB22+AB482+AB571)*H810/100,2)</f>
        <v>134888.85</v>
      </c>
    </row>
    <row r="811" spans="1:28" ht="30" hidden="1" x14ac:dyDescent="0.25">
      <c r="A811" s="168"/>
      <c r="B811" s="133" t="str">
        <f>'Công trình'!B114</f>
        <v>AC.22522</v>
      </c>
      <c r="C811" s="34"/>
      <c r="D811" s="133" t="str">
        <f>'Công trình'!C114</f>
        <v>Đóng cọc thép hình H300 trên mặt đất, chiều dài cọc &gt;10m, đất cấp II, phần ngập đất</v>
      </c>
      <c r="E811" s="168"/>
      <c r="F811" s="20">
        <v>1</v>
      </c>
      <c r="G811" s="169"/>
      <c r="H811" s="45">
        <f>'Hao phí vật tư'!G910</f>
        <v>1</v>
      </c>
      <c r="I811" s="166"/>
      <c r="J811" s="156">
        <f>ROUND((J118)*H811/100,2)</f>
        <v>0</v>
      </c>
      <c r="K811" s="166"/>
      <c r="L811" s="156">
        <f>ROUND((L118)*H811/100,2)</f>
        <v>0</v>
      </c>
      <c r="M811" s="34"/>
      <c r="N811" s="166"/>
      <c r="O811" s="156">
        <f>ROUND((O118)*H811/100,2)</f>
        <v>0</v>
      </c>
      <c r="P811" s="166"/>
      <c r="Q811" s="156">
        <f>ROUND((Q118)*H811/100,2)</f>
        <v>0</v>
      </c>
      <c r="R811" s="166"/>
      <c r="S811" s="156">
        <f>ROUND((S118)*H811/100,2)</f>
        <v>0</v>
      </c>
      <c r="T811" s="34"/>
      <c r="U811" s="34"/>
      <c r="V811" s="166"/>
      <c r="W811" s="166"/>
      <c r="X811" s="166"/>
      <c r="Y811" s="156">
        <f>ROUND((Y118)*H811/100,2)</f>
        <v>0</v>
      </c>
      <c r="Z811" s="166"/>
      <c r="AA811" s="156">
        <f>ROUND((AA118)*H811/100,2)</f>
        <v>0</v>
      </c>
      <c r="AB811" s="156">
        <f>ROUND((AB118)*H811/100,2)</f>
        <v>0</v>
      </c>
    </row>
    <row r="812" spans="1:28" ht="45" hidden="1" x14ac:dyDescent="0.25">
      <c r="A812" s="168"/>
      <c r="B812" s="133" t="str">
        <f>'Công trình'!B115</f>
        <v>AC.22522</v>
      </c>
      <c r="C812" s="34"/>
      <c r="D812" s="133" t="str">
        <f>'Công trình'!C115</f>
        <v>Đóng cọc thép hình H300 trên mặt đất, chiều dài cọc &gt;10m, đất cấp II, phần không ngập đất (NC, MTC * 0,75)</v>
      </c>
      <c r="E812" s="168"/>
      <c r="F812" s="20">
        <v>1</v>
      </c>
      <c r="G812" s="169"/>
      <c r="H812" s="45">
        <f>'Hao phí vật tư'!G919</f>
        <v>1</v>
      </c>
      <c r="I812" s="166"/>
      <c r="J812" s="156">
        <f>ROUND((J119)*H812/100,2)</f>
        <v>0</v>
      </c>
      <c r="K812" s="166"/>
      <c r="L812" s="156">
        <f>ROUND((L119)*H812/100,2)</f>
        <v>0</v>
      </c>
      <c r="M812" s="34"/>
      <c r="N812" s="166"/>
      <c r="O812" s="156">
        <f>ROUND((O119)*H812/100,2)</f>
        <v>0</v>
      </c>
      <c r="P812" s="166"/>
      <c r="Q812" s="156">
        <f>ROUND((Q119)*H812/100,2)</f>
        <v>0</v>
      </c>
      <c r="R812" s="166"/>
      <c r="S812" s="156">
        <f>ROUND((S119)*H812/100,2)</f>
        <v>0</v>
      </c>
      <c r="T812" s="34"/>
      <c r="U812" s="34"/>
      <c r="V812" s="166"/>
      <c r="W812" s="166"/>
      <c r="X812" s="166"/>
      <c r="Y812" s="156">
        <f>ROUND((Y119)*H812/100,2)</f>
        <v>0</v>
      </c>
      <c r="Z812" s="166"/>
      <c r="AA812" s="156">
        <f>ROUND((AA119)*H812/100,2)</f>
        <v>0</v>
      </c>
      <c r="AB812" s="156">
        <f>ROUND((AB119)*H812/100,2)</f>
        <v>0</v>
      </c>
    </row>
    <row r="813" spans="1:28" ht="30" hidden="1" x14ac:dyDescent="0.25">
      <c r="A813" s="168"/>
      <c r="B813" s="133" t="str">
        <f>'Công trình'!B123</f>
        <v>AI.63311</v>
      </c>
      <c r="C813" s="34"/>
      <c r="D813" s="133" t="str">
        <f>'Công trình'!C123</f>
        <v>Lắp dựng kết cấu thép hệ khung dàn, sàn đạo trên cạn</v>
      </c>
      <c r="E813" s="168"/>
      <c r="F813" s="20">
        <v>1</v>
      </c>
      <c r="G813" s="169"/>
      <c r="H813" s="45">
        <f>'Hao phí vật tư'!G962</f>
        <v>5</v>
      </c>
      <c r="I813" s="166"/>
      <c r="J813" s="156">
        <f>ROUND((J23+J483+J572)*H813/100,2)</f>
        <v>92739.78</v>
      </c>
      <c r="K813" s="166"/>
      <c r="L813" s="156">
        <f>ROUND((L23+L483+L572)*H813/100,2)</f>
        <v>92650.880000000005</v>
      </c>
      <c r="M813" s="34"/>
      <c r="N813" s="166"/>
      <c r="O813" s="156">
        <f>ROUND((O23+O483+O572)*H813/100,2)</f>
        <v>0</v>
      </c>
      <c r="P813" s="166"/>
      <c r="Q813" s="156">
        <f>ROUND((Q23+Q483+Q572)*H813/100,2)</f>
        <v>0</v>
      </c>
      <c r="R813" s="166"/>
      <c r="S813" s="156">
        <f>ROUND((S23+S483+S572)*H813/100,2)</f>
        <v>0</v>
      </c>
      <c r="T813" s="34"/>
      <c r="U813" s="34"/>
      <c r="V813" s="166"/>
      <c r="W813" s="166"/>
      <c r="X813" s="166"/>
      <c r="Y813" s="156">
        <f>ROUND((Y23+Y483+Y572)*H813/100,2)</f>
        <v>-88.9</v>
      </c>
      <c r="Z813" s="166"/>
      <c r="AA813" s="156">
        <f>ROUND((AA23+AA483+AA572)*H813/100,2)</f>
        <v>-88.9</v>
      </c>
      <c r="AB813" s="156">
        <f>ROUND((AB23+AB483+AB572)*H813/100,2)</f>
        <v>92650.880000000005</v>
      </c>
    </row>
    <row r="814" spans="1:28" ht="30" hidden="1" x14ac:dyDescent="0.25">
      <c r="A814" s="168"/>
      <c r="B814" s="133" t="str">
        <f>'Công trình'!B124</f>
        <v>AI.63311</v>
      </c>
      <c r="C814" s="34"/>
      <c r="D814" s="133" t="str">
        <f>'Công trình'!C124</f>
        <v>Tháo dỡ kết cấu thép hệ khung dàn, sàn đạo trên cạn (60% Đg)</v>
      </c>
      <c r="E814" s="168"/>
      <c r="F814" s="20">
        <v>1</v>
      </c>
      <c r="G814" s="169"/>
      <c r="H814" s="45">
        <f>'Hao phí vật tư'!G973</f>
        <v>5</v>
      </c>
      <c r="I814" s="166"/>
      <c r="J814" s="156">
        <f>ROUND((J24+J484+J573)*H814/100,2)</f>
        <v>55643.87</v>
      </c>
      <c r="K814" s="166"/>
      <c r="L814" s="156">
        <f>ROUND((L24+L484+L573)*H814/100,2)</f>
        <v>55590.53</v>
      </c>
      <c r="M814" s="34"/>
      <c r="N814" s="166"/>
      <c r="O814" s="156">
        <f>ROUND((O24+O484+O573)*H814/100,2)</f>
        <v>0</v>
      </c>
      <c r="P814" s="166"/>
      <c r="Q814" s="156">
        <f>ROUND((Q24+Q484+Q573)*H814/100,2)</f>
        <v>0</v>
      </c>
      <c r="R814" s="166"/>
      <c r="S814" s="156">
        <f>ROUND((S24+S484+S573)*H814/100,2)</f>
        <v>0</v>
      </c>
      <c r="T814" s="34"/>
      <c r="U814" s="34"/>
      <c r="V814" s="166"/>
      <c r="W814" s="166"/>
      <c r="X814" s="166"/>
      <c r="Y814" s="156">
        <f>ROUND((Y24+Y484+Y573)*H814/100,2)</f>
        <v>-53.34</v>
      </c>
      <c r="Z814" s="166"/>
      <c r="AA814" s="156">
        <f>ROUND((AA24+AA484+AA573)*H814/100,2)</f>
        <v>-53.34</v>
      </c>
      <c r="AB814" s="156">
        <f>ROUND((AB24+AB484+AB573)*H814/100,2)</f>
        <v>55590.53</v>
      </c>
    </row>
    <row r="815" spans="1:28" ht="30" hidden="1" x14ac:dyDescent="0.25">
      <c r="A815" s="168"/>
      <c r="B815" s="133" t="str">
        <f>'Công trình'!B125</f>
        <v>AC.22522</v>
      </c>
      <c r="C815" s="34"/>
      <c r="D815" s="133" t="str">
        <f>'Công trình'!C125</f>
        <v>Đóng cọc thép hình H300 trên mặt đất, chiều dài cọc &gt;10m, đất cấp II, phần ngập đất</v>
      </c>
      <c r="E815" s="168"/>
      <c r="F815" s="20">
        <v>1</v>
      </c>
      <c r="G815" s="169"/>
      <c r="H815" s="45">
        <f>'Hao phí vật tư'!G982</f>
        <v>1</v>
      </c>
      <c r="I815" s="166"/>
      <c r="J815" s="156">
        <f>ROUND((J120)*H815/100,2)</f>
        <v>0</v>
      </c>
      <c r="K815" s="166"/>
      <c r="L815" s="156">
        <f>ROUND((L120)*H815/100,2)</f>
        <v>0</v>
      </c>
      <c r="M815" s="34"/>
      <c r="N815" s="166"/>
      <c r="O815" s="156">
        <f>ROUND((O120)*H815/100,2)</f>
        <v>0</v>
      </c>
      <c r="P815" s="166"/>
      <c r="Q815" s="156">
        <f>ROUND((Q120)*H815/100,2)</f>
        <v>0</v>
      </c>
      <c r="R815" s="166"/>
      <c r="S815" s="156">
        <f>ROUND((S120)*H815/100,2)</f>
        <v>0</v>
      </c>
      <c r="T815" s="34"/>
      <c r="U815" s="34"/>
      <c r="V815" s="166"/>
      <c r="W815" s="166"/>
      <c r="X815" s="166"/>
      <c r="Y815" s="156">
        <f>ROUND((Y120)*H815/100,2)</f>
        <v>0</v>
      </c>
      <c r="Z815" s="166"/>
      <c r="AA815" s="156">
        <f>ROUND((AA120)*H815/100,2)</f>
        <v>0</v>
      </c>
      <c r="AB815" s="156">
        <f>ROUND((AB120)*H815/100,2)</f>
        <v>0</v>
      </c>
    </row>
    <row r="816" spans="1:28" ht="45" hidden="1" x14ac:dyDescent="0.25">
      <c r="A816" s="168"/>
      <c r="B816" s="133" t="str">
        <f>'Công trình'!B126</f>
        <v>AC.22522</v>
      </c>
      <c r="C816" s="34"/>
      <c r="D816" s="133" t="str">
        <f>'Công trình'!C126</f>
        <v>Đóng cọc thép hình H300 trên mặt đất, chiều dài cọc &gt;10m, đất cấp II, phần không ngập đất (NC, MTC * 0,75)</v>
      </c>
      <c r="E816" s="168"/>
      <c r="F816" s="20">
        <v>1</v>
      </c>
      <c r="G816" s="169"/>
      <c r="H816" s="45">
        <f>'Hao phí vật tư'!G991</f>
        <v>1</v>
      </c>
      <c r="I816" s="166"/>
      <c r="J816" s="156">
        <f>ROUND((J121)*H816/100,2)</f>
        <v>0</v>
      </c>
      <c r="K816" s="166"/>
      <c r="L816" s="156">
        <f>ROUND((L121)*H816/100,2)</f>
        <v>0</v>
      </c>
      <c r="M816" s="34"/>
      <c r="N816" s="166"/>
      <c r="O816" s="156">
        <f>ROUND((O121)*H816/100,2)</f>
        <v>0</v>
      </c>
      <c r="P816" s="166"/>
      <c r="Q816" s="156">
        <f>ROUND((Q121)*H816/100,2)</f>
        <v>0</v>
      </c>
      <c r="R816" s="166"/>
      <c r="S816" s="156">
        <f>ROUND((S121)*H816/100,2)</f>
        <v>0</v>
      </c>
      <c r="T816" s="34"/>
      <c r="U816" s="34"/>
      <c r="V816" s="166"/>
      <c r="W816" s="166"/>
      <c r="X816" s="166"/>
      <c r="Y816" s="156">
        <f>ROUND((Y121)*H816/100,2)</f>
        <v>0</v>
      </c>
      <c r="Z816" s="166"/>
      <c r="AA816" s="156">
        <f>ROUND((AA121)*H816/100,2)</f>
        <v>0</v>
      </c>
      <c r="AB816" s="156">
        <f>ROUND((AB121)*H816/100,2)</f>
        <v>0</v>
      </c>
    </row>
    <row r="817" spans="1:28" ht="30" hidden="1" x14ac:dyDescent="0.25">
      <c r="A817" s="168"/>
      <c r="B817" s="133" t="str">
        <f>'Công trình'!B131</f>
        <v>AC.22112</v>
      </c>
      <c r="C817" s="34"/>
      <c r="D817" s="133" t="str">
        <f>'Công trình'!C131</f>
        <v>Đóng cừ Larsen IV trên mặt đất chiều dài cọc &lt;=12m đất cấp II, ngập đất 15,5m</v>
      </c>
      <c r="E817" s="168"/>
      <c r="F817" s="20">
        <v>1</v>
      </c>
      <c r="G817" s="169"/>
      <c r="H817" s="45">
        <f>'Hao phí vật tư'!G1010</f>
        <v>0.5</v>
      </c>
      <c r="I817" s="166"/>
      <c r="J817" s="156">
        <f>ROUND((J135)*H817/100,2)</f>
        <v>0</v>
      </c>
      <c r="K817" s="166"/>
      <c r="L817" s="156">
        <f>ROUND((L135)*H817/100,2)</f>
        <v>0</v>
      </c>
      <c r="M817" s="34"/>
      <c r="N817" s="166"/>
      <c r="O817" s="156">
        <f>ROUND((O135)*H817/100,2)</f>
        <v>0</v>
      </c>
      <c r="P817" s="166"/>
      <c r="Q817" s="156">
        <f>ROUND((Q135)*H817/100,2)</f>
        <v>0</v>
      </c>
      <c r="R817" s="166"/>
      <c r="S817" s="156">
        <f>ROUND((S135)*H817/100,2)</f>
        <v>0</v>
      </c>
      <c r="T817" s="34"/>
      <c r="U817" s="34"/>
      <c r="V817" s="166"/>
      <c r="W817" s="166"/>
      <c r="X817" s="166"/>
      <c r="Y817" s="156">
        <f>ROUND((Y135)*H817/100,2)</f>
        <v>0</v>
      </c>
      <c r="Z817" s="166"/>
      <c r="AA817" s="156">
        <f>ROUND((AA135)*H817/100,2)</f>
        <v>0</v>
      </c>
      <c r="AB817" s="156">
        <f>ROUND((AB135)*H817/100,2)</f>
        <v>0</v>
      </c>
    </row>
    <row r="818" spans="1:28" ht="45" hidden="1" x14ac:dyDescent="0.25">
      <c r="A818" s="168"/>
      <c r="B818" s="133" t="str">
        <f>'Công trình'!B132</f>
        <v>AC.22112</v>
      </c>
      <c r="C818" s="34"/>
      <c r="D818" s="133" t="str">
        <f>'Công trình'!C132</f>
        <v>Đóng cừ Larsen IV trên mặt đất chiều dài cọc &lt;=12m đất cấp II, không ngập đất (NC, MTC * 0,75)</v>
      </c>
      <c r="E818" s="168"/>
      <c r="F818" s="20">
        <v>1</v>
      </c>
      <c r="G818" s="169"/>
      <c r="H818" s="45">
        <f>'Hao phí vật tư'!G1019</f>
        <v>0.5</v>
      </c>
      <c r="I818" s="166"/>
      <c r="J818" s="156">
        <f>ROUND((J136)*H818/100,2)</f>
        <v>0</v>
      </c>
      <c r="K818" s="166"/>
      <c r="L818" s="156">
        <f>ROUND((L136)*H818/100,2)</f>
        <v>0</v>
      </c>
      <c r="M818" s="34"/>
      <c r="N818" s="166"/>
      <c r="O818" s="156">
        <f>ROUND((O136)*H818/100,2)</f>
        <v>0</v>
      </c>
      <c r="P818" s="166"/>
      <c r="Q818" s="156">
        <f>ROUND((Q136)*H818/100,2)</f>
        <v>0</v>
      </c>
      <c r="R818" s="166"/>
      <c r="S818" s="156">
        <f>ROUND((S136)*H818/100,2)</f>
        <v>0</v>
      </c>
      <c r="T818" s="34"/>
      <c r="U818" s="34"/>
      <c r="V818" s="166"/>
      <c r="W818" s="166"/>
      <c r="X818" s="166"/>
      <c r="Y818" s="156">
        <f>ROUND((Y136)*H818/100,2)</f>
        <v>0</v>
      </c>
      <c r="Z818" s="166"/>
      <c r="AA818" s="156">
        <f>ROUND((AA136)*H818/100,2)</f>
        <v>0</v>
      </c>
      <c r="AB818" s="156">
        <f>ROUND((AB136)*H818/100,2)</f>
        <v>0</v>
      </c>
    </row>
    <row r="819" spans="1:28" ht="30" hidden="1" x14ac:dyDescent="0.25">
      <c r="A819" s="168"/>
      <c r="B819" s="133" t="str">
        <f>'Công trình'!B133</f>
        <v>TT</v>
      </c>
      <c r="C819" s="34"/>
      <c r="D819" s="133" t="str">
        <f>'Công trình'!C133</f>
        <v>Khấu hao cừ Larsen (Thi công trong vòng 3 tháng và 1 lần đóng nhổ)</v>
      </c>
      <c r="E819" s="168"/>
      <c r="F819" s="20">
        <v>1</v>
      </c>
      <c r="G819" s="169"/>
      <c r="H819" s="45">
        <f>'Hao phí vật tư'!G1028</f>
        <v>0.5</v>
      </c>
      <c r="I819" s="166"/>
      <c r="J819" s="156">
        <f>ROUND((J137)*H819/100,2)</f>
        <v>941350.18</v>
      </c>
      <c r="K819" s="166"/>
      <c r="L819" s="156">
        <f>ROUND((L137)*H819/100,2)</f>
        <v>1297753.92</v>
      </c>
      <c r="M819" s="34"/>
      <c r="N819" s="166"/>
      <c r="O819" s="156">
        <f>ROUND((O137)*H819/100,2)</f>
        <v>0</v>
      </c>
      <c r="P819" s="166"/>
      <c r="Q819" s="156">
        <f>ROUND((Q137)*H819/100,2)</f>
        <v>0</v>
      </c>
      <c r="R819" s="166"/>
      <c r="S819" s="156">
        <f>ROUND((S137)*H819/100,2)</f>
        <v>0</v>
      </c>
      <c r="T819" s="34"/>
      <c r="U819" s="34"/>
      <c r="V819" s="166"/>
      <c r="W819" s="166"/>
      <c r="X819" s="166"/>
      <c r="Y819" s="156">
        <f>ROUND((Y137)*H819/100,2)</f>
        <v>356403.74</v>
      </c>
      <c r="Z819" s="166"/>
      <c r="AA819" s="156">
        <f>ROUND((AA137)*H819/100,2)</f>
        <v>356403.74</v>
      </c>
      <c r="AB819" s="156">
        <f>ROUND((AB137)*H819/100,2)</f>
        <v>1297753.92</v>
      </c>
    </row>
    <row r="820" spans="1:28" hidden="1" x14ac:dyDescent="0.25">
      <c r="A820" s="168"/>
      <c r="B820" s="133" t="str">
        <f>'Công trình'!B136</f>
        <v>AI.11912</v>
      </c>
      <c r="C820" s="34"/>
      <c r="D820" s="133" t="str">
        <f>'Công trình'!C136</f>
        <v>Sản xuất hệ sàn đạo, sàn thao tác</v>
      </c>
      <c r="E820" s="168"/>
      <c r="F820" s="20">
        <v>1</v>
      </c>
      <c r="G820" s="169"/>
      <c r="H820" s="45">
        <f>'Hao phí vật tư'!G1043</f>
        <v>5</v>
      </c>
      <c r="I820" s="166"/>
      <c r="J820" s="156">
        <f>ROUND((J212+J413+J485+J574+J623)*H820/100,2)</f>
        <v>3007935.64</v>
      </c>
      <c r="K820" s="166"/>
      <c r="L820" s="156">
        <f>ROUND((L212+L413+L485+L574+L623)*H820/100,2)</f>
        <v>3007935.64</v>
      </c>
      <c r="M820" s="34"/>
      <c r="N820" s="166"/>
      <c r="O820" s="156">
        <f>ROUND((O212+O413+O485+O574+O623)*H820/100,2)</f>
        <v>0</v>
      </c>
      <c r="P820" s="166"/>
      <c r="Q820" s="156">
        <f>ROUND((Q212+Q413+Q485+Q574+Q623)*H820/100,2)</f>
        <v>0</v>
      </c>
      <c r="R820" s="166"/>
      <c r="S820" s="156">
        <f>ROUND((S212+S413+S485+S574+S623)*H820/100,2)</f>
        <v>0</v>
      </c>
      <c r="T820" s="34"/>
      <c r="U820" s="34"/>
      <c r="V820" s="166"/>
      <c r="W820" s="166"/>
      <c r="X820" s="166"/>
      <c r="Y820" s="156">
        <f>ROUND((Y212+Y413+Y485+Y574+Y623)*H820/100,2)</f>
        <v>0</v>
      </c>
      <c r="Z820" s="166"/>
      <c r="AA820" s="156">
        <f>ROUND((AA212+AA413+AA485+AA574+AA623)*H820/100,2)</f>
        <v>0</v>
      </c>
      <c r="AB820" s="156">
        <f>ROUND((AB212+AB413+AB485+AB574+AB623)*H820/100,2)</f>
        <v>3007935.64</v>
      </c>
    </row>
    <row r="821" spans="1:28" ht="30" hidden="1" x14ac:dyDescent="0.25">
      <c r="A821" s="168"/>
      <c r="B821" s="133" t="str">
        <f>'Công trình'!B137</f>
        <v>TT</v>
      </c>
      <c r="C821" s="34"/>
      <c r="D821" s="133" t="str">
        <f>'Công trình'!C137</f>
        <v>Khấu hao hệ sàn đạo, sàn thao tác (Thi công trong vòng 3 tháng và 1 lần đóng nhổ)</v>
      </c>
      <c r="E821" s="168"/>
      <c r="F821" s="20">
        <v>1</v>
      </c>
      <c r="G821" s="169"/>
      <c r="H821" s="45">
        <f>'Hao phí vật tư'!G1057</f>
        <v>5</v>
      </c>
      <c r="I821" s="166"/>
      <c r="J821" s="156">
        <f>ROUND((J213+J414+J486+J575+J624)*H821/100,2)</f>
        <v>9115055.0099999998</v>
      </c>
      <c r="K821" s="166"/>
      <c r="L821" s="156">
        <f>ROUND((L213+L414+L486+L575+L624)*H821/100,2)</f>
        <v>8156829.54</v>
      </c>
      <c r="M821" s="34"/>
      <c r="N821" s="166"/>
      <c r="O821" s="156">
        <f>ROUND((O213+O414+O486+O575+O624)*H821/100,2)</f>
        <v>0</v>
      </c>
      <c r="P821" s="166"/>
      <c r="Q821" s="156">
        <f>ROUND((Q213+Q414+Q486+Q575+Q624)*H821/100,2)</f>
        <v>0</v>
      </c>
      <c r="R821" s="166"/>
      <c r="S821" s="156">
        <f>ROUND((S213+S414+S486+S575+S624)*H821/100,2)</f>
        <v>0</v>
      </c>
      <c r="T821" s="34"/>
      <c r="U821" s="34"/>
      <c r="V821" s="166"/>
      <c r="W821" s="166"/>
      <c r="X821" s="166"/>
      <c r="Y821" s="156">
        <f>ROUND((Y213+Y414+Y486+Y575+Y624)*H821/100,2)</f>
        <v>-958225.47</v>
      </c>
      <c r="Z821" s="166"/>
      <c r="AA821" s="156">
        <f>ROUND((AA213+AA414+AA486+AA575+AA624)*H821/100,2)</f>
        <v>-958225.47</v>
      </c>
      <c r="AB821" s="156">
        <f>ROUND((AB213+AB414+AB486+AB575+AB624)*H821/100,2)</f>
        <v>8156829.54</v>
      </c>
    </row>
    <row r="822" spans="1:28" ht="30" hidden="1" x14ac:dyDescent="0.25">
      <c r="A822" s="168"/>
      <c r="B822" s="133" t="str">
        <f>'Công trình'!B139</f>
        <v>AI.63311</v>
      </c>
      <c r="C822" s="34"/>
      <c r="D822" s="133" t="str">
        <f>'Công trình'!C139</f>
        <v>Lắp dựng kết cấu thép hệ khung dàn, sàn đạo trên cạn</v>
      </c>
      <c r="E822" s="168"/>
      <c r="F822" s="20">
        <v>1</v>
      </c>
      <c r="G822" s="169"/>
      <c r="H822" s="45">
        <f>'Hao phí vật tư'!G1063</f>
        <v>5</v>
      </c>
      <c r="I822" s="166"/>
      <c r="J822" s="156">
        <f>ROUND((J25+J487+J576)*H822/100,2)</f>
        <v>1468486.09</v>
      </c>
      <c r="K822" s="166"/>
      <c r="L822" s="156">
        <f>ROUND((L25+L487+L576)*H822/100,2)</f>
        <v>1467078.45</v>
      </c>
      <c r="M822" s="34"/>
      <c r="N822" s="166"/>
      <c r="O822" s="156">
        <f>ROUND((O25+O487+O576)*H822/100,2)</f>
        <v>0</v>
      </c>
      <c r="P822" s="166"/>
      <c r="Q822" s="156">
        <f>ROUND((Q25+Q487+Q576)*H822/100,2)</f>
        <v>0</v>
      </c>
      <c r="R822" s="166"/>
      <c r="S822" s="156">
        <f>ROUND((S25+S487+S576)*H822/100,2)</f>
        <v>0</v>
      </c>
      <c r="T822" s="34"/>
      <c r="U822" s="34"/>
      <c r="V822" s="166"/>
      <c r="W822" s="166"/>
      <c r="X822" s="166"/>
      <c r="Y822" s="156">
        <f>ROUND((Y25+Y487+Y576)*H822/100,2)</f>
        <v>-1407.64</v>
      </c>
      <c r="Z822" s="166"/>
      <c r="AA822" s="156">
        <f>ROUND((AA25+AA487+AA576)*H822/100,2)</f>
        <v>-1407.64</v>
      </c>
      <c r="AB822" s="156">
        <f>ROUND((AB25+AB487+AB576)*H822/100,2)</f>
        <v>1467078.45</v>
      </c>
    </row>
    <row r="823" spans="1:28" ht="30" hidden="1" x14ac:dyDescent="0.25">
      <c r="A823" s="168"/>
      <c r="B823" s="133" t="str">
        <f>'Công trình'!B140</f>
        <v>AI.63311</v>
      </c>
      <c r="C823" s="34"/>
      <c r="D823" s="133" t="str">
        <f>'Công trình'!C140</f>
        <v>Tháo dỡ kết cấu thép hệ khung dàn, sàn đạo trên cạn (60% Đg)</v>
      </c>
      <c r="E823" s="168"/>
      <c r="F823" s="20">
        <v>1</v>
      </c>
      <c r="G823" s="169"/>
      <c r="H823" s="45">
        <f>'Hao phí vật tư'!G1074</f>
        <v>5</v>
      </c>
      <c r="I823" s="166"/>
      <c r="J823" s="156">
        <f>ROUND((J26+J488+J577)*H823/100,2)</f>
        <v>881091.65</v>
      </c>
      <c r="K823" s="166"/>
      <c r="L823" s="156">
        <f>ROUND((L26+L488+L577)*H823/100,2)</f>
        <v>880247.07</v>
      </c>
      <c r="M823" s="34"/>
      <c r="N823" s="166"/>
      <c r="O823" s="156">
        <f>ROUND((O26+O488+O577)*H823/100,2)</f>
        <v>0</v>
      </c>
      <c r="P823" s="166"/>
      <c r="Q823" s="156">
        <f>ROUND((Q26+Q488+Q577)*H823/100,2)</f>
        <v>0</v>
      </c>
      <c r="R823" s="166"/>
      <c r="S823" s="156">
        <f>ROUND((S26+S488+S577)*H823/100,2)</f>
        <v>0</v>
      </c>
      <c r="T823" s="34"/>
      <c r="U823" s="34"/>
      <c r="V823" s="166"/>
      <c r="W823" s="166"/>
      <c r="X823" s="166"/>
      <c r="Y823" s="156">
        <f>ROUND((Y26+Y488+Y577)*H823/100,2)</f>
        <v>-844.58</v>
      </c>
      <c r="Z823" s="166"/>
      <c r="AA823" s="156">
        <f>ROUND((AA26+AA488+AA577)*H823/100,2)</f>
        <v>-844.58</v>
      </c>
      <c r="AB823" s="156">
        <f>ROUND((AB26+AB488+AB577)*H823/100,2)</f>
        <v>880247.07</v>
      </c>
    </row>
    <row r="824" spans="1:28" ht="30" hidden="1" x14ac:dyDescent="0.25">
      <c r="A824" s="168"/>
      <c r="B824" s="133" t="str">
        <f>'Công trình'!B142</f>
        <v>AC.22522</v>
      </c>
      <c r="C824" s="34"/>
      <c r="D824" s="133" t="str">
        <f>'Công trình'!C142</f>
        <v>Đóng cọc thép hình H300 trên mặt đất, chiều dài cọc &gt;10m, đất cấp II, phần ngập đất</v>
      </c>
      <c r="E824" s="168"/>
      <c r="F824" s="20">
        <v>1</v>
      </c>
      <c r="G824" s="169"/>
      <c r="H824" s="45">
        <f>'Hao phí vật tư'!G1086</f>
        <v>1</v>
      </c>
      <c r="I824" s="166"/>
      <c r="J824" s="156">
        <f>ROUND((J324)*H824/100,2)</f>
        <v>0</v>
      </c>
      <c r="K824" s="166"/>
      <c r="L824" s="156">
        <f>ROUND((L324)*H824/100,2)</f>
        <v>0</v>
      </c>
      <c r="M824" s="34"/>
      <c r="N824" s="166"/>
      <c r="O824" s="156">
        <f>ROUND((O324)*H824/100,2)</f>
        <v>0</v>
      </c>
      <c r="P824" s="166"/>
      <c r="Q824" s="156">
        <f>ROUND((Q324)*H824/100,2)</f>
        <v>0</v>
      </c>
      <c r="R824" s="166"/>
      <c r="S824" s="156">
        <f>ROUND((S324)*H824/100,2)</f>
        <v>0</v>
      </c>
      <c r="T824" s="34"/>
      <c r="U824" s="34"/>
      <c r="V824" s="166"/>
      <c r="W824" s="166"/>
      <c r="X824" s="166"/>
      <c r="Y824" s="156">
        <f>ROUND((Y324)*H824/100,2)</f>
        <v>0</v>
      </c>
      <c r="Z824" s="166"/>
      <c r="AA824" s="156">
        <f>ROUND((AA324)*H824/100,2)</f>
        <v>0</v>
      </c>
      <c r="AB824" s="156">
        <f>ROUND((AB324)*H824/100,2)</f>
        <v>0</v>
      </c>
    </row>
    <row r="825" spans="1:28" ht="45" hidden="1" x14ac:dyDescent="0.25">
      <c r="A825" s="168"/>
      <c r="B825" s="133" t="str">
        <f>'Công trình'!B143</f>
        <v>AC.22522</v>
      </c>
      <c r="C825" s="34"/>
      <c r="D825" s="133" t="str">
        <f>'Công trình'!C143</f>
        <v>Đóng cọc thép hình H300 trên mặt đất, chiều dài cọc &gt;10m, đất cấp II, phần không ngập đất (NC, MTC * 0,75)</v>
      </c>
      <c r="E825" s="168"/>
      <c r="F825" s="20">
        <v>1</v>
      </c>
      <c r="G825" s="169"/>
      <c r="H825" s="45">
        <f>'Hao phí vật tư'!G1095</f>
        <v>1</v>
      </c>
      <c r="I825" s="166"/>
      <c r="J825" s="156">
        <f>ROUND((J325)*H825/100,2)</f>
        <v>0</v>
      </c>
      <c r="K825" s="166"/>
      <c r="L825" s="156">
        <f>ROUND((L325)*H825/100,2)</f>
        <v>0</v>
      </c>
      <c r="M825" s="34"/>
      <c r="N825" s="166"/>
      <c r="O825" s="156">
        <f>ROUND((O325)*H825/100,2)</f>
        <v>0</v>
      </c>
      <c r="P825" s="166"/>
      <c r="Q825" s="156">
        <f>ROUND((Q325)*H825/100,2)</f>
        <v>0</v>
      </c>
      <c r="R825" s="166"/>
      <c r="S825" s="156">
        <f>ROUND((S325)*H825/100,2)</f>
        <v>0</v>
      </c>
      <c r="T825" s="34"/>
      <c r="U825" s="34"/>
      <c r="V825" s="166"/>
      <c r="W825" s="166"/>
      <c r="X825" s="166"/>
      <c r="Y825" s="156">
        <f>ROUND((Y325)*H825/100,2)</f>
        <v>0</v>
      </c>
      <c r="Z825" s="166"/>
      <c r="AA825" s="156">
        <f>ROUND((AA325)*H825/100,2)</f>
        <v>0</v>
      </c>
      <c r="AB825" s="156">
        <f>ROUND((AB325)*H825/100,2)</f>
        <v>0</v>
      </c>
    </row>
    <row r="826" spans="1:28" ht="30" hidden="1" x14ac:dyDescent="0.25">
      <c r="A826" s="168"/>
      <c r="B826" s="133" t="str">
        <f>'Công trình'!B144</f>
        <v>TT</v>
      </c>
      <c r="C826" s="34"/>
      <c r="D826" s="133" t="str">
        <f>'Công trình'!C144</f>
        <v>Khấu hao cọc thép hình (Thi công trong vòng 3 tháng và 1 lần đóng nhổ)</v>
      </c>
      <c r="E826" s="168"/>
      <c r="F826" s="20">
        <v>1</v>
      </c>
      <c r="G826" s="169"/>
      <c r="H826" s="45">
        <f>'Hao phí vật tư'!G1104</f>
        <v>1</v>
      </c>
      <c r="I826" s="166"/>
      <c r="J826" s="156">
        <f>ROUND((J326)*H826/100,2)</f>
        <v>212766.89</v>
      </c>
      <c r="K826" s="166"/>
      <c r="L826" s="156">
        <f>ROUND((L326)*H826/100,2)</f>
        <v>390770.73</v>
      </c>
      <c r="M826" s="34"/>
      <c r="N826" s="166"/>
      <c r="O826" s="156">
        <f>ROUND((O326)*H826/100,2)</f>
        <v>0</v>
      </c>
      <c r="P826" s="166"/>
      <c r="Q826" s="156">
        <f>ROUND((Q326)*H826/100,2)</f>
        <v>0</v>
      </c>
      <c r="R826" s="166"/>
      <c r="S826" s="156">
        <f>ROUND((S326)*H826/100,2)</f>
        <v>0</v>
      </c>
      <c r="T826" s="34"/>
      <c r="U826" s="34"/>
      <c r="V826" s="166"/>
      <c r="W826" s="166"/>
      <c r="X826" s="166"/>
      <c r="Y826" s="156">
        <f>ROUND((Y326)*H826/100,2)</f>
        <v>178003.84</v>
      </c>
      <c r="Z826" s="166"/>
      <c r="AA826" s="156">
        <f>ROUND((AA326)*H826/100,2)</f>
        <v>178003.84</v>
      </c>
      <c r="AB826" s="156">
        <f>ROUND((AB326)*H826/100,2)</f>
        <v>390770.73</v>
      </c>
    </row>
    <row r="827" spans="1:28" ht="30" hidden="1" x14ac:dyDescent="0.25">
      <c r="A827" s="168"/>
      <c r="B827" s="133" t="str">
        <f>'Công trình'!B116</f>
        <v>TT</v>
      </c>
      <c r="C827" s="34"/>
      <c r="D827" s="133" t="str">
        <f>'Công trình'!C116</f>
        <v>Khấu hao cọc thép hình (Thi công trong vòng 3 tháng và 1 lần đóng nhổ)</v>
      </c>
      <c r="E827" s="168"/>
      <c r="F827" s="20">
        <v>1</v>
      </c>
      <c r="G827" s="169"/>
      <c r="H827" s="45">
        <f>'Hao phí vật tư'!G928</f>
        <v>1</v>
      </c>
      <c r="I827" s="166"/>
      <c r="J827" s="156">
        <f>ROUND((J122)*H827/100,2)</f>
        <v>88175.19</v>
      </c>
      <c r="K827" s="166"/>
      <c r="L827" s="156">
        <f>ROUND((L122)*H827/100,2)</f>
        <v>191418</v>
      </c>
      <c r="M827" s="34"/>
      <c r="N827" s="166"/>
      <c r="O827" s="156">
        <f>ROUND((O122)*H827/100,2)</f>
        <v>0</v>
      </c>
      <c r="P827" s="166"/>
      <c r="Q827" s="156">
        <f>ROUND((Q122)*H827/100,2)</f>
        <v>0</v>
      </c>
      <c r="R827" s="166"/>
      <c r="S827" s="156">
        <f>ROUND((S122)*H827/100,2)</f>
        <v>0</v>
      </c>
      <c r="T827" s="34"/>
      <c r="U827" s="34"/>
      <c r="V827" s="166"/>
      <c r="W827" s="166"/>
      <c r="X827" s="166"/>
      <c r="Y827" s="156">
        <f>ROUND((Y122)*H827/100,2)</f>
        <v>103242.82</v>
      </c>
      <c r="Z827" s="166"/>
      <c r="AA827" s="156">
        <f>ROUND((AA122)*H827/100,2)</f>
        <v>103242.82</v>
      </c>
      <c r="AB827" s="156">
        <f>ROUND((AB122)*H827/100,2)</f>
        <v>191418</v>
      </c>
    </row>
    <row r="828" spans="1:28" ht="30" hidden="1" x14ac:dyDescent="0.25">
      <c r="A828" s="168"/>
      <c r="B828" s="133" t="str">
        <f>'Công trình'!B127</f>
        <v>TT</v>
      </c>
      <c r="C828" s="34"/>
      <c r="D828" s="133" t="str">
        <f>'Công trình'!C127</f>
        <v>Khấu hao cọc thép hình (Thi công trong vòng 3 tháng và 1 lần đóng nhổ)</v>
      </c>
      <c r="E828" s="168"/>
      <c r="F828" s="20">
        <v>1</v>
      </c>
      <c r="G828" s="169"/>
      <c r="H828" s="45">
        <f>'Hao phí vật tư'!G1000</f>
        <v>1</v>
      </c>
      <c r="I828" s="166"/>
      <c r="J828" s="156">
        <f>ROUND((J123)*H828/100,2)</f>
        <v>61368.58</v>
      </c>
      <c r="K828" s="166"/>
      <c r="L828" s="156">
        <f>ROUND((L123)*H828/100,2)</f>
        <v>133224</v>
      </c>
      <c r="M828" s="34"/>
      <c r="N828" s="166"/>
      <c r="O828" s="156">
        <f>ROUND((O123)*H828/100,2)</f>
        <v>0</v>
      </c>
      <c r="P828" s="166"/>
      <c r="Q828" s="156">
        <f>ROUND((Q123)*H828/100,2)</f>
        <v>0</v>
      </c>
      <c r="R828" s="166"/>
      <c r="S828" s="156">
        <f>ROUND((S123)*H828/100,2)</f>
        <v>0</v>
      </c>
      <c r="T828" s="34"/>
      <c r="U828" s="34"/>
      <c r="V828" s="166"/>
      <c r="W828" s="166"/>
      <c r="X828" s="166"/>
      <c r="Y828" s="156">
        <f>ROUND((Y123)*H828/100,2)</f>
        <v>71855.42</v>
      </c>
      <c r="Z828" s="166"/>
      <c r="AA828" s="156">
        <f>ROUND((AA123)*H828/100,2)</f>
        <v>71855.42</v>
      </c>
      <c r="AB828" s="156">
        <f>ROUND((AB123)*H828/100,2)</f>
        <v>133224</v>
      </c>
    </row>
    <row r="829" spans="1:28" hidden="1" x14ac:dyDescent="0.25">
      <c r="A829" s="168"/>
      <c r="B829" s="133" t="str">
        <f>'Công trình'!B148</f>
        <v>AI.61171</v>
      </c>
      <c r="C829" s="34"/>
      <c r="D829" s="133" t="str">
        <f>'Công trình'!C148</f>
        <v>Lắp sàn thang sắt</v>
      </c>
      <c r="E829" s="168"/>
      <c r="F829" s="20">
        <v>1</v>
      </c>
      <c r="G829" s="169"/>
      <c r="H829" s="45">
        <f>'Hao phí vật tư'!G1127</f>
        <v>5</v>
      </c>
      <c r="I829" s="166"/>
      <c r="J829" s="156">
        <f>ROUND((J31+J490)*H829/100,2)</f>
        <v>1515.69</v>
      </c>
      <c r="K829" s="166"/>
      <c r="L829" s="156">
        <f>ROUND((L31+L490)*H829/100,2)</f>
        <v>1515.69</v>
      </c>
      <c r="M829" s="34"/>
      <c r="N829" s="166"/>
      <c r="O829" s="156">
        <f>ROUND((O31+O490)*H829/100,2)</f>
        <v>0</v>
      </c>
      <c r="P829" s="166"/>
      <c r="Q829" s="156">
        <f>ROUND((Q31+Q490)*H829/100,2)</f>
        <v>0</v>
      </c>
      <c r="R829" s="166"/>
      <c r="S829" s="156">
        <f>ROUND((S31+S490)*H829/100,2)</f>
        <v>0</v>
      </c>
      <c r="T829" s="34"/>
      <c r="U829" s="34"/>
      <c r="V829" s="166"/>
      <c r="W829" s="166"/>
      <c r="X829" s="166"/>
      <c r="Y829" s="156">
        <f>ROUND((Y31+Y490)*H829/100,2)</f>
        <v>0</v>
      </c>
      <c r="Z829" s="166"/>
      <c r="AA829" s="156">
        <f>ROUND((AA31+AA490)*H829/100,2)</f>
        <v>0</v>
      </c>
      <c r="AB829" s="156">
        <f>ROUND((AB31+AB490)*H829/100,2)</f>
        <v>1515.69</v>
      </c>
    </row>
    <row r="830" spans="1:28" ht="30" hidden="1" x14ac:dyDescent="0.25">
      <c r="A830" s="168"/>
      <c r="B830" s="133" t="str">
        <f>'Công trình'!B149</f>
        <v>AC.11121</v>
      </c>
      <c r="C830" s="34"/>
      <c r="D830" s="133" t="str">
        <f>'Công trình'!C149</f>
        <v>Đóng cọc tràm chiều dài cọc ngập đất &gt;2,5m đất cấp I</v>
      </c>
      <c r="E830" s="168"/>
      <c r="F830" s="20">
        <v>1</v>
      </c>
      <c r="G830" s="169"/>
      <c r="H830" s="45">
        <f>'Hao phí vật tư'!G1138</f>
        <v>5</v>
      </c>
      <c r="I830" s="166"/>
      <c r="J830" s="156">
        <f>ROUND((J105+J128+J312)*H830/100,2)</f>
        <v>507124.13</v>
      </c>
      <c r="K830" s="166"/>
      <c r="L830" s="156">
        <f>ROUND((L105+L128+L312)*H830/100,2)</f>
        <v>772977.06</v>
      </c>
      <c r="M830" s="34"/>
      <c r="N830" s="166"/>
      <c r="O830" s="156">
        <f>ROUND((O105+O128+O312)*H830/100,2)</f>
        <v>0</v>
      </c>
      <c r="P830" s="166"/>
      <c r="Q830" s="156">
        <f>ROUND((Q105+Q128+Q312)*H830/100,2)</f>
        <v>0</v>
      </c>
      <c r="R830" s="166"/>
      <c r="S830" s="156">
        <f>ROUND((S105+S128+S312)*H830/100,2)</f>
        <v>0</v>
      </c>
      <c r="T830" s="34"/>
      <c r="U830" s="34"/>
      <c r="V830" s="166"/>
      <c r="W830" s="166"/>
      <c r="X830" s="166"/>
      <c r="Y830" s="156">
        <f>ROUND((Y105+Y128+Y312)*H830/100,2)</f>
        <v>265852.93</v>
      </c>
      <c r="Z830" s="166"/>
      <c r="AA830" s="156">
        <f>ROUND((AA105+AA128+AA312)*H830/100,2)</f>
        <v>265852.93</v>
      </c>
      <c r="AB830" s="156">
        <f>ROUND((AB105+AB128+AB312)*H830/100,2)</f>
        <v>772977.06</v>
      </c>
    </row>
    <row r="831" spans="1:28" hidden="1" x14ac:dyDescent="0.25">
      <c r="A831" s="168"/>
      <c r="B831" s="133" t="str">
        <f>'Công trình'!B150</f>
        <v>AL.16122</v>
      </c>
      <c r="C831" s="34"/>
      <c r="D831" s="133" t="str">
        <f>'Công trình'!C150</f>
        <v>Rải vải địa kỹ thuật làm móng công trình</v>
      </c>
      <c r="E831" s="168"/>
      <c r="F831" s="20">
        <v>1</v>
      </c>
      <c r="G831" s="169"/>
      <c r="H831" s="45">
        <f>'Hao phí vật tư'!G1144</f>
        <v>0.2</v>
      </c>
      <c r="I831" s="166"/>
      <c r="J831" s="156">
        <f>ROUND((J714)*H831/100,2)</f>
        <v>2126.02</v>
      </c>
      <c r="K831" s="166"/>
      <c r="L831" s="156">
        <f>ROUND((L714)*H831/100,2)</f>
        <v>3787.7</v>
      </c>
      <c r="M831" s="34"/>
      <c r="N831" s="166"/>
      <c r="O831" s="156">
        <f>ROUND((O714)*H831/100,2)</f>
        <v>0</v>
      </c>
      <c r="P831" s="166"/>
      <c r="Q831" s="156">
        <f>ROUND((Q714)*H831/100,2)</f>
        <v>0</v>
      </c>
      <c r="R831" s="166"/>
      <c r="S831" s="156">
        <f>ROUND((S714)*H831/100,2)</f>
        <v>0</v>
      </c>
      <c r="T831" s="34"/>
      <c r="U831" s="34"/>
      <c r="V831" s="166"/>
      <c r="W831" s="166"/>
      <c r="X831" s="166"/>
      <c r="Y831" s="156">
        <f>ROUND((Y714)*H831/100,2)</f>
        <v>1661.68</v>
      </c>
      <c r="Z831" s="166"/>
      <c r="AA831" s="156">
        <f>ROUND((AA714)*H831/100,2)</f>
        <v>1661.68</v>
      </c>
      <c r="AB831" s="156">
        <f>ROUND((AB714)*H831/100,2)</f>
        <v>3787.7</v>
      </c>
    </row>
    <row r="832" spans="1:28" hidden="1" x14ac:dyDescent="0.25">
      <c r="A832" s="168"/>
      <c r="B832" s="133" t="str">
        <f>'Công trình'!B152</f>
        <v>AB.13411</v>
      </c>
      <c r="C832" s="34"/>
      <c r="D832" s="133" t="str">
        <f>'Công trình'!C152</f>
        <v>Đắp cát nền móng công trình</v>
      </c>
      <c r="E832" s="168"/>
      <c r="F832" s="20">
        <v>1</v>
      </c>
      <c r="G832" s="169"/>
      <c r="H832" s="45">
        <f>'Hao phí vật tư'!G1155</f>
        <v>2</v>
      </c>
      <c r="I832" s="166"/>
      <c r="J832" s="156">
        <f>ROUND((J48)*H832/100,2)</f>
        <v>16943.36</v>
      </c>
      <c r="K832" s="166"/>
      <c r="L832" s="156">
        <f>ROUND((L48)*H832/100,2)</f>
        <v>27230.400000000001</v>
      </c>
      <c r="M832" s="34"/>
      <c r="N832" s="166"/>
      <c r="O832" s="156">
        <f>ROUND((O48)*H832/100,2)</f>
        <v>0</v>
      </c>
      <c r="P832" s="166"/>
      <c r="Q832" s="156">
        <f>ROUND((Q48)*H832/100,2)</f>
        <v>0</v>
      </c>
      <c r="R832" s="166"/>
      <c r="S832" s="156">
        <f>ROUND((S48)*H832/100,2)</f>
        <v>0</v>
      </c>
      <c r="T832" s="34"/>
      <c r="U832" s="34"/>
      <c r="V832" s="166"/>
      <c r="W832" s="166"/>
      <c r="X832" s="166"/>
      <c r="Y832" s="156">
        <f>ROUND((Y48)*H832/100,2)</f>
        <v>10287.040000000001</v>
      </c>
      <c r="Z832" s="166"/>
      <c r="AA832" s="156">
        <f>ROUND((AA48)*H832/100,2)</f>
        <v>10287.040000000001</v>
      </c>
      <c r="AB832" s="156">
        <f>ROUND((AB48)*H832/100,2)</f>
        <v>27230.400000000001</v>
      </c>
    </row>
    <row r="833" spans="1:28" ht="30" hidden="1" x14ac:dyDescent="0.25">
      <c r="A833" s="168"/>
      <c r="B833" s="133" t="str">
        <f>'Công trình'!B154</f>
        <v>AB.36120</v>
      </c>
      <c r="C833" s="34"/>
      <c r="D833" s="133" t="str">
        <f>'Công trình'!C154</f>
        <v>Xói hút bùn trong khung vây phòng nước, các trụ dưới nước</v>
      </c>
      <c r="E833" s="168"/>
      <c r="F833" s="20">
        <v>1</v>
      </c>
      <c r="G833" s="169"/>
      <c r="H833" s="45">
        <f>'Hao phí vật tư'!G1169</f>
        <v>5</v>
      </c>
      <c r="I833" s="166"/>
      <c r="J833" s="156">
        <f>ROUND((J437+J439+J441)*H833/100,2)</f>
        <v>84631.49</v>
      </c>
      <c r="K833" s="166"/>
      <c r="L833" s="156">
        <f>ROUND((L437+L439+L441)*H833/100,2)</f>
        <v>84631.49</v>
      </c>
      <c r="M833" s="34"/>
      <c r="N833" s="166"/>
      <c r="O833" s="156">
        <f>ROUND((O437+O439+O441)*H833/100,2)</f>
        <v>0</v>
      </c>
      <c r="P833" s="166"/>
      <c r="Q833" s="156">
        <f>ROUND((Q437+Q439+Q441)*H833/100,2)</f>
        <v>0</v>
      </c>
      <c r="R833" s="166"/>
      <c r="S833" s="156">
        <f>ROUND((S437+S439+S441)*H833/100,2)</f>
        <v>0</v>
      </c>
      <c r="T833" s="34"/>
      <c r="U833" s="34"/>
      <c r="V833" s="166"/>
      <c r="W833" s="166"/>
      <c r="X833" s="166"/>
      <c r="Y833" s="156">
        <f>ROUND((Y437+Y439+Y441)*H833/100,2)</f>
        <v>0</v>
      </c>
      <c r="Z833" s="166"/>
      <c r="AA833" s="156">
        <f>ROUND((AA437+AA439+AA441)*H833/100,2)</f>
        <v>0</v>
      </c>
      <c r="AB833" s="156">
        <f>ROUND((AB437+AB439+AB441)*H833/100,2)</f>
        <v>84631.49</v>
      </c>
    </row>
    <row r="834" spans="1:28" ht="30" hidden="1" x14ac:dyDescent="0.25">
      <c r="A834" s="168"/>
      <c r="B834" s="133" t="str">
        <f>'Công trình'!B160</f>
        <v>AI.63311</v>
      </c>
      <c r="C834" s="34"/>
      <c r="D834" s="133" t="str">
        <f>'Công trình'!C160</f>
        <v>Lắp dựng kết cấu thép hệ khung dàn, sàn đạo trên cạn</v>
      </c>
      <c r="E834" s="168"/>
      <c r="F834" s="20">
        <v>1</v>
      </c>
      <c r="G834" s="169"/>
      <c r="H834" s="45">
        <f>'Hao phí vật tư'!G1212</f>
        <v>5</v>
      </c>
      <c r="I834" s="166"/>
      <c r="J834" s="156">
        <f>ROUND((J27+J491+J579)*H834/100,2)</f>
        <v>715923.12</v>
      </c>
      <c r="K834" s="166"/>
      <c r="L834" s="156">
        <f>ROUND((L27+L491+L579)*H834/100,2)</f>
        <v>715236.87</v>
      </c>
      <c r="M834" s="34"/>
      <c r="N834" s="166"/>
      <c r="O834" s="156">
        <f>ROUND((O27+O491+O579)*H834/100,2)</f>
        <v>0</v>
      </c>
      <c r="P834" s="166"/>
      <c r="Q834" s="156">
        <f>ROUND((Q27+Q491+Q579)*H834/100,2)</f>
        <v>0</v>
      </c>
      <c r="R834" s="166"/>
      <c r="S834" s="156">
        <f>ROUND((S27+S491+S579)*H834/100,2)</f>
        <v>0</v>
      </c>
      <c r="T834" s="34"/>
      <c r="U834" s="34"/>
      <c r="V834" s="166"/>
      <c r="W834" s="166"/>
      <c r="X834" s="166"/>
      <c r="Y834" s="156">
        <f>ROUND((Y27+Y491+Y579)*H834/100,2)</f>
        <v>-686.26</v>
      </c>
      <c r="Z834" s="166"/>
      <c r="AA834" s="156">
        <f>ROUND((AA27+AA491+AA579)*H834/100,2)</f>
        <v>-686.26</v>
      </c>
      <c r="AB834" s="156">
        <f>ROUND((AB27+AB491+AB579)*H834/100,2)</f>
        <v>715236.87</v>
      </c>
    </row>
    <row r="835" spans="1:28" ht="30" hidden="1" x14ac:dyDescent="0.25">
      <c r="A835" s="168"/>
      <c r="B835" s="133" t="str">
        <f>'Công trình'!B161</f>
        <v>AI.63311</v>
      </c>
      <c r="C835" s="34"/>
      <c r="D835" s="133" t="str">
        <f>'Công trình'!C161</f>
        <v>Tháo dỡ kết cấu thép hệ khung dàn, sàn đạo trên cạn (60% Đg)</v>
      </c>
      <c r="E835" s="168"/>
      <c r="F835" s="20">
        <v>1</v>
      </c>
      <c r="G835" s="169"/>
      <c r="H835" s="45">
        <f>'Hao phí vật tư'!G1223</f>
        <v>5</v>
      </c>
      <c r="I835" s="166"/>
      <c r="J835" s="156">
        <f>ROUND((J28+J492+J580)*H835/100,2)</f>
        <v>429553.89</v>
      </c>
      <c r="K835" s="166"/>
      <c r="L835" s="156">
        <f>ROUND((L28+L492+L580)*H835/100,2)</f>
        <v>429142.13</v>
      </c>
      <c r="M835" s="34"/>
      <c r="N835" s="166"/>
      <c r="O835" s="156">
        <f>ROUND((O28+O492+O580)*H835/100,2)</f>
        <v>0</v>
      </c>
      <c r="P835" s="166"/>
      <c r="Q835" s="156">
        <f>ROUND((Q28+Q492+Q580)*H835/100,2)</f>
        <v>0</v>
      </c>
      <c r="R835" s="166"/>
      <c r="S835" s="156">
        <f>ROUND((S28+S492+S580)*H835/100,2)</f>
        <v>0</v>
      </c>
      <c r="T835" s="34"/>
      <c r="U835" s="34"/>
      <c r="V835" s="166"/>
      <c r="W835" s="166"/>
      <c r="X835" s="166"/>
      <c r="Y835" s="156">
        <f>ROUND((Y28+Y492+Y580)*H835/100,2)</f>
        <v>-411.75</v>
      </c>
      <c r="Z835" s="166"/>
      <c r="AA835" s="156">
        <f>ROUND((AA28+AA492+AA580)*H835/100,2)</f>
        <v>-411.75</v>
      </c>
      <c r="AB835" s="156">
        <f>ROUND((AB28+AB492+AB580)*H835/100,2)</f>
        <v>429142.13</v>
      </c>
    </row>
    <row r="836" spans="1:28" ht="30" hidden="1" x14ac:dyDescent="0.25">
      <c r="A836" s="168"/>
      <c r="B836" s="133" t="str">
        <f>'Công trình'!B158</f>
        <v>TT</v>
      </c>
      <c r="C836" s="34"/>
      <c r="D836" s="133" t="str">
        <f>'Công trình'!C158</f>
        <v>Khấu hao hệ sàn đạo, sàn thao tác (Thi công trong vòng 3 tháng và 1 lần đóng nhổ)</v>
      </c>
      <c r="E836" s="168"/>
      <c r="F836" s="20">
        <v>1</v>
      </c>
      <c r="G836" s="169"/>
      <c r="H836" s="45">
        <f>'Hao phí vật tư'!G1206</f>
        <v>5</v>
      </c>
      <c r="I836" s="166"/>
      <c r="J836" s="156">
        <f>ROUND((J215+J416+J493+J581+J625)*H836/100,2)</f>
        <v>4443795.5999999996</v>
      </c>
      <c r="K836" s="166"/>
      <c r="L836" s="156">
        <f>ROUND((L215+L416+L493+L581+L625)*H836/100,2)</f>
        <v>3976639</v>
      </c>
      <c r="M836" s="34"/>
      <c r="N836" s="166"/>
      <c r="O836" s="156">
        <f>ROUND((O215+O416+O493+O581+O625)*H836/100,2)</f>
        <v>0</v>
      </c>
      <c r="P836" s="166"/>
      <c r="Q836" s="156">
        <f>ROUND((Q215+Q416+Q493+Q581+Q625)*H836/100,2)</f>
        <v>0</v>
      </c>
      <c r="R836" s="166"/>
      <c r="S836" s="156">
        <f>ROUND((S215+S416+S493+S581+S625)*H836/100,2)</f>
        <v>0</v>
      </c>
      <c r="T836" s="34"/>
      <c r="U836" s="34"/>
      <c r="V836" s="166"/>
      <c r="W836" s="166"/>
      <c r="X836" s="166"/>
      <c r="Y836" s="156">
        <f>ROUND((Y215+Y416+Y493+Y581+Y625)*H836/100,2)</f>
        <v>-467156.61</v>
      </c>
      <c r="Z836" s="166"/>
      <c r="AA836" s="156">
        <f>ROUND((AA215+AA416+AA493+AA581+AA625)*H836/100,2)</f>
        <v>-467156.61</v>
      </c>
      <c r="AB836" s="156">
        <f>ROUND((AB215+AB416+AB493+AB581+AB625)*H836/100,2)</f>
        <v>3976639</v>
      </c>
    </row>
    <row r="837" spans="1:28" hidden="1" x14ac:dyDescent="0.25">
      <c r="A837" s="168"/>
      <c r="B837" s="133" t="str">
        <f>'Công trình'!B157</f>
        <v>AI.11912</v>
      </c>
      <c r="C837" s="34"/>
      <c r="D837" s="133" t="str">
        <f>'Công trình'!C157</f>
        <v>Sản xuất cầu công tác</v>
      </c>
      <c r="E837" s="168"/>
      <c r="F837" s="20">
        <v>1</v>
      </c>
      <c r="G837" s="169"/>
      <c r="H837" s="45">
        <f>'Hao phí vật tư'!G1192</f>
        <v>5</v>
      </c>
      <c r="I837" s="166"/>
      <c r="J837" s="156">
        <f>ROUND((J216+J417+J494+J582+J626)*H837/100,2)</f>
        <v>1466442.77</v>
      </c>
      <c r="K837" s="166"/>
      <c r="L837" s="156">
        <f>ROUND((L216+L417+L494+L582+L626)*H837/100,2)</f>
        <v>1466442.77</v>
      </c>
      <c r="M837" s="34"/>
      <c r="N837" s="166"/>
      <c r="O837" s="156">
        <f>ROUND((O216+O417+O494+O582+O626)*H837/100,2)</f>
        <v>0</v>
      </c>
      <c r="P837" s="166"/>
      <c r="Q837" s="156">
        <f>ROUND((Q216+Q417+Q494+Q582+Q626)*H837/100,2)</f>
        <v>0</v>
      </c>
      <c r="R837" s="166"/>
      <c r="S837" s="156">
        <f>ROUND((S216+S417+S494+S582+S626)*H837/100,2)</f>
        <v>0</v>
      </c>
      <c r="T837" s="34"/>
      <c r="U837" s="34"/>
      <c r="V837" s="166"/>
      <c r="W837" s="166"/>
      <c r="X837" s="166"/>
      <c r="Y837" s="156">
        <f>ROUND((Y216+Y417+Y494+Y582+Y626)*H837/100,2)</f>
        <v>0</v>
      </c>
      <c r="Z837" s="166"/>
      <c r="AA837" s="156">
        <f>ROUND((AA216+AA417+AA494+AA582+AA626)*H837/100,2)</f>
        <v>0</v>
      </c>
      <c r="AB837" s="156">
        <f>ROUND((AB216+AB417+AB494+AB582+AB626)*H837/100,2)</f>
        <v>1466442.77</v>
      </c>
    </row>
    <row r="838" spans="1:28" ht="45" hidden="1" x14ac:dyDescent="0.25">
      <c r="A838" s="168"/>
      <c r="B838" s="133" t="str">
        <f>'Công trình'!B162</f>
        <v>AC.22522</v>
      </c>
      <c r="C838" s="34"/>
      <c r="D838" s="133" t="str">
        <f>'Công trình'!C162</f>
        <v>Đóng cọc thép hình I350x150, dài 14m đóng ngập đất 11m trên mặt đất, đất cấp II, phần ngập đất</v>
      </c>
      <c r="E838" s="168"/>
      <c r="F838" s="20">
        <v>1</v>
      </c>
      <c r="G838" s="169"/>
      <c r="H838" s="45">
        <f>'Hao phí vật tư'!G1232</f>
        <v>1</v>
      </c>
      <c r="I838" s="166"/>
      <c r="J838" s="156">
        <f>ROUND((J328)*H838/100,2)</f>
        <v>0</v>
      </c>
      <c r="K838" s="166"/>
      <c r="L838" s="156">
        <f>ROUND((L328)*H838/100,2)</f>
        <v>0</v>
      </c>
      <c r="M838" s="34"/>
      <c r="N838" s="166"/>
      <c r="O838" s="156">
        <f>ROUND((O328)*H838/100,2)</f>
        <v>0</v>
      </c>
      <c r="P838" s="166"/>
      <c r="Q838" s="156">
        <f>ROUND((Q328)*H838/100,2)</f>
        <v>0</v>
      </c>
      <c r="R838" s="166"/>
      <c r="S838" s="156">
        <f>ROUND((S328)*H838/100,2)</f>
        <v>0</v>
      </c>
      <c r="T838" s="34"/>
      <c r="U838" s="34"/>
      <c r="V838" s="166"/>
      <c r="W838" s="166"/>
      <c r="X838" s="166"/>
      <c r="Y838" s="156">
        <f>ROUND((Y328)*H838/100,2)</f>
        <v>0</v>
      </c>
      <c r="Z838" s="166"/>
      <c r="AA838" s="156">
        <f>ROUND((AA328)*H838/100,2)</f>
        <v>0</v>
      </c>
      <c r="AB838" s="156">
        <f>ROUND((AB328)*H838/100,2)</f>
        <v>0</v>
      </c>
    </row>
    <row r="839" spans="1:28" ht="45" hidden="1" x14ac:dyDescent="0.25">
      <c r="A839" s="168"/>
      <c r="B839" s="133" t="str">
        <f>'Công trình'!B163</f>
        <v>AC.22522</v>
      </c>
      <c r="C839" s="34"/>
      <c r="D839" s="133" t="str">
        <f>'Công trình'!C163</f>
        <v>Đóng cọc thép hình I350x150, dài 14m đóng không ngập đất 3m, đất cấp II, phần không ngập đất (NC, MTC * 0,75)</v>
      </c>
      <c r="E839" s="168"/>
      <c r="F839" s="20">
        <v>1</v>
      </c>
      <c r="G839" s="169"/>
      <c r="H839" s="45">
        <f>'Hao phí vật tư'!G1241</f>
        <v>1</v>
      </c>
      <c r="I839" s="166"/>
      <c r="J839" s="156">
        <f>ROUND((J329)*H839/100,2)</f>
        <v>0</v>
      </c>
      <c r="K839" s="166"/>
      <c r="L839" s="156">
        <f>ROUND((L329)*H839/100,2)</f>
        <v>0</v>
      </c>
      <c r="M839" s="34"/>
      <c r="N839" s="166"/>
      <c r="O839" s="156">
        <f>ROUND((O329)*H839/100,2)</f>
        <v>0</v>
      </c>
      <c r="P839" s="166"/>
      <c r="Q839" s="156">
        <f>ROUND((Q329)*H839/100,2)</f>
        <v>0</v>
      </c>
      <c r="R839" s="166"/>
      <c r="S839" s="156">
        <f>ROUND((S329)*H839/100,2)</f>
        <v>0</v>
      </c>
      <c r="T839" s="34"/>
      <c r="U839" s="34"/>
      <c r="V839" s="166"/>
      <c r="W839" s="166"/>
      <c r="X839" s="166"/>
      <c r="Y839" s="156">
        <f>ROUND((Y329)*H839/100,2)</f>
        <v>0</v>
      </c>
      <c r="Z839" s="166"/>
      <c r="AA839" s="156">
        <f>ROUND((AA329)*H839/100,2)</f>
        <v>0</v>
      </c>
      <c r="AB839" s="156">
        <f>ROUND((AB329)*H839/100,2)</f>
        <v>0</v>
      </c>
    </row>
    <row r="840" spans="1:28" ht="30" hidden="1" x14ac:dyDescent="0.25">
      <c r="A840" s="168"/>
      <c r="B840" s="133" t="str">
        <f>'Công trình'!B164</f>
        <v>TT</v>
      </c>
      <c r="C840" s="34"/>
      <c r="D840" s="133" t="str">
        <f>'Công trình'!C164</f>
        <v>Khấu hao cọc thép hình (Thi công trong vòng 3 tháng và 1 lần đóng nhổ)</v>
      </c>
      <c r="E840" s="168"/>
      <c r="F840" s="20">
        <v>1</v>
      </c>
      <c r="G840" s="169"/>
      <c r="H840" s="45">
        <f>'Hao phí vật tư'!G1250</f>
        <v>1</v>
      </c>
      <c r="I840" s="166"/>
      <c r="J840" s="156">
        <f>ROUND((J330)*H840/100,2)</f>
        <v>231649.53</v>
      </c>
      <c r="K840" s="166"/>
      <c r="L840" s="156">
        <f>ROUND((L330)*H840/100,2)</f>
        <v>502884</v>
      </c>
      <c r="M840" s="34"/>
      <c r="N840" s="166"/>
      <c r="O840" s="156">
        <f>ROUND((O330)*H840/100,2)</f>
        <v>0</v>
      </c>
      <c r="P840" s="166"/>
      <c r="Q840" s="156">
        <f>ROUND((Q330)*H840/100,2)</f>
        <v>0</v>
      </c>
      <c r="R840" s="166"/>
      <c r="S840" s="156">
        <f>ROUND((S330)*H840/100,2)</f>
        <v>0</v>
      </c>
      <c r="T840" s="34"/>
      <c r="U840" s="34"/>
      <c r="V840" s="166"/>
      <c r="W840" s="166"/>
      <c r="X840" s="166"/>
      <c r="Y840" s="156">
        <f>ROUND((Y330)*H840/100,2)</f>
        <v>271234.46999999997</v>
      </c>
      <c r="Z840" s="166"/>
      <c r="AA840" s="156">
        <f>ROUND((AA330)*H840/100,2)</f>
        <v>271234.46999999997</v>
      </c>
      <c r="AB840" s="156">
        <f>ROUND((AB330)*H840/100,2)</f>
        <v>502884</v>
      </c>
    </row>
    <row r="841" spans="1:28" ht="30" hidden="1" x14ac:dyDescent="0.25">
      <c r="A841" s="168"/>
      <c r="B841" s="133" t="str">
        <f>'Công trình'!B167</f>
        <v>AG.11413</v>
      </c>
      <c r="C841" s="34"/>
      <c r="D841" s="133" t="str">
        <f>'Công trình'!C167</f>
        <v>Bê tông tấm đan đúc sẵn đá 1x2, vữa BT mác 200</v>
      </c>
      <c r="E841" s="168"/>
      <c r="F841" s="20">
        <v>1</v>
      </c>
      <c r="G841" s="169"/>
      <c r="H841" s="45">
        <f>'Hao phí vật tư'!G1263</f>
        <v>0.5</v>
      </c>
      <c r="I841" s="166"/>
      <c r="J841" s="156">
        <f>ROUND((J68+J153+J367+J734)*H841/100,2)</f>
        <v>35657.67</v>
      </c>
      <c r="K841" s="166"/>
      <c r="L841" s="156">
        <f>ROUND((L68+L153+L367+L734)*H841/100,2)</f>
        <v>42581.22</v>
      </c>
      <c r="M841" s="34"/>
      <c r="N841" s="166"/>
      <c r="O841" s="156">
        <f>ROUND((O68+O153+O367+O734)*H841/100,2)</f>
        <v>0</v>
      </c>
      <c r="P841" s="166"/>
      <c r="Q841" s="156">
        <f>ROUND((Q68+Q153+Q367+Q734)*H841/100,2)</f>
        <v>0</v>
      </c>
      <c r="R841" s="166"/>
      <c r="S841" s="156">
        <f>ROUND((S68+S153+S367+S734)*H841/100,2)</f>
        <v>0</v>
      </c>
      <c r="T841" s="34"/>
      <c r="U841" s="34"/>
      <c r="V841" s="166"/>
      <c r="W841" s="166"/>
      <c r="X841" s="166"/>
      <c r="Y841" s="156">
        <f>ROUND((Y68+Y153+Y367+Y734)*H841/100,2)</f>
        <v>6923.55</v>
      </c>
      <c r="Z841" s="166"/>
      <c r="AA841" s="156">
        <f>ROUND((AA68+AA153+AA367+AA734)*H841/100,2)</f>
        <v>6923.55</v>
      </c>
      <c r="AB841" s="156">
        <f>ROUND((AB68+AB153+AB367+AB734)*H841/100,2)</f>
        <v>42581.22</v>
      </c>
    </row>
    <row r="842" spans="1:28" ht="30" hidden="1" x14ac:dyDescent="0.25">
      <c r="A842" s="168"/>
      <c r="B842" s="133" t="str">
        <f>'Công trình'!B168</f>
        <v>AG.32211</v>
      </c>
      <c r="C842" s="34"/>
      <c r="D842" s="133" t="str">
        <f>'Công trình'!C168</f>
        <v>Sản xuất, lắp dựng tháo dỡ ván khuôn kim loại các loại cấu kiện khác</v>
      </c>
      <c r="E842" s="168"/>
      <c r="F842" s="20">
        <v>1</v>
      </c>
      <c r="G842" s="169"/>
      <c r="H842" s="45">
        <f>'Hao phí vật tư'!G1273</f>
        <v>5</v>
      </c>
      <c r="I842" s="166"/>
      <c r="J842" s="156">
        <f>ROUND((J495+J583+J627)*H842/100,2)</f>
        <v>9115.51</v>
      </c>
      <c r="K842" s="166"/>
      <c r="L842" s="156">
        <f>ROUND((L495+L583+L627)*H842/100,2)</f>
        <v>7967.46</v>
      </c>
      <c r="M842" s="34"/>
      <c r="N842" s="166"/>
      <c r="O842" s="156">
        <f>ROUND((O495+O583+O627)*H842/100,2)</f>
        <v>0</v>
      </c>
      <c r="P842" s="166"/>
      <c r="Q842" s="156">
        <f>ROUND((Q495+Q583+Q627)*H842/100,2)</f>
        <v>0</v>
      </c>
      <c r="R842" s="166"/>
      <c r="S842" s="156">
        <f>ROUND((S495+S583+S627)*H842/100,2)</f>
        <v>0</v>
      </c>
      <c r="T842" s="34"/>
      <c r="U842" s="34"/>
      <c r="V842" s="166"/>
      <c r="W842" s="166"/>
      <c r="X842" s="166"/>
      <c r="Y842" s="156">
        <f>ROUND((Y495+Y583+Y627)*H842/100,2)</f>
        <v>-1148.05</v>
      </c>
      <c r="Z842" s="166"/>
      <c r="AA842" s="156">
        <f>ROUND((AA495+AA583+AA627)*H842/100,2)</f>
        <v>-1148.05</v>
      </c>
      <c r="AB842" s="156">
        <f>ROUND((AB495+AB583+AB627)*H842/100,2)</f>
        <v>7967.46</v>
      </c>
    </row>
    <row r="843" spans="1:28" ht="30" hidden="1" x14ac:dyDescent="0.25">
      <c r="A843" s="168"/>
      <c r="B843" s="133" t="str">
        <f>'Công trình'!B169</f>
        <v>AG.42141</v>
      </c>
      <c r="C843" s="34"/>
      <c r="D843" s="133" t="str">
        <f>'Công trình'!C169</f>
        <v>Lắp các loại cấu kiện BT đúc sẵn bằng thủ công trọng lượng &gt;250kg, vữa XM mác 100</v>
      </c>
      <c r="E843" s="168"/>
      <c r="F843" s="20">
        <v>1</v>
      </c>
      <c r="G843" s="169"/>
      <c r="H843" s="45">
        <f>'Hao phí vật tư'!G1284</f>
        <v>10</v>
      </c>
      <c r="I843" s="166"/>
      <c r="J843" s="156">
        <f>ROUND((J69+J368+J735)*H843/100,2)</f>
        <v>42304.6</v>
      </c>
      <c r="K843" s="166"/>
      <c r="L843" s="156">
        <f>ROUND((L69+L368+L735)*H843/100,2)</f>
        <v>56009.67</v>
      </c>
      <c r="M843" s="34"/>
      <c r="N843" s="166"/>
      <c r="O843" s="156">
        <f>ROUND((O69+O368+O735)*H843/100,2)</f>
        <v>0</v>
      </c>
      <c r="P843" s="166"/>
      <c r="Q843" s="156">
        <f>ROUND((Q69+Q368+Q735)*H843/100,2)</f>
        <v>0</v>
      </c>
      <c r="R843" s="166"/>
      <c r="S843" s="156">
        <f>ROUND((S69+S368+S735)*H843/100,2)</f>
        <v>0</v>
      </c>
      <c r="T843" s="34"/>
      <c r="U843" s="34"/>
      <c r="V843" s="166"/>
      <c r="W843" s="166"/>
      <c r="X843" s="166"/>
      <c r="Y843" s="156">
        <f>ROUND((Y69+Y368+Y735)*H843/100,2)</f>
        <v>13705.06</v>
      </c>
      <c r="Z843" s="166"/>
      <c r="AA843" s="156">
        <f>ROUND((AA69+AA368+AA735)*H843/100,2)</f>
        <v>13705.06</v>
      </c>
      <c r="AB843" s="156">
        <f>ROUND((AB69+AB368+AB735)*H843/100,2)</f>
        <v>56009.67</v>
      </c>
    </row>
    <row r="844" spans="1:28" ht="30" hidden="1" x14ac:dyDescent="0.25">
      <c r="A844" s="168"/>
      <c r="B844" s="133" t="str">
        <f>'Công trình'!B174</f>
        <v>AF.14115</v>
      </c>
      <c r="C844" s="34"/>
      <c r="D844" s="133" t="str">
        <f>'Công trình'!C174</f>
        <v>Bê tông móng, mố trụ cầu trên cạn đá 1x2, vữa BT mác 300</v>
      </c>
      <c r="E844" s="168"/>
      <c r="F844" s="20">
        <v>1</v>
      </c>
      <c r="G844" s="169"/>
      <c r="H844" s="45">
        <f>'Hao phí vật tư'!G1302</f>
        <v>2</v>
      </c>
      <c r="I844" s="166"/>
      <c r="J844" s="156">
        <f>ROUND((J70+J154+J369+J736)*H844/100,2)</f>
        <v>1870226.11</v>
      </c>
      <c r="K844" s="166"/>
      <c r="L844" s="156">
        <f>ROUND((L70+L154+L369+L736)*H844/100,2)</f>
        <v>2168688.61</v>
      </c>
      <c r="M844" s="34"/>
      <c r="N844" s="166"/>
      <c r="O844" s="156">
        <f>ROUND((O70+O154+O369+O736)*H844/100,2)</f>
        <v>0</v>
      </c>
      <c r="P844" s="166"/>
      <c r="Q844" s="156">
        <f>ROUND((Q70+Q154+Q369+Q736)*H844/100,2)</f>
        <v>0</v>
      </c>
      <c r="R844" s="166"/>
      <c r="S844" s="156">
        <f>ROUND((S70+S154+S369+S736)*H844/100,2)</f>
        <v>0</v>
      </c>
      <c r="T844" s="34"/>
      <c r="U844" s="34"/>
      <c r="V844" s="166"/>
      <c r="W844" s="166"/>
      <c r="X844" s="166"/>
      <c r="Y844" s="156">
        <f>ROUND((Y70+Y154+Y369+Y736)*H844/100,2)</f>
        <v>298462.51</v>
      </c>
      <c r="Z844" s="166"/>
      <c r="AA844" s="156">
        <f>ROUND((AA70+AA154+AA369+AA736)*H844/100,2)</f>
        <v>298462.51</v>
      </c>
      <c r="AB844" s="156">
        <f>ROUND((AB70+AB154+AB369+AB736)*H844/100,2)</f>
        <v>2168688.61</v>
      </c>
    </row>
    <row r="845" spans="1:28" ht="30" hidden="1" x14ac:dyDescent="0.25">
      <c r="A845" s="168"/>
      <c r="B845" s="133" t="str">
        <f>'Công trình'!B186</f>
        <v>AF.14115</v>
      </c>
      <c r="C845" s="34"/>
      <c r="D845" s="133" t="str">
        <f>'Công trình'!C186</f>
        <v>Bê tông móng, mố trụ cầu trên cạn đá 1x2, vữa BT mác 300</v>
      </c>
      <c r="E845" s="168"/>
      <c r="F845" s="20">
        <v>1</v>
      </c>
      <c r="G845" s="169"/>
      <c r="H845" s="45">
        <f>'Hao phí vật tư'!G1419</f>
        <v>2</v>
      </c>
      <c r="I845" s="166"/>
      <c r="J845" s="156">
        <f>ROUND((J73+J155+J372+J738)*H845/100,2)</f>
        <v>66855.13</v>
      </c>
      <c r="K845" s="166"/>
      <c r="L845" s="156">
        <f>ROUND((L73+L155+L372+L738)*H845/100,2)</f>
        <v>77524.41</v>
      </c>
      <c r="M845" s="34"/>
      <c r="N845" s="166"/>
      <c r="O845" s="156">
        <f>ROUND((O73+O155+O372+O738)*H845/100,2)</f>
        <v>0</v>
      </c>
      <c r="P845" s="166"/>
      <c r="Q845" s="156">
        <f>ROUND((Q73+Q155+Q372+Q738)*H845/100,2)</f>
        <v>0</v>
      </c>
      <c r="R845" s="166"/>
      <c r="S845" s="156">
        <f>ROUND((S73+S155+S372+S738)*H845/100,2)</f>
        <v>0</v>
      </c>
      <c r="T845" s="34"/>
      <c r="U845" s="34"/>
      <c r="V845" s="166"/>
      <c r="W845" s="166"/>
      <c r="X845" s="166"/>
      <c r="Y845" s="156">
        <f>ROUND((Y73+Y155+Y372+Y738)*H845/100,2)</f>
        <v>10669.28</v>
      </c>
      <c r="Z845" s="166"/>
      <c r="AA845" s="156">
        <f>ROUND((AA73+AA155+AA372+AA738)*H845/100,2)</f>
        <v>10669.28</v>
      </c>
      <c r="AB845" s="156">
        <f>ROUND((AB73+AB155+AB372+AB738)*H845/100,2)</f>
        <v>77524.41</v>
      </c>
    </row>
    <row r="846" spans="1:28" hidden="1" x14ac:dyDescent="0.25">
      <c r="A846" s="168"/>
      <c r="B846" s="133" t="str">
        <f>'Công trình'!B196</f>
        <v>AF.14315</v>
      </c>
      <c r="C846" s="34"/>
      <c r="D846" s="133" t="str">
        <f>'Công trình'!C196</f>
        <v>Bê tông mặt cầu đá 1x2, vữa BT mác 300</v>
      </c>
      <c r="E846" s="168"/>
      <c r="F846" s="20">
        <v>1</v>
      </c>
      <c r="G846" s="169"/>
      <c r="H846" s="45">
        <f>'Hao phí vật tư'!G1501</f>
        <v>4</v>
      </c>
      <c r="I846" s="166"/>
      <c r="J846" s="156">
        <f>ROUND((J75+J180+J374+J445+J719)*H846/100,2)</f>
        <v>3143356.32</v>
      </c>
      <c r="K846" s="166"/>
      <c r="L846" s="156">
        <f>ROUND((L75+L180+L374+L445+L719)*H846/100,2)</f>
        <v>3478781.13</v>
      </c>
      <c r="M846" s="34"/>
      <c r="N846" s="166"/>
      <c r="O846" s="156">
        <f>ROUND((O75+O180+O374+O445+O719)*H846/100,2)</f>
        <v>0</v>
      </c>
      <c r="P846" s="166"/>
      <c r="Q846" s="156">
        <f>ROUND((Q75+Q180+Q374+Q445+Q719)*H846/100,2)</f>
        <v>0</v>
      </c>
      <c r="R846" s="166"/>
      <c r="S846" s="156">
        <f>ROUND((S75+S180+S374+S445+S719)*H846/100,2)</f>
        <v>0</v>
      </c>
      <c r="T846" s="34"/>
      <c r="U846" s="34"/>
      <c r="V846" s="166"/>
      <c r="W846" s="166"/>
      <c r="X846" s="166"/>
      <c r="Y846" s="156">
        <f>ROUND((Y75+Y180+Y374+Y445+Y719)*H846/100,2)</f>
        <v>335424.8</v>
      </c>
      <c r="Z846" s="166"/>
      <c r="AA846" s="156">
        <f>ROUND((AA75+AA180+AA374+AA445+AA719)*H846/100,2)</f>
        <v>335424.8</v>
      </c>
      <c r="AB846" s="156">
        <f>ROUND((AB75+AB180+AB374+AB445+AB719)*H846/100,2)</f>
        <v>3478781.13</v>
      </c>
    </row>
    <row r="847" spans="1:28" hidden="1" x14ac:dyDescent="0.25">
      <c r="A847" s="168"/>
      <c r="B847" s="133" t="str">
        <f>'Công trình'!B197</f>
        <v>AF.15225</v>
      </c>
      <c r="C847" s="34"/>
      <c r="D847" s="133" t="str">
        <f>'Công trình'!C197</f>
        <v>Bê tông dầm cầu đá 1x2, vữa BT mác 300</v>
      </c>
      <c r="E847" s="168"/>
      <c r="F847" s="20">
        <v>1</v>
      </c>
      <c r="G847" s="169"/>
      <c r="H847" s="45">
        <f>'Hao phí vật tư'!G1514</f>
        <v>1</v>
      </c>
      <c r="I847" s="166"/>
      <c r="J847" s="156">
        <f>ROUND((J76+J156+J375+J740)*H847/100,2)</f>
        <v>29154.16</v>
      </c>
      <c r="K847" s="166"/>
      <c r="L847" s="156">
        <f>ROUND((L76+L156+L375+L740)*H847/100,2)</f>
        <v>33806.79</v>
      </c>
      <c r="M847" s="34"/>
      <c r="N847" s="166"/>
      <c r="O847" s="156">
        <f>ROUND((O76+O156+O375+O740)*H847/100,2)</f>
        <v>0</v>
      </c>
      <c r="P847" s="166"/>
      <c r="Q847" s="156">
        <f>ROUND((Q76+Q156+Q375+Q740)*H847/100,2)</f>
        <v>0</v>
      </c>
      <c r="R847" s="166"/>
      <c r="S847" s="156">
        <f>ROUND((S76+S156+S375+S740)*H847/100,2)</f>
        <v>0</v>
      </c>
      <c r="T847" s="34"/>
      <c r="U847" s="34"/>
      <c r="V847" s="166"/>
      <c r="W847" s="166"/>
      <c r="X847" s="166"/>
      <c r="Y847" s="156">
        <f>ROUND((Y76+Y156+Y375+Y740)*H847/100,2)</f>
        <v>4652.63</v>
      </c>
      <c r="Z847" s="166"/>
      <c r="AA847" s="156">
        <f>ROUND((AA76+AA156+AA375+AA740)*H847/100,2)</f>
        <v>4652.63</v>
      </c>
      <c r="AB847" s="156">
        <f>ROUND((AB76+AB156+AB375+AB740)*H847/100,2)</f>
        <v>33806.79</v>
      </c>
    </row>
    <row r="848" spans="1:28" ht="30" hidden="1" x14ac:dyDescent="0.25">
      <c r="A848" s="168"/>
      <c r="B848" s="133" t="str">
        <f>'Công trình'!B200</f>
        <v>AF.82111</v>
      </c>
      <c r="C848" s="34"/>
      <c r="D848" s="133" t="str">
        <f>'Công trình'!C200</f>
        <v>Sản xuất, lắp dựng tháo dỡ ván khuôn thép, cây chống gỗ dầm ngang, chiều cao &lt;=16m</v>
      </c>
      <c r="E848" s="168"/>
      <c r="F848" s="20">
        <v>1</v>
      </c>
      <c r="G848" s="169"/>
      <c r="H848" s="45">
        <f>'Hao phí vật tư'!G1543</f>
        <v>5</v>
      </c>
      <c r="I848" s="166"/>
      <c r="J848" s="156">
        <f>ROUND((J300+J501+J584+J628)*H848/100,2)</f>
        <v>69903.360000000001</v>
      </c>
      <c r="K848" s="166"/>
      <c r="L848" s="156">
        <f>ROUND((L300+L501+L584+L628)*H848/100,2)</f>
        <v>60543.47</v>
      </c>
      <c r="M848" s="34"/>
      <c r="N848" s="166"/>
      <c r="O848" s="156">
        <f>ROUND((O300+O501+O584+O628)*H848/100,2)</f>
        <v>0</v>
      </c>
      <c r="P848" s="166"/>
      <c r="Q848" s="156">
        <f>ROUND((Q300+Q501+Q584+Q628)*H848/100,2)</f>
        <v>0</v>
      </c>
      <c r="R848" s="166"/>
      <c r="S848" s="156">
        <f>ROUND((S300+S501+S584+S628)*H848/100,2)</f>
        <v>0</v>
      </c>
      <c r="T848" s="34"/>
      <c r="U848" s="34"/>
      <c r="V848" s="166"/>
      <c r="W848" s="166"/>
      <c r="X848" s="166"/>
      <c r="Y848" s="156">
        <f>ROUND((Y300+Y501+Y584+Y628)*H848/100,2)</f>
        <v>-9359.89</v>
      </c>
      <c r="Z848" s="166"/>
      <c r="AA848" s="156">
        <f>ROUND((AA300+AA501+AA584+AA628)*H848/100,2)</f>
        <v>-9359.89</v>
      </c>
      <c r="AB848" s="156">
        <f>ROUND((AB300+AB501+AB584+AB628)*H848/100,2)</f>
        <v>60543.47</v>
      </c>
    </row>
    <row r="849" spans="1:28" hidden="1" x14ac:dyDescent="0.25">
      <c r="A849" s="168"/>
      <c r="B849" s="133" t="str">
        <f>'Công trình'!B213</f>
        <v>AL.25121</v>
      </c>
      <c r="C849" s="34"/>
      <c r="D849" s="133" t="str">
        <f>'Công trình'!C213</f>
        <v>Lắp đặt khe co giãn dầm liên tục</v>
      </c>
      <c r="E849" s="168"/>
      <c r="F849" s="20">
        <v>1</v>
      </c>
      <c r="G849" s="169"/>
      <c r="H849" s="45">
        <f>'Hao phí vật tư'!G1618</f>
        <v>1</v>
      </c>
      <c r="I849" s="166"/>
      <c r="J849" s="156">
        <f>ROUND((J334)*H849/100,2)</f>
        <v>189000</v>
      </c>
      <c r="K849" s="166"/>
      <c r="L849" s="156">
        <f>ROUND((L334)*H849/100,2)</f>
        <v>189000</v>
      </c>
      <c r="M849" s="34"/>
      <c r="N849" s="166"/>
      <c r="O849" s="156">
        <f>ROUND((O334)*H849/100,2)</f>
        <v>0</v>
      </c>
      <c r="P849" s="166"/>
      <c r="Q849" s="156">
        <f>ROUND((Q334)*H849/100,2)</f>
        <v>0</v>
      </c>
      <c r="R849" s="166"/>
      <c r="S849" s="156">
        <f>ROUND((S334)*H849/100,2)</f>
        <v>0</v>
      </c>
      <c r="T849" s="34"/>
      <c r="U849" s="34"/>
      <c r="V849" s="166"/>
      <c r="W849" s="166"/>
      <c r="X849" s="166"/>
      <c r="Y849" s="156">
        <f>ROUND((Y334)*H849/100,2)</f>
        <v>0</v>
      </c>
      <c r="Z849" s="166"/>
      <c r="AA849" s="156">
        <f>ROUND((AA334)*H849/100,2)</f>
        <v>0</v>
      </c>
      <c r="AB849" s="156">
        <f>ROUND((AB334)*H849/100,2)</f>
        <v>189000</v>
      </c>
    </row>
    <row r="850" spans="1:28" hidden="1" x14ac:dyDescent="0.25">
      <c r="A850" s="168"/>
      <c r="B850" s="133" t="str">
        <f>'Công trình'!B217</f>
        <v>AF.11215</v>
      </c>
      <c r="C850" s="34"/>
      <c r="D850" s="133" t="str">
        <f>'Công trình'!C217</f>
        <v>BT M300 đổ sau có phụ gia</v>
      </c>
      <c r="E850" s="168"/>
      <c r="F850" s="20">
        <v>1</v>
      </c>
      <c r="G850" s="169"/>
      <c r="H850" s="45">
        <f>'Hao phí vật tư'!G1637</f>
        <v>1</v>
      </c>
      <c r="I850" s="166"/>
      <c r="J850" s="156">
        <f>ROUND((J77+J181+J376+J447+J764)*H850/100,2)</f>
        <v>14324.75</v>
      </c>
      <c r="K850" s="166"/>
      <c r="L850" s="156">
        <f>ROUND((L77+L181+L376+L447+L764)*H850/100,2)</f>
        <v>16003.39</v>
      </c>
      <c r="M850" s="34"/>
      <c r="N850" s="166"/>
      <c r="O850" s="156">
        <f>ROUND((O77+O181+O376+O447+O764)*H850/100,2)</f>
        <v>0</v>
      </c>
      <c r="P850" s="166"/>
      <c r="Q850" s="156">
        <f>ROUND((Q77+Q181+Q376+Q447+Q764)*H850/100,2)</f>
        <v>0</v>
      </c>
      <c r="R850" s="166"/>
      <c r="S850" s="156">
        <f>ROUND((S77+S181+S376+S447+S764)*H850/100,2)</f>
        <v>0</v>
      </c>
      <c r="T850" s="34"/>
      <c r="U850" s="34"/>
      <c r="V850" s="166"/>
      <c r="W850" s="166"/>
      <c r="X850" s="166"/>
      <c r="Y850" s="156">
        <f>ROUND((Y77+Y181+Y376+Y447+Y764)*H850/100,2)</f>
        <v>1678.64</v>
      </c>
      <c r="Z850" s="166"/>
      <c r="AA850" s="156">
        <f>ROUND((AA77+AA181+AA376+AA447+AA764)*H850/100,2)</f>
        <v>1678.64</v>
      </c>
      <c r="AB850" s="156">
        <f>ROUND((AB77+AB181+AB376+AB447+AB764)*H850/100,2)</f>
        <v>16003.39</v>
      </c>
    </row>
    <row r="851" spans="1:28" hidden="1" x14ac:dyDescent="0.25">
      <c r="A851" s="168"/>
      <c r="B851" s="133" t="str">
        <f>'Công trình'!B222</f>
        <v>AL.16210</v>
      </c>
      <c r="C851" s="34"/>
      <c r="D851" s="133" t="str">
        <f>'Công trình'!C222</f>
        <v>Giấy dầu</v>
      </c>
      <c r="E851" s="168"/>
      <c r="F851" s="20">
        <v>1</v>
      </c>
      <c r="G851" s="169"/>
      <c r="H851" s="45">
        <f>'Hao phí vật tư'!G1674</f>
        <v>0.2</v>
      </c>
      <c r="I851" s="166"/>
      <c r="J851" s="156">
        <f>ROUND((J293)*H851/100,2)</f>
        <v>260.92</v>
      </c>
      <c r="K851" s="166"/>
      <c r="L851" s="156">
        <f>ROUND((L293)*H851/100,2)</f>
        <v>260.92</v>
      </c>
      <c r="M851" s="34"/>
      <c r="N851" s="166"/>
      <c r="O851" s="156">
        <f>ROUND((O293)*H851/100,2)</f>
        <v>0</v>
      </c>
      <c r="P851" s="166"/>
      <c r="Q851" s="156">
        <f>ROUND((Q293)*H851/100,2)</f>
        <v>0</v>
      </c>
      <c r="R851" s="166"/>
      <c r="S851" s="156">
        <f>ROUND((S293)*H851/100,2)</f>
        <v>0</v>
      </c>
      <c r="T851" s="34"/>
      <c r="U851" s="34"/>
      <c r="V851" s="166"/>
      <c r="W851" s="166"/>
      <c r="X851" s="166"/>
      <c r="Y851" s="156">
        <f>ROUND((Y293)*H851/100,2)</f>
        <v>0</v>
      </c>
      <c r="Z851" s="166"/>
      <c r="AA851" s="156">
        <f>ROUND((AA293)*H851/100,2)</f>
        <v>0</v>
      </c>
      <c r="AB851" s="156">
        <f>ROUND((AB293)*H851/100,2)</f>
        <v>260.92</v>
      </c>
    </row>
    <row r="852" spans="1:28" ht="30" hidden="1" x14ac:dyDescent="0.25">
      <c r="A852" s="168"/>
      <c r="B852" s="133" t="str">
        <f>'Công trình'!B225</f>
        <v>AG.11125</v>
      </c>
      <c r="C852" s="34"/>
      <c r="D852" s="133" t="str">
        <f>'Công trình'!C225</f>
        <v>Sản xuất bê tông cọc cừ đúc sẵn đá 1x2, vữa BT mác 300</v>
      </c>
      <c r="E852" s="168"/>
      <c r="F852" s="20">
        <v>1</v>
      </c>
      <c r="G852" s="169"/>
      <c r="H852" s="45">
        <f>'Hao phí vật tư'!G1686</f>
        <v>0.5</v>
      </c>
      <c r="I852" s="166"/>
      <c r="J852" s="156">
        <f>ROUND((J78+J157+J377+J741)*H852/100,2)</f>
        <v>362900.02</v>
      </c>
      <c r="K852" s="166"/>
      <c r="L852" s="156">
        <f>ROUND((L78+L157+L377+L741)*H852/100,2)</f>
        <v>420818.46</v>
      </c>
      <c r="M852" s="34"/>
      <c r="N852" s="166"/>
      <c r="O852" s="156">
        <f>ROUND((O78+O157+O377+O741)*H852/100,2)</f>
        <v>0</v>
      </c>
      <c r="P852" s="166"/>
      <c r="Q852" s="156">
        <f>ROUND((Q78+Q157+Q377+Q741)*H852/100,2)</f>
        <v>0</v>
      </c>
      <c r="R852" s="166"/>
      <c r="S852" s="156">
        <f>ROUND((S78+S157+S377+S741)*H852/100,2)</f>
        <v>0</v>
      </c>
      <c r="T852" s="34"/>
      <c r="U852" s="34"/>
      <c r="V852" s="166"/>
      <c r="W852" s="166"/>
      <c r="X852" s="166"/>
      <c r="Y852" s="156">
        <f>ROUND((Y78+Y157+Y377+Y741)*H852/100,2)</f>
        <v>57918.45</v>
      </c>
      <c r="Z852" s="166"/>
      <c r="AA852" s="156">
        <f>ROUND((AA78+AA157+AA377+AA741)*H852/100,2)</f>
        <v>57918.45</v>
      </c>
      <c r="AB852" s="156">
        <f>ROUND((AB78+AB157+AB377+AB741)*H852/100,2)</f>
        <v>420818.46</v>
      </c>
    </row>
    <row r="853" spans="1:28" ht="30" hidden="1" x14ac:dyDescent="0.25">
      <c r="A853" s="168"/>
      <c r="B853" s="133" t="str">
        <f>'Công trình'!B229</f>
        <v>AI.13111</v>
      </c>
      <c r="C853" s="34"/>
      <c r="D853" s="133" t="str">
        <f>'Công trình'!C229</f>
        <v>Sản xuất cấu kiện thép đặt sẵn trong bê tông, khối lượng &lt;=10kg/cấu kiện</v>
      </c>
      <c r="E853" s="168"/>
      <c r="F853" s="20">
        <v>1</v>
      </c>
      <c r="G853" s="169"/>
      <c r="H853" s="45">
        <f>'Hao phí vật tư'!G1729</f>
        <v>2.5</v>
      </c>
      <c r="I853" s="166"/>
      <c r="J853" s="156">
        <f>ROUND((J192+J217+J418+J509+J629+J688)*H853/100,2)</f>
        <v>447322.67</v>
      </c>
      <c r="K853" s="166"/>
      <c r="L853" s="156">
        <f>ROUND((L192+L217+L418+L509+L629+L688)*H853/100,2)</f>
        <v>373448.39</v>
      </c>
      <c r="M853" s="34"/>
      <c r="N853" s="166"/>
      <c r="O853" s="156">
        <f>ROUND((O192+O217+O418+O509+O629+O688)*H853/100,2)</f>
        <v>0</v>
      </c>
      <c r="P853" s="166"/>
      <c r="Q853" s="156">
        <f>ROUND((Q192+Q217+Q418+Q509+Q629+Q688)*H853/100,2)</f>
        <v>0</v>
      </c>
      <c r="R853" s="166"/>
      <c r="S853" s="156">
        <f>ROUND((S192+S217+S418+S509+S629+S688)*H853/100,2)</f>
        <v>0</v>
      </c>
      <c r="T853" s="34"/>
      <c r="U853" s="34"/>
      <c r="V853" s="166"/>
      <c r="W853" s="166"/>
      <c r="X853" s="166"/>
      <c r="Y853" s="156">
        <f>ROUND((Y192+Y217+Y418+Y509+Y629+Y688)*H853/100,2)</f>
        <v>-73874.28</v>
      </c>
      <c r="Z853" s="166"/>
      <c r="AA853" s="156">
        <f>ROUND((AA192+AA217+AA418+AA509+AA629+AA688)*H853/100,2)</f>
        <v>-73874.28</v>
      </c>
      <c r="AB853" s="156">
        <f>ROUND((AB192+AB217+AB418+AB509+AB629+AB688)*H853/100,2)</f>
        <v>373448.39</v>
      </c>
    </row>
    <row r="854" spans="1:28" hidden="1" x14ac:dyDescent="0.25">
      <c r="A854" s="168"/>
      <c r="B854" s="133" t="str">
        <f>'Công trình'!B231</f>
        <v>AI.52211</v>
      </c>
      <c r="C854" s="34"/>
      <c r="D854" s="133" t="str">
        <f>'Công trình'!C231</f>
        <v>Thép hình hộp nối cọc</v>
      </c>
      <c r="E854" s="168"/>
      <c r="F854" s="20">
        <v>1</v>
      </c>
      <c r="G854" s="169"/>
      <c r="H854" s="45">
        <f>'Hao phí vật tư'!G1756</f>
        <v>2</v>
      </c>
      <c r="I854" s="166"/>
      <c r="J854" s="156">
        <f>ROUND((J193+J218+J419+J510+J585+J630)*H854/100,2)</f>
        <v>863012.12</v>
      </c>
      <c r="K854" s="166"/>
      <c r="L854" s="156">
        <f>ROUND((L193+L218+L419+L510+L585+L630)*H854/100,2)</f>
        <v>790108.51</v>
      </c>
      <c r="M854" s="34"/>
      <c r="N854" s="166"/>
      <c r="O854" s="156">
        <f>ROUND((O193+O218+O419+O510+O585+O630)*H854/100,2)</f>
        <v>0</v>
      </c>
      <c r="P854" s="166"/>
      <c r="Q854" s="156">
        <f>ROUND((Q193+Q218+Q419+Q510+Q585+Q630)*H854/100,2)</f>
        <v>0</v>
      </c>
      <c r="R854" s="166"/>
      <c r="S854" s="156">
        <f>ROUND((S193+S218+S419+S510+S585+S630)*H854/100,2)</f>
        <v>0</v>
      </c>
      <c r="T854" s="34"/>
      <c r="U854" s="34"/>
      <c r="V854" s="166"/>
      <c r="W854" s="166"/>
      <c r="X854" s="166"/>
      <c r="Y854" s="156">
        <f>ROUND((Y193+Y218+Y419+Y510+Y585+Y630)*H854/100,2)</f>
        <v>-72903.61</v>
      </c>
      <c r="Z854" s="166"/>
      <c r="AA854" s="156">
        <f>ROUND((AA193+AA218+AA419+AA510+AA585+AA630)*H854/100,2)</f>
        <v>-72903.61</v>
      </c>
      <c r="AB854" s="156">
        <f>ROUND((AB193+AB218+AB419+AB510+AB585+AB630)*H854/100,2)</f>
        <v>790108.51</v>
      </c>
    </row>
    <row r="855" spans="1:28" ht="30" hidden="1" x14ac:dyDescent="0.25">
      <c r="A855" s="168"/>
      <c r="B855" s="133" t="str">
        <f>'Công trình'!B232</f>
        <v>AC.14114</v>
      </c>
      <c r="C855" s="34"/>
      <c r="D855" s="133" t="str">
        <f>'Công trình'!C232</f>
        <v>Đóng cọc BTCT 35x35 chiều dài &lt;=24m trên mặt đất, trọng lượng đầu búa 1,8T, đất cấp I</v>
      </c>
      <c r="E855" s="168"/>
      <c r="F855" s="20">
        <v>1</v>
      </c>
      <c r="G855" s="169"/>
      <c r="H855" s="45">
        <f>'Hao phí vật tư'!G1767</f>
        <v>1.5</v>
      </c>
      <c r="I855" s="166"/>
      <c r="J855" s="156">
        <f>ROUND((J114)*H855/100,2)</f>
        <v>0</v>
      </c>
      <c r="K855" s="166"/>
      <c r="L855" s="156">
        <f>ROUND((L114)*H855/100,2)</f>
        <v>0</v>
      </c>
      <c r="M855" s="34"/>
      <c r="N855" s="166"/>
      <c r="O855" s="156">
        <f>ROUND((O114)*H855/100,2)</f>
        <v>0</v>
      </c>
      <c r="P855" s="166"/>
      <c r="Q855" s="156">
        <f>ROUND((Q114)*H855/100,2)</f>
        <v>0</v>
      </c>
      <c r="R855" s="166"/>
      <c r="S855" s="156">
        <f>ROUND((S114)*H855/100,2)</f>
        <v>0</v>
      </c>
      <c r="T855" s="34"/>
      <c r="U855" s="34"/>
      <c r="V855" s="166"/>
      <c r="W855" s="166"/>
      <c r="X855" s="166"/>
      <c r="Y855" s="156">
        <f>ROUND((Y114)*H855/100,2)</f>
        <v>0</v>
      </c>
      <c r="Z855" s="166"/>
      <c r="AA855" s="156">
        <f>ROUND((AA114)*H855/100,2)</f>
        <v>0</v>
      </c>
      <c r="AB855" s="156">
        <f>ROUND((AB114)*H855/100,2)</f>
        <v>0</v>
      </c>
    </row>
    <row r="856" spans="1:28" ht="45" hidden="1" x14ac:dyDescent="0.25">
      <c r="A856" s="168"/>
      <c r="B856" s="133" t="str">
        <f>'Công trình'!B233</f>
        <v>AC.14114</v>
      </c>
      <c r="C856" s="34"/>
      <c r="D856" s="133" t="str">
        <f>'Công trình'!C233</f>
        <v>Đóng cọc xiên BTCT 35x35 chiều dài &lt;=24m trên mặt đất, trọng lượng đầu búa 1,8T, đất cấp I (HS NC, MTC x 1,22)</v>
      </c>
      <c r="E856" s="168"/>
      <c r="F856" s="20">
        <v>1</v>
      </c>
      <c r="G856" s="169"/>
      <c r="H856" s="45">
        <f>'Hao phí vật tư'!G1776</f>
        <v>1.5</v>
      </c>
      <c r="I856" s="166"/>
      <c r="J856" s="156">
        <f>ROUND((J115)*H856/100,2)</f>
        <v>0</v>
      </c>
      <c r="K856" s="166"/>
      <c r="L856" s="156">
        <f>ROUND((L115)*H856/100,2)</f>
        <v>0</v>
      </c>
      <c r="M856" s="34"/>
      <c r="N856" s="166"/>
      <c r="O856" s="156">
        <f>ROUND((O115)*H856/100,2)</f>
        <v>0</v>
      </c>
      <c r="P856" s="166"/>
      <c r="Q856" s="156">
        <f>ROUND((Q115)*H856/100,2)</f>
        <v>0</v>
      </c>
      <c r="R856" s="166"/>
      <c r="S856" s="156">
        <f>ROUND((S115)*H856/100,2)</f>
        <v>0</v>
      </c>
      <c r="T856" s="34"/>
      <c r="U856" s="34"/>
      <c r="V856" s="166"/>
      <c r="W856" s="166"/>
      <c r="X856" s="166"/>
      <c r="Y856" s="156">
        <f>ROUND((Y115)*H856/100,2)</f>
        <v>0</v>
      </c>
      <c r="Z856" s="166"/>
      <c r="AA856" s="156">
        <f>ROUND((AA115)*H856/100,2)</f>
        <v>0</v>
      </c>
      <c r="AB856" s="156">
        <f>ROUND((AB115)*H856/100,2)</f>
        <v>0</v>
      </c>
    </row>
    <row r="857" spans="1:28" hidden="1" x14ac:dyDescent="0.25">
      <c r="A857" s="168"/>
      <c r="B857" s="133" t="str">
        <f>'Công trình'!B234</f>
        <v>AC.29341</v>
      </c>
      <c r="C857" s="34"/>
      <c r="D857" s="133" t="str">
        <f>'Công trình'!C234</f>
        <v>Nối cọc BTCT 35x35cm</v>
      </c>
      <c r="E857" s="168"/>
      <c r="F857" s="20">
        <v>1</v>
      </c>
      <c r="G857" s="169"/>
      <c r="H857" s="45">
        <f>'Hao phí vật tư'!G1786</f>
        <v>3</v>
      </c>
      <c r="I857" s="166"/>
      <c r="J857" s="156">
        <f>ROUND((J512+J553)*H857/100,2)</f>
        <v>72335.8</v>
      </c>
      <c r="K857" s="166"/>
      <c r="L857" s="156">
        <f>ROUND((L512+L553)*H857/100,2)</f>
        <v>72335.8</v>
      </c>
      <c r="M857" s="34"/>
      <c r="N857" s="166"/>
      <c r="O857" s="156">
        <f>ROUND((O512+O553)*H857/100,2)</f>
        <v>0</v>
      </c>
      <c r="P857" s="166"/>
      <c r="Q857" s="156">
        <f>ROUND((Q512+Q553)*H857/100,2)</f>
        <v>0</v>
      </c>
      <c r="R857" s="166"/>
      <c r="S857" s="156">
        <f>ROUND((S512+S553)*H857/100,2)</f>
        <v>0</v>
      </c>
      <c r="T857" s="34"/>
      <c r="U857" s="34"/>
      <c r="V857" s="166"/>
      <c r="W857" s="166"/>
      <c r="X857" s="166"/>
      <c r="Y857" s="156">
        <f>ROUND((Y512+Y553)*H857/100,2)</f>
        <v>0</v>
      </c>
      <c r="Z857" s="166"/>
      <c r="AA857" s="156">
        <f>ROUND((AA512+AA553)*H857/100,2)</f>
        <v>0</v>
      </c>
      <c r="AB857" s="156">
        <f>ROUND((AB512+AB553)*H857/100,2)</f>
        <v>72335.8</v>
      </c>
    </row>
    <row r="858" spans="1:28" ht="30" hidden="1" x14ac:dyDescent="0.25">
      <c r="A858" s="168"/>
      <c r="B858" s="133" t="str">
        <f>'Công trình'!B236</f>
        <v>AC.14114</v>
      </c>
      <c r="C858" s="34"/>
      <c r="D858" s="133" t="str">
        <f>'Công trình'!C236</f>
        <v>Đóng cọc âm chiều dài &lt;=24m trên mặt đất, trọng lượng đầu búa 1,8T, đất cấp I</v>
      </c>
      <c r="E858" s="168"/>
      <c r="F858" s="20">
        <v>1</v>
      </c>
      <c r="G858" s="169"/>
      <c r="H858" s="45">
        <f>'Hao phí vật tư'!G1805</f>
        <v>1.5</v>
      </c>
      <c r="I858" s="166"/>
      <c r="J858" s="156">
        <f>ROUND((J116)*H858/100,2)</f>
        <v>0</v>
      </c>
      <c r="K858" s="166"/>
      <c r="L858" s="156">
        <f>ROUND((L116)*H858/100,2)</f>
        <v>0</v>
      </c>
      <c r="M858" s="34"/>
      <c r="N858" s="166"/>
      <c r="O858" s="156">
        <f>ROUND((O116)*H858/100,2)</f>
        <v>0</v>
      </c>
      <c r="P858" s="166"/>
      <c r="Q858" s="156">
        <f>ROUND((Q116)*H858/100,2)</f>
        <v>0</v>
      </c>
      <c r="R858" s="166"/>
      <c r="S858" s="156">
        <f>ROUND((S116)*H858/100,2)</f>
        <v>0</v>
      </c>
      <c r="T858" s="34"/>
      <c r="U858" s="34"/>
      <c r="V858" s="166"/>
      <c r="W858" s="166"/>
      <c r="X858" s="166"/>
      <c r="Y858" s="156">
        <f>ROUND((Y116)*H858/100,2)</f>
        <v>0</v>
      </c>
      <c r="Z858" s="166"/>
      <c r="AA858" s="156">
        <f>ROUND((AA116)*H858/100,2)</f>
        <v>0</v>
      </c>
      <c r="AB858" s="156">
        <f>ROUND((AB116)*H858/100,2)</f>
        <v>0</v>
      </c>
    </row>
    <row r="859" spans="1:28" ht="30" hidden="1" x14ac:dyDescent="0.25">
      <c r="A859" s="168"/>
      <c r="B859" s="133" t="str">
        <f>'Công trình'!B247</f>
        <v>AF.12313</v>
      </c>
      <c r="C859" s="34"/>
      <c r="D859" s="133" t="str">
        <f>'Công trình'!C247</f>
        <v>Bê tông dầm chặn chân, đá 1x2, vữa BT mác 200</v>
      </c>
      <c r="E859" s="168"/>
      <c r="F859" s="20">
        <v>1</v>
      </c>
      <c r="G859" s="169"/>
      <c r="H859" s="45">
        <f>'Hao phí vật tư'!G1869</f>
        <v>1</v>
      </c>
      <c r="I859" s="166"/>
      <c r="J859" s="156">
        <f>ROUND((J79+J158+J378+J742)*H859/100,2)</f>
        <v>146331.34</v>
      </c>
      <c r="K859" s="166"/>
      <c r="L859" s="156">
        <f>ROUND((L79+L158+L378+L742)*H859/100,2)</f>
        <v>174743.33</v>
      </c>
      <c r="M859" s="34"/>
      <c r="N859" s="166"/>
      <c r="O859" s="156">
        <f>ROUND((O79+O158+O378+O742)*H859/100,2)</f>
        <v>0</v>
      </c>
      <c r="P859" s="166"/>
      <c r="Q859" s="156">
        <f>ROUND((Q79+Q158+Q378+Q742)*H859/100,2)</f>
        <v>0</v>
      </c>
      <c r="R859" s="166"/>
      <c r="S859" s="156">
        <f>ROUND((S79+S158+S378+S742)*H859/100,2)</f>
        <v>0</v>
      </c>
      <c r="T859" s="34"/>
      <c r="U859" s="34"/>
      <c r="V859" s="166"/>
      <c r="W859" s="166"/>
      <c r="X859" s="166"/>
      <c r="Y859" s="156">
        <f>ROUND((Y79+Y158+Y378+Y742)*H859/100,2)</f>
        <v>28411.99</v>
      </c>
      <c r="Z859" s="166"/>
      <c r="AA859" s="156">
        <f>ROUND((AA79+AA158+AA378+AA742)*H859/100,2)</f>
        <v>28411.99</v>
      </c>
      <c r="AB859" s="156">
        <f>ROUND((AB79+AB158+AB378+AB742)*H859/100,2)</f>
        <v>174743.33</v>
      </c>
    </row>
    <row r="860" spans="1:28" ht="30" hidden="1" x14ac:dyDescent="0.25">
      <c r="A860" s="168"/>
      <c r="B860" s="133" t="str">
        <f>'Công trình'!B249</f>
        <v>AF.82111</v>
      </c>
      <c r="C860" s="34"/>
      <c r="D860" s="133" t="str">
        <f>'Công trình'!C249</f>
        <v>Sản xuất, lắp dựng tháo dỡ ván khuôn thép, cây chống gỗ dầm, giằng, chiều cao &lt;=16m</v>
      </c>
      <c r="E860" s="168"/>
      <c r="F860" s="20">
        <v>1</v>
      </c>
      <c r="G860" s="169"/>
      <c r="H860" s="45">
        <f>'Hao phí vật tư'!G1891</f>
        <v>5</v>
      </c>
      <c r="I860" s="166"/>
      <c r="J860" s="156">
        <f>ROUND((J301+J513+J586+J631)*H860/100,2)</f>
        <v>128871.12</v>
      </c>
      <c r="K860" s="166"/>
      <c r="L860" s="156">
        <f>ROUND((L301+L513+L586+L631)*H860/100,2)</f>
        <v>111615.77</v>
      </c>
      <c r="M860" s="34"/>
      <c r="N860" s="166"/>
      <c r="O860" s="156">
        <f>ROUND((O301+O513+O586+O631)*H860/100,2)</f>
        <v>0</v>
      </c>
      <c r="P860" s="166"/>
      <c r="Q860" s="156">
        <f>ROUND((Q301+Q513+Q586+Q631)*H860/100,2)</f>
        <v>0</v>
      </c>
      <c r="R860" s="166"/>
      <c r="S860" s="156">
        <f>ROUND((S301+S513+S586+S631)*H860/100,2)</f>
        <v>0</v>
      </c>
      <c r="T860" s="34"/>
      <c r="U860" s="34"/>
      <c r="V860" s="166"/>
      <c r="W860" s="166"/>
      <c r="X860" s="166"/>
      <c r="Y860" s="156">
        <f>ROUND((Y301+Y513+Y586+Y631)*H860/100,2)</f>
        <v>-17255.349999999999</v>
      </c>
      <c r="Z860" s="166"/>
      <c r="AA860" s="156">
        <f>ROUND((AA301+AA513+AA586+AA631)*H860/100,2)</f>
        <v>-17255.349999999999</v>
      </c>
      <c r="AB860" s="156">
        <f>ROUND((AB301+AB513+AB586+AB631)*H860/100,2)</f>
        <v>111615.77</v>
      </c>
    </row>
    <row r="861" spans="1:28" ht="30" hidden="1" x14ac:dyDescent="0.25">
      <c r="A861" s="168"/>
      <c r="B861" s="133" t="str">
        <f>'Công trình'!B250</f>
        <v>AG.11413</v>
      </c>
      <c r="C861" s="34"/>
      <c r="D861" s="133" t="str">
        <f>'Công trình'!C250</f>
        <v>Sản xuất bê tông lục giác, đá 1x2, vữa BT mác 200</v>
      </c>
      <c r="E861" s="168"/>
      <c r="F861" s="20">
        <v>1</v>
      </c>
      <c r="G861" s="169"/>
      <c r="H861" s="45">
        <f>'Hao phí vật tư'!G1904</f>
        <v>0.5</v>
      </c>
      <c r="I861" s="166"/>
      <c r="J861" s="156">
        <f>ROUND((J81+J159+J380+J744)*H861/100,2)</f>
        <v>294277.83</v>
      </c>
      <c r="K861" s="166"/>
      <c r="L861" s="156">
        <f>ROUND((L81+L159+L380+L744)*H861/100,2)</f>
        <v>351416.99</v>
      </c>
      <c r="M861" s="34"/>
      <c r="N861" s="166"/>
      <c r="O861" s="156">
        <f>ROUND((O81+O159+O380+O744)*H861/100,2)</f>
        <v>0</v>
      </c>
      <c r="P861" s="166"/>
      <c r="Q861" s="156">
        <f>ROUND((Q81+Q159+Q380+Q744)*H861/100,2)</f>
        <v>0</v>
      </c>
      <c r="R861" s="166"/>
      <c r="S861" s="156">
        <f>ROUND((S81+S159+S380+S744)*H861/100,2)</f>
        <v>0</v>
      </c>
      <c r="T861" s="34"/>
      <c r="U861" s="34"/>
      <c r="V861" s="166"/>
      <c r="W861" s="166"/>
      <c r="X861" s="166"/>
      <c r="Y861" s="156">
        <f>ROUND((Y81+Y159+Y380+Y744)*H861/100,2)</f>
        <v>57139.15</v>
      </c>
      <c r="Z861" s="166"/>
      <c r="AA861" s="156">
        <f>ROUND((AA81+AA159+AA380+AA744)*H861/100,2)</f>
        <v>57139.15</v>
      </c>
      <c r="AB861" s="156">
        <f>ROUND((AB81+AB159+AB380+AB744)*H861/100,2)</f>
        <v>351416.99</v>
      </c>
    </row>
    <row r="862" spans="1:28" hidden="1" x14ac:dyDescent="0.25">
      <c r="A862" s="168"/>
      <c r="B862" s="133" t="str">
        <f>'Công trình'!B253</f>
        <v>AL.16122</v>
      </c>
      <c r="C862" s="34"/>
      <c r="D862" s="133" t="str">
        <f>'Công trình'!C253</f>
        <v>Rải vải địa kỹ thuật làm móng công trình</v>
      </c>
      <c r="E862" s="168"/>
      <c r="F862" s="20">
        <v>1</v>
      </c>
      <c r="G862" s="169"/>
      <c r="H862" s="45">
        <f>'Hao phí vật tư'!G1931</f>
        <v>0.2</v>
      </c>
      <c r="I862" s="166"/>
      <c r="J862" s="156">
        <f>ROUND((J715)*H862/100,2)</f>
        <v>57732.68</v>
      </c>
      <c r="K862" s="166"/>
      <c r="L862" s="156">
        <f>ROUND((L715)*H862/100,2)</f>
        <v>102856.02</v>
      </c>
      <c r="M862" s="34"/>
      <c r="N862" s="166"/>
      <c r="O862" s="156">
        <f>ROUND((O715)*H862/100,2)</f>
        <v>0</v>
      </c>
      <c r="P862" s="166"/>
      <c r="Q862" s="156">
        <f>ROUND((Q715)*H862/100,2)</f>
        <v>0</v>
      </c>
      <c r="R862" s="166"/>
      <c r="S862" s="156">
        <f>ROUND((S715)*H862/100,2)</f>
        <v>0</v>
      </c>
      <c r="T862" s="34"/>
      <c r="U862" s="34"/>
      <c r="V862" s="166"/>
      <c r="W862" s="166"/>
      <c r="X862" s="166"/>
      <c r="Y862" s="156">
        <f>ROUND((Y715)*H862/100,2)</f>
        <v>45123.34</v>
      </c>
      <c r="Z862" s="166"/>
      <c r="AA862" s="156">
        <f>ROUND((AA715)*H862/100,2)</f>
        <v>45123.34</v>
      </c>
      <c r="AB862" s="156">
        <f>ROUND((AB715)*H862/100,2)</f>
        <v>102856.02</v>
      </c>
    </row>
    <row r="863" spans="1:28" ht="30" hidden="1" x14ac:dyDescent="0.25">
      <c r="A863" s="168"/>
      <c r="B863" s="133" t="str">
        <f>'Công trình'!B255</f>
        <v>AF.14325</v>
      </c>
      <c r="C863" s="34"/>
      <c r="D863" s="133" t="str">
        <f>'Công trình'!C255</f>
        <v>Bê tông lan can, gờ chắn đá 1x2, vữa BT mác 300</v>
      </c>
      <c r="E863" s="168"/>
      <c r="F863" s="20">
        <v>1</v>
      </c>
      <c r="G863" s="169"/>
      <c r="H863" s="45">
        <f>'Hao phí vật tư'!G1940</f>
        <v>4</v>
      </c>
      <c r="I863" s="166"/>
      <c r="J863" s="156">
        <f>ROUND((J82+J160+J381+J745)*H863/100,2)</f>
        <v>814033.17</v>
      </c>
      <c r="K863" s="166"/>
      <c r="L863" s="156">
        <f>ROUND((L82+L160+L381+L745)*H863/100,2)</f>
        <v>943941.7</v>
      </c>
      <c r="M863" s="34"/>
      <c r="N863" s="166"/>
      <c r="O863" s="156">
        <f>ROUND((O82+O160+O381+O745)*H863/100,2)</f>
        <v>0</v>
      </c>
      <c r="P863" s="166"/>
      <c r="Q863" s="156">
        <f>ROUND((Q82+Q160+Q381+Q745)*H863/100,2)</f>
        <v>0</v>
      </c>
      <c r="R863" s="166"/>
      <c r="S863" s="156">
        <f>ROUND((S82+S160+S381+S745)*H863/100,2)</f>
        <v>0</v>
      </c>
      <c r="T863" s="34"/>
      <c r="U863" s="34"/>
      <c r="V863" s="166"/>
      <c r="W863" s="166"/>
      <c r="X863" s="166"/>
      <c r="Y863" s="156">
        <f>ROUND((Y82+Y160+Y381+Y745)*H863/100,2)</f>
        <v>129908.53</v>
      </c>
      <c r="Z863" s="166"/>
      <c r="AA863" s="156">
        <f>ROUND((AA82+AA160+AA381+AA745)*H863/100,2)</f>
        <v>129908.53</v>
      </c>
      <c r="AB863" s="156">
        <f>ROUND((AB82+AB160+AB381+AB745)*H863/100,2)</f>
        <v>943941.7</v>
      </c>
    </row>
    <row r="864" spans="1:28" ht="30" hidden="1" x14ac:dyDescent="0.25">
      <c r="A864" s="168"/>
      <c r="B864" s="133" t="str">
        <f>'Công trình'!B256</f>
        <v>AF.82111</v>
      </c>
      <c r="C864" s="34"/>
      <c r="D864" s="133" t="str">
        <f>'Công trình'!C256</f>
        <v>Sản xuất, lắp dựng tháo dỡ ván khuôn thép lan can</v>
      </c>
      <c r="E864" s="168"/>
      <c r="F864" s="20">
        <v>1</v>
      </c>
      <c r="G864" s="169"/>
      <c r="H864" s="45">
        <f>'Hao phí vật tư'!G1952</f>
        <v>5</v>
      </c>
      <c r="I864" s="166"/>
      <c r="J864" s="156">
        <f>ROUND((J302+J514+J587+J632)*H864/100,2)</f>
        <v>276293.31</v>
      </c>
      <c r="K864" s="166"/>
      <c r="L864" s="156">
        <f>ROUND((L302+L514+L587+L632)*H864/100,2)</f>
        <v>239298.53</v>
      </c>
      <c r="M864" s="34"/>
      <c r="N864" s="166"/>
      <c r="O864" s="156">
        <f>ROUND((O302+O514+O587+O632)*H864/100,2)</f>
        <v>0</v>
      </c>
      <c r="P864" s="166"/>
      <c r="Q864" s="156">
        <f>ROUND((Q302+Q514+Q587+Q632)*H864/100,2)</f>
        <v>0</v>
      </c>
      <c r="R864" s="166"/>
      <c r="S864" s="156">
        <f>ROUND((S302+S514+S587+S632)*H864/100,2)</f>
        <v>0</v>
      </c>
      <c r="T864" s="34"/>
      <c r="U864" s="34"/>
      <c r="V864" s="166"/>
      <c r="W864" s="166"/>
      <c r="X864" s="166"/>
      <c r="Y864" s="156">
        <f>ROUND((Y302+Y514+Y587+Y632)*H864/100,2)</f>
        <v>-36994.78</v>
      </c>
      <c r="Z864" s="166"/>
      <c r="AA864" s="156">
        <f>ROUND((AA302+AA514+AA587+AA632)*H864/100,2)</f>
        <v>-36994.78</v>
      </c>
      <c r="AB864" s="156">
        <f>ROUND((AB302+AB514+AB587+AB632)*H864/100,2)</f>
        <v>239298.53</v>
      </c>
    </row>
    <row r="865" spans="1:28" ht="30" hidden="1" x14ac:dyDescent="0.25">
      <c r="A865" s="168"/>
      <c r="B865" s="133" t="str">
        <f>'Công trình'!B259</f>
        <v>BB.14309</v>
      </c>
      <c r="C865" s="34"/>
      <c r="D865" s="133" t="str">
        <f>'Công trình'!C259</f>
        <v>Lắp đặt ống thép tráng kẽm, đoạn ống dài 8m, đk=110mm</v>
      </c>
      <c r="E865" s="168"/>
      <c r="F865" s="20">
        <v>1</v>
      </c>
      <c r="G865" s="169"/>
      <c r="H865" s="45">
        <f>'Hao phí vật tư'!G1981</f>
        <v>0.01</v>
      </c>
      <c r="I865" s="166"/>
      <c r="J865" s="156">
        <f>ROUND((J342+J433)*H865/100,2)</f>
        <v>278.07</v>
      </c>
      <c r="K865" s="166"/>
      <c r="L865" s="156">
        <f>ROUND((L342+L433)*H865/100,2)</f>
        <v>278.07</v>
      </c>
      <c r="M865" s="34"/>
      <c r="N865" s="166"/>
      <c r="O865" s="156">
        <f>ROUND((O342+O433)*H865/100,2)</f>
        <v>0</v>
      </c>
      <c r="P865" s="166"/>
      <c r="Q865" s="156">
        <f>ROUND((Q342+Q433)*H865/100,2)</f>
        <v>0</v>
      </c>
      <c r="R865" s="166"/>
      <c r="S865" s="156">
        <f>ROUND((S342+S433)*H865/100,2)</f>
        <v>0</v>
      </c>
      <c r="T865" s="34"/>
      <c r="U865" s="34"/>
      <c r="V865" s="166"/>
      <c r="W865" s="166"/>
      <c r="X865" s="166"/>
      <c r="Y865" s="156">
        <f>ROUND((Y342+Y433)*H865/100,2)</f>
        <v>0</v>
      </c>
      <c r="Z865" s="166"/>
      <c r="AA865" s="156">
        <f>ROUND((AA342+AA433)*H865/100,2)</f>
        <v>0</v>
      </c>
      <c r="AB865" s="156">
        <f>ROUND((AB342+AB433)*H865/100,2)</f>
        <v>278.07</v>
      </c>
    </row>
    <row r="866" spans="1:28" hidden="1" x14ac:dyDescent="0.25">
      <c r="A866" s="168"/>
      <c r="B866" s="133" t="str">
        <f>'Công trình'!B260</f>
        <v>BB.26119</v>
      </c>
      <c r="C866" s="34"/>
      <c r="D866" s="133" t="str">
        <f>'Công trình'!C260</f>
        <v>Cút nối 90 độ thép mạ kẽm</v>
      </c>
      <c r="E866" s="168"/>
      <c r="F866" s="20">
        <v>1</v>
      </c>
      <c r="G866" s="169"/>
      <c r="H866" s="45">
        <f>'Hao phí vật tư'!G1987</f>
        <v>0.1</v>
      </c>
      <c r="I866" s="166"/>
      <c r="J866" s="156">
        <f>ROUND((J141)*H866/100,2)</f>
        <v>1220</v>
      </c>
      <c r="K866" s="166"/>
      <c r="L866" s="156">
        <f>ROUND((L141)*H866/100,2)</f>
        <v>1220</v>
      </c>
      <c r="M866" s="34"/>
      <c r="N866" s="166"/>
      <c r="O866" s="156">
        <f>ROUND((O141)*H866/100,2)</f>
        <v>0</v>
      </c>
      <c r="P866" s="166"/>
      <c r="Q866" s="156">
        <f>ROUND((Q141)*H866/100,2)</f>
        <v>0</v>
      </c>
      <c r="R866" s="166"/>
      <c r="S866" s="156">
        <f>ROUND((S141)*H866/100,2)</f>
        <v>0</v>
      </c>
      <c r="T866" s="34"/>
      <c r="U866" s="34"/>
      <c r="V866" s="166"/>
      <c r="W866" s="166"/>
      <c r="X866" s="166"/>
      <c r="Y866" s="156">
        <f>ROUND((Y141)*H866/100,2)</f>
        <v>0</v>
      </c>
      <c r="Z866" s="166"/>
      <c r="AA866" s="156">
        <f>ROUND((AA141)*H866/100,2)</f>
        <v>0</v>
      </c>
      <c r="AB866" s="156">
        <f>ROUND((AB141)*H866/100,2)</f>
        <v>1220</v>
      </c>
    </row>
    <row r="867" spans="1:28" hidden="1" x14ac:dyDescent="0.25">
      <c r="A867" s="168"/>
      <c r="B867" s="133" t="str">
        <f>'Công trình'!B263</f>
        <v>AI.63211</v>
      </c>
      <c r="C867" s="34"/>
      <c r="D867" s="133" t="str">
        <f>'Công trình'!C263</f>
        <v>Lắp dựng lan can sắt, vữa XM mác 75</v>
      </c>
      <c r="E867" s="168"/>
      <c r="F867" s="20">
        <v>1</v>
      </c>
      <c r="G867" s="169"/>
      <c r="H867" s="45">
        <f>'Hao phí vật tư'!G2012</f>
        <v>5</v>
      </c>
      <c r="I867" s="166"/>
      <c r="J867" s="156">
        <f>ROUND((J51+J382+J516+J746)*H867/100,2)</f>
        <v>27238.55</v>
      </c>
      <c r="K867" s="166"/>
      <c r="L867" s="156">
        <f>ROUND((L51+L382+L516+L746)*H867/100,2)</f>
        <v>29378.32</v>
      </c>
      <c r="M867" s="34"/>
      <c r="N867" s="166"/>
      <c r="O867" s="156">
        <f>ROUND((O51+O382+O516+O746)*H867/100,2)</f>
        <v>0</v>
      </c>
      <c r="P867" s="166"/>
      <c r="Q867" s="156">
        <f>ROUND((Q51+Q382+Q516+Q746)*H867/100,2)</f>
        <v>0</v>
      </c>
      <c r="R867" s="166"/>
      <c r="S867" s="156">
        <f>ROUND((S51+S382+S516+S746)*H867/100,2)</f>
        <v>0</v>
      </c>
      <c r="T867" s="34"/>
      <c r="U867" s="34"/>
      <c r="V867" s="166"/>
      <c r="W867" s="166"/>
      <c r="X867" s="166"/>
      <c r="Y867" s="156">
        <f>ROUND((Y51+Y382+Y516+Y746)*H867/100,2)</f>
        <v>2139.77</v>
      </c>
      <c r="Z867" s="166"/>
      <c r="AA867" s="156">
        <f>ROUND((AA51+AA382+AA516+AA746)*H867/100,2)</f>
        <v>2139.77</v>
      </c>
      <c r="AB867" s="156">
        <f>ROUND((AB51+AB382+AB516+AB746)*H867/100,2)</f>
        <v>29378.32</v>
      </c>
    </row>
    <row r="868" spans="1:28" ht="30" hidden="1" x14ac:dyDescent="0.25">
      <c r="A868" s="168"/>
      <c r="B868" s="133" t="str">
        <f>'Công trình'!B267</f>
        <v>AF.11212</v>
      </c>
      <c r="C868" s="34"/>
      <c r="D868" s="133" t="str">
        <f>'Công trình'!C267</f>
        <v>Bê tông móng rộng &lt;=250cm đá 1x2, vữa BT mác 150</v>
      </c>
      <c r="E868" s="168"/>
      <c r="F868" s="20">
        <v>1</v>
      </c>
      <c r="G868" s="169"/>
      <c r="H868" s="45">
        <f>'Hao phí vật tư'!G2035</f>
        <v>1</v>
      </c>
      <c r="I868" s="166"/>
      <c r="J868" s="156">
        <f>ROUND((J83+J161+J383+J747)*H868/100,2)</f>
        <v>25628.53</v>
      </c>
      <c r="K868" s="166"/>
      <c r="L868" s="156">
        <f>ROUND((L83+L161+L383+L747)*H868/100,2)</f>
        <v>31172.69</v>
      </c>
      <c r="M868" s="34"/>
      <c r="N868" s="166"/>
      <c r="O868" s="156">
        <f>ROUND((O83+O161+O383+O747)*H868/100,2)</f>
        <v>0</v>
      </c>
      <c r="P868" s="166"/>
      <c r="Q868" s="156">
        <f>ROUND((Q83+Q161+Q383+Q747)*H868/100,2)</f>
        <v>0</v>
      </c>
      <c r="R868" s="166"/>
      <c r="S868" s="156">
        <f>ROUND((S83+S161+S383+S747)*H868/100,2)</f>
        <v>0</v>
      </c>
      <c r="T868" s="34"/>
      <c r="U868" s="34"/>
      <c r="V868" s="166"/>
      <c r="W868" s="166"/>
      <c r="X868" s="166"/>
      <c r="Y868" s="156">
        <f>ROUND((Y83+Y161+Y383+Y747)*H868/100,2)</f>
        <v>5544.16</v>
      </c>
      <c r="Z868" s="166"/>
      <c r="AA868" s="156">
        <f>ROUND((AA83+AA161+AA383+AA747)*H868/100,2)</f>
        <v>5544.16</v>
      </c>
      <c r="AB868" s="156">
        <f>ROUND((AB83+AB161+AB383+AB747)*H868/100,2)</f>
        <v>31172.69</v>
      </c>
    </row>
    <row r="869" spans="1:28" hidden="1" x14ac:dyDescent="0.25">
      <c r="A869" s="168"/>
      <c r="B869" s="133" t="str">
        <f>'Công trình'!B268</f>
        <v>BB.14211</v>
      </c>
      <c r="C869" s="34"/>
      <c r="D869" s="133" t="str">
        <f>'Công trình'!C268</f>
        <v>Ống thép Þ120 dày 2 mm</v>
      </c>
      <c r="E869" s="168"/>
      <c r="F869" s="20">
        <v>1</v>
      </c>
      <c r="G869" s="169"/>
      <c r="H869" s="45">
        <f>'Hao phí vật tư'!G2045</f>
        <v>0.01</v>
      </c>
      <c r="I869" s="166"/>
      <c r="J869" s="156">
        <f>ROUND((J431+J530)*H869/100,2)</f>
        <v>578.94000000000005</v>
      </c>
      <c r="K869" s="166"/>
      <c r="L869" s="156">
        <f>ROUND((L431+L530)*H869/100,2)</f>
        <v>594.89</v>
      </c>
      <c r="M869" s="34"/>
      <c r="N869" s="166"/>
      <c r="O869" s="156">
        <f>ROUND((O431+O530)*H869/100,2)</f>
        <v>0</v>
      </c>
      <c r="P869" s="166"/>
      <c r="Q869" s="156">
        <f>ROUND((Q431+Q530)*H869/100,2)</f>
        <v>0</v>
      </c>
      <c r="R869" s="166"/>
      <c r="S869" s="156">
        <f>ROUND((S431+S530)*H869/100,2)</f>
        <v>0</v>
      </c>
      <c r="T869" s="34"/>
      <c r="U869" s="34"/>
      <c r="V869" s="166"/>
      <c r="W869" s="166"/>
      <c r="X869" s="166"/>
      <c r="Y869" s="156">
        <f>ROUND((Y431+Y530)*H869/100,2)</f>
        <v>15.95</v>
      </c>
      <c r="Z869" s="166"/>
      <c r="AA869" s="156">
        <f>ROUND((AA431+AA530)*H869/100,2)</f>
        <v>15.95</v>
      </c>
      <c r="AB869" s="156">
        <f>ROUND((AB431+AB530)*H869/100,2)</f>
        <v>594.89</v>
      </c>
    </row>
    <row r="870" spans="1:28" hidden="1" x14ac:dyDescent="0.25">
      <c r="A870" s="168"/>
      <c r="B870" s="133" t="str">
        <f>'Công trình'!B269</f>
        <v>AD.32411</v>
      </c>
      <c r="C870" s="34"/>
      <c r="D870" s="133" t="str">
        <f>'Công trình'!C269</f>
        <v>Biển báo (1.2 x 1.2)m</v>
      </c>
      <c r="E870" s="168"/>
      <c r="F870" s="20">
        <v>1</v>
      </c>
      <c r="G870" s="169"/>
      <c r="H870" s="45">
        <f>'Hao phí vật tư'!G2058</f>
        <v>1.5</v>
      </c>
      <c r="I870" s="166"/>
      <c r="J870" s="156">
        <f>ROUND((J282+J286+J338+J350+J704)*H870/100,2)</f>
        <v>187806.48</v>
      </c>
      <c r="K870" s="166"/>
      <c r="L870" s="156">
        <f>ROUND((L282+L286+L338+L350+L704)*H870/100,2)</f>
        <v>187806.48</v>
      </c>
      <c r="M870" s="34"/>
      <c r="N870" s="166"/>
      <c r="O870" s="156">
        <f>ROUND((O282+O286+O338+O350+O704)*H870/100,2)</f>
        <v>0</v>
      </c>
      <c r="P870" s="166"/>
      <c r="Q870" s="156">
        <f>ROUND((Q282+Q286+Q338+Q350+Q704)*H870/100,2)</f>
        <v>0</v>
      </c>
      <c r="R870" s="166"/>
      <c r="S870" s="156">
        <f>ROUND((S282+S286+S338+S350+S704)*H870/100,2)</f>
        <v>0</v>
      </c>
      <c r="T870" s="34"/>
      <c r="U870" s="34"/>
      <c r="V870" s="166"/>
      <c r="W870" s="166"/>
      <c r="X870" s="166"/>
      <c r="Y870" s="156">
        <f>ROUND((Y282+Y286+Y338+Y350+Y704)*H870/100,2)</f>
        <v>0</v>
      </c>
      <c r="Z870" s="166"/>
      <c r="AA870" s="156">
        <f>ROUND((AA282+AA286+AA338+AA350+AA704)*H870/100,2)</f>
        <v>0</v>
      </c>
      <c r="AB870" s="156">
        <f>ROUND((AB282+AB286+AB338+AB350+AB704)*H870/100,2)</f>
        <v>187806.48</v>
      </c>
    </row>
    <row r="871" spans="1:28" ht="30" hidden="1" x14ac:dyDescent="0.25">
      <c r="A871" s="168"/>
      <c r="B871" s="133" t="str">
        <f>'Công trình'!B271</f>
        <v>AC.11121</v>
      </c>
      <c r="C871" s="34"/>
      <c r="D871" s="133" t="str">
        <f>'Công trình'!C271</f>
        <v>Đóng cọc tràm chiều dài cọc ngập đất &gt;2,5m đất cấp I</v>
      </c>
      <c r="E871" s="168"/>
      <c r="F871" s="20">
        <v>1</v>
      </c>
      <c r="G871" s="169"/>
      <c r="H871" s="45">
        <f>'Hao phí vật tư'!G2071</f>
        <v>5</v>
      </c>
      <c r="I871" s="166"/>
      <c r="J871" s="156">
        <f>ROUND((J106+J129+J313)*H871/100,2)</f>
        <v>28773</v>
      </c>
      <c r="K871" s="166"/>
      <c r="L871" s="156">
        <f>ROUND((L106+L129+L313)*H871/100,2)</f>
        <v>43856.85</v>
      </c>
      <c r="M871" s="34"/>
      <c r="N871" s="166"/>
      <c r="O871" s="156">
        <f>ROUND((O106+O129+O313)*H871/100,2)</f>
        <v>0</v>
      </c>
      <c r="P871" s="166"/>
      <c r="Q871" s="156">
        <f>ROUND((Q106+Q129+Q313)*H871/100,2)</f>
        <v>0</v>
      </c>
      <c r="R871" s="166"/>
      <c r="S871" s="156">
        <f>ROUND((S106+S129+S313)*H871/100,2)</f>
        <v>0</v>
      </c>
      <c r="T871" s="34"/>
      <c r="U871" s="34"/>
      <c r="V871" s="166"/>
      <c r="W871" s="166"/>
      <c r="X871" s="166"/>
      <c r="Y871" s="156">
        <f>ROUND((Y106+Y129+Y313)*H871/100,2)</f>
        <v>15083.85</v>
      </c>
      <c r="Z871" s="166"/>
      <c r="AA871" s="156">
        <f>ROUND((AA106+AA129+AA313)*H871/100,2)</f>
        <v>15083.85</v>
      </c>
      <c r="AB871" s="156">
        <f>ROUND((AB106+AB129+AB313)*H871/100,2)</f>
        <v>43856.85</v>
      </c>
    </row>
    <row r="872" spans="1:28" hidden="1" x14ac:dyDescent="0.25">
      <c r="A872" s="168"/>
      <c r="B872" s="133" t="str">
        <f>'Công trình'!B275</f>
        <v>AD.34130</v>
      </c>
      <c r="C872" s="34"/>
      <c r="D872" s="133" t="str">
        <f>'Công trình'!C275</f>
        <v>Lắp đặt dải phân cách bằng tôn lượn sóng</v>
      </c>
      <c r="E872" s="168"/>
      <c r="F872" s="20">
        <v>1</v>
      </c>
      <c r="G872" s="169"/>
      <c r="H872" s="45">
        <f>'Hao phí vật tư'!G2089</f>
        <v>1.5</v>
      </c>
      <c r="I872" s="166"/>
      <c r="J872" s="156">
        <f>ROUND((J16+J701+J708)*H872/100,2)</f>
        <v>73920.600000000006</v>
      </c>
      <c r="K872" s="166"/>
      <c r="L872" s="156">
        <f>ROUND((L16+L701+L708)*H872/100,2)</f>
        <v>73920.600000000006</v>
      </c>
      <c r="M872" s="34"/>
      <c r="N872" s="166"/>
      <c r="O872" s="156">
        <f>ROUND((O16+O701+O708)*H872/100,2)</f>
        <v>0</v>
      </c>
      <c r="P872" s="166"/>
      <c r="Q872" s="156">
        <f>ROUND((Q16+Q701+Q708)*H872/100,2)</f>
        <v>0</v>
      </c>
      <c r="R872" s="166"/>
      <c r="S872" s="156">
        <f>ROUND((S16+S701+S708)*H872/100,2)</f>
        <v>0</v>
      </c>
      <c r="T872" s="34"/>
      <c r="U872" s="34"/>
      <c r="V872" s="166"/>
      <c r="W872" s="166"/>
      <c r="X872" s="166"/>
      <c r="Y872" s="156">
        <f>ROUND((Y16+Y701+Y708)*H872/100,2)</f>
        <v>0</v>
      </c>
      <c r="Z872" s="166"/>
      <c r="AA872" s="156">
        <f>ROUND((AA16+AA701+AA708)*H872/100,2)</f>
        <v>0</v>
      </c>
      <c r="AB872" s="156">
        <f>ROUND((AB16+AB701+AB708)*H872/100,2)</f>
        <v>73920.600000000006</v>
      </c>
    </row>
    <row r="873" spans="1:28" hidden="1" x14ac:dyDescent="0.25">
      <c r="A873" s="168"/>
      <c r="B873" s="133" t="str">
        <f>'Công trình'!B283</f>
        <v>AK.90122</v>
      </c>
      <c r="C873" s="34"/>
      <c r="D873" s="133" t="str">
        <f>'Công trình'!C283</f>
        <v>Sơn trắng đỏ</v>
      </c>
      <c r="E873" s="168"/>
      <c r="F873" s="20">
        <v>1</v>
      </c>
      <c r="G873" s="169"/>
      <c r="H873" s="45">
        <f>'Hao phí vật tư'!G2117</f>
        <v>1</v>
      </c>
      <c r="I873" s="166"/>
      <c r="J873" s="156">
        <f>ROUND((J538+J542)*H873/100,2)</f>
        <v>12312.75</v>
      </c>
      <c r="K873" s="166"/>
      <c r="L873" s="156">
        <f>ROUND((L538+L542)*H873/100,2)</f>
        <v>12312.75</v>
      </c>
      <c r="M873" s="34"/>
      <c r="N873" s="166"/>
      <c r="O873" s="156">
        <f>ROUND((O538+O542)*H873/100,2)</f>
        <v>0</v>
      </c>
      <c r="P873" s="166"/>
      <c r="Q873" s="156">
        <f>ROUND((Q538+Q542)*H873/100,2)</f>
        <v>0</v>
      </c>
      <c r="R873" s="166"/>
      <c r="S873" s="156">
        <f>ROUND((S538+S542)*H873/100,2)</f>
        <v>0</v>
      </c>
      <c r="T873" s="34"/>
      <c r="U873" s="34"/>
      <c r="V873" s="166"/>
      <c r="W873" s="166"/>
      <c r="X873" s="166"/>
      <c r="Y873" s="156">
        <f>ROUND((Y538+Y542)*H873/100,2)</f>
        <v>0</v>
      </c>
      <c r="Z873" s="166"/>
      <c r="AA873" s="156">
        <f>ROUND((AA538+AA542)*H873/100,2)</f>
        <v>0</v>
      </c>
      <c r="AB873" s="156">
        <f>ROUND((AB538+AB542)*H873/100,2)</f>
        <v>12312.75</v>
      </c>
    </row>
    <row r="874" spans="1:28" ht="30" hidden="1" x14ac:dyDescent="0.25">
      <c r="A874" s="168"/>
      <c r="B874" s="133" t="str">
        <f>'Công trình'!B284</f>
        <v>AF.11213</v>
      </c>
      <c r="C874" s="34"/>
      <c r="D874" s="133" t="str">
        <f>'Công trình'!C284</f>
        <v>Bê tông móng rộng &lt;=250cm đá 1x2, vữa BT mác 200</v>
      </c>
      <c r="E874" s="168"/>
      <c r="F874" s="20">
        <v>1</v>
      </c>
      <c r="G874" s="169"/>
      <c r="H874" s="45">
        <f>'Hao phí vật tư'!G2126</f>
        <v>1</v>
      </c>
      <c r="I874" s="166"/>
      <c r="J874" s="156">
        <f>ROUND((J84+J162+J384+J748)*H874/100,2)</f>
        <v>64307.15</v>
      </c>
      <c r="K874" s="166"/>
      <c r="L874" s="156">
        <f>ROUND((L84+L162+L384+L748)*H874/100,2)</f>
        <v>76793.2</v>
      </c>
      <c r="M874" s="34"/>
      <c r="N874" s="166"/>
      <c r="O874" s="156">
        <f>ROUND((O84+O162+O384+O748)*H874/100,2)</f>
        <v>0</v>
      </c>
      <c r="P874" s="166"/>
      <c r="Q874" s="156">
        <f>ROUND((Q84+Q162+Q384+Q748)*H874/100,2)</f>
        <v>0</v>
      </c>
      <c r="R874" s="166"/>
      <c r="S874" s="156">
        <f>ROUND((S84+S162+S384+S748)*H874/100,2)</f>
        <v>0</v>
      </c>
      <c r="T874" s="34"/>
      <c r="U874" s="34"/>
      <c r="V874" s="166"/>
      <c r="W874" s="166"/>
      <c r="X874" s="166"/>
      <c r="Y874" s="156">
        <f>ROUND((Y84+Y162+Y384+Y748)*H874/100,2)</f>
        <v>12486.05</v>
      </c>
      <c r="Z874" s="166"/>
      <c r="AA874" s="156">
        <f>ROUND((AA84+AA162+AA384+AA748)*H874/100,2)</f>
        <v>12486.05</v>
      </c>
      <c r="AB874" s="156">
        <f>ROUND((AB84+AB162+AB384+AB748)*H874/100,2)</f>
        <v>76793.2</v>
      </c>
    </row>
    <row r="875" spans="1:28" ht="30" hidden="1" x14ac:dyDescent="0.25">
      <c r="A875" s="168"/>
      <c r="B875" s="133" t="str">
        <f>'Công trình'!B285</f>
        <v>AF.11212</v>
      </c>
      <c r="C875" s="34"/>
      <c r="D875" s="133" t="str">
        <f>'Công trình'!C285</f>
        <v>Bê tông móng rộng &lt;=250cm đá 1x2, vữa BT mác 150</v>
      </c>
      <c r="E875" s="168"/>
      <c r="F875" s="20">
        <v>1</v>
      </c>
      <c r="G875" s="169"/>
      <c r="H875" s="45">
        <f>'Hao phí vật tư'!G2138</f>
        <v>1</v>
      </c>
      <c r="I875" s="166"/>
      <c r="J875" s="156">
        <f>ROUND((J85+J163+J385+J749)*H875/100,2)</f>
        <v>10552.83</v>
      </c>
      <c r="K875" s="166"/>
      <c r="L875" s="156">
        <f>ROUND((L85+L163+L385+L749)*H875/100,2)</f>
        <v>12835.68</v>
      </c>
      <c r="M875" s="34"/>
      <c r="N875" s="166"/>
      <c r="O875" s="156">
        <f>ROUND((O85+O163+O385+O749)*H875/100,2)</f>
        <v>0</v>
      </c>
      <c r="P875" s="166"/>
      <c r="Q875" s="156">
        <f>ROUND((Q85+Q163+Q385+Q749)*H875/100,2)</f>
        <v>0</v>
      </c>
      <c r="R875" s="166"/>
      <c r="S875" s="156">
        <f>ROUND((S85+S163+S385+S749)*H875/100,2)</f>
        <v>0</v>
      </c>
      <c r="T875" s="34"/>
      <c r="U875" s="34"/>
      <c r="V875" s="166"/>
      <c r="W875" s="166"/>
      <c r="X875" s="166"/>
      <c r="Y875" s="156">
        <f>ROUND((Y85+Y163+Y385+Y749)*H875/100,2)</f>
        <v>2282.85</v>
      </c>
      <c r="Z875" s="166"/>
      <c r="AA875" s="156">
        <f>ROUND((AA85+AA163+AA385+AA749)*H875/100,2)</f>
        <v>2282.85</v>
      </c>
      <c r="AB875" s="156">
        <f>ROUND((AB85+AB163+AB385+AB749)*H875/100,2)</f>
        <v>12835.68</v>
      </c>
    </row>
    <row r="876" spans="1:28" hidden="1" x14ac:dyDescent="0.25">
      <c r="A876" s="168"/>
      <c r="B876" s="133" t="str">
        <f>'Công trình'!B287</f>
        <v>AF.82511</v>
      </c>
      <c r="C876" s="34"/>
      <c r="D876" s="133" t="str">
        <f>'Công trình'!C287</f>
        <v>Ván khuôn móng</v>
      </c>
      <c r="E876" s="168"/>
      <c r="F876" s="20">
        <v>1</v>
      </c>
      <c r="G876" s="169"/>
      <c r="H876" s="45">
        <f>'Hao phí vật tư'!G2157</f>
        <v>10</v>
      </c>
      <c r="I876" s="166"/>
      <c r="J876" s="156">
        <f>ROUND((J588+J633)*H876/100,2)</f>
        <v>84387.85</v>
      </c>
      <c r="K876" s="166"/>
      <c r="L876" s="156">
        <f>ROUND((L588+L633)*H876/100,2)</f>
        <v>71568.23</v>
      </c>
      <c r="M876" s="34"/>
      <c r="N876" s="166"/>
      <c r="O876" s="156">
        <f>ROUND((O588+O633)*H876/100,2)</f>
        <v>0</v>
      </c>
      <c r="P876" s="166"/>
      <c r="Q876" s="156">
        <f>ROUND((Q588+Q633)*H876/100,2)</f>
        <v>0</v>
      </c>
      <c r="R876" s="166"/>
      <c r="S876" s="156">
        <f>ROUND((S588+S633)*H876/100,2)</f>
        <v>0</v>
      </c>
      <c r="T876" s="34"/>
      <c r="U876" s="34"/>
      <c r="V876" s="166"/>
      <c r="W876" s="166"/>
      <c r="X876" s="166"/>
      <c r="Y876" s="156">
        <f>ROUND((Y588+Y633)*H876/100,2)</f>
        <v>-12819.62</v>
      </c>
      <c r="Z876" s="166"/>
      <c r="AA876" s="156">
        <f>ROUND((AA588+AA633)*H876/100,2)</f>
        <v>-12819.62</v>
      </c>
      <c r="AB876" s="156">
        <f>ROUND((AB588+AB633)*H876/100,2)</f>
        <v>71568.23</v>
      </c>
    </row>
    <row r="877" spans="1:28" hidden="1" x14ac:dyDescent="0.25">
      <c r="A877" s="168"/>
      <c r="B877" s="133" t="str">
        <f>'Công trình'!B289</f>
        <v>BB.14306</v>
      </c>
      <c r="C877" s="34"/>
      <c r="D877" s="133" t="str">
        <f>'Công trình'!C289</f>
        <v>Ống thép D80mm, dày 2.9mm, mạ kẽm</v>
      </c>
      <c r="E877" s="168"/>
      <c r="F877" s="20">
        <v>1</v>
      </c>
      <c r="G877" s="169"/>
      <c r="H877" s="45">
        <f>'Hao phí vật tư'!G2164</f>
        <v>0.01</v>
      </c>
      <c r="I877" s="166"/>
      <c r="J877" s="156">
        <f>ROUND((J344+J435)*H877/100,2)</f>
        <v>26.49</v>
      </c>
      <c r="K877" s="166"/>
      <c r="L877" s="156">
        <f>ROUND((L344+L435)*H877/100,2)</f>
        <v>26.49</v>
      </c>
      <c r="M877" s="34"/>
      <c r="N877" s="166"/>
      <c r="O877" s="156">
        <f>ROUND((O344+O435)*H877/100,2)</f>
        <v>0</v>
      </c>
      <c r="P877" s="166"/>
      <c r="Q877" s="156">
        <f>ROUND((Q344+Q435)*H877/100,2)</f>
        <v>0</v>
      </c>
      <c r="R877" s="166"/>
      <c r="S877" s="156">
        <f>ROUND((S344+S435)*H877/100,2)</f>
        <v>0</v>
      </c>
      <c r="T877" s="34"/>
      <c r="U877" s="34"/>
      <c r="V877" s="166"/>
      <c r="W877" s="166"/>
      <c r="X877" s="166"/>
      <c r="Y877" s="156">
        <f>ROUND((Y344+Y435)*H877/100,2)</f>
        <v>0</v>
      </c>
      <c r="Z877" s="166"/>
      <c r="AA877" s="156">
        <f>ROUND((AA344+AA435)*H877/100,2)</f>
        <v>0</v>
      </c>
      <c r="AB877" s="156">
        <f>ROUND((AB344+AB435)*H877/100,2)</f>
        <v>26.49</v>
      </c>
    </row>
    <row r="878" spans="1:28" ht="30" hidden="1" x14ac:dyDescent="0.25">
      <c r="A878" s="168"/>
      <c r="B878" s="133" t="str">
        <f>'Công trình'!B290</f>
        <v>AD.32421</v>
      </c>
      <c r="C878" s="34"/>
      <c r="D878" s="133" t="str">
        <f>'Công trình'!C290</f>
        <v>Biển báo bằng tôn hình tròn D70cm, dày 1.2mm, sơn phản quang (Biển 115)</v>
      </c>
      <c r="E878" s="168"/>
      <c r="F878" s="20">
        <v>1</v>
      </c>
      <c r="G878" s="169"/>
      <c r="H878" s="45">
        <f>'Hao phí vật tư'!G2174</f>
        <v>1.5</v>
      </c>
      <c r="I878" s="166"/>
      <c r="J878" s="156">
        <f>ROUND((J283+J287+J339+J351+J705)*H878/100,2)</f>
        <v>7189.49</v>
      </c>
      <c r="K878" s="166"/>
      <c r="L878" s="156">
        <f>ROUND((L283+L287+L339+L351+L705)*H878/100,2)</f>
        <v>7189.49</v>
      </c>
      <c r="M878" s="34"/>
      <c r="N878" s="166"/>
      <c r="O878" s="156">
        <f>ROUND((O283+O287+O339+O351+O705)*H878/100,2)</f>
        <v>0</v>
      </c>
      <c r="P878" s="166"/>
      <c r="Q878" s="156">
        <f>ROUND((Q283+Q287+Q339+Q351+Q705)*H878/100,2)</f>
        <v>0</v>
      </c>
      <c r="R878" s="166"/>
      <c r="S878" s="156">
        <f>ROUND((S283+S287+S339+S351+S705)*H878/100,2)</f>
        <v>0</v>
      </c>
      <c r="T878" s="34"/>
      <c r="U878" s="34"/>
      <c r="V878" s="166"/>
      <c r="W878" s="166"/>
      <c r="X878" s="166"/>
      <c r="Y878" s="156">
        <f>ROUND((Y283+Y287+Y339+Y351+Y705)*H878/100,2)</f>
        <v>0</v>
      </c>
      <c r="Z878" s="166"/>
      <c r="AA878" s="156">
        <f>ROUND((AA283+AA287+AA339+AA351+AA705)*H878/100,2)</f>
        <v>0</v>
      </c>
      <c r="AB878" s="156">
        <f>ROUND((AB283+AB287+AB339+AB351+AB705)*H878/100,2)</f>
        <v>7189.49</v>
      </c>
    </row>
    <row r="879" spans="1:28" hidden="1" x14ac:dyDescent="0.25">
      <c r="A879" s="168"/>
      <c r="B879" s="133" t="str">
        <f>'Công trình'!B291</f>
        <v>AD.32441</v>
      </c>
      <c r="C879" s="34"/>
      <c r="D879" s="133" t="str">
        <f>'Công trình'!C291</f>
        <v>Biển hình chữ nhật (40x60) (biển 439)</v>
      </c>
      <c r="E879" s="168"/>
      <c r="F879" s="20">
        <v>1</v>
      </c>
      <c r="G879" s="169"/>
      <c r="H879" s="45">
        <f>'Hao phí vật tư'!G2186</f>
        <v>1.5</v>
      </c>
      <c r="I879" s="166"/>
      <c r="J879" s="156">
        <f>ROUND((J284+J288+J340+J352+J706)*H879/100,2)</f>
        <v>4540.22</v>
      </c>
      <c r="K879" s="166"/>
      <c r="L879" s="156">
        <f>ROUND((L284+L288+L340+L352+L706)*H879/100,2)</f>
        <v>4540.22</v>
      </c>
      <c r="M879" s="34"/>
      <c r="N879" s="166"/>
      <c r="O879" s="156">
        <f>ROUND((O284+O288+O340+O352+O706)*H879/100,2)</f>
        <v>0</v>
      </c>
      <c r="P879" s="166"/>
      <c r="Q879" s="156">
        <f>ROUND((Q284+Q288+Q340+Q352+Q706)*H879/100,2)</f>
        <v>0</v>
      </c>
      <c r="R879" s="166"/>
      <c r="S879" s="156">
        <f>ROUND((S284+S288+S340+S352+S706)*H879/100,2)</f>
        <v>0</v>
      </c>
      <c r="T879" s="34"/>
      <c r="U879" s="34"/>
      <c r="V879" s="166"/>
      <c r="W879" s="166"/>
      <c r="X879" s="166"/>
      <c r="Y879" s="156">
        <f>ROUND((Y284+Y288+Y340+Y352+Y706)*H879/100,2)</f>
        <v>0</v>
      </c>
      <c r="Z879" s="166"/>
      <c r="AA879" s="156">
        <f>ROUND((AA284+AA288+AA340+AA352+AA706)*H879/100,2)</f>
        <v>0</v>
      </c>
      <c r="AB879" s="156">
        <f>ROUND((AB284+AB288+AB340+AB352+AB706)*H879/100,2)</f>
        <v>4540.22</v>
      </c>
    </row>
    <row r="880" spans="1:28" hidden="1" x14ac:dyDescent="0.25">
      <c r="A880" s="168"/>
      <c r="B880" s="133" t="str">
        <f>'Công trình'!B292</f>
        <v>AK.90122</v>
      </c>
      <c r="C880" s="34"/>
      <c r="D880" s="133" t="str">
        <f>'Công trình'!C292</f>
        <v>Sơn trắng đỏ</v>
      </c>
      <c r="E880" s="168"/>
      <c r="F880" s="20">
        <v>1</v>
      </c>
      <c r="G880" s="169"/>
      <c r="H880" s="45">
        <f>'Hao phí vật tư'!G2195</f>
        <v>1</v>
      </c>
      <c r="I880" s="166"/>
      <c r="J880" s="156">
        <f>ROUND((J539+J543)*H880/100,2)</f>
        <v>12312.75</v>
      </c>
      <c r="K880" s="166"/>
      <c r="L880" s="156">
        <f>ROUND((L539+L543)*H880/100,2)</f>
        <v>12312.75</v>
      </c>
      <c r="M880" s="34"/>
      <c r="N880" s="166"/>
      <c r="O880" s="156">
        <f>ROUND((O539+O543)*H880/100,2)</f>
        <v>0</v>
      </c>
      <c r="P880" s="166"/>
      <c r="Q880" s="156">
        <f>ROUND((Q539+Q543)*H880/100,2)</f>
        <v>0</v>
      </c>
      <c r="R880" s="166"/>
      <c r="S880" s="156">
        <f>ROUND((S539+S543)*H880/100,2)</f>
        <v>0</v>
      </c>
      <c r="T880" s="34"/>
      <c r="U880" s="34"/>
      <c r="V880" s="166"/>
      <c r="W880" s="166"/>
      <c r="X880" s="166"/>
      <c r="Y880" s="156">
        <f>ROUND((Y539+Y543)*H880/100,2)</f>
        <v>0</v>
      </c>
      <c r="Z880" s="166"/>
      <c r="AA880" s="156">
        <f>ROUND((AA539+AA543)*H880/100,2)</f>
        <v>0</v>
      </c>
      <c r="AB880" s="156">
        <f>ROUND((AB539+AB543)*H880/100,2)</f>
        <v>12312.75</v>
      </c>
    </row>
    <row r="881" spans="1:28" ht="30" hidden="1" x14ac:dyDescent="0.25">
      <c r="A881" s="168"/>
      <c r="B881" s="133" t="str">
        <f>'Công trình'!B252</f>
        <v>AG.42111</v>
      </c>
      <c r="C881" s="34"/>
      <c r="D881" s="133" t="str">
        <f>'Công trình'!C252</f>
        <v>Lắp các loại cấu kiện BT đúc sẵn bằng thủ công trọng lượng &lt;=50kg, vữa XM mác 100</v>
      </c>
      <c r="E881" s="168"/>
      <c r="F881" s="20">
        <v>1</v>
      </c>
      <c r="G881" s="169"/>
      <c r="H881" s="45">
        <f>'Hao phí vật tư'!G1925</f>
        <v>10</v>
      </c>
      <c r="I881" s="166"/>
      <c r="J881" s="156">
        <f>ROUND((J87+J387+J751)*H881/100,2)</f>
        <v>1445173.23</v>
      </c>
      <c r="K881" s="166"/>
      <c r="L881" s="156">
        <f>ROUND((L87+L387+L751)*H881/100,2)</f>
        <v>1910649.5</v>
      </c>
      <c r="M881" s="34"/>
      <c r="N881" s="166"/>
      <c r="O881" s="156">
        <f>ROUND((O87+O387+O751)*H881/100,2)</f>
        <v>0</v>
      </c>
      <c r="P881" s="166"/>
      <c r="Q881" s="156">
        <f>ROUND((Q87+Q387+Q751)*H881/100,2)</f>
        <v>0</v>
      </c>
      <c r="R881" s="166"/>
      <c r="S881" s="156">
        <f>ROUND((S87+S387+S751)*H881/100,2)</f>
        <v>0</v>
      </c>
      <c r="T881" s="34"/>
      <c r="U881" s="34"/>
      <c r="V881" s="166"/>
      <c r="W881" s="166"/>
      <c r="X881" s="166"/>
      <c r="Y881" s="156">
        <f>ROUND((Y87+Y387+Y751)*H881/100,2)</f>
        <v>465476.27</v>
      </c>
      <c r="Z881" s="166"/>
      <c r="AA881" s="156">
        <f>ROUND((AA87+AA387+AA751)*H881/100,2)</f>
        <v>465476.27</v>
      </c>
      <c r="AB881" s="156">
        <f>ROUND((AB87+AB387+AB751)*H881/100,2)</f>
        <v>1910649.5</v>
      </c>
    </row>
    <row r="882" spans="1:28" ht="30" hidden="1" x14ac:dyDescent="0.25">
      <c r="A882" s="168"/>
      <c r="B882" s="133" t="str">
        <f>'Công trình'!B295</f>
        <v>AF.11213</v>
      </c>
      <c r="C882" s="34"/>
      <c r="D882" s="133" t="str">
        <f>'Công trình'!C295</f>
        <v>Bê tông móng rộng &lt;=250cm đá 1x2, vữa BT mác 200</v>
      </c>
      <c r="E882" s="168"/>
      <c r="F882" s="20">
        <v>1</v>
      </c>
      <c r="G882" s="169"/>
      <c r="H882" s="45">
        <f>'Hao phí vật tư'!G2210</f>
        <v>1</v>
      </c>
      <c r="I882" s="166"/>
      <c r="J882" s="156">
        <f>ROUND((J89+J164+J389+J753)*H882/100,2)</f>
        <v>1394.53</v>
      </c>
      <c r="K882" s="166"/>
      <c r="L882" s="156">
        <f>ROUND((L89+L164+L389+L753)*H882/100,2)</f>
        <v>1665.29</v>
      </c>
      <c r="M882" s="34"/>
      <c r="N882" s="166"/>
      <c r="O882" s="156">
        <f>ROUND((O89+O164+O389+O753)*H882/100,2)</f>
        <v>0</v>
      </c>
      <c r="P882" s="166"/>
      <c r="Q882" s="156">
        <f>ROUND((Q89+Q164+Q389+Q753)*H882/100,2)</f>
        <v>0</v>
      </c>
      <c r="R882" s="166"/>
      <c r="S882" s="156">
        <f>ROUND((S89+S164+S389+S753)*H882/100,2)</f>
        <v>0</v>
      </c>
      <c r="T882" s="34"/>
      <c r="U882" s="34"/>
      <c r="V882" s="166"/>
      <c r="W882" s="166"/>
      <c r="X882" s="166"/>
      <c r="Y882" s="156">
        <f>ROUND((Y89+Y164+Y389+Y753)*H882/100,2)</f>
        <v>270.76</v>
      </c>
      <c r="Z882" s="166"/>
      <c r="AA882" s="156">
        <f>ROUND((AA89+AA164+AA389+AA753)*H882/100,2)</f>
        <v>270.76</v>
      </c>
      <c r="AB882" s="156">
        <f>ROUND((AB89+AB164+AB389+AB753)*H882/100,2)</f>
        <v>1665.29</v>
      </c>
    </row>
    <row r="883" spans="1:28" ht="30" hidden="1" x14ac:dyDescent="0.25">
      <c r="A883" s="168"/>
      <c r="B883" s="133" t="str">
        <f>'Công trình'!B296</f>
        <v>AF.11212</v>
      </c>
      <c r="C883" s="34"/>
      <c r="D883" s="133" t="str">
        <f>'Công trình'!C296</f>
        <v>Bê tông móng rộng &lt;=250cm đá 1x2, vữa BT mác 150</v>
      </c>
      <c r="E883" s="168"/>
      <c r="F883" s="20">
        <v>1</v>
      </c>
      <c r="G883" s="169"/>
      <c r="H883" s="45">
        <f>'Hao phí vật tư'!G2222</f>
        <v>1</v>
      </c>
      <c r="I883" s="166"/>
      <c r="J883" s="156">
        <f>ROUND((J90+J165+J390+J754)*H883/100,2)</f>
        <v>452.23</v>
      </c>
      <c r="K883" s="166"/>
      <c r="L883" s="156">
        <f>ROUND((L90+L165+L390+L754)*H883/100,2)</f>
        <v>550.11</v>
      </c>
      <c r="M883" s="34"/>
      <c r="N883" s="166"/>
      <c r="O883" s="156">
        <f>ROUND((O90+O165+O390+O754)*H883/100,2)</f>
        <v>0</v>
      </c>
      <c r="P883" s="166"/>
      <c r="Q883" s="156">
        <f>ROUND((Q90+Q165+Q390+Q754)*H883/100,2)</f>
        <v>0</v>
      </c>
      <c r="R883" s="166"/>
      <c r="S883" s="156">
        <f>ROUND((S90+S165+S390+S754)*H883/100,2)</f>
        <v>0</v>
      </c>
      <c r="T883" s="34"/>
      <c r="U883" s="34"/>
      <c r="V883" s="166"/>
      <c r="W883" s="166"/>
      <c r="X883" s="166"/>
      <c r="Y883" s="156">
        <f>ROUND((Y90+Y165+Y390+Y754)*H883/100,2)</f>
        <v>97.88</v>
      </c>
      <c r="Z883" s="166"/>
      <c r="AA883" s="156">
        <f>ROUND((AA90+AA165+AA390+AA754)*H883/100,2)</f>
        <v>97.88</v>
      </c>
      <c r="AB883" s="156">
        <f>ROUND((AB90+AB165+AB390+AB754)*H883/100,2)</f>
        <v>550.11</v>
      </c>
    </row>
    <row r="884" spans="1:28" hidden="1" x14ac:dyDescent="0.25">
      <c r="A884" s="168"/>
      <c r="B884" s="133" t="str">
        <f>'Công trình'!B298</f>
        <v>AF.82511</v>
      </c>
      <c r="C884" s="34"/>
      <c r="D884" s="133" t="str">
        <f>'Công trình'!C298</f>
        <v>Ván khuôn móng</v>
      </c>
      <c r="E884" s="168"/>
      <c r="F884" s="20">
        <v>1</v>
      </c>
      <c r="G884" s="169"/>
      <c r="H884" s="45">
        <f>'Hao phí vật tư'!G2235</f>
        <v>10</v>
      </c>
      <c r="I884" s="166"/>
      <c r="J884" s="156">
        <f>ROUND((J589+J634)*H884/100,2)</f>
        <v>2421.9499999999998</v>
      </c>
      <c r="K884" s="166"/>
      <c r="L884" s="156">
        <f>ROUND((L589+L634)*H884/100,2)</f>
        <v>2054.02</v>
      </c>
      <c r="M884" s="34"/>
      <c r="N884" s="166"/>
      <c r="O884" s="156">
        <f>ROUND((O589+O634)*H884/100,2)</f>
        <v>0</v>
      </c>
      <c r="P884" s="166"/>
      <c r="Q884" s="156">
        <f>ROUND((Q589+Q634)*H884/100,2)</f>
        <v>0</v>
      </c>
      <c r="R884" s="166"/>
      <c r="S884" s="156">
        <f>ROUND((S589+S634)*H884/100,2)</f>
        <v>0</v>
      </c>
      <c r="T884" s="34"/>
      <c r="U884" s="34"/>
      <c r="V884" s="166"/>
      <c r="W884" s="166"/>
      <c r="X884" s="166"/>
      <c r="Y884" s="156">
        <f>ROUND((Y589+Y634)*H884/100,2)</f>
        <v>-367.92</v>
      </c>
      <c r="Z884" s="166"/>
      <c r="AA884" s="156">
        <f>ROUND((AA589+AA634)*H884/100,2)</f>
        <v>-367.92</v>
      </c>
      <c r="AB884" s="156">
        <f>ROUND((AB589+AB634)*H884/100,2)</f>
        <v>2054.02</v>
      </c>
    </row>
    <row r="885" spans="1:28" ht="30" hidden="1" x14ac:dyDescent="0.25">
      <c r="A885" s="168"/>
      <c r="B885" s="133" t="str">
        <f>'Công trình'!B300</f>
        <v>AG.11113</v>
      </c>
      <c r="C885" s="34"/>
      <c r="D885" s="133" t="str">
        <f>'Công trình'!C300</f>
        <v>Sản xuất bê tông cọc, cột đúc sẵn đá 1x2, vữa BT mác 200</v>
      </c>
      <c r="E885" s="168"/>
      <c r="F885" s="20">
        <v>1</v>
      </c>
      <c r="G885" s="169"/>
      <c r="H885" s="45">
        <f>'Hao phí vật tư'!G2244</f>
        <v>0.5</v>
      </c>
      <c r="I885" s="166"/>
      <c r="J885" s="156">
        <f>ROUND((J91+J166+J391+J755)*H885/100,2)</f>
        <v>3655.23</v>
      </c>
      <c r="K885" s="166"/>
      <c r="L885" s="156">
        <f>ROUND((L91+L166+L391+L755)*H885/100,2)</f>
        <v>4364.9799999999996</v>
      </c>
      <c r="M885" s="34"/>
      <c r="N885" s="166"/>
      <c r="O885" s="156">
        <f>ROUND((O91+O166+O391+O755)*H885/100,2)</f>
        <v>0</v>
      </c>
      <c r="P885" s="166"/>
      <c r="Q885" s="156">
        <f>ROUND((Q91+Q166+Q391+Q755)*H885/100,2)</f>
        <v>0</v>
      </c>
      <c r="R885" s="166"/>
      <c r="S885" s="156">
        <f>ROUND((S91+S166+S391+S755)*H885/100,2)</f>
        <v>0</v>
      </c>
      <c r="T885" s="34"/>
      <c r="U885" s="34"/>
      <c r="V885" s="166"/>
      <c r="W885" s="166"/>
      <c r="X885" s="166"/>
      <c r="Y885" s="156">
        <f>ROUND((Y91+Y166+Y391+Y755)*H885/100,2)</f>
        <v>709.76</v>
      </c>
      <c r="Z885" s="166"/>
      <c r="AA885" s="156">
        <f>ROUND((AA91+AA166+AA391+AA755)*H885/100,2)</f>
        <v>709.76</v>
      </c>
      <c r="AB885" s="156">
        <f>ROUND((AB91+AB166+AB391+AB755)*H885/100,2)</f>
        <v>4364.9799999999996</v>
      </c>
    </row>
    <row r="886" spans="1:28" ht="30" hidden="1" x14ac:dyDescent="0.25">
      <c r="A886" s="168"/>
      <c r="B886" s="133" t="str">
        <f>'Công trình'!B301</f>
        <v>AF.11212</v>
      </c>
      <c r="C886" s="34"/>
      <c r="D886" s="133" t="str">
        <f>'Công trình'!C301</f>
        <v>Bê tông móng rộng &lt;=250cm đá 1x2, vữa BT mác 150</v>
      </c>
      <c r="E886" s="168"/>
      <c r="F886" s="20">
        <v>1</v>
      </c>
      <c r="G886" s="169"/>
      <c r="H886" s="45">
        <f>'Hao phí vật tư'!G2257</f>
        <v>1</v>
      </c>
      <c r="I886" s="166"/>
      <c r="J886" s="156">
        <f>ROUND((J92+J167+J392+J756)*H886/100,2)</f>
        <v>10854.54</v>
      </c>
      <c r="K886" s="166"/>
      <c r="L886" s="156">
        <f>ROUND((L92+L167+L392+L756)*H886/100,2)</f>
        <v>13202.64</v>
      </c>
      <c r="M886" s="34"/>
      <c r="N886" s="166"/>
      <c r="O886" s="156">
        <f>ROUND((O92+O167+O392+O756)*H886/100,2)</f>
        <v>0</v>
      </c>
      <c r="P886" s="166"/>
      <c r="Q886" s="156">
        <f>ROUND((Q92+Q167+Q392+Q756)*H886/100,2)</f>
        <v>0</v>
      </c>
      <c r="R886" s="166"/>
      <c r="S886" s="156">
        <f>ROUND((S92+S167+S392+S756)*H886/100,2)</f>
        <v>0</v>
      </c>
      <c r="T886" s="34"/>
      <c r="U886" s="34"/>
      <c r="V886" s="166"/>
      <c r="W886" s="166"/>
      <c r="X886" s="166"/>
      <c r="Y886" s="156">
        <f>ROUND((Y92+Y167+Y392+Y756)*H886/100,2)</f>
        <v>2348.1</v>
      </c>
      <c r="Z886" s="166"/>
      <c r="AA886" s="156">
        <f>ROUND((AA92+AA167+AA392+AA756)*H886/100,2)</f>
        <v>2348.1</v>
      </c>
      <c r="AB886" s="156">
        <f>ROUND((AB92+AB167+AB392+AB756)*H886/100,2)</f>
        <v>13202.64</v>
      </c>
    </row>
    <row r="887" spans="1:28" hidden="1" x14ac:dyDescent="0.25">
      <c r="A887" s="168"/>
      <c r="B887" s="133" t="str">
        <f>'Công trình'!B304</f>
        <v>AK.90122</v>
      </c>
      <c r="C887" s="34"/>
      <c r="D887" s="133" t="str">
        <f>'Công trình'!C304</f>
        <v>Sơn trắng đỏ</v>
      </c>
      <c r="E887" s="168"/>
      <c r="F887" s="20">
        <v>1</v>
      </c>
      <c r="G887" s="169"/>
      <c r="H887" s="45">
        <f>'Hao phí vật tư'!G2283</f>
        <v>1</v>
      </c>
      <c r="I887" s="166"/>
      <c r="J887" s="156">
        <f>ROUND((J540+J544)*H887/100,2)</f>
        <v>9906.99</v>
      </c>
      <c r="K887" s="166"/>
      <c r="L887" s="156">
        <f>ROUND((L540+L544)*H887/100,2)</f>
        <v>9906.99</v>
      </c>
      <c r="M887" s="34"/>
      <c r="N887" s="166"/>
      <c r="O887" s="156">
        <f>ROUND((O540+O544)*H887/100,2)</f>
        <v>0</v>
      </c>
      <c r="P887" s="166"/>
      <c r="Q887" s="156">
        <f>ROUND((Q540+Q544)*H887/100,2)</f>
        <v>0</v>
      </c>
      <c r="R887" s="166"/>
      <c r="S887" s="156">
        <f>ROUND((S540+S544)*H887/100,2)</f>
        <v>0</v>
      </c>
      <c r="T887" s="34"/>
      <c r="U887" s="34"/>
      <c r="V887" s="166"/>
      <c r="W887" s="166"/>
      <c r="X887" s="166"/>
      <c r="Y887" s="156">
        <f>ROUND((Y540+Y544)*H887/100,2)</f>
        <v>0</v>
      </c>
      <c r="Z887" s="166"/>
      <c r="AA887" s="156">
        <f>ROUND((AA540+AA544)*H887/100,2)</f>
        <v>0</v>
      </c>
      <c r="AB887" s="156">
        <f>ROUND((AB540+AB544)*H887/100,2)</f>
        <v>9906.99</v>
      </c>
    </row>
    <row r="888" spans="1:28" ht="45" hidden="1" x14ac:dyDescent="0.25">
      <c r="A888" s="168"/>
      <c r="B888" s="133" t="str">
        <f>'Công trình'!B305</f>
        <v>AF.82511</v>
      </c>
      <c r="C888" s="34"/>
      <c r="D888" s="133" t="str">
        <f>'Công trình'!C305</f>
        <v>Sản xuất, lắp dựng, tháo dỡ ván khuôn cho bê tông đổ tại chổ, ván khuôn thép, ván khuôn móng</v>
      </c>
      <c r="E888" s="168"/>
      <c r="F888" s="20">
        <v>1</v>
      </c>
      <c r="G888" s="169"/>
      <c r="H888" s="45">
        <f>'Hao phí vật tư'!G2290</f>
        <v>10</v>
      </c>
      <c r="I888" s="166"/>
      <c r="J888" s="156">
        <f>ROUND((J590+J635)*H888/100,2)</f>
        <v>44400.56</v>
      </c>
      <c r="K888" s="166"/>
      <c r="L888" s="156">
        <f>ROUND((L590+L635)*H888/100,2)</f>
        <v>37655.53</v>
      </c>
      <c r="M888" s="34"/>
      <c r="N888" s="166"/>
      <c r="O888" s="156">
        <f>ROUND((O590+O635)*H888/100,2)</f>
        <v>0</v>
      </c>
      <c r="P888" s="166"/>
      <c r="Q888" s="156">
        <f>ROUND((Q590+Q635)*H888/100,2)</f>
        <v>0</v>
      </c>
      <c r="R888" s="166"/>
      <c r="S888" s="156">
        <f>ROUND((S590+S635)*H888/100,2)</f>
        <v>0</v>
      </c>
      <c r="T888" s="34"/>
      <c r="U888" s="34"/>
      <c r="V888" s="166"/>
      <c r="W888" s="166"/>
      <c r="X888" s="166"/>
      <c r="Y888" s="156">
        <f>ROUND((Y590+Y635)*H888/100,2)</f>
        <v>-6745.03</v>
      </c>
      <c r="Z888" s="166"/>
      <c r="AA888" s="156">
        <f>ROUND((AA590+AA635)*H888/100,2)</f>
        <v>-6745.03</v>
      </c>
      <c r="AB888" s="156">
        <f>ROUND((AB590+AB635)*H888/100,2)</f>
        <v>37655.53</v>
      </c>
    </row>
    <row r="889" spans="1:28" ht="30" hidden="1" x14ac:dyDescent="0.25">
      <c r="A889" s="168"/>
      <c r="B889" s="133" t="str">
        <f>'Công trình'!B303</f>
        <v>AG.42111</v>
      </c>
      <c r="C889" s="34"/>
      <c r="D889" s="133" t="str">
        <f>'Công trình'!C303</f>
        <v>Lắp các loại cấu kiện BT đúc sẵn bằng thủ công trọng lượng &lt;=50kg, vữa XM mác 100</v>
      </c>
      <c r="E889" s="168"/>
      <c r="F889" s="20">
        <v>1</v>
      </c>
      <c r="G889" s="169"/>
      <c r="H889" s="45">
        <f>'Hao phí vật tư'!G2276</f>
        <v>10</v>
      </c>
      <c r="I889" s="166"/>
      <c r="J889" s="156">
        <f>ROUND((J93+J393+J757)*H889/100,2)</f>
        <v>8296.06</v>
      </c>
      <c r="K889" s="166"/>
      <c r="L889" s="156">
        <f>ROUND((L93+L393+L757)*H889/100,2)</f>
        <v>10968.14</v>
      </c>
      <c r="M889" s="34"/>
      <c r="N889" s="166"/>
      <c r="O889" s="156">
        <f>ROUND((O93+O393+O757)*H889/100,2)</f>
        <v>0</v>
      </c>
      <c r="P889" s="166"/>
      <c r="Q889" s="156">
        <f>ROUND((Q93+Q393+Q757)*H889/100,2)</f>
        <v>0</v>
      </c>
      <c r="R889" s="166"/>
      <c r="S889" s="156">
        <f>ROUND((S93+S393+S757)*H889/100,2)</f>
        <v>0</v>
      </c>
      <c r="T889" s="34"/>
      <c r="U889" s="34"/>
      <c r="V889" s="166"/>
      <c r="W889" s="166"/>
      <c r="X889" s="166"/>
      <c r="Y889" s="156">
        <f>ROUND((Y93+Y393+Y757)*H889/100,2)</f>
        <v>2672.08</v>
      </c>
      <c r="Z889" s="166"/>
      <c r="AA889" s="156">
        <f>ROUND((AA93+AA393+AA757)*H889/100,2)</f>
        <v>2672.08</v>
      </c>
      <c r="AB889" s="156">
        <f>ROUND((AB93+AB393+AB757)*H889/100,2)</f>
        <v>10968.14</v>
      </c>
    </row>
    <row r="890" spans="1:28" ht="30" hidden="1" x14ac:dyDescent="0.25">
      <c r="A890" s="168"/>
      <c r="B890" s="133" t="str">
        <f>'Công trình'!B7</f>
        <v>AF.11224</v>
      </c>
      <c r="C890" s="34"/>
      <c r="D890" s="133" t="str">
        <f>'Công trình'!C7</f>
        <v>Bê tông móng rộng &gt;250cm đá 1x2, vữa BT mác 250</v>
      </c>
      <c r="E890" s="168"/>
      <c r="F890" s="20">
        <v>1</v>
      </c>
      <c r="G890" s="169"/>
      <c r="H890" s="45">
        <f>'Hao phí vật tư'!G16</f>
        <v>1</v>
      </c>
      <c r="I890" s="166"/>
      <c r="J890" s="156">
        <f>ROUND((J94+J168+J272+J278+J317+J394+J758)*H890/100,2)</f>
        <v>1551219.81</v>
      </c>
      <c r="K890" s="166"/>
      <c r="L890" s="156">
        <f>ROUND((L94+L168+L272+L278+L317+L394+L758)*H890/100,2)</f>
        <v>1793321.35</v>
      </c>
      <c r="M890" s="34"/>
      <c r="N890" s="166"/>
      <c r="O890" s="156">
        <f>ROUND((O94+O168+O272+O278+O317+O394+O758)*H890/100,2)</f>
        <v>0</v>
      </c>
      <c r="P890" s="166"/>
      <c r="Q890" s="156">
        <f>ROUND((Q94+Q168+Q272+Q278+Q317+Q394+Q758)*H890/100,2)</f>
        <v>0</v>
      </c>
      <c r="R890" s="166"/>
      <c r="S890" s="156">
        <f>ROUND((S94+S168+S272+S278+S317+S394+S758)*H890/100,2)</f>
        <v>0</v>
      </c>
      <c r="T890" s="34"/>
      <c r="U890" s="34"/>
      <c r="V890" s="166"/>
      <c r="W890" s="166"/>
      <c r="X890" s="166"/>
      <c r="Y890" s="156">
        <f>ROUND((Y94+Y168+Y272+Y278+Y317+Y394+Y758)*H890/100,2)</f>
        <v>242101.54</v>
      </c>
      <c r="Z890" s="166"/>
      <c r="AA890" s="156">
        <f>ROUND((AA94+AA168+AA272+AA278+AA317+AA394+AA758)*H890/100,2)</f>
        <v>242101.54</v>
      </c>
      <c r="AB890" s="156">
        <f>ROUND((AB94+AB168+AB272+AB278+AB317+AB394+AB758)*H890/100,2)</f>
        <v>1793321.35</v>
      </c>
    </row>
    <row r="891" spans="1:28" ht="30" hidden="1" x14ac:dyDescent="0.25">
      <c r="A891" s="168"/>
      <c r="B891" s="133" t="str">
        <f>'Công trình'!B8</f>
        <v>AF.12144</v>
      </c>
      <c r="C891" s="34"/>
      <c r="D891" s="133" t="str">
        <f>'Công trình'!C8</f>
        <v>Bê tông tường dày &gt;45cm, chiều cao &lt;=16m đá 1x2, vữa BT mác 250</v>
      </c>
      <c r="E891" s="168"/>
      <c r="F891" s="20">
        <v>1</v>
      </c>
      <c r="G891" s="169"/>
      <c r="H891" s="45">
        <f>'Hao phí vật tư'!G31</f>
        <v>2</v>
      </c>
      <c r="I891" s="166"/>
      <c r="J891" s="156">
        <f>ROUND((J95+J169+J273+J279+J318+J395+J759)*H891/100,2)</f>
        <v>3089213.03</v>
      </c>
      <c r="K891" s="166"/>
      <c r="L891" s="156">
        <f>ROUND((L95+L169+L273+L279+L318+L395+L759)*H891/100,2)</f>
        <v>3553970.74</v>
      </c>
      <c r="M891" s="34"/>
      <c r="N891" s="166"/>
      <c r="O891" s="156">
        <f>ROUND((O95+O169+O273+O279+O318+O395+O759)*H891/100,2)</f>
        <v>0</v>
      </c>
      <c r="P891" s="166"/>
      <c r="Q891" s="156">
        <f>ROUND((Q95+Q169+Q273+Q279+Q318+Q395+Q759)*H891/100,2)</f>
        <v>0</v>
      </c>
      <c r="R891" s="166"/>
      <c r="S891" s="156">
        <f>ROUND((S95+S169+S273+S279+S318+S395+S759)*H891/100,2)</f>
        <v>0</v>
      </c>
      <c r="T891" s="34"/>
      <c r="U891" s="34"/>
      <c r="V891" s="166"/>
      <c r="W891" s="166"/>
      <c r="X891" s="166"/>
      <c r="Y891" s="156">
        <f>ROUND((Y95+Y169+Y273+Y279+Y318+Y395+Y759)*H891/100,2)</f>
        <v>464757.71</v>
      </c>
      <c r="Z891" s="166"/>
      <c r="AA891" s="156">
        <f>ROUND((AA95+AA169+AA273+AA279+AA318+AA395+AA759)*H891/100,2)</f>
        <v>464757.71</v>
      </c>
      <c r="AB891" s="156">
        <f>ROUND((AB95+AB169+AB273+AB279+AB318+AB395+AB759)*H891/100,2)</f>
        <v>3553970.74</v>
      </c>
    </row>
    <row r="892" spans="1:28" hidden="1" x14ac:dyDescent="0.25">
      <c r="A892" s="168"/>
      <c r="B892" s="133" t="str">
        <f>'Công trình'!B178</f>
        <v>AL.25112</v>
      </c>
      <c r="C892" s="34"/>
      <c r="D892" s="133" t="str">
        <f>'Công trình'!C178</f>
        <v>Gối cao su (56x20.3x5)cm</v>
      </c>
      <c r="E892" s="168"/>
      <c r="F892" s="20">
        <v>1</v>
      </c>
      <c r="G892" s="169"/>
      <c r="H892" s="45">
        <f>'Hao phí vật tư'!G1348</f>
        <v>1</v>
      </c>
      <c r="I892" s="166"/>
      <c r="J892" s="156">
        <f>ROUND((J321)*H892/100,2)</f>
        <v>27687.24</v>
      </c>
      <c r="K892" s="166"/>
      <c r="L892" s="156">
        <f>ROUND((L321)*H892/100,2)</f>
        <v>42000</v>
      </c>
      <c r="M892" s="34"/>
      <c r="N892" s="166"/>
      <c r="O892" s="156">
        <f>ROUND((O321)*H892/100,2)</f>
        <v>0</v>
      </c>
      <c r="P892" s="166"/>
      <c r="Q892" s="156">
        <f>ROUND((Q321)*H892/100,2)</f>
        <v>0</v>
      </c>
      <c r="R892" s="166"/>
      <c r="S892" s="156">
        <f>ROUND((S321)*H892/100,2)</f>
        <v>0</v>
      </c>
      <c r="T892" s="34"/>
      <c r="U892" s="34"/>
      <c r="V892" s="166"/>
      <c r="W892" s="166"/>
      <c r="X892" s="166"/>
      <c r="Y892" s="156">
        <f>ROUND((Y321)*H892/100,2)</f>
        <v>14312.76</v>
      </c>
      <c r="Z892" s="166"/>
      <c r="AA892" s="156">
        <f>ROUND((AA321)*H892/100,2)</f>
        <v>14312.76</v>
      </c>
      <c r="AB892" s="156">
        <f>ROUND((AB321)*H892/100,2)</f>
        <v>42000</v>
      </c>
    </row>
    <row r="893" spans="1:28" ht="30" hidden="1" x14ac:dyDescent="0.25">
      <c r="A893" s="168"/>
      <c r="B893" s="133" t="str">
        <f>'Công trình'!B179</f>
        <v>AF.87211</v>
      </c>
      <c r="C893" s="34"/>
      <c r="D893" s="133" t="str">
        <f>'Công trình'!C179</f>
        <v>Sản xuất, lắp dựng, tháo dỡ ván khuôn mố, trụ cầu trên cạn</v>
      </c>
      <c r="E893" s="168"/>
      <c r="F893" s="20">
        <v>1</v>
      </c>
      <c r="G893" s="169"/>
      <c r="H893" s="45">
        <f>'Hao phí vật tư'!G1358</f>
        <v>3</v>
      </c>
      <c r="I893" s="166"/>
      <c r="J893" s="156">
        <f>ROUND((J290+J420+J517+J591+J636)*H893/100,2)</f>
        <v>73917.38</v>
      </c>
      <c r="K893" s="166"/>
      <c r="L893" s="156">
        <f>ROUND((L290+L420+L517+L591+L636)*H893/100,2)</f>
        <v>64380.34</v>
      </c>
      <c r="M893" s="34"/>
      <c r="N893" s="166"/>
      <c r="O893" s="156">
        <f>ROUND((O290+O420+O517+O591+O636)*H893/100,2)</f>
        <v>0</v>
      </c>
      <c r="P893" s="166"/>
      <c r="Q893" s="156">
        <f>ROUND((Q290+Q420+Q517+Q591+Q636)*H893/100,2)</f>
        <v>0</v>
      </c>
      <c r="R893" s="166"/>
      <c r="S893" s="156">
        <f>ROUND((S290+S420+S517+S591+S636)*H893/100,2)</f>
        <v>0</v>
      </c>
      <c r="T893" s="34"/>
      <c r="U893" s="34"/>
      <c r="V893" s="166"/>
      <c r="W893" s="166"/>
      <c r="X893" s="166"/>
      <c r="Y893" s="156">
        <f>ROUND((Y290+Y420+Y517+Y591+Y636)*H893/100,2)</f>
        <v>-9537.0400000000009</v>
      </c>
      <c r="Z893" s="166"/>
      <c r="AA893" s="156">
        <f>ROUND((AA290+AA420+AA517+AA591+AA636)*H893/100,2)</f>
        <v>-9537.0400000000009</v>
      </c>
      <c r="AB893" s="156">
        <f>ROUND((AB290+AB420+AB517+AB591+AB636)*H893/100,2)</f>
        <v>64380.34</v>
      </c>
    </row>
    <row r="894" spans="1:28" hidden="1" x14ac:dyDescent="0.25">
      <c r="A894" s="168"/>
      <c r="B894" s="133" t="str">
        <f>'Công trình'!B188</f>
        <v>AL.25112</v>
      </c>
      <c r="C894" s="34"/>
      <c r="D894" s="133" t="str">
        <f>'Công trình'!C188</f>
        <v>Gối cao su (56x20.3x5)cm</v>
      </c>
      <c r="E894" s="168"/>
      <c r="F894" s="20">
        <v>1</v>
      </c>
      <c r="G894" s="169"/>
      <c r="H894" s="45">
        <f>'Hao phí vật tư'!G1439</f>
        <v>1</v>
      </c>
      <c r="I894" s="166"/>
      <c r="J894" s="156">
        <f>ROUND((J322)*H894/100,2)</f>
        <v>55374.48</v>
      </c>
      <c r="K894" s="166"/>
      <c r="L894" s="156">
        <f>ROUND((L322)*H894/100,2)</f>
        <v>84000</v>
      </c>
      <c r="M894" s="34"/>
      <c r="N894" s="166"/>
      <c r="O894" s="156">
        <f>ROUND((O322)*H894/100,2)</f>
        <v>0</v>
      </c>
      <c r="P894" s="166"/>
      <c r="Q894" s="156">
        <f>ROUND((Q322)*H894/100,2)</f>
        <v>0</v>
      </c>
      <c r="R894" s="166"/>
      <c r="S894" s="156">
        <f>ROUND((S322)*H894/100,2)</f>
        <v>0</v>
      </c>
      <c r="T894" s="34"/>
      <c r="U894" s="34"/>
      <c r="V894" s="166"/>
      <c r="W894" s="166"/>
      <c r="X894" s="166"/>
      <c r="Y894" s="156">
        <f>ROUND((Y322)*H894/100,2)</f>
        <v>28625.52</v>
      </c>
      <c r="Z894" s="166"/>
      <c r="AA894" s="156">
        <f>ROUND((AA322)*H894/100,2)</f>
        <v>28625.52</v>
      </c>
      <c r="AB894" s="156">
        <f>ROUND((AB322)*H894/100,2)</f>
        <v>84000</v>
      </c>
    </row>
    <row r="895" spans="1:28" ht="30" hidden="1" x14ac:dyDescent="0.25">
      <c r="A895" s="168"/>
      <c r="B895" s="133" t="str">
        <f>'Công trình'!B189</f>
        <v>AF.87211</v>
      </c>
      <c r="C895" s="34"/>
      <c r="D895" s="133" t="str">
        <f>'Công trình'!C189</f>
        <v>Sản xuất, lắp dựng, tháo dỡ ván khuôn mố, trụ cầu trên cạn</v>
      </c>
      <c r="E895" s="168"/>
      <c r="F895" s="20">
        <v>1</v>
      </c>
      <c r="G895" s="169"/>
      <c r="H895" s="45">
        <f>'Hao phí vật tư'!G1449</f>
        <v>3</v>
      </c>
      <c r="I895" s="166"/>
      <c r="J895" s="156">
        <f>ROUND((J291+J421+J518+J592+J637)*H895/100,2)</f>
        <v>21179.040000000001</v>
      </c>
      <c r="K895" s="166"/>
      <c r="L895" s="156">
        <f>ROUND((L291+L421+L518+L592+L637)*H895/100,2)</f>
        <v>18446.47</v>
      </c>
      <c r="M895" s="34"/>
      <c r="N895" s="166"/>
      <c r="O895" s="156">
        <f>ROUND((O291+O421+O518+O592+O637)*H895/100,2)</f>
        <v>0</v>
      </c>
      <c r="P895" s="166"/>
      <c r="Q895" s="156">
        <f>ROUND((Q291+Q421+Q518+Q592+Q637)*H895/100,2)</f>
        <v>0</v>
      </c>
      <c r="R895" s="166"/>
      <c r="S895" s="156">
        <f>ROUND((S291+S421+S518+S592+S637)*H895/100,2)</f>
        <v>0</v>
      </c>
      <c r="T895" s="34"/>
      <c r="U895" s="34"/>
      <c r="V895" s="166"/>
      <c r="W895" s="166"/>
      <c r="X895" s="166"/>
      <c r="Y895" s="156">
        <f>ROUND((Y291+Y421+Y518+Y592+Y637)*H895/100,2)</f>
        <v>-2732.57</v>
      </c>
      <c r="Z895" s="166"/>
      <c r="AA895" s="156">
        <f>ROUND((AA291+AA421+AA518+AA592+AA637)*H895/100,2)</f>
        <v>-2732.57</v>
      </c>
      <c r="AB895" s="156">
        <f>ROUND((AB291+AB421+AB518+AB592+AB637)*H895/100,2)</f>
        <v>18446.47</v>
      </c>
    </row>
    <row r="896" spans="1:28" ht="45" hidden="1" x14ac:dyDescent="0.25">
      <c r="A896" s="168"/>
      <c r="B896" s="133" t="str">
        <f>'Công trình'!B193</f>
        <v>TT</v>
      </c>
      <c r="C896" s="34"/>
      <c r="D896" s="133" t="str">
        <f>'Công trình'!C193</f>
        <v xml:space="preserve">Lắp dựng dầm cầu I DƯL bản  (TT theo MHĐM ĐQ.30010 Quyết định số 2204/QĐ-BGTVT ngày 29/07/2013) </v>
      </c>
      <c r="E896" s="168"/>
      <c r="F896" s="20">
        <v>1</v>
      </c>
      <c r="G896" s="169"/>
      <c r="H896" s="45">
        <f>'Hao phí vật tư'!G1482</f>
        <v>10</v>
      </c>
      <c r="I896" s="166"/>
      <c r="J896" s="156">
        <f>ROUND((J647)*H896/100,2)</f>
        <v>775696.5</v>
      </c>
      <c r="K896" s="166"/>
      <c r="L896" s="156">
        <f>ROUND((L647)*H896/100,2)</f>
        <v>607701.42000000004</v>
      </c>
      <c r="M896" s="34"/>
      <c r="N896" s="166"/>
      <c r="O896" s="156">
        <f>ROUND((O647)*H896/100,2)</f>
        <v>0</v>
      </c>
      <c r="P896" s="166"/>
      <c r="Q896" s="156">
        <f>ROUND((Q647)*H896/100,2)</f>
        <v>0</v>
      </c>
      <c r="R896" s="166"/>
      <c r="S896" s="156">
        <f>ROUND((S647)*H896/100,2)</f>
        <v>0</v>
      </c>
      <c r="T896" s="34"/>
      <c r="U896" s="34"/>
      <c r="V896" s="166"/>
      <c r="W896" s="166"/>
      <c r="X896" s="166"/>
      <c r="Y896" s="156">
        <f>ROUND((Y647)*H896/100,2)</f>
        <v>-167995.08</v>
      </c>
      <c r="Z896" s="166"/>
      <c r="AA896" s="156">
        <f>ROUND((AA647)*H896/100,2)</f>
        <v>-167995.08</v>
      </c>
      <c r="AB896" s="156">
        <f>ROUND((AB647)*H896/100,2)</f>
        <v>607701.42000000004</v>
      </c>
    </row>
    <row r="897" spans="1:28" ht="30" hidden="1" x14ac:dyDescent="0.25">
      <c r="A897" s="168"/>
      <c r="B897" s="133" t="str">
        <f>'Công trình'!B201</f>
        <v>AF.82311</v>
      </c>
      <c r="C897" s="34"/>
      <c r="D897" s="133" t="str">
        <f>'Công trình'!C201</f>
        <v>Sản xuất, lắp dựng tháo dỡ ván khuôn thép, cây chống gỗ mặt cầu, chiều cao &lt;=16m</v>
      </c>
      <c r="E897" s="168"/>
      <c r="F897" s="20">
        <v>1</v>
      </c>
      <c r="G897" s="169"/>
      <c r="H897" s="45">
        <f>'Hao phí vật tư'!G1556</f>
        <v>5</v>
      </c>
      <c r="I897" s="166"/>
      <c r="J897" s="156">
        <f>ROUND((J303+J519+J593+J638)*H897/100,2)</f>
        <v>522487.4</v>
      </c>
      <c r="K897" s="166"/>
      <c r="L897" s="156">
        <f>ROUND((L303+L519+L593+L638)*H897/100,2)</f>
        <v>450476.4</v>
      </c>
      <c r="M897" s="34"/>
      <c r="N897" s="166"/>
      <c r="O897" s="156">
        <f>ROUND((O303+O519+O593+O638)*H897/100,2)</f>
        <v>0</v>
      </c>
      <c r="P897" s="166"/>
      <c r="Q897" s="156">
        <f>ROUND((Q303+Q519+Q593+Q638)*H897/100,2)</f>
        <v>0</v>
      </c>
      <c r="R897" s="166"/>
      <c r="S897" s="156">
        <f>ROUND((S303+S519+S593+S638)*H897/100,2)</f>
        <v>0</v>
      </c>
      <c r="T897" s="34"/>
      <c r="U897" s="34"/>
      <c r="V897" s="166"/>
      <c r="W897" s="166"/>
      <c r="X897" s="166"/>
      <c r="Y897" s="156">
        <f>ROUND((Y303+Y519+Y593+Y638)*H897/100,2)</f>
        <v>-72011</v>
      </c>
      <c r="Z897" s="166"/>
      <c r="AA897" s="156">
        <f>ROUND((AA303+AA519+AA593+AA638)*H897/100,2)</f>
        <v>-72011</v>
      </c>
      <c r="AB897" s="156">
        <f>ROUND((AB303+AB519+AB593+AB638)*H897/100,2)</f>
        <v>450476.4</v>
      </c>
    </row>
    <row r="898" spans="1:28" hidden="1" x14ac:dyDescent="0.25">
      <c r="A898" s="168"/>
      <c r="B898" s="133" t="str">
        <f>'Công trình'!B175</f>
        <v>AF.11225</v>
      </c>
      <c r="C898" s="34"/>
      <c r="D898" s="133" t="str">
        <f>'Công trình'!C175</f>
        <v>Bê tông bản dẫn đá 1x2, vữa BT mác 300</v>
      </c>
      <c r="E898" s="168"/>
      <c r="F898" s="20">
        <v>1</v>
      </c>
      <c r="G898" s="169"/>
      <c r="H898" s="45">
        <f>'Hao phí vật tư'!G1319</f>
        <v>1</v>
      </c>
      <c r="I898" s="166"/>
      <c r="J898" s="156">
        <f>ROUND((J97+J170+J274+J280+J319+J397+J760)*H898/100,2)</f>
        <v>181716.15</v>
      </c>
      <c r="K898" s="166"/>
      <c r="L898" s="156">
        <f>ROUND((L97+L170+L274+L280+L319+L397+L760)*H898/100,2)</f>
        <v>207544.52</v>
      </c>
      <c r="M898" s="34"/>
      <c r="N898" s="166"/>
      <c r="O898" s="156">
        <f>ROUND((O97+O170+O274+O280+O319+O397+O760)*H898/100,2)</f>
        <v>0</v>
      </c>
      <c r="P898" s="166"/>
      <c r="Q898" s="156">
        <f>ROUND((Q97+Q170+Q274+Q280+Q319+Q397+Q760)*H898/100,2)</f>
        <v>0</v>
      </c>
      <c r="R898" s="166"/>
      <c r="S898" s="156">
        <f>ROUND((S97+S170+S274+S280+S319+S397+S760)*H898/100,2)</f>
        <v>0</v>
      </c>
      <c r="T898" s="34"/>
      <c r="U898" s="34"/>
      <c r="V898" s="166"/>
      <c r="W898" s="166"/>
      <c r="X898" s="166"/>
      <c r="Y898" s="156">
        <f>ROUND((Y97+Y170+Y274+Y280+Y319+Y397+Y760)*H898/100,2)</f>
        <v>25828.37</v>
      </c>
      <c r="Z898" s="166"/>
      <c r="AA898" s="156">
        <f>ROUND((AA97+AA170+AA274+AA280+AA319+AA397+AA760)*H898/100,2)</f>
        <v>25828.37</v>
      </c>
      <c r="AB898" s="156">
        <f>ROUND((AB97+AB170+AB274+AB280+AB319+AB397+AB760)*H898/100,2)</f>
        <v>207544.52</v>
      </c>
    </row>
    <row r="899" spans="1:28" ht="45" hidden="1" x14ac:dyDescent="0.25">
      <c r="A899" s="168"/>
      <c r="B899" s="133" t="str">
        <f>'Công trình'!B180</f>
        <v>AF.82511</v>
      </c>
      <c r="C899" s="34"/>
      <c r="D899" s="133" t="str">
        <f>'Công trình'!C180</f>
        <v>Sản xuất, lắp dựng, tháo dỡ ván khuôn cho bê tông đổ tại chổ, ván khuôn thép, ván khuôn bản dẫn</v>
      </c>
      <c r="E899" s="168"/>
      <c r="F899" s="20">
        <v>1</v>
      </c>
      <c r="G899" s="169"/>
      <c r="H899" s="45">
        <f>'Hao phí vật tư'!G1370</f>
        <v>10</v>
      </c>
      <c r="I899" s="166"/>
      <c r="J899" s="156">
        <f>ROUND((J594+J639)*H899/100,2)</f>
        <v>25294.959999999999</v>
      </c>
      <c r="K899" s="166"/>
      <c r="L899" s="156">
        <f>ROUND((L594+L639)*H899/100,2)</f>
        <v>21452.33</v>
      </c>
      <c r="M899" s="34"/>
      <c r="N899" s="166"/>
      <c r="O899" s="156">
        <f>ROUND((O594+O639)*H899/100,2)</f>
        <v>0</v>
      </c>
      <c r="P899" s="166"/>
      <c r="Q899" s="156">
        <f>ROUND((Q594+Q639)*H899/100,2)</f>
        <v>0</v>
      </c>
      <c r="R899" s="166"/>
      <c r="S899" s="156">
        <f>ROUND((S594+S639)*H899/100,2)</f>
        <v>0</v>
      </c>
      <c r="T899" s="34"/>
      <c r="U899" s="34"/>
      <c r="V899" s="166"/>
      <c r="W899" s="166"/>
      <c r="X899" s="166"/>
      <c r="Y899" s="156">
        <f>ROUND((Y594+Y639)*H899/100,2)</f>
        <v>-3842.63</v>
      </c>
      <c r="Z899" s="166"/>
      <c r="AA899" s="156">
        <f>ROUND((AA594+AA639)*H899/100,2)</f>
        <v>-3842.63</v>
      </c>
      <c r="AB899" s="156">
        <f>ROUND((AB594+AB639)*H899/100,2)</f>
        <v>21452.33</v>
      </c>
    </row>
    <row r="900" spans="1:28" hidden="1" x14ac:dyDescent="0.25">
      <c r="A900" s="168"/>
      <c r="B900" s="133" t="str">
        <f>'Công trình'!B9</f>
        <v>AF.11333</v>
      </c>
      <c r="C900" s="34"/>
      <c r="D900" s="133" t="str">
        <f>'Công trình'!C9</f>
        <v>Bê tông bịt đáy đá 4x6, vữa BT mác 200</v>
      </c>
      <c r="E900" s="168"/>
      <c r="F900" s="20">
        <v>1</v>
      </c>
      <c r="G900" s="169"/>
      <c r="H900" s="45">
        <f>'Hao phí vật tư'!G44</f>
        <v>1</v>
      </c>
      <c r="I900" s="166"/>
      <c r="J900" s="156">
        <f>ROUND((J98+J175+J398+J761)*H900/100,2)</f>
        <v>1928559.1</v>
      </c>
      <c r="K900" s="166"/>
      <c r="L900" s="156">
        <f>ROUND((L98+L175+L398+L761)*H900/100,2)</f>
        <v>2323236.0499999998</v>
      </c>
      <c r="M900" s="34"/>
      <c r="N900" s="166"/>
      <c r="O900" s="156">
        <f>ROUND((O98+O175+O398+O761)*H900/100,2)</f>
        <v>0</v>
      </c>
      <c r="P900" s="166"/>
      <c r="Q900" s="156">
        <f>ROUND((Q98+Q175+Q398+Q761)*H900/100,2)</f>
        <v>0</v>
      </c>
      <c r="R900" s="166"/>
      <c r="S900" s="156">
        <f>ROUND((S98+S175+S398+S761)*H900/100,2)</f>
        <v>0</v>
      </c>
      <c r="T900" s="34"/>
      <c r="U900" s="34"/>
      <c r="V900" s="166"/>
      <c r="W900" s="166"/>
      <c r="X900" s="166"/>
      <c r="Y900" s="156">
        <f>ROUND((Y98+Y175+Y398+Y761)*H900/100,2)</f>
        <v>394676.95</v>
      </c>
      <c r="Z900" s="166"/>
      <c r="AA900" s="156">
        <f>ROUND((AA98+AA175+AA398+AA761)*H900/100,2)</f>
        <v>394676.95</v>
      </c>
      <c r="AB900" s="156">
        <f>ROUND((AB98+AB175+AB398+AB761)*H900/100,2)</f>
        <v>2323236.0499999998</v>
      </c>
    </row>
    <row r="901" spans="1:28" ht="30" hidden="1" x14ac:dyDescent="0.25">
      <c r="A901" s="168"/>
      <c r="B901" s="133" t="str">
        <f>'Công trình'!B230</f>
        <v>AG.32321</v>
      </c>
      <c r="C901" s="34"/>
      <c r="D901" s="133" t="str">
        <f>'Công trình'!C230</f>
        <v>Sản xuất, lắp dựng, tháo dỡ ván khuôn thép bê tông đúc sẵn cọc, cột</v>
      </c>
      <c r="E901" s="168"/>
      <c r="F901" s="20">
        <v>1</v>
      </c>
      <c r="G901" s="169"/>
      <c r="H901" s="45">
        <f>'Hao phí vật tư'!G1742</f>
        <v>5</v>
      </c>
      <c r="I901" s="166"/>
      <c r="J901" s="156">
        <f>ROUND((J520+J595+J640)*H901/100,2)</f>
        <v>179688.73</v>
      </c>
      <c r="K901" s="166"/>
      <c r="L901" s="156">
        <f>ROUND((L520+L595+L640)*H901/100,2)</f>
        <v>150400.47</v>
      </c>
      <c r="M901" s="34"/>
      <c r="N901" s="166"/>
      <c r="O901" s="156">
        <f>ROUND((O520+O595+O640)*H901/100,2)</f>
        <v>0</v>
      </c>
      <c r="P901" s="166"/>
      <c r="Q901" s="156">
        <f>ROUND((Q520+Q595+Q640)*H901/100,2)</f>
        <v>0</v>
      </c>
      <c r="R901" s="166"/>
      <c r="S901" s="156">
        <f>ROUND((S520+S595+S640)*H901/100,2)</f>
        <v>0</v>
      </c>
      <c r="T901" s="34"/>
      <c r="U901" s="34"/>
      <c r="V901" s="166"/>
      <c r="W901" s="166"/>
      <c r="X901" s="166"/>
      <c r="Y901" s="156">
        <f>ROUND((Y520+Y595+Y640)*H901/100,2)</f>
        <v>-29288.26</v>
      </c>
      <c r="Z901" s="166"/>
      <c r="AA901" s="156">
        <f>ROUND((AA520+AA595+AA640)*H901/100,2)</f>
        <v>-29288.26</v>
      </c>
      <c r="AB901" s="156">
        <f>ROUND((AB520+AB595+AB640)*H901/100,2)</f>
        <v>150400.47</v>
      </c>
    </row>
    <row r="902" spans="1:28" ht="30" hidden="1" x14ac:dyDescent="0.25">
      <c r="A902" s="168"/>
      <c r="B902" s="133" t="str">
        <f>'Công trình'!B56</f>
        <v>AG.32511</v>
      </c>
      <c r="C902" s="34"/>
      <c r="D902" s="133" t="str">
        <f>'Công trình'!C56</f>
        <v>Sản xuất, lắp dựng, tháo dỡ ván khuôn thép bê tông đúc sẵn tấm tự chèn</v>
      </c>
      <c r="E902" s="168"/>
      <c r="F902" s="20">
        <v>1</v>
      </c>
      <c r="G902" s="169"/>
      <c r="H902" s="45">
        <f>'Hao phí vật tư'!G412</f>
        <v>5</v>
      </c>
      <c r="I902" s="166"/>
      <c r="J902" s="156">
        <f>ROUND((J521+J596+J641)*H902/100,2)</f>
        <v>305131.13</v>
      </c>
      <c r="K902" s="166"/>
      <c r="L902" s="156">
        <f>ROUND((L521+L596+L641)*H902/100,2)</f>
        <v>260049.53</v>
      </c>
      <c r="M902" s="34"/>
      <c r="N902" s="166"/>
      <c r="O902" s="156">
        <f>ROUND((O521+O596+O641)*H902/100,2)</f>
        <v>0</v>
      </c>
      <c r="P902" s="166"/>
      <c r="Q902" s="156">
        <f>ROUND((Q521+Q596+Q641)*H902/100,2)</f>
        <v>0</v>
      </c>
      <c r="R902" s="166"/>
      <c r="S902" s="156">
        <f>ROUND((S521+S596+S641)*H902/100,2)</f>
        <v>0</v>
      </c>
      <c r="T902" s="34"/>
      <c r="U902" s="34"/>
      <c r="V902" s="166"/>
      <c r="W902" s="166"/>
      <c r="X902" s="166"/>
      <c r="Y902" s="156">
        <f>ROUND((Y521+Y596+Y641)*H902/100,2)</f>
        <v>-45081.59</v>
      </c>
      <c r="Z902" s="166"/>
      <c r="AA902" s="156">
        <f>ROUND((AA521+AA596+AA641)*H902/100,2)</f>
        <v>-45081.59</v>
      </c>
      <c r="AB902" s="156">
        <f>ROUND((AB521+AB596+AB641)*H902/100,2)</f>
        <v>260049.53</v>
      </c>
    </row>
    <row r="903" spans="1:28" ht="30" hidden="1" x14ac:dyDescent="0.25">
      <c r="A903" s="168"/>
      <c r="B903" s="133" t="str">
        <f>'Công trình'!B251</f>
        <v>AG.32511</v>
      </c>
      <c r="C903" s="34"/>
      <c r="D903" s="133" t="str">
        <f>'Công trình'!C251</f>
        <v>Sản xuất, lắp dựng, tháo dỡ ván khuôn thép bê tông đúc sẵn nắp đan, tấm chớp</v>
      </c>
      <c r="E903" s="168"/>
      <c r="F903" s="20">
        <v>1</v>
      </c>
      <c r="G903" s="169"/>
      <c r="H903" s="45">
        <f>'Hao phí vật tư'!G1914</f>
        <v>5</v>
      </c>
      <c r="I903" s="166"/>
      <c r="J903" s="156">
        <f>ROUND((J522+J597+J642)*H903/100,2)</f>
        <v>389806.63</v>
      </c>
      <c r="K903" s="166"/>
      <c r="L903" s="156">
        <f>ROUND((L522+L597+L642)*H903/100,2)</f>
        <v>332214.65000000002</v>
      </c>
      <c r="M903" s="34"/>
      <c r="N903" s="166"/>
      <c r="O903" s="156">
        <f>ROUND((O522+O597+O642)*H903/100,2)</f>
        <v>0</v>
      </c>
      <c r="P903" s="166"/>
      <c r="Q903" s="156">
        <f>ROUND((Q522+Q597+Q642)*H903/100,2)</f>
        <v>0</v>
      </c>
      <c r="R903" s="166"/>
      <c r="S903" s="156">
        <f>ROUND((S522+S597+S642)*H903/100,2)</f>
        <v>0</v>
      </c>
      <c r="T903" s="34"/>
      <c r="U903" s="34"/>
      <c r="V903" s="166"/>
      <c r="W903" s="166"/>
      <c r="X903" s="166"/>
      <c r="Y903" s="156">
        <f>ROUND((Y522+Y597+Y642)*H903/100,2)</f>
        <v>-57591.98</v>
      </c>
      <c r="Z903" s="166"/>
      <c r="AA903" s="156">
        <f>ROUND((AA522+AA597+AA642)*H903/100,2)</f>
        <v>-57591.98</v>
      </c>
      <c r="AB903" s="156">
        <f>ROUND((AB522+AB597+AB642)*H903/100,2)</f>
        <v>332214.65000000002</v>
      </c>
    </row>
    <row r="904" spans="1:28" hidden="1" x14ac:dyDescent="0.25">
      <c r="A904" s="168"/>
      <c r="B904" s="133" t="str">
        <f>'Công trình'!B262</f>
        <v>AI.21152</v>
      </c>
      <c r="C904" s="34"/>
      <c r="D904" s="133" t="str">
        <f>'Công trình'!C262</f>
        <v>Sản xuất kết cấu thép lan can cầu đường bộ</v>
      </c>
      <c r="E904" s="168"/>
      <c r="F904" s="20">
        <v>1</v>
      </c>
      <c r="G904" s="169"/>
      <c r="H904" s="45">
        <f>'Hao phí vật tư'!G1998</f>
        <v>5</v>
      </c>
      <c r="I904" s="166"/>
      <c r="J904" s="156">
        <f>ROUND((J9+J29+J422+J523+J598+J605)*H904/100,2)</f>
        <v>12214008.66</v>
      </c>
      <c r="K904" s="166"/>
      <c r="L904" s="156">
        <f>ROUND((L9+L29+L422+L523+L598+L605)*H904/100,2)</f>
        <v>10488924.880000001</v>
      </c>
      <c r="M904" s="34"/>
      <c r="N904" s="166"/>
      <c r="O904" s="156">
        <f>ROUND((O9+O29+O422+O523+O598+O605)*H904/100,2)</f>
        <v>0</v>
      </c>
      <c r="P904" s="166"/>
      <c r="Q904" s="156">
        <f>ROUND((Q9+Q29+Q422+Q523+Q598+Q605)*H904/100,2)</f>
        <v>0</v>
      </c>
      <c r="R904" s="166"/>
      <c r="S904" s="156">
        <f>ROUND((S9+S29+S422+S523+S598+S605)*H904/100,2)</f>
        <v>0</v>
      </c>
      <c r="T904" s="34"/>
      <c r="U904" s="34"/>
      <c r="V904" s="166"/>
      <c r="W904" s="166"/>
      <c r="X904" s="166"/>
      <c r="Y904" s="156">
        <f>ROUND((Y9+Y29+Y422+Y523+Y598+Y605)*H904/100,2)</f>
        <v>-1725083.78</v>
      </c>
      <c r="Z904" s="166"/>
      <c r="AA904" s="156">
        <f>ROUND((AA9+AA29+AA422+AA523+AA598+AA605)*H904/100,2)</f>
        <v>-1725083.78</v>
      </c>
      <c r="AB904" s="156">
        <f>ROUND((AB9+AB29+AB422+AB523+AB598+AB605)*H904/100,2)</f>
        <v>10488924.880000001</v>
      </c>
    </row>
    <row r="905" spans="1:28" ht="30" hidden="1" x14ac:dyDescent="0.25">
      <c r="A905" s="168"/>
      <c r="B905" s="133" t="str">
        <f>'Công trình'!B73</f>
        <v>AG.32321</v>
      </c>
      <c r="C905" s="34"/>
      <c r="D905" s="133" t="str">
        <f>'Công trình'!C73</f>
        <v>Sản xuất, lắp dựng, tháo dỡ ván khuôn thép bê tông đúc sẵn cọc</v>
      </c>
      <c r="E905" s="168"/>
      <c r="F905" s="20">
        <v>1</v>
      </c>
      <c r="G905" s="169"/>
      <c r="H905" s="45">
        <f>'Hao phí vật tư'!G566</f>
        <v>5</v>
      </c>
      <c r="I905" s="166"/>
      <c r="J905" s="156">
        <f>ROUND((J524+J599+J643)*H905/100,2)</f>
        <v>166082.35999999999</v>
      </c>
      <c r="K905" s="166"/>
      <c r="L905" s="156">
        <f>ROUND((L524+L599+L643)*H905/100,2)</f>
        <v>139011.85999999999</v>
      </c>
      <c r="M905" s="34"/>
      <c r="N905" s="166"/>
      <c r="O905" s="156">
        <f>ROUND((O524+O599+O643)*H905/100,2)</f>
        <v>0</v>
      </c>
      <c r="P905" s="166"/>
      <c r="Q905" s="156">
        <f>ROUND((Q524+Q599+Q643)*H905/100,2)</f>
        <v>0</v>
      </c>
      <c r="R905" s="166"/>
      <c r="S905" s="156">
        <f>ROUND((S524+S599+S643)*H905/100,2)</f>
        <v>0</v>
      </c>
      <c r="T905" s="34"/>
      <c r="U905" s="34"/>
      <c r="V905" s="166"/>
      <c r="W905" s="166"/>
      <c r="X905" s="166"/>
      <c r="Y905" s="156">
        <f>ROUND((Y524+Y599+Y643)*H905/100,2)</f>
        <v>-27070.5</v>
      </c>
      <c r="Z905" s="166"/>
      <c r="AA905" s="156">
        <f>ROUND((AA524+AA599+AA643)*H905/100,2)</f>
        <v>-27070.5</v>
      </c>
      <c r="AB905" s="156">
        <f>ROUND((AB524+AB599+AB643)*H905/100,2)</f>
        <v>139011.85999999999</v>
      </c>
    </row>
    <row r="906" spans="1:28" ht="30" hidden="1" x14ac:dyDescent="0.25">
      <c r="A906" s="168"/>
      <c r="B906" s="133" t="str">
        <f>'Công trình'!B84</f>
        <v>AG.32321</v>
      </c>
      <c r="C906" s="34"/>
      <c r="D906" s="133" t="str">
        <f>'Công trình'!C84</f>
        <v>Sản xuất, lắp dựng, tháo dỡ ván khuôn thép bê tông đúc sẵn cọc</v>
      </c>
      <c r="E906" s="168"/>
      <c r="F906" s="20">
        <v>1</v>
      </c>
      <c r="G906" s="169"/>
      <c r="H906" s="45">
        <f>'Hao phí vật tư'!G682</f>
        <v>5</v>
      </c>
      <c r="I906" s="166"/>
      <c r="J906" s="156">
        <f>ROUND((J525+J600+J644)*H906/100,2)</f>
        <v>75153.77</v>
      </c>
      <c r="K906" s="166"/>
      <c r="L906" s="156">
        <f>ROUND((L525+L600+L644)*H906/100,2)</f>
        <v>62904.11</v>
      </c>
      <c r="M906" s="34"/>
      <c r="N906" s="166"/>
      <c r="O906" s="156">
        <f>ROUND((O525+O600+O644)*H906/100,2)</f>
        <v>0</v>
      </c>
      <c r="P906" s="166"/>
      <c r="Q906" s="156">
        <f>ROUND((Q525+Q600+Q644)*H906/100,2)</f>
        <v>0</v>
      </c>
      <c r="R906" s="166"/>
      <c r="S906" s="156">
        <f>ROUND((S525+S600+S644)*H906/100,2)</f>
        <v>0</v>
      </c>
      <c r="T906" s="34"/>
      <c r="U906" s="34"/>
      <c r="V906" s="166"/>
      <c r="W906" s="166"/>
      <c r="X906" s="166"/>
      <c r="Y906" s="156">
        <f>ROUND((Y525+Y600+Y644)*H906/100,2)</f>
        <v>-12249.66</v>
      </c>
      <c r="Z906" s="166"/>
      <c r="AA906" s="156">
        <f>ROUND((AA525+AA600+AA644)*H906/100,2)</f>
        <v>-12249.66</v>
      </c>
      <c r="AB906" s="156">
        <f>ROUND((AB525+AB600+AB644)*H906/100,2)</f>
        <v>62904.11</v>
      </c>
    </row>
    <row r="907" spans="1:28" hidden="1" x14ac:dyDescent="0.25">
      <c r="A907" s="168"/>
      <c r="B907" s="133" t="str">
        <f>'Công trình'!B34</f>
        <v>AF.12313</v>
      </c>
      <c r="C907" s="34"/>
      <c r="D907" s="133" t="str">
        <f>'Công trình'!C34</f>
        <v>Bê tông dầm, giằng đá 1x2, vữa BT mác 200</v>
      </c>
      <c r="E907" s="168"/>
      <c r="F907" s="20">
        <v>1</v>
      </c>
      <c r="G907" s="169"/>
      <c r="H907" s="45">
        <f>'Hao phí vật tư'!G251</f>
        <v>1</v>
      </c>
      <c r="I907" s="166"/>
      <c r="J907" s="156">
        <f>ROUND((J100+J171+J400+J762)*H907/100,2)</f>
        <v>84649.1</v>
      </c>
      <c r="K907" s="166"/>
      <c r="L907" s="156">
        <f>ROUND((L100+L171+L400+L762)*H907/100,2)</f>
        <v>101084.71</v>
      </c>
      <c r="M907" s="34"/>
      <c r="N907" s="166"/>
      <c r="O907" s="156">
        <f>ROUND((O100+O171+O400+O762)*H907/100,2)</f>
        <v>0</v>
      </c>
      <c r="P907" s="166"/>
      <c r="Q907" s="156">
        <f>ROUND((Q100+Q171+Q400+Q762)*H907/100,2)</f>
        <v>0</v>
      </c>
      <c r="R907" s="166"/>
      <c r="S907" s="156">
        <f>ROUND((S100+S171+S400+S762)*H907/100,2)</f>
        <v>0</v>
      </c>
      <c r="T907" s="34"/>
      <c r="U907" s="34"/>
      <c r="V907" s="166"/>
      <c r="W907" s="166"/>
      <c r="X907" s="166"/>
      <c r="Y907" s="156">
        <f>ROUND((Y100+Y171+Y400+Y762)*H907/100,2)</f>
        <v>16435.61</v>
      </c>
      <c r="Z907" s="166"/>
      <c r="AA907" s="156">
        <f>ROUND((AA100+AA171+AA400+AA762)*H907/100,2)</f>
        <v>16435.61</v>
      </c>
      <c r="AB907" s="156">
        <f>ROUND((AB100+AB171+AB400+AB762)*H907/100,2)</f>
        <v>101084.71</v>
      </c>
    </row>
    <row r="908" spans="1:28" ht="45" hidden="1" x14ac:dyDescent="0.25">
      <c r="A908" s="57"/>
      <c r="B908" s="12" t="str">
        <f>'Công trình'!B35</f>
        <v>AF.82111</v>
      </c>
      <c r="C908" s="89"/>
      <c r="D908" s="12" t="str">
        <f>'Công trình'!C35</f>
        <v>Sản xuất, lắp dựng tháo dỡ ván khuôn thép, cây chống gỗ tường, cột vuông (chữ nhật), xà dầm, giằng, chiều cao &lt;=16m</v>
      </c>
      <c r="E908" s="57"/>
      <c r="F908" s="79">
        <v>1</v>
      </c>
      <c r="G908" s="58"/>
      <c r="H908" s="103">
        <f>'Hao phí vật tư'!G264</f>
        <v>5</v>
      </c>
      <c r="I908" s="51"/>
      <c r="J908" s="38">
        <f>ROUND((J304+J527+J601+J645)*H908/100,2)</f>
        <v>105044.97</v>
      </c>
      <c r="K908" s="51"/>
      <c r="L908" s="38">
        <f>ROUND((L304+L527+L601+L645)*H908/100,2)</f>
        <v>90979.76</v>
      </c>
      <c r="M908" s="89"/>
      <c r="N908" s="51"/>
      <c r="O908" s="38">
        <f>ROUND((O304+O527+O601+O645)*H908/100,2)</f>
        <v>0</v>
      </c>
      <c r="P908" s="51"/>
      <c r="Q908" s="38">
        <f>ROUND((Q304+Q527+Q601+Q645)*H908/100,2)</f>
        <v>0</v>
      </c>
      <c r="R908" s="51"/>
      <c r="S908" s="38">
        <f>ROUND((S304+S527+S601+S645)*H908/100,2)</f>
        <v>0</v>
      </c>
      <c r="T908" s="89"/>
      <c r="U908" s="89"/>
      <c r="V908" s="51"/>
      <c r="W908" s="51"/>
      <c r="X908" s="51"/>
      <c r="Y908" s="38">
        <f>ROUND((Y304+Y527+Y601+Y645)*H908/100,2)</f>
        <v>-14065.21</v>
      </c>
      <c r="Z908" s="51"/>
      <c r="AA908" s="38">
        <f>ROUND((AA304+AA527+AA601+AA645)*H908/100,2)</f>
        <v>-14065.21</v>
      </c>
      <c r="AB908" s="38">
        <f>ROUND((AB304+AB527+AB601+AB645)*H908/100,2)</f>
        <v>90979.76</v>
      </c>
    </row>
    <row r="909" spans="1:28" ht="18" customHeight="1" x14ac:dyDescent="0.25">
      <c r="A909" s="40"/>
      <c r="B909" s="5"/>
      <c r="C909" s="157"/>
      <c r="D909" s="5" t="s">
        <v>362</v>
      </c>
      <c r="E909" s="40"/>
      <c r="F909" s="86"/>
      <c r="G909" s="86"/>
      <c r="H909" s="99"/>
      <c r="I909" s="33"/>
      <c r="J909" s="33">
        <f>ROUND(SUMIF(C8:C908,"&gt;0",J8:J908),0)</f>
        <v>7641215632</v>
      </c>
      <c r="K909" s="33"/>
      <c r="L909" s="33">
        <f>ROUND(SUMIF(C8:C908,"&gt;0",L8:L908),0)</f>
        <v>8999794472</v>
      </c>
      <c r="M909" s="157"/>
      <c r="N909" s="115"/>
      <c r="O909" s="33">
        <f>ROUND(SUMIF(C8:C908,"&gt;0",O8:O908),0)</f>
        <v>0</v>
      </c>
      <c r="P909" s="115"/>
      <c r="Q909" s="33">
        <f>ROUND(SUMIF(C8:C908,"&gt;0",Q8:Q908),0)</f>
        <v>0</v>
      </c>
      <c r="R909" s="115"/>
      <c r="S909" s="33">
        <f>ROUND(SUMIF(C8:C908,"&gt;0",S8:S908),0)</f>
        <v>0</v>
      </c>
      <c r="T909" s="86"/>
      <c r="U909" s="86"/>
      <c r="V909" s="44"/>
      <c r="W909" s="115"/>
      <c r="X909" s="115"/>
      <c r="Y909" s="33">
        <f>ROUND(SUMIF(C8:C908,"&gt;0",Y8:Y908),0)</f>
        <v>1358578841</v>
      </c>
      <c r="Z909" s="33"/>
      <c r="AA909" s="33">
        <f>ROUND(SUMIF(C8:C908,"&gt;0",AA8:AA908),0)</f>
        <v>1358578841</v>
      </c>
      <c r="AB909" s="33">
        <f>ROUND(SUMIF(C8:C908,"&gt;0",AB8:AB908),0)</f>
        <v>8999794472</v>
      </c>
    </row>
    <row r="910" spans="1:28" ht="16.5" customHeight="1" x14ac:dyDescent="0.25">
      <c r="A910" s="2"/>
      <c r="B910" s="146"/>
      <c r="C910" s="36"/>
      <c r="D910" s="146"/>
      <c r="E910" s="2"/>
      <c r="F910" s="146"/>
      <c r="G910" s="146"/>
      <c r="H910" s="36"/>
      <c r="I910" s="36"/>
      <c r="J910" s="36"/>
      <c r="K910" s="36"/>
      <c r="L910" s="36"/>
      <c r="M910" s="36"/>
      <c r="N910" s="36"/>
      <c r="O910" s="36"/>
      <c r="P910" s="36"/>
      <c r="Q910" s="36"/>
      <c r="R910" s="36"/>
      <c r="S910" s="36"/>
      <c r="T910" s="146"/>
      <c r="U910" s="146"/>
      <c r="V910" s="146"/>
      <c r="W910" s="36"/>
      <c r="X910" s="36"/>
      <c r="Y910" s="36"/>
      <c r="Z910" s="36"/>
      <c r="AA910" s="146"/>
      <c r="AB910" s="36"/>
    </row>
    <row r="912" spans="1:28" ht="22.5" customHeight="1" x14ac:dyDescent="0.25">
      <c r="A912" s="310" t="s">
        <v>772</v>
      </c>
      <c r="B912" s="310"/>
      <c r="C912" s="310"/>
      <c r="D912" s="310"/>
      <c r="E912" s="310"/>
      <c r="F912" s="310"/>
      <c r="G912" s="310"/>
      <c r="H912" s="310"/>
      <c r="I912" s="310"/>
      <c r="J912" s="310"/>
      <c r="K912" s="310"/>
      <c r="L912" s="310"/>
      <c r="M912" s="310"/>
      <c r="N912" s="310"/>
      <c r="O912" s="310"/>
      <c r="P912" s="310"/>
      <c r="Q912" s="310"/>
      <c r="R912" s="310"/>
      <c r="S912" s="310"/>
      <c r="T912" s="310"/>
      <c r="U912" s="310"/>
      <c r="V912" s="310"/>
      <c r="W912" s="310"/>
      <c r="X912" s="310"/>
      <c r="Y912" s="310"/>
      <c r="Z912" s="310"/>
      <c r="AA912" s="310"/>
      <c r="AB912" s="310"/>
    </row>
    <row r="913" spans="1:28" ht="18" customHeight="1" x14ac:dyDescent="0.25">
      <c r="A913" s="312" t="s">
        <v>311</v>
      </c>
      <c r="B913" s="312"/>
      <c r="C913" s="312"/>
      <c r="D913" s="312"/>
      <c r="E913" s="312"/>
      <c r="F913" s="312"/>
      <c r="G913" s="312"/>
      <c r="H913" s="312"/>
      <c r="I913" s="312"/>
      <c r="J913" s="312"/>
      <c r="K913" s="312"/>
      <c r="L913" s="312"/>
      <c r="M913" s="312"/>
      <c r="N913" s="312"/>
      <c r="O913" s="312"/>
      <c r="P913" s="312"/>
      <c r="Q913" s="312"/>
      <c r="R913" s="312"/>
      <c r="S913" s="312"/>
      <c r="T913" s="312"/>
      <c r="U913" s="312"/>
      <c r="V913" s="312"/>
      <c r="W913" s="312"/>
      <c r="X913" s="312"/>
      <c r="Y913" s="312"/>
      <c r="Z913" s="312"/>
      <c r="AA913" s="312"/>
      <c r="AB913" s="312"/>
    </row>
    <row r="914" spans="1:28" ht="19.5" customHeight="1" x14ac:dyDescent="0.25">
      <c r="A914" s="309" t="s">
        <v>421</v>
      </c>
      <c r="B914" s="309"/>
      <c r="C914" s="309"/>
      <c r="D914" s="309"/>
      <c r="E914" s="309"/>
      <c r="F914" s="309"/>
      <c r="G914" s="309"/>
      <c r="H914" s="309"/>
      <c r="I914" s="309"/>
      <c r="J914" s="309"/>
      <c r="K914" s="309"/>
      <c r="L914" s="309"/>
      <c r="M914" s="309"/>
      <c r="N914" s="309"/>
      <c r="O914" s="309"/>
      <c r="P914" s="309"/>
      <c r="Q914" s="309"/>
      <c r="R914" s="309"/>
      <c r="S914" s="309"/>
      <c r="T914" s="309"/>
      <c r="U914" s="309"/>
      <c r="V914" s="309"/>
      <c r="W914" s="309"/>
      <c r="X914" s="309"/>
      <c r="Y914" s="309"/>
      <c r="Z914" s="309"/>
      <c r="AA914" s="309"/>
      <c r="AB914" s="309"/>
    </row>
    <row r="915" spans="1:28" ht="18" customHeight="1" x14ac:dyDescent="0.25">
      <c r="A915" s="311" t="s">
        <v>594</v>
      </c>
      <c r="B915" s="311"/>
      <c r="C915" s="311"/>
      <c r="D915" s="311"/>
      <c r="E915" s="311"/>
      <c r="F915" s="311"/>
      <c r="G915" s="311"/>
      <c r="H915" s="311"/>
      <c r="I915" s="311"/>
      <c r="J915" s="311"/>
      <c r="K915" s="311"/>
      <c r="L915" s="311"/>
      <c r="M915" s="311"/>
      <c r="N915" s="311"/>
      <c r="O915" s="311"/>
      <c r="P915" s="311"/>
      <c r="Q915" s="311"/>
      <c r="R915" s="311"/>
      <c r="S915" s="311"/>
      <c r="T915" s="311"/>
      <c r="U915" s="311"/>
      <c r="V915" s="311"/>
      <c r="W915" s="311"/>
      <c r="X915" s="311"/>
      <c r="Y915" s="311"/>
      <c r="Z915" s="311"/>
      <c r="AA915" s="311"/>
      <c r="AB915" s="311"/>
    </row>
    <row r="916" spans="1:28" ht="16.5" customHeight="1" x14ac:dyDescent="0.25">
      <c r="A916" s="2"/>
      <c r="B916" s="146"/>
      <c r="C916" s="36"/>
      <c r="D916" s="146"/>
      <c r="E916" s="2"/>
      <c r="F916" s="146"/>
      <c r="G916" s="146"/>
      <c r="H916" s="36"/>
      <c r="I916" s="36"/>
      <c r="J916" s="36"/>
      <c r="K916" s="36"/>
      <c r="L916" s="36"/>
      <c r="M916" s="36"/>
      <c r="N916" s="36"/>
      <c r="O916" s="36"/>
      <c r="P916" s="36"/>
      <c r="Q916" s="36"/>
      <c r="R916" s="36"/>
      <c r="S916" s="36"/>
      <c r="T916" s="146"/>
      <c r="U916" s="146"/>
      <c r="V916" s="146"/>
      <c r="W916" s="36"/>
      <c r="X916" s="146"/>
      <c r="Y916" s="146"/>
      <c r="Z916" s="313" t="s">
        <v>919</v>
      </c>
      <c r="AA916" s="313"/>
      <c r="AB916" s="313"/>
    </row>
    <row r="917" spans="1:28" ht="16.5" customHeight="1" x14ac:dyDescent="0.25">
      <c r="A917" s="304" t="s">
        <v>761</v>
      </c>
      <c r="B917" s="303" t="s">
        <v>178</v>
      </c>
      <c r="C917" s="304" t="s">
        <v>993</v>
      </c>
      <c r="D917" s="304" t="s">
        <v>850</v>
      </c>
      <c r="E917" s="304" t="s">
        <v>971</v>
      </c>
      <c r="F917" s="304" t="s">
        <v>991</v>
      </c>
      <c r="G917" s="304" t="s">
        <v>277</v>
      </c>
      <c r="H917" s="307" t="s">
        <v>1192</v>
      </c>
      <c r="I917" s="305" t="s">
        <v>944</v>
      </c>
      <c r="J917" s="305" t="s">
        <v>1015</v>
      </c>
      <c r="K917" s="305" t="s">
        <v>731</v>
      </c>
      <c r="L917" s="305" t="s">
        <v>125</v>
      </c>
      <c r="M917" s="304" t="s">
        <v>45</v>
      </c>
      <c r="N917" s="305" t="s">
        <v>138</v>
      </c>
      <c r="O917" s="305" t="s">
        <v>49</v>
      </c>
      <c r="P917" s="305" t="s">
        <v>679</v>
      </c>
      <c r="Q917" s="305" t="s">
        <v>866</v>
      </c>
      <c r="R917" s="305" t="s">
        <v>120</v>
      </c>
      <c r="S917" s="305" t="s">
        <v>913</v>
      </c>
      <c r="T917" s="304" t="s">
        <v>1102</v>
      </c>
      <c r="U917" s="304"/>
      <c r="V917" s="304"/>
      <c r="W917" s="305" t="s">
        <v>239</v>
      </c>
      <c r="X917" s="305" t="s">
        <v>516</v>
      </c>
      <c r="Y917" s="305" t="s">
        <v>1175</v>
      </c>
      <c r="Z917" s="305" t="s">
        <v>401</v>
      </c>
      <c r="AA917" s="305" t="s">
        <v>144</v>
      </c>
      <c r="AB917" s="305" t="s">
        <v>563</v>
      </c>
    </row>
    <row r="918" spans="1:28" ht="16.5" customHeight="1" x14ac:dyDescent="0.25">
      <c r="A918" s="304"/>
      <c r="B918" s="303"/>
      <c r="C918" s="304"/>
      <c r="D918" s="304"/>
      <c r="E918" s="304"/>
      <c r="F918" s="304"/>
      <c r="G918" s="304"/>
      <c r="H918" s="307"/>
      <c r="I918" s="305"/>
      <c r="J918" s="305"/>
      <c r="K918" s="305"/>
      <c r="L918" s="305"/>
      <c r="M918" s="304"/>
      <c r="N918" s="305"/>
      <c r="O918" s="305"/>
      <c r="P918" s="305"/>
      <c r="Q918" s="305"/>
      <c r="R918" s="305"/>
      <c r="S918" s="305"/>
      <c r="T918" s="150" t="s">
        <v>1119</v>
      </c>
      <c r="U918" s="150" t="s">
        <v>403</v>
      </c>
      <c r="V918" s="92" t="s">
        <v>536</v>
      </c>
      <c r="W918" s="305"/>
      <c r="X918" s="305"/>
      <c r="Y918" s="305"/>
      <c r="Z918" s="305"/>
      <c r="AA918" s="305"/>
      <c r="AB918" s="305"/>
    </row>
    <row r="919" spans="1:28" x14ac:dyDescent="0.25">
      <c r="A919" s="65">
        <v>1</v>
      </c>
      <c r="B919" s="154" t="s">
        <v>570</v>
      </c>
      <c r="C919" s="94">
        <v>818</v>
      </c>
      <c r="D919" s="31" t="s">
        <v>970</v>
      </c>
      <c r="E919" s="65" t="s">
        <v>871</v>
      </c>
      <c r="F919" s="94"/>
      <c r="G919" s="66"/>
      <c r="H919" s="126">
        <f>SUM(H920:H925)</f>
        <v>47.219299999999997</v>
      </c>
      <c r="I919" s="54">
        <v>13200</v>
      </c>
      <c r="J919" s="54">
        <f>ROUND(H919*I919,0)</f>
        <v>623295</v>
      </c>
      <c r="K919" s="54">
        <f>'Tổng hợp VL,NC,M'!I184</f>
        <v>13200</v>
      </c>
      <c r="L919" s="54">
        <f>ROUND(H919*K919,0)</f>
        <v>623295</v>
      </c>
      <c r="M919" s="94">
        <v>1</v>
      </c>
      <c r="N919" s="54"/>
      <c r="O919" s="54">
        <f>ROUND(H919*N919,0)</f>
        <v>0</v>
      </c>
      <c r="P919" s="54"/>
      <c r="Q919" s="54">
        <f>ROUND(H919*P919,0)</f>
        <v>0</v>
      </c>
      <c r="R919" s="54"/>
      <c r="S919" s="54">
        <f>ROUND(H919*R919,0)</f>
        <v>0</v>
      </c>
      <c r="T919" s="94"/>
      <c r="U919" s="94"/>
      <c r="V919" s="54">
        <f>ROUND((K919+N919+P919+R919)*(U919+T919),0)</f>
        <v>0</v>
      </c>
      <c r="W919" s="54">
        <f>K919+N919+P919+R919+V919</f>
        <v>13200</v>
      </c>
      <c r="X919" s="54">
        <f>K919-I919</f>
        <v>0</v>
      </c>
      <c r="Y919" s="54">
        <f>ROUND(H919*X919,0)</f>
        <v>0</v>
      </c>
      <c r="Z919" s="54">
        <f>W919-I919</f>
        <v>0</v>
      </c>
      <c r="AA919" s="54">
        <f>ROUND(H919*Z919,0)</f>
        <v>0</v>
      </c>
      <c r="AB919" s="54">
        <f>ROUND(H919*W919,0)</f>
        <v>623295</v>
      </c>
    </row>
    <row r="920" spans="1:28" hidden="1" x14ac:dyDescent="0.25">
      <c r="A920" s="168"/>
      <c r="B920" s="133" t="str">
        <f>'Công trình'!B322</f>
        <v>AI.65411</v>
      </c>
      <c r="C920" s="34"/>
      <c r="D920" s="133" t="str">
        <f>'Công trình'!C322</f>
        <v>Lắp đặt kết cấu thép khe van, khe phai</v>
      </c>
      <c r="E920" s="168"/>
      <c r="F920" s="20">
        <v>1</v>
      </c>
      <c r="G920" s="169"/>
      <c r="H920" s="45">
        <f>'Hao phí vật tư'!J2410</f>
        <v>1.1668000000000001</v>
      </c>
      <c r="I920" s="166"/>
      <c r="J920" s="156">
        <f>ROUND(H920*I919,2)</f>
        <v>15401.76</v>
      </c>
      <c r="K920" s="166"/>
      <c r="L920" s="156">
        <f>ROUND(H920*K919,2)</f>
        <v>15401.76</v>
      </c>
      <c r="M920" s="34"/>
      <c r="N920" s="166"/>
      <c r="O920" s="156">
        <f>ROUND(H920*N919,2)</f>
        <v>0</v>
      </c>
      <c r="P920" s="166"/>
      <c r="Q920" s="156">
        <f>ROUND(H920*P919,2)</f>
        <v>0</v>
      </c>
      <c r="R920" s="166"/>
      <c r="S920" s="156">
        <f>ROUND(H920*R919,2)</f>
        <v>0</v>
      </c>
      <c r="T920" s="34"/>
      <c r="U920" s="34"/>
      <c r="V920" s="166"/>
      <c r="W920" s="166"/>
      <c r="X920" s="166"/>
      <c r="Y920" s="156">
        <f>ROUND(H920*X919,2)</f>
        <v>0</v>
      </c>
      <c r="Z920" s="166"/>
      <c r="AA920" s="156">
        <f>ROUND(H920*Z919,2)</f>
        <v>0</v>
      </c>
      <c r="AB920" s="156">
        <f>ROUND(H920*W919,2)</f>
        <v>15401.76</v>
      </c>
    </row>
    <row r="921" spans="1:28" hidden="1" x14ac:dyDescent="0.25">
      <c r="A921" s="168"/>
      <c r="B921" s="133" t="str">
        <f>'Công trình'!B316</f>
        <v>AI.52211</v>
      </c>
      <c r="C921" s="34"/>
      <c r="D921" s="133" t="str">
        <f>'Công trình'!C316</f>
        <v>Sản xuất kết cấu thép khe phai - thép CT3</v>
      </c>
      <c r="E921" s="168"/>
      <c r="F921" s="20">
        <v>1</v>
      </c>
      <c r="G921" s="169"/>
      <c r="H921" s="45">
        <f>'Hao phí vật tư'!J2311</f>
        <v>0.187</v>
      </c>
      <c r="I921" s="166"/>
      <c r="J921" s="156">
        <f>ROUND(H921*I919,2)</f>
        <v>2468.4</v>
      </c>
      <c r="K921" s="166"/>
      <c r="L921" s="156">
        <f>ROUND(H921*K919,2)</f>
        <v>2468.4</v>
      </c>
      <c r="M921" s="34"/>
      <c r="N921" s="166"/>
      <c r="O921" s="156">
        <f>ROUND(H921*N919,2)</f>
        <v>0</v>
      </c>
      <c r="P921" s="166"/>
      <c r="Q921" s="156">
        <f>ROUND(H921*P919,2)</f>
        <v>0</v>
      </c>
      <c r="R921" s="166"/>
      <c r="S921" s="156">
        <f>ROUND(H921*R919,2)</f>
        <v>0</v>
      </c>
      <c r="T921" s="34"/>
      <c r="U921" s="34"/>
      <c r="V921" s="166"/>
      <c r="W921" s="166"/>
      <c r="X921" s="166"/>
      <c r="Y921" s="156">
        <f>ROUND(H921*X919,2)</f>
        <v>0</v>
      </c>
      <c r="Z921" s="166"/>
      <c r="AA921" s="156">
        <f>ROUND(H921*Z919,2)</f>
        <v>0</v>
      </c>
      <c r="AB921" s="156">
        <f>ROUND(H921*W919,2)</f>
        <v>2468.4</v>
      </c>
    </row>
    <row r="922" spans="1:28" hidden="1" x14ac:dyDescent="0.25">
      <c r="A922" s="168"/>
      <c r="B922" s="133" t="str">
        <f>'Công trình'!B317</f>
        <v>AI.52211</v>
      </c>
      <c r="C922" s="34"/>
      <c r="D922" s="133" t="str">
        <f>'Công trình'!C317</f>
        <v>Sản xuất kết cấu thép khe phai - thép SUS304</v>
      </c>
      <c r="E922" s="168"/>
      <c r="F922" s="20">
        <v>1</v>
      </c>
      <c r="G922" s="169"/>
      <c r="H922" s="45">
        <f>'Hao phí vật tư'!J2326</f>
        <v>0.25559999999999999</v>
      </c>
      <c r="I922" s="166"/>
      <c r="J922" s="156">
        <f>ROUND(H922*I919,2)</f>
        <v>3373.92</v>
      </c>
      <c r="K922" s="166"/>
      <c r="L922" s="156">
        <f>ROUND(H922*K919,2)</f>
        <v>3373.92</v>
      </c>
      <c r="M922" s="34"/>
      <c r="N922" s="166"/>
      <c r="O922" s="156">
        <f>ROUND(H922*N919,2)</f>
        <v>0</v>
      </c>
      <c r="P922" s="166"/>
      <c r="Q922" s="156">
        <f>ROUND(H922*P919,2)</f>
        <v>0</v>
      </c>
      <c r="R922" s="166"/>
      <c r="S922" s="156">
        <f>ROUND(H922*R919,2)</f>
        <v>0</v>
      </c>
      <c r="T922" s="34"/>
      <c r="U922" s="34"/>
      <c r="V922" s="166"/>
      <c r="W922" s="166"/>
      <c r="X922" s="166"/>
      <c r="Y922" s="156">
        <f>ROUND(H922*X919,2)</f>
        <v>0</v>
      </c>
      <c r="Z922" s="166"/>
      <c r="AA922" s="156">
        <f>ROUND(H922*Z919,2)</f>
        <v>0</v>
      </c>
      <c r="AB922" s="156">
        <f>ROUND(H922*W919,2)</f>
        <v>3373.92</v>
      </c>
    </row>
    <row r="923" spans="1:28" hidden="1" x14ac:dyDescent="0.25">
      <c r="A923" s="168"/>
      <c r="B923" s="133" t="str">
        <f>'Công trình'!B318</f>
        <v>AI.52211</v>
      </c>
      <c r="C923" s="34"/>
      <c r="D923" s="133" t="str">
        <f>'Công trình'!C318</f>
        <v>Sản xuất kết cấu thép khe cửa - thép CT3</v>
      </c>
      <c r="E923" s="168"/>
      <c r="F923" s="20">
        <v>1</v>
      </c>
      <c r="G923" s="169"/>
      <c r="H923" s="45">
        <f>'Hao phí vật tư'!J2342</f>
        <v>0.18909999999999999</v>
      </c>
      <c r="I923" s="166"/>
      <c r="J923" s="156">
        <f>ROUND(H923*I919,2)</f>
        <v>2496.12</v>
      </c>
      <c r="K923" s="166"/>
      <c r="L923" s="156">
        <f>ROUND(H923*K919,2)</f>
        <v>2496.12</v>
      </c>
      <c r="M923" s="34"/>
      <c r="N923" s="166"/>
      <c r="O923" s="156">
        <f>ROUND(H923*N919,2)</f>
        <v>0</v>
      </c>
      <c r="P923" s="166"/>
      <c r="Q923" s="156">
        <f>ROUND(H923*P919,2)</f>
        <v>0</v>
      </c>
      <c r="R923" s="166"/>
      <c r="S923" s="156">
        <f>ROUND(H923*R919,2)</f>
        <v>0</v>
      </c>
      <c r="T923" s="34"/>
      <c r="U923" s="34"/>
      <c r="V923" s="166"/>
      <c r="W923" s="166"/>
      <c r="X923" s="166"/>
      <c r="Y923" s="156">
        <f>ROUND(H923*X919,2)</f>
        <v>0</v>
      </c>
      <c r="Z923" s="166"/>
      <c r="AA923" s="156">
        <f>ROUND(H923*Z919,2)</f>
        <v>0</v>
      </c>
      <c r="AB923" s="156">
        <f>ROUND(H923*W919,2)</f>
        <v>2496.12</v>
      </c>
    </row>
    <row r="924" spans="1:28" hidden="1" x14ac:dyDescent="0.25">
      <c r="A924" s="168"/>
      <c r="B924" s="133" t="str">
        <f>'Công trình'!B319</f>
        <v>AI.52211</v>
      </c>
      <c r="C924" s="34"/>
      <c r="D924" s="133" t="str">
        <f>'Công trình'!C319</f>
        <v>Sản xuất kết cấu thép khe cửa- thép SUS304</v>
      </c>
      <c r="E924" s="168"/>
      <c r="F924" s="20">
        <v>1</v>
      </c>
      <c r="G924" s="169"/>
      <c r="H924" s="45">
        <f>'Hao phí vật tư'!J2357</f>
        <v>0.30180000000000001</v>
      </c>
      <c r="I924" s="166"/>
      <c r="J924" s="156">
        <f>ROUND(H924*I919,2)</f>
        <v>3983.76</v>
      </c>
      <c r="K924" s="166"/>
      <c r="L924" s="156">
        <f>ROUND(H924*K919,2)</f>
        <v>3983.76</v>
      </c>
      <c r="M924" s="34"/>
      <c r="N924" s="166"/>
      <c r="O924" s="156">
        <f>ROUND(H924*N919,2)</f>
        <v>0</v>
      </c>
      <c r="P924" s="166"/>
      <c r="Q924" s="156">
        <f>ROUND(H924*P919,2)</f>
        <v>0</v>
      </c>
      <c r="R924" s="166"/>
      <c r="S924" s="156">
        <f>ROUND(H924*R919,2)</f>
        <v>0</v>
      </c>
      <c r="T924" s="34"/>
      <c r="U924" s="34"/>
      <c r="V924" s="166"/>
      <c r="W924" s="166"/>
      <c r="X924" s="166"/>
      <c r="Y924" s="156">
        <f>ROUND(H924*X919,2)</f>
        <v>0</v>
      </c>
      <c r="Z924" s="166"/>
      <c r="AA924" s="156">
        <f>ROUND(H924*Z919,2)</f>
        <v>0</v>
      </c>
      <c r="AB924" s="156">
        <f>ROUND(H924*W919,2)</f>
        <v>3983.76</v>
      </c>
    </row>
    <row r="925" spans="1:28" ht="30" hidden="1" x14ac:dyDescent="0.25">
      <c r="A925" s="168"/>
      <c r="B925" s="133" t="str">
        <f>'Công trình'!B320</f>
        <v>CV.0102</v>
      </c>
      <c r="C925" s="34"/>
      <c r="D925" s="133" t="str">
        <f>'Công trình'!C320</f>
        <v>Sản xuất cửa van bằng thép không gỉ, chiều rộng cống (B) &lt;= 8m</v>
      </c>
      <c r="E925" s="168"/>
      <c r="F925" s="20">
        <v>1</v>
      </c>
      <c r="G925" s="169"/>
      <c r="H925" s="45">
        <f>'Hao phí vật tư'!J2371</f>
        <v>45.119</v>
      </c>
      <c r="I925" s="166"/>
      <c r="J925" s="156">
        <f>ROUND(H925*I919,2)</f>
        <v>595570.80000000005</v>
      </c>
      <c r="K925" s="166"/>
      <c r="L925" s="156">
        <f>ROUND(H925*K919,2)</f>
        <v>595570.80000000005</v>
      </c>
      <c r="M925" s="34"/>
      <c r="N925" s="166"/>
      <c r="O925" s="156">
        <f>ROUND(H925*N919,2)</f>
        <v>0</v>
      </c>
      <c r="P925" s="166"/>
      <c r="Q925" s="156">
        <f>ROUND(H925*P919,2)</f>
        <v>0</v>
      </c>
      <c r="R925" s="166"/>
      <c r="S925" s="156">
        <f>ROUND(H925*R919,2)</f>
        <v>0</v>
      </c>
      <c r="T925" s="34"/>
      <c r="U925" s="34"/>
      <c r="V925" s="166"/>
      <c r="W925" s="166"/>
      <c r="X925" s="166"/>
      <c r="Y925" s="156">
        <f>ROUND(H925*X919,2)</f>
        <v>0</v>
      </c>
      <c r="Z925" s="166"/>
      <c r="AA925" s="156">
        <f>ROUND(H925*Z919,2)</f>
        <v>0</v>
      </c>
      <c r="AB925" s="156">
        <f>ROUND(H925*W919,2)</f>
        <v>595570.80000000005</v>
      </c>
    </row>
    <row r="926" spans="1:28" x14ac:dyDescent="0.25">
      <c r="A926" s="168">
        <v>2</v>
      </c>
      <c r="B926" s="84" t="s">
        <v>582</v>
      </c>
      <c r="C926" s="34">
        <v>820</v>
      </c>
      <c r="D926" s="144" t="s">
        <v>59</v>
      </c>
      <c r="E926" s="168" t="s">
        <v>555</v>
      </c>
      <c r="F926" s="34"/>
      <c r="G926" s="169"/>
      <c r="H926" s="60">
        <f>SUM(H927:H930)</f>
        <v>32.071100000000001</v>
      </c>
      <c r="I926" s="166">
        <v>14000</v>
      </c>
      <c r="J926" s="166">
        <f>ROUND(H926*I926,0)</f>
        <v>448995</v>
      </c>
      <c r="K926" s="166">
        <f>'Tổng hợp VL,NC,M'!I204</f>
        <v>14000</v>
      </c>
      <c r="L926" s="166">
        <f>ROUND(H926*K926,0)</f>
        <v>448995</v>
      </c>
      <c r="M926" s="34">
        <v>1</v>
      </c>
      <c r="N926" s="166"/>
      <c r="O926" s="166">
        <f>ROUND(H926*N926,0)</f>
        <v>0</v>
      </c>
      <c r="P926" s="166"/>
      <c r="Q926" s="166">
        <f>ROUND(H926*P926,0)</f>
        <v>0</v>
      </c>
      <c r="R926" s="166"/>
      <c r="S926" s="166">
        <f>ROUND(H926*R926,0)</f>
        <v>0</v>
      </c>
      <c r="T926" s="34"/>
      <c r="U926" s="34"/>
      <c r="V926" s="166">
        <f>ROUND((K926+N926+P926+R926)*(U926+T926),0)</f>
        <v>0</v>
      </c>
      <c r="W926" s="166">
        <f>K926+N926+P926+R926+V926</f>
        <v>14000</v>
      </c>
      <c r="X926" s="166">
        <f>K926-I926</f>
        <v>0</v>
      </c>
      <c r="Y926" s="166">
        <f>ROUND(H926*X926,0)</f>
        <v>0</v>
      </c>
      <c r="Z926" s="166">
        <f>W926-I926</f>
        <v>0</v>
      </c>
      <c r="AA926" s="166">
        <f>ROUND(H926*Z926,0)</f>
        <v>0</v>
      </c>
      <c r="AB926" s="166">
        <f>ROUND(H926*W926,0)</f>
        <v>448995</v>
      </c>
    </row>
    <row r="927" spans="1:28" hidden="1" x14ac:dyDescent="0.25">
      <c r="A927" s="168"/>
      <c r="B927" s="133" t="str">
        <f>'Công trình'!B316</f>
        <v>AI.52211</v>
      </c>
      <c r="C927" s="34"/>
      <c r="D927" s="133" t="str">
        <f>'Công trình'!C316</f>
        <v>Sản xuất kết cấu thép khe phai - thép CT3</v>
      </c>
      <c r="E927" s="168"/>
      <c r="F927" s="20">
        <v>1</v>
      </c>
      <c r="G927" s="169"/>
      <c r="H927" s="45">
        <f>'Hao phí vật tư'!J2306</f>
        <v>6.4241999999999999</v>
      </c>
      <c r="I927" s="166"/>
      <c r="J927" s="156">
        <f>ROUND(H927*I926,2)</f>
        <v>89938.8</v>
      </c>
      <c r="K927" s="166"/>
      <c r="L927" s="156">
        <f>ROUND(H927*K926,2)</f>
        <v>89938.8</v>
      </c>
      <c r="M927" s="34"/>
      <c r="N927" s="166"/>
      <c r="O927" s="156">
        <f>ROUND(H927*N926,2)</f>
        <v>0</v>
      </c>
      <c r="P927" s="166"/>
      <c r="Q927" s="156">
        <f>ROUND(H927*P926,2)</f>
        <v>0</v>
      </c>
      <c r="R927" s="166"/>
      <c r="S927" s="156">
        <f>ROUND(H927*R926,2)</f>
        <v>0</v>
      </c>
      <c r="T927" s="34"/>
      <c r="U927" s="34"/>
      <c r="V927" s="166"/>
      <c r="W927" s="166"/>
      <c r="X927" s="166"/>
      <c r="Y927" s="156">
        <f>ROUND(H927*X926,2)</f>
        <v>0</v>
      </c>
      <c r="Z927" s="166"/>
      <c r="AA927" s="156">
        <f>ROUND(H927*Z926,2)</f>
        <v>0</v>
      </c>
      <c r="AB927" s="156">
        <f>ROUND(H927*W926,2)</f>
        <v>89938.8</v>
      </c>
    </row>
    <row r="928" spans="1:28" hidden="1" x14ac:dyDescent="0.25">
      <c r="A928" s="168"/>
      <c r="B928" s="133" t="str">
        <f>'Công trình'!B317</f>
        <v>AI.52211</v>
      </c>
      <c r="C928" s="34"/>
      <c r="D928" s="133" t="str">
        <f>'Công trình'!C317</f>
        <v>Sản xuất kết cấu thép khe phai - thép SUS304</v>
      </c>
      <c r="E928" s="168"/>
      <c r="F928" s="20">
        <v>1</v>
      </c>
      <c r="G928" s="169"/>
      <c r="H928" s="45">
        <f>'Hao phí vật tư'!J2322</f>
        <v>8.7811000000000003</v>
      </c>
      <c r="I928" s="166"/>
      <c r="J928" s="156">
        <f>ROUND(H928*I926,2)</f>
        <v>122935.4</v>
      </c>
      <c r="K928" s="166"/>
      <c r="L928" s="156">
        <f>ROUND(H928*K926,2)</f>
        <v>122935.4</v>
      </c>
      <c r="M928" s="34"/>
      <c r="N928" s="166"/>
      <c r="O928" s="156">
        <f>ROUND(H928*N926,2)</f>
        <v>0</v>
      </c>
      <c r="P928" s="166"/>
      <c r="Q928" s="156">
        <f>ROUND(H928*P926,2)</f>
        <v>0</v>
      </c>
      <c r="R928" s="166"/>
      <c r="S928" s="156">
        <f>ROUND(H928*R926,2)</f>
        <v>0</v>
      </c>
      <c r="T928" s="34"/>
      <c r="U928" s="34"/>
      <c r="V928" s="166"/>
      <c r="W928" s="166"/>
      <c r="X928" s="166"/>
      <c r="Y928" s="156">
        <f>ROUND(H928*X926,2)</f>
        <v>0</v>
      </c>
      <c r="Z928" s="166"/>
      <c r="AA928" s="156">
        <f>ROUND(H928*Z926,2)</f>
        <v>0</v>
      </c>
      <c r="AB928" s="156">
        <f>ROUND(H928*W926,2)</f>
        <v>122935.4</v>
      </c>
    </row>
    <row r="929" spans="1:28" hidden="1" x14ac:dyDescent="0.25">
      <c r="A929" s="168"/>
      <c r="B929" s="133" t="str">
        <f>'Công trình'!B318</f>
        <v>AI.52211</v>
      </c>
      <c r="C929" s="34"/>
      <c r="D929" s="133" t="str">
        <f>'Công trình'!C318</f>
        <v>Sản xuất kết cấu thép khe cửa - thép CT3</v>
      </c>
      <c r="E929" s="168"/>
      <c r="F929" s="20">
        <v>1</v>
      </c>
      <c r="G929" s="169"/>
      <c r="H929" s="45">
        <f>'Hao phí vật tư'!J2337</f>
        <v>6.4954000000000001</v>
      </c>
      <c r="I929" s="166"/>
      <c r="J929" s="156">
        <f>ROUND(H929*I926,2)</f>
        <v>90935.6</v>
      </c>
      <c r="K929" s="166"/>
      <c r="L929" s="156">
        <f>ROUND(H929*K926,2)</f>
        <v>90935.6</v>
      </c>
      <c r="M929" s="34"/>
      <c r="N929" s="166"/>
      <c r="O929" s="156">
        <f>ROUND(H929*N926,2)</f>
        <v>0</v>
      </c>
      <c r="P929" s="166"/>
      <c r="Q929" s="156">
        <f>ROUND(H929*P926,2)</f>
        <v>0</v>
      </c>
      <c r="R929" s="166"/>
      <c r="S929" s="156">
        <f>ROUND(H929*R926,2)</f>
        <v>0</v>
      </c>
      <c r="T929" s="34"/>
      <c r="U929" s="34"/>
      <c r="V929" s="166"/>
      <c r="W929" s="166"/>
      <c r="X929" s="166"/>
      <c r="Y929" s="156">
        <f>ROUND(H929*X926,2)</f>
        <v>0</v>
      </c>
      <c r="Z929" s="166"/>
      <c r="AA929" s="156">
        <f>ROUND(H929*Z926,2)</f>
        <v>0</v>
      </c>
      <c r="AB929" s="156">
        <f>ROUND(H929*W926,2)</f>
        <v>90935.6</v>
      </c>
    </row>
    <row r="930" spans="1:28" hidden="1" x14ac:dyDescent="0.25">
      <c r="A930" s="168"/>
      <c r="B930" s="133" t="str">
        <f>'Công trình'!B319</f>
        <v>AI.52211</v>
      </c>
      <c r="C930" s="34"/>
      <c r="D930" s="133" t="str">
        <f>'Công trình'!C319</f>
        <v>Sản xuất kết cấu thép khe cửa- thép SUS304</v>
      </c>
      <c r="E930" s="168"/>
      <c r="F930" s="20">
        <v>1</v>
      </c>
      <c r="G930" s="169"/>
      <c r="H930" s="45">
        <f>'Hao phí vật tư'!J2353</f>
        <v>10.3704</v>
      </c>
      <c r="I930" s="166"/>
      <c r="J930" s="156">
        <f>ROUND(H930*I926,2)</f>
        <v>145185.60000000001</v>
      </c>
      <c r="K930" s="166"/>
      <c r="L930" s="156">
        <f>ROUND(H930*K926,2)</f>
        <v>145185.60000000001</v>
      </c>
      <c r="M930" s="34"/>
      <c r="N930" s="166"/>
      <c r="O930" s="156">
        <f>ROUND(H930*N926,2)</f>
        <v>0</v>
      </c>
      <c r="P930" s="166"/>
      <c r="Q930" s="156">
        <f>ROUND(H930*P926,2)</f>
        <v>0</v>
      </c>
      <c r="R930" s="166"/>
      <c r="S930" s="156">
        <f>ROUND(H930*R926,2)</f>
        <v>0</v>
      </c>
      <c r="T930" s="34"/>
      <c r="U930" s="34"/>
      <c r="V930" s="166"/>
      <c r="W930" s="166"/>
      <c r="X930" s="166"/>
      <c r="Y930" s="156">
        <f>ROUND(H930*X926,2)</f>
        <v>0</v>
      </c>
      <c r="Z930" s="166"/>
      <c r="AA930" s="156">
        <f>ROUND(H930*Z926,2)</f>
        <v>0</v>
      </c>
      <c r="AB930" s="156">
        <f>ROUND(H930*W926,2)</f>
        <v>145185.60000000001</v>
      </c>
    </row>
    <row r="931" spans="1:28" x14ac:dyDescent="0.25">
      <c r="A931" s="168">
        <v>3</v>
      </c>
      <c r="B931" s="84" t="s">
        <v>279</v>
      </c>
      <c r="C931" s="34">
        <v>821</v>
      </c>
      <c r="D931" s="144" t="s">
        <v>630</v>
      </c>
      <c r="E931" s="168" t="s">
        <v>555</v>
      </c>
      <c r="F931" s="34"/>
      <c r="G931" s="169"/>
      <c r="H931" s="60">
        <f>SUM(H932:H932)</f>
        <v>15.0021</v>
      </c>
      <c r="I931" s="166">
        <v>58177</v>
      </c>
      <c r="J931" s="166">
        <f>ROUND(H931*I931,0)</f>
        <v>872777</v>
      </c>
      <c r="K931" s="166">
        <f>'Tổng hợp VL,NC,M'!I227</f>
        <v>58177</v>
      </c>
      <c r="L931" s="166">
        <f>ROUND(H931*K931,0)</f>
        <v>872777</v>
      </c>
      <c r="M931" s="34">
        <v>1</v>
      </c>
      <c r="N931" s="166"/>
      <c r="O931" s="166">
        <f>ROUND(H931*N931,0)</f>
        <v>0</v>
      </c>
      <c r="P931" s="166"/>
      <c r="Q931" s="166">
        <f>ROUND(H931*P931,0)</f>
        <v>0</v>
      </c>
      <c r="R931" s="166"/>
      <c r="S931" s="166">
        <f>ROUND(H931*R931,0)</f>
        <v>0</v>
      </c>
      <c r="T931" s="34"/>
      <c r="U931" s="34"/>
      <c r="V931" s="166">
        <f>ROUND((K931+N931+P931+R931)*(U931+T931),0)</f>
        <v>0</v>
      </c>
      <c r="W931" s="166">
        <f>K931+N931+P931+R931+V931</f>
        <v>58177</v>
      </c>
      <c r="X931" s="166">
        <f>K931-I931</f>
        <v>0</v>
      </c>
      <c r="Y931" s="166">
        <f>ROUND(H931*X931,0)</f>
        <v>0</v>
      </c>
      <c r="Z931" s="166">
        <f>W931-I931</f>
        <v>0</v>
      </c>
      <c r="AA931" s="166">
        <f>ROUND(H931*Z931,0)</f>
        <v>0</v>
      </c>
      <c r="AB931" s="166">
        <f>ROUND(H931*W931,0)</f>
        <v>872777</v>
      </c>
    </row>
    <row r="932" spans="1:28" hidden="1" x14ac:dyDescent="0.25">
      <c r="A932" s="168"/>
      <c r="B932" s="133" t="str">
        <f>'Công trình'!B322</f>
        <v>AI.65411</v>
      </c>
      <c r="C932" s="34"/>
      <c r="D932" s="133" t="str">
        <f>'Công trình'!C322</f>
        <v>Lắp đặt kết cấu thép khe van, khe phai</v>
      </c>
      <c r="E932" s="168"/>
      <c r="F932" s="20">
        <v>1</v>
      </c>
      <c r="G932" s="169"/>
      <c r="H932" s="45">
        <f>'Hao phí vật tư'!J2405</f>
        <v>15.0021</v>
      </c>
      <c r="I932" s="166"/>
      <c r="J932" s="156">
        <f>ROUND(H932*I931,2)</f>
        <v>872777.17</v>
      </c>
      <c r="K932" s="166"/>
      <c r="L932" s="156">
        <f>ROUND(H932*K931,2)</f>
        <v>872777.17</v>
      </c>
      <c r="M932" s="34"/>
      <c r="N932" s="166"/>
      <c r="O932" s="156">
        <f>ROUND(H932*N931,2)</f>
        <v>0</v>
      </c>
      <c r="P932" s="166"/>
      <c r="Q932" s="156">
        <f>ROUND(H932*P931,2)</f>
        <v>0</v>
      </c>
      <c r="R932" s="166"/>
      <c r="S932" s="156">
        <f>ROUND(H932*R931,2)</f>
        <v>0</v>
      </c>
      <c r="T932" s="34"/>
      <c r="U932" s="34"/>
      <c r="V932" s="166"/>
      <c r="W932" s="166"/>
      <c r="X932" s="166"/>
      <c r="Y932" s="156">
        <f>ROUND(H932*X931,2)</f>
        <v>0</v>
      </c>
      <c r="Z932" s="166"/>
      <c r="AA932" s="156">
        <f>ROUND(H932*Z931,2)</f>
        <v>0</v>
      </c>
      <c r="AB932" s="156">
        <f>ROUND(H932*W931,2)</f>
        <v>872777.17</v>
      </c>
    </row>
    <row r="933" spans="1:28" x14ac:dyDescent="0.25">
      <c r="A933" s="168">
        <v>4</v>
      </c>
      <c r="B933" s="84" t="s">
        <v>1065</v>
      </c>
      <c r="C933" s="34">
        <v>770</v>
      </c>
      <c r="D933" s="144" t="s">
        <v>142</v>
      </c>
      <c r="E933" s="168" t="s">
        <v>555</v>
      </c>
      <c r="F933" s="34"/>
      <c r="G933" s="169"/>
      <c r="H933" s="60">
        <f>SUM(H934:H934)</f>
        <v>8.2833000000000006</v>
      </c>
      <c r="I933" s="166">
        <v>23068</v>
      </c>
      <c r="J933" s="166">
        <f>ROUND(H933*I933,0)</f>
        <v>191079</v>
      </c>
      <c r="K933" s="166">
        <f>'Tổng hợp VL,NC,M'!I299</f>
        <v>23068</v>
      </c>
      <c r="L933" s="166">
        <f>ROUND(H933*K933,0)</f>
        <v>191079</v>
      </c>
      <c r="M933" s="34">
        <v>1</v>
      </c>
      <c r="N933" s="166"/>
      <c r="O933" s="166">
        <f>ROUND(H933*N933,0)</f>
        <v>0</v>
      </c>
      <c r="P933" s="166"/>
      <c r="Q933" s="166">
        <f>ROUND(H933*P933,0)</f>
        <v>0</v>
      </c>
      <c r="R933" s="166"/>
      <c r="S933" s="166">
        <f>ROUND(H933*R933,0)</f>
        <v>0</v>
      </c>
      <c r="T933" s="34"/>
      <c r="U933" s="34"/>
      <c r="V933" s="166">
        <f>ROUND((K933+N933+P933+R933)*(U933+T933),0)</f>
        <v>0</v>
      </c>
      <c r="W933" s="166">
        <f>K933+N933+P933+R933+V933</f>
        <v>23068</v>
      </c>
      <c r="X933" s="166">
        <f>K933-I933</f>
        <v>0</v>
      </c>
      <c r="Y933" s="166">
        <f>ROUND(H933*X933,0)</f>
        <v>0</v>
      </c>
      <c r="Z933" s="166">
        <f>W933-I933</f>
        <v>0</v>
      </c>
      <c r="AA933" s="166">
        <f>ROUND(H933*Z933,0)</f>
        <v>0</v>
      </c>
      <c r="AB933" s="166">
        <f>ROUND(H933*W933,0)</f>
        <v>191079</v>
      </c>
    </row>
    <row r="934" spans="1:28" ht="30" hidden="1" x14ac:dyDescent="0.25">
      <c r="A934" s="168"/>
      <c r="B934" s="133" t="str">
        <f>'Công trình'!B321</f>
        <v>CV.0202</v>
      </c>
      <c r="C934" s="34"/>
      <c r="D934" s="133" t="str">
        <f>'Công trình'!C321</f>
        <v>Lắp đặt cửa van bằng thép không gỉ, chiều rộng cống (B) &lt;= 8m</v>
      </c>
      <c r="E934" s="168"/>
      <c r="F934" s="20">
        <v>1</v>
      </c>
      <c r="G934" s="169"/>
      <c r="H934" s="45">
        <f>'Hao phí vật tư'!J2388</f>
        <v>8.2833000000000006</v>
      </c>
      <c r="I934" s="166"/>
      <c r="J934" s="156">
        <f>ROUND(H934*I933,2)</f>
        <v>191079.16</v>
      </c>
      <c r="K934" s="166"/>
      <c r="L934" s="156">
        <f>ROUND(H934*K933,2)</f>
        <v>191079.16</v>
      </c>
      <c r="M934" s="34"/>
      <c r="N934" s="166"/>
      <c r="O934" s="156">
        <f>ROUND(H934*N933,2)</f>
        <v>0</v>
      </c>
      <c r="P934" s="166"/>
      <c r="Q934" s="156">
        <f>ROUND(H934*P933,2)</f>
        <v>0</v>
      </c>
      <c r="R934" s="166"/>
      <c r="S934" s="156">
        <f>ROUND(H934*R933,2)</f>
        <v>0</v>
      </c>
      <c r="T934" s="34"/>
      <c r="U934" s="34"/>
      <c r="V934" s="166"/>
      <c r="W934" s="166"/>
      <c r="X934" s="166"/>
      <c r="Y934" s="156">
        <f>ROUND(H934*X933,2)</f>
        <v>0</v>
      </c>
      <c r="Z934" s="166"/>
      <c r="AA934" s="156">
        <f>ROUND(H934*Z933,2)</f>
        <v>0</v>
      </c>
      <c r="AB934" s="156">
        <f>ROUND(H934*W933,2)</f>
        <v>191079.16</v>
      </c>
    </row>
    <row r="935" spans="1:28" x14ac:dyDescent="0.25">
      <c r="A935" s="168">
        <v>5</v>
      </c>
      <c r="B935" s="84" t="s">
        <v>136</v>
      </c>
      <c r="C935" s="34">
        <v>772</v>
      </c>
      <c r="D935" s="144" t="s">
        <v>252</v>
      </c>
      <c r="E935" s="168" t="s">
        <v>155</v>
      </c>
      <c r="F935" s="34"/>
      <c r="G935" s="169"/>
      <c r="H935" s="60">
        <f>SUM(H936:H936)</f>
        <v>6.3299999999999995E-2</v>
      </c>
      <c r="I935" s="166">
        <v>3810000</v>
      </c>
      <c r="J935" s="166">
        <f>ROUND(H935*I935,0)</f>
        <v>241173</v>
      </c>
      <c r="K935" s="139">
        <f>'Tổng hợp VL,NC,M'!I318</f>
        <v>3272727</v>
      </c>
      <c r="L935" s="166">
        <f>ROUND(H935*K935,0)</f>
        <v>207164</v>
      </c>
      <c r="M935" s="34">
        <v>1</v>
      </c>
      <c r="N935" s="166"/>
      <c r="O935" s="166">
        <f>ROUND(H935*N935,0)</f>
        <v>0</v>
      </c>
      <c r="P935" s="166"/>
      <c r="Q935" s="166">
        <f>ROUND(H935*P935,0)</f>
        <v>0</v>
      </c>
      <c r="R935" s="166"/>
      <c r="S935" s="166">
        <f>ROUND(H935*R935,0)</f>
        <v>0</v>
      </c>
      <c r="T935" s="34"/>
      <c r="U935" s="34"/>
      <c r="V935" s="166">
        <f>ROUND((K935+N935+P935+R935)*(U935+T935),0)</f>
        <v>0</v>
      </c>
      <c r="W935" s="139">
        <f>K935+N935+P935+R935+V935</f>
        <v>3272727</v>
      </c>
      <c r="X935" s="166">
        <f>K935-I935</f>
        <v>-537273</v>
      </c>
      <c r="Y935" s="166">
        <f>ROUND(H935*X935,0)</f>
        <v>-34009</v>
      </c>
      <c r="Z935" s="166">
        <f>W935-I935</f>
        <v>-537273</v>
      </c>
      <c r="AA935" s="166">
        <f>ROUND(H935*Z935,0)</f>
        <v>-34009</v>
      </c>
      <c r="AB935" s="166">
        <f>ROUND(H935*W935,0)</f>
        <v>207164</v>
      </c>
    </row>
    <row r="936" spans="1:28" hidden="1" x14ac:dyDescent="0.25">
      <c r="A936" s="168"/>
      <c r="B936" s="133" t="str">
        <f>'Công trình'!B322</f>
        <v>AI.65411</v>
      </c>
      <c r="C936" s="34"/>
      <c r="D936" s="133" t="str">
        <f>'Công trình'!C322</f>
        <v>Lắp đặt kết cấu thép khe van, khe phai</v>
      </c>
      <c r="E936" s="168"/>
      <c r="F936" s="20">
        <v>1</v>
      </c>
      <c r="G936" s="169"/>
      <c r="H936" s="45">
        <f>'Hao phí vật tư'!J2407</f>
        <v>6.3299999999999995E-2</v>
      </c>
      <c r="I936" s="166"/>
      <c r="J936" s="156">
        <f>ROUND(H936*I935,2)</f>
        <v>241173</v>
      </c>
      <c r="K936" s="166"/>
      <c r="L936" s="156">
        <f>ROUND(H936*K935,2)</f>
        <v>207163.62</v>
      </c>
      <c r="M936" s="34"/>
      <c r="N936" s="166"/>
      <c r="O936" s="156">
        <f>ROUND(H936*N935,2)</f>
        <v>0</v>
      </c>
      <c r="P936" s="166"/>
      <c r="Q936" s="156">
        <f>ROUND(H936*P935,2)</f>
        <v>0</v>
      </c>
      <c r="R936" s="166"/>
      <c r="S936" s="156">
        <f>ROUND(H936*R935,2)</f>
        <v>0</v>
      </c>
      <c r="T936" s="34"/>
      <c r="U936" s="34"/>
      <c r="V936" s="166"/>
      <c r="W936" s="166"/>
      <c r="X936" s="166"/>
      <c r="Y936" s="156">
        <f>ROUND(H936*X935,2)</f>
        <v>-34009.379999999997</v>
      </c>
      <c r="Z936" s="166"/>
      <c r="AA936" s="156">
        <f>ROUND(H936*Z935,2)</f>
        <v>-34009.379999999997</v>
      </c>
      <c r="AB936" s="156">
        <f>ROUND(H936*W935,2)</f>
        <v>207163.62</v>
      </c>
    </row>
    <row r="937" spans="1:28" x14ac:dyDescent="0.25">
      <c r="A937" s="168">
        <v>6</v>
      </c>
      <c r="B937" s="84" t="s">
        <v>462</v>
      </c>
      <c r="C937" s="34">
        <v>822</v>
      </c>
      <c r="D937" s="144" t="s">
        <v>252</v>
      </c>
      <c r="E937" s="168" t="s">
        <v>555</v>
      </c>
      <c r="F937" s="34"/>
      <c r="G937" s="169"/>
      <c r="H937" s="60">
        <f>SUM(H938:H938)</f>
        <v>0.25829999999999997</v>
      </c>
      <c r="I937" s="166">
        <v>3810000</v>
      </c>
      <c r="J937" s="166">
        <f>ROUND(H937*I937,0)</f>
        <v>984123</v>
      </c>
      <c r="K937" s="139">
        <f>'Tổng hợp VL,NC,M'!I326</f>
        <v>3272727</v>
      </c>
      <c r="L937" s="166">
        <f>ROUND(H937*K937,0)</f>
        <v>845345</v>
      </c>
      <c r="M937" s="34">
        <v>1</v>
      </c>
      <c r="N937" s="166"/>
      <c r="O937" s="166">
        <f>ROUND(H937*N937,0)</f>
        <v>0</v>
      </c>
      <c r="P937" s="166"/>
      <c r="Q937" s="166">
        <f>ROUND(H937*P937,0)</f>
        <v>0</v>
      </c>
      <c r="R937" s="166"/>
      <c r="S937" s="166">
        <f>ROUND(H937*R937,0)</f>
        <v>0</v>
      </c>
      <c r="T937" s="34"/>
      <c r="U937" s="34"/>
      <c r="V937" s="166">
        <f>ROUND((K937+N937+P937+R937)*(U937+T937),0)</f>
        <v>0</v>
      </c>
      <c r="W937" s="139">
        <f>K937+N937+P937+R937+V937</f>
        <v>3272727</v>
      </c>
      <c r="X937" s="166">
        <f>K937-I937</f>
        <v>-537273</v>
      </c>
      <c r="Y937" s="166">
        <f>ROUND(H937*X937,0)</f>
        <v>-138778</v>
      </c>
      <c r="Z937" s="166">
        <f>W937-I937</f>
        <v>-537273</v>
      </c>
      <c r="AA937" s="166">
        <f>ROUND(H937*Z937,0)</f>
        <v>-138778</v>
      </c>
      <c r="AB937" s="166">
        <f>ROUND(H937*W937,0)</f>
        <v>845345</v>
      </c>
    </row>
    <row r="938" spans="1:28" ht="30" hidden="1" x14ac:dyDescent="0.25">
      <c r="A938" s="168"/>
      <c r="B938" s="133" t="str">
        <f>'Công trình'!B321</f>
        <v>CV.0202</v>
      </c>
      <c r="C938" s="34"/>
      <c r="D938" s="133" t="str">
        <f>'Công trình'!C321</f>
        <v>Lắp đặt cửa van bằng thép không gỉ, chiều rộng cống (B) &lt;= 8m</v>
      </c>
      <c r="E938" s="168"/>
      <c r="F938" s="20">
        <v>1</v>
      </c>
      <c r="G938" s="169"/>
      <c r="H938" s="45">
        <f>'Hao phí vật tư'!J2389</f>
        <v>0.25829999999999997</v>
      </c>
      <c r="I938" s="166"/>
      <c r="J938" s="156">
        <f>ROUND(H938*I937,2)</f>
        <v>984123</v>
      </c>
      <c r="K938" s="166"/>
      <c r="L938" s="156">
        <f>ROUND(H938*K937,2)</f>
        <v>845345.38</v>
      </c>
      <c r="M938" s="34"/>
      <c r="N938" s="166"/>
      <c r="O938" s="156">
        <f>ROUND(H938*N937,2)</f>
        <v>0</v>
      </c>
      <c r="P938" s="166"/>
      <c r="Q938" s="156">
        <f>ROUND(H938*P937,2)</f>
        <v>0</v>
      </c>
      <c r="R938" s="166"/>
      <c r="S938" s="156">
        <f>ROUND(H938*R937,2)</f>
        <v>0</v>
      </c>
      <c r="T938" s="34"/>
      <c r="U938" s="34"/>
      <c r="V938" s="166"/>
      <c r="W938" s="166"/>
      <c r="X938" s="166"/>
      <c r="Y938" s="156">
        <f>ROUND(H938*X937,2)</f>
        <v>-138777.62</v>
      </c>
      <c r="Z938" s="166"/>
      <c r="AA938" s="156">
        <f>ROUND(H938*Z937,2)</f>
        <v>-138777.62</v>
      </c>
      <c r="AB938" s="156">
        <f>ROUND(H938*W937,2)</f>
        <v>845345.38</v>
      </c>
    </row>
    <row r="939" spans="1:28" x14ac:dyDescent="0.25">
      <c r="A939" s="168">
        <v>7</v>
      </c>
      <c r="B939" s="84" t="s">
        <v>810</v>
      </c>
      <c r="C939" s="34">
        <v>773</v>
      </c>
      <c r="D939" s="144" t="s">
        <v>781</v>
      </c>
      <c r="E939" s="168" t="s">
        <v>555</v>
      </c>
      <c r="F939" s="34"/>
      <c r="G939" s="169"/>
      <c r="H939" s="60">
        <f>SUM(H940:H940)</f>
        <v>11.6683</v>
      </c>
      <c r="I939" s="166">
        <v>26000</v>
      </c>
      <c r="J939" s="166">
        <f>ROUND(H939*I939,0)</f>
        <v>303376</v>
      </c>
      <c r="K939" s="166">
        <f>'Tổng hợp VL,NC,M'!I361</f>
        <v>26000</v>
      </c>
      <c r="L939" s="166">
        <f>ROUND(H939*K939,0)</f>
        <v>303376</v>
      </c>
      <c r="M939" s="34">
        <v>1</v>
      </c>
      <c r="N939" s="166"/>
      <c r="O939" s="166">
        <f>ROUND(H939*N939,0)</f>
        <v>0</v>
      </c>
      <c r="P939" s="166"/>
      <c r="Q939" s="166">
        <f>ROUND(H939*P939,0)</f>
        <v>0</v>
      </c>
      <c r="R939" s="166"/>
      <c r="S939" s="166">
        <f>ROUND(H939*R939,0)</f>
        <v>0</v>
      </c>
      <c r="T939" s="34"/>
      <c r="U939" s="34"/>
      <c r="V939" s="166">
        <f>ROUND((K939+N939+P939+R939)*(U939+T939),0)</f>
        <v>0</v>
      </c>
      <c r="W939" s="166">
        <f>K939+N939+P939+R939+V939</f>
        <v>26000</v>
      </c>
      <c r="X939" s="166">
        <f>K939-I939</f>
        <v>0</v>
      </c>
      <c r="Y939" s="166">
        <f>ROUND(H939*X939,0)</f>
        <v>0</v>
      </c>
      <c r="Z939" s="166">
        <f>W939-I939</f>
        <v>0</v>
      </c>
      <c r="AA939" s="166">
        <f>ROUND(H939*Z939,0)</f>
        <v>0</v>
      </c>
      <c r="AB939" s="166">
        <f>ROUND(H939*W939,0)</f>
        <v>303376</v>
      </c>
    </row>
    <row r="940" spans="1:28" hidden="1" x14ac:dyDescent="0.25">
      <c r="A940" s="168"/>
      <c r="B940" s="133" t="str">
        <f>'Công trình'!B322</f>
        <v>AI.65411</v>
      </c>
      <c r="C940" s="34"/>
      <c r="D940" s="133" t="str">
        <f>'Công trình'!C322</f>
        <v>Lắp đặt kết cấu thép khe van, khe phai</v>
      </c>
      <c r="E940" s="168"/>
      <c r="F940" s="20">
        <v>1</v>
      </c>
      <c r="G940" s="169"/>
      <c r="H940" s="45">
        <f>'Hao phí vật tư'!J2406</f>
        <v>11.6683</v>
      </c>
      <c r="I940" s="166"/>
      <c r="J940" s="156">
        <f>ROUND(H940*I939,2)</f>
        <v>303375.8</v>
      </c>
      <c r="K940" s="166"/>
      <c r="L940" s="156">
        <f>ROUND(H940*K939,2)</f>
        <v>303375.8</v>
      </c>
      <c r="M940" s="34"/>
      <c r="N940" s="166"/>
      <c r="O940" s="156">
        <f>ROUND(H940*N939,2)</f>
        <v>0</v>
      </c>
      <c r="P940" s="166"/>
      <c r="Q940" s="156">
        <f>ROUND(H940*P939,2)</f>
        <v>0</v>
      </c>
      <c r="R940" s="166"/>
      <c r="S940" s="156">
        <f>ROUND(H940*R939,2)</f>
        <v>0</v>
      </c>
      <c r="T940" s="34"/>
      <c r="U940" s="34"/>
      <c r="V940" s="166"/>
      <c r="W940" s="166"/>
      <c r="X940" s="166"/>
      <c r="Y940" s="156">
        <f>ROUND(H940*X939,2)</f>
        <v>0</v>
      </c>
      <c r="Z940" s="166"/>
      <c r="AA940" s="156">
        <f>ROUND(H940*Z939,2)</f>
        <v>0</v>
      </c>
      <c r="AB940" s="156">
        <f>ROUND(H940*W939,2)</f>
        <v>303375.8</v>
      </c>
    </row>
    <row r="941" spans="1:28" x14ac:dyDescent="0.25">
      <c r="A941" s="168">
        <v>8</v>
      </c>
      <c r="B941" s="84" t="s">
        <v>201</v>
      </c>
      <c r="C941" s="34">
        <v>817</v>
      </c>
      <c r="D941" s="144" t="s">
        <v>405</v>
      </c>
      <c r="E941" s="168" t="s">
        <v>339</v>
      </c>
      <c r="F941" s="34"/>
      <c r="G941" s="169"/>
      <c r="H941" s="60">
        <f>SUM(H942:H945)</f>
        <v>5.8342000000000001</v>
      </c>
      <c r="I941" s="166">
        <v>72000</v>
      </c>
      <c r="J941" s="166">
        <f>ROUND(H941*I941,0)</f>
        <v>420062</v>
      </c>
      <c r="K941" s="166">
        <f>'Tổng hợp VL,NC,M'!I417</f>
        <v>72000</v>
      </c>
      <c r="L941" s="166">
        <f>ROUND(H941*K941,0)</f>
        <v>420062</v>
      </c>
      <c r="M941" s="34">
        <v>1</v>
      </c>
      <c r="N941" s="166"/>
      <c r="O941" s="166">
        <f>ROUND(H941*N941,0)</f>
        <v>0</v>
      </c>
      <c r="P941" s="166"/>
      <c r="Q941" s="166">
        <f>ROUND(H941*P941,0)</f>
        <v>0</v>
      </c>
      <c r="R941" s="166"/>
      <c r="S941" s="166">
        <f>ROUND(H941*R941,0)</f>
        <v>0</v>
      </c>
      <c r="T941" s="34"/>
      <c r="U941" s="34"/>
      <c r="V941" s="166">
        <f>ROUND((K941+N941+P941+R941)*(U941+T941),0)</f>
        <v>0</v>
      </c>
      <c r="W941" s="166">
        <f>K941+N941+P941+R941+V941</f>
        <v>72000</v>
      </c>
      <c r="X941" s="166">
        <f>K941-I941</f>
        <v>0</v>
      </c>
      <c r="Y941" s="166">
        <f>ROUND(H941*X941,0)</f>
        <v>0</v>
      </c>
      <c r="Z941" s="166">
        <f>W941-I941</f>
        <v>0</v>
      </c>
      <c r="AA941" s="166">
        <f>ROUND(H941*Z941,0)</f>
        <v>0</v>
      </c>
      <c r="AB941" s="166">
        <f>ROUND(H941*W941,0)</f>
        <v>420062</v>
      </c>
    </row>
    <row r="942" spans="1:28" hidden="1" x14ac:dyDescent="0.25">
      <c r="A942" s="168"/>
      <c r="B942" s="133" t="str">
        <f>'Công trình'!B316</f>
        <v>AI.52211</v>
      </c>
      <c r="C942" s="34"/>
      <c r="D942" s="133" t="str">
        <f>'Công trình'!C316</f>
        <v>Sản xuất kết cấu thép khe phai - thép CT3</v>
      </c>
      <c r="E942" s="168"/>
      <c r="F942" s="20">
        <v>1</v>
      </c>
      <c r="G942" s="169"/>
      <c r="H942" s="45">
        <f>'Hao phí vật tư'!J2308</f>
        <v>1.1687000000000001</v>
      </c>
      <c r="I942" s="166"/>
      <c r="J942" s="156">
        <f>ROUND(H942*I941,2)</f>
        <v>84146.4</v>
      </c>
      <c r="K942" s="166"/>
      <c r="L942" s="156">
        <f>ROUND(H942*K941,2)</f>
        <v>84146.4</v>
      </c>
      <c r="M942" s="34"/>
      <c r="N942" s="166"/>
      <c r="O942" s="156">
        <f>ROUND(H942*N941,2)</f>
        <v>0</v>
      </c>
      <c r="P942" s="166"/>
      <c r="Q942" s="156">
        <f>ROUND(H942*P941,2)</f>
        <v>0</v>
      </c>
      <c r="R942" s="166"/>
      <c r="S942" s="156">
        <f>ROUND(H942*R941,2)</f>
        <v>0</v>
      </c>
      <c r="T942" s="34"/>
      <c r="U942" s="34"/>
      <c r="V942" s="166"/>
      <c r="W942" s="166"/>
      <c r="X942" s="166"/>
      <c r="Y942" s="156">
        <f>ROUND(H942*X941,2)</f>
        <v>0</v>
      </c>
      <c r="Z942" s="166"/>
      <c r="AA942" s="156">
        <f>ROUND(H942*Z941,2)</f>
        <v>0</v>
      </c>
      <c r="AB942" s="156">
        <f>ROUND(H942*W941,2)</f>
        <v>84146.4</v>
      </c>
    </row>
    <row r="943" spans="1:28" hidden="1" x14ac:dyDescent="0.25">
      <c r="A943" s="168"/>
      <c r="B943" s="133" t="str">
        <f>'Công trình'!B317</f>
        <v>AI.52211</v>
      </c>
      <c r="C943" s="34"/>
      <c r="D943" s="133" t="str">
        <f>'Công trình'!C317</f>
        <v>Sản xuất kết cấu thép khe phai - thép SUS304</v>
      </c>
      <c r="E943" s="168"/>
      <c r="F943" s="20">
        <v>1</v>
      </c>
      <c r="G943" s="169"/>
      <c r="H943" s="45">
        <f>'Hao phí vật tư'!J2324</f>
        <v>1.5973999999999999</v>
      </c>
      <c r="I943" s="166"/>
      <c r="J943" s="156">
        <f>ROUND(H943*I941,2)</f>
        <v>115012.8</v>
      </c>
      <c r="K943" s="166"/>
      <c r="L943" s="156">
        <f>ROUND(H943*K941,2)</f>
        <v>115012.8</v>
      </c>
      <c r="M943" s="34"/>
      <c r="N943" s="166"/>
      <c r="O943" s="156">
        <f>ROUND(H943*N941,2)</f>
        <v>0</v>
      </c>
      <c r="P943" s="166"/>
      <c r="Q943" s="156">
        <f>ROUND(H943*P941,2)</f>
        <v>0</v>
      </c>
      <c r="R943" s="166"/>
      <c r="S943" s="156">
        <f>ROUND(H943*R941,2)</f>
        <v>0</v>
      </c>
      <c r="T943" s="34"/>
      <c r="U943" s="34"/>
      <c r="V943" s="166"/>
      <c r="W943" s="166"/>
      <c r="X943" s="166"/>
      <c r="Y943" s="156">
        <f>ROUND(H943*X941,2)</f>
        <v>0</v>
      </c>
      <c r="Z943" s="166"/>
      <c r="AA943" s="156">
        <f>ROUND(H943*Z941,2)</f>
        <v>0</v>
      </c>
      <c r="AB943" s="156">
        <f>ROUND(H943*W941,2)</f>
        <v>115012.8</v>
      </c>
    </row>
    <row r="944" spans="1:28" hidden="1" x14ac:dyDescent="0.25">
      <c r="A944" s="168"/>
      <c r="B944" s="133" t="str">
        <f>'Công trình'!B318</f>
        <v>AI.52211</v>
      </c>
      <c r="C944" s="34"/>
      <c r="D944" s="133" t="str">
        <f>'Công trình'!C318</f>
        <v>Sản xuất kết cấu thép khe cửa - thép CT3</v>
      </c>
      <c r="E944" s="168"/>
      <c r="F944" s="20">
        <v>1</v>
      </c>
      <c r="G944" s="169"/>
      <c r="H944" s="45">
        <f>'Hao phí vật tư'!J2339</f>
        <v>1.1816</v>
      </c>
      <c r="I944" s="166"/>
      <c r="J944" s="156">
        <f>ROUND(H944*I941,2)</f>
        <v>85075.199999999997</v>
      </c>
      <c r="K944" s="166"/>
      <c r="L944" s="156">
        <f>ROUND(H944*K941,2)</f>
        <v>85075.199999999997</v>
      </c>
      <c r="M944" s="34"/>
      <c r="N944" s="166"/>
      <c r="O944" s="156">
        <f>ROUND(H944*N941,2)</f>
        <v>0</v>
      </c>
      <c r="P944" s="166"/>
      <c r="Q944" s="156">
        <f>ROUND(H944*P941,2)</f>
        <v>0</v>
      </c>
      <c r="R944" s="166"/>
      <c r="S944" s="156">
        <f>ROUND(H944*R941,2)</f>
        <v>0</v>
      </c>
      <c r="T944" s="34"/>
      <c r="U944" s="34"/>
      <c r="V944" s="166"/>
      <c r="W944" s="166"/>
      <c r="X944" s="166"/>
      <c r="Y944" s="156">
        <f>ROUND(H944*X941,2)</f>
        <v>0</v>
      </c>
      <c r="Z944" s="166"/>
      <c r="AA944" s="156">
        <f>ROUND(H944*Z941,2)</f>
        <v>0</v>
      </c>
      <c r="AB944" s="156">
        <f>ROUND(H944*W941,2)</f>
        <v>85075.199999999997</v>
      </c>
    </row>
    <row r="945" spans="1:28" hidden="1" x14ac:dyDescent="0.25">
      <c r="A945" s="168"/>
      <c r="B945" s="133" t="str">
        <f>'Công trình'!B319</f>
        <v>AI.52211</v>
      </c>
      <c r="C945" s="34"/>
      <c r="D945" s="133" t="str">
        <f>'Công trình'!C319</f>
        <v>Sản xuất kết cấu thép khe cửa- thép SUS304</v>
      </c>
      <c r="E945" s="168"/>
      <c r="F945" s="20">
        <v>1</v>
      </c>
      <c r="G945" s="169"/>
      <c r="H945" s="45">
        <f>'Hao phí vật tư'!J2355</f>
        <v>1.8865000000000001</v>
      </c>
      <c r="I945" s="166"/>
      <c r="J945" s="156">
        <f>ROUND(H945*I941,2)</f>
        <v>135828</v>
      </c>
      <c r="K945" s="166"/>
      <c r="L945" s="156">
        <f>ROUND(H945*K941,2)</f>
        <v>135828</v>
      </c>
      <c r="M945" s="34"/>
      <c r="N945" s="166"/>
      <c r="O945" s="156">
        <f>ROUND(H945*N941,2)</f>
        <v>0</v>
      </c>
      <c r="P945" s="166"/>
      <c r="Q945" s="156">
        <f>ROUND(H945*P941,2)</f>
        <v>0</v>
      </c>
      <c r="R945" s="166"/>
      <c r="S945" s="156">
        <f>ROUND(H945*R941,2)</f>
        <v>0</v>
      </c>
      <c r="T945" s="34"/>
      <c r="U945" s="34"/>
      <c r="V945" s="166"/>
      <c r="W945" s="166"/>
      <c r="X945" s="166"/>
      <c r="Y945" s="156">
        <f>ROUND(H945*X941,2)</f>
        <v>0</v>
      </c>
      <c r="Z945" s="166"/>
      <c r="AA945" s="156">
        <f>ROUND(H945*Z941,2)</f>
        <v>0</v>
      </c>
      <c r="AB945" s="156">
        <f>ROUND(H945*W941,2)</f>
        <v>135828</v>
      </c>
    </row>
    <row r="946" spans="1:28" x14ac:dyDescent="0.25">
      <c r="A946" s="168">
        <v>9</v>
      </c>
      <c r="B946" s="84" t="s">
        <v>729</v>
      </c>
      <c r="C946" s="34">
        <v>828</v>
      </c>
      <c r="D946" s="144" t="s">
        <v>405</v>
      </c>
      <c r="E946" s="168" t="s">
        <v>555</v>
      </c>
      <c r="F946" s="34"/>
      <c r="G946" s="169"/>
      <c r="H946" s="60">
        <f>SUM(H947:H947)</f>
        <v>6.0274000000000001</v>
      </c>
      <c r="I946" s="166">
        <v>72000</v>
      </c>
      <c r="J946" s="166">
        <f>ROUND(H946*I946,0)</f>
        <v>433973</v>
      </c>
      <c r="K946" s="166">
        <f>'Tổng hợp VL,NC,M'!I443</f>
        <v>72000</v>
      </c>
      <c r="L946" s="166">
        <f>ROUND(H946*K946,0)</f>
        <v>433973</v>
      </c>
      <c r="M946" s="34">
        <v>1</v>
      </c>
      <c r="N946" s="166"/>
      <c r="O946" s="166">
        <f>ROUND(H946*N946,0)</f>
        <v>0</v>
      </c>
      <c r="P946" s="166"/>
      <c r="Q946" s="166">
        <f>ROUND(H946*P946,0)</f>
        <v>0</v>
      </c>
      <c r="R946" s="166"/>
      <c r="S946" s="166">
        <f>ROUND(H946*R946,0)</f>
        <v>0</v>
      </c>
      <c r="T946" s="34"/>
      <c r="U946" s="34"/>
      <c r="V946" s="166">
        <f>ROUND((K946+N946+P946+R946)*(U946+T946),0)</f>
        <v>0</v>
      </c>
      <c r="W946" s="166">
        <f>K946+N946+P946+R946+V946</f>
        <v>72000</v>
      </c>
      <c r="X946" s="166">
        <f>K946-I946</f>
        <v>0</v>
      </c>
      <c r="Y946" s="166">
        <f>ROUND(H946*X946,0)</f>
        <v>0</v>
      </c>
      <c r="Z946" s="166">
        <f>W946-I946</f>
        <v>0</v>
      </c>
      <c r="AA946" s="166">
        <f>ROUND(H946*Z946,0)</f>
        <v>0</v>
      </c>
      <c r="AB946" s="166">
        <f>ROUND(H946*W946,0)</f>
        <v>433973</v>
      </c>
    </row>
    <row r="947" spans="1:28" ht="30" hidden="1" x14ac:dyDescent="0.25">
      <c r="A947" s="168"/>
      <c r="B947" s="133" t="str">
        <f>'Công trình'!B321</f>
        <v>CV.0202</v>
      </c>
      <c r="C947" s="34"/>
      <c r="D947" s="133" t="str">
        <f>'Công trình'!C321</f>
        <v>Lắp đặt cửa van bằng thép không gỉ, chiều rộng cống (B) &lt;= 8m</v>
      </c>
      <c r="E947" s="168"/>
      <c r="F947" s="20">
        <v>1</v>
      </c>
      <c r="G947" s="169"/>
      <c r="H947" s="45">
        <f>'Hao phí vật tư'!J2392</f>
        <v>6.0274000000000001</v>
      </c>
      <c r="I947" s="166"/>
      <c r="J947" s="156">
        <f>ROUND(H947*I946,2)</f>
        <v>433972.8</v>
      </c>
      <c r="K947" s="166"/>
      <c r="L947" s="156">
        <f>ROUND(H947*K946,2)</f>
        <v>433972.8</v>
      </c>
      <c r="M947" s="34"/>
      <c r="N947" s="166"/>
      <c r="O947" s="156">
        <f>ROUND(H947*N946,2)</f>
        <v>0</v>
      </c>
      <c r="P947" s="166"/>
      <c r="Q947" s="156">
        <f>ROUND(H947*P946,2)</f>
        <v>0</v>
      </c>
      <c r="R947" s="166"/>
      <c r="S947" s="156">
        <f>ROUND(H947*R946,2)</f>
        <v>0</v>
      </c>
      <c r="T947" s="34"/>
      <c r="U947" s="34"/>
      <c r="V947" s="166"/>
      <c r="W947" s="166"/>
      <c r="X947" s="166"/>
      <c r="Y947" s="156">
        <f>ROUND(H947*X946,2)</f>
        <v>0</v>
      </c>
      <c r="Z947" s="166"/>
      <c r="AA947" s="156">
        <f>ROUND(H947*Z946,2)</f>
        <v>0</v>
      </c>
      <c r="AB947" s="156">
        <f>ROUND(H947*W946,2)</f>
        <v>433972.8</v>
      </c>
    </row>
    <row r="948" spans="1:28" x14ac:dyDescent="0.25">
      <c r="A948" s="168">
        <v>10</v>
      </c>
      <c r="B948" s="84" t="s">
        <v>860</v>
      </c>
      <c r="C948" s="34">
        <v>775</v>
      </c>
      <c r="D948" s="144" t="s">
        <v>912</v>
      </c>
      <c r="E948" s="168" t="s">
        <v>555</v>
      </c>
      <c r="F948" s="34"/>
      <c r="G948" s="169"/>
      <c r="H948" s="60">
        <f>SUM(H949:H951)</f>
        <v>56.852400000000003</v>
      </c>
      <c r="I948" s="166">
        <v>19091</v>
      </c>
      <c r="J948" s="166">
        <f>ROUND(H948*I948,0)</f>
        <v>1085369</v>
      </c>
      <c r="K948" s="166">
        <f>'Tổng hợp VL,NC,M'!I472</f>
        <v>19091</v>
      </c>
      <c r="L948" s="166">
        <f>ROUND(H948*K948,0)</f>
        <v>1085369</v>
      </c>
      <c r="M948" s="34">
        <v>1</v>
      </c>
      <c r="N948" s="166"/>
      <c r="O948" s="166">
        <f>ROUND(H948*N948,0)</f>
        <v>0</v>
      </c>
      <c r="P948" s="166"/>
      <c r="Q948" s="166">
        <f>ROUND(H948*P948,0)</f>
        <v>0</v>
      </c>
      <c r="R948" s="166"/>
      <c r="S948" s="166">
        <f>ROUND(H948*R948,0)</f>
        <v>0</v>
      </c>
      <c r="T948" s="34"/>
      <c r="U948" s="34"/>
      <c r="V948" s="166">
        <f>ROUND((K948+N948+P948+R948)*(U948+T948),0)</f>
        <v>0</v>
      </c>
      <c r="W948" s="166">
        <f>K948+N948+P948+R948+V948</f>
        <v>19091</v>
      </c>
      <c r="X948" s="166">
        <f>K948-I948</f>
        <v>0</v>
      </c>
      <c r="Y948" s="166">
        <f>ROUND(H948*X948,0)</f>
        <v>0</v>
      </c>
      <c r="Z948" s="166">
        <f>W948-I948</f>
        <v>0</v>
      </c>
      <c r="AA948" s="166">
        <f>ROUND(H948*Z948,0)</f>
        <v>0</v>
      </c>
      <c r="AB948" s="166">
        <f>ROUND(H948*W948,0)</f>
        <v>1085369</v>
      </c>
    </row>
    <row r="949" spans="1:28" hidden="1" x14ac:dyDescent="0.25">
      <c r="A949" s="168"/>
      <c r="B949" s="133" t="str">
        <f>'Công trình'!B322</f>
        <v>AI.65411</v>
      </c>
      <c r="C949" s="34"/>
      <c r="D949" s="133" t="str">
        <f>'Công trình'!C322</f>
        <v>Lắp đặt kết cấu thép khe van, khe phai</v>
      </c>
      <c r="E949" s="168"/>
      <c r="F949" s="20">
        <v>1</v>
      </c>
      <c r="G949" s="169"/>
      <c r="H949" s="45">
        <f>'Hao phí vật tư'!J2408</f>
        <v>31.671099999999999</v>
      </c>
      <c r="I949" s="166"/>
      <c r="J949" s="156">
        <f>ROUND(H949*I948,2)</f>
        <v>604632.97</v>
      </c>
      <c r="K949" s="166"/>
      <c r="L949" s="156">
        <f>ROUND(H949*K948,2)</f>
        <v>604632.97</v>
      </c>
      <c r="M949" s="34"/>
      <c r="N949" s="166"/>
      <c r="O949" s="156">
        <f>ROUND(H949*N948,2)</f>
        <v>0</v>
      </c>
      <c r="P949" s="166"/>
      <c r="Q949" s="156">
        <f>ROUND(H949*P948,2)</f>
        <v>0</v>
      </c>
      <c r="R949" s="166"/>
      <c r="S949" s="156">
        <f>ROUND(H949*R948,2)</f>
        <v>0</v>
      </c>
      <c r="T949" s="34"/>
      <c r="U949" s="34"/>
      <c r="V949" s="166"/>
      <c r="W949" s="166"/>
      <c r="X949" s="166"/>
      <c r="Y949" s="156">
        <f>ROUND(H949*X948,2)</f>
        <v>0</v>
      </c>
      <c r="Z949" s="166"/>
      <c r="AA949" s="156">
        <f>ROUND(H949*Z948,2)</f>
        <v>0</v>
      </c>
      <c r="AB949" s="156">
        <f>ROUND(H949*W948,2)</f>
        <v>604632.97</v>
      </c>
    </row>
    <row r="950" spans="1:28" hidden="1" x14ac:dyDescent="0.25">
      <c r="A950" s="168"/>
      <c r="B950" s="133" t="str">
        <f>'Công trình'!B316</f>
        <v>AI.52211</v>
      </c>
      <c r="C950" s="34"/>
      <c r="D950" s="133" t="str">
        <f>'Công trình'!C316</f>
        <v>Sản xuất kết cấu thép khe phai - thép CT3</v>
      </c>
      <c r="E950" s="168"/>
      <c r="F950" s="20">
        <v>1</v>
      </c>
      <c r="G950" s="169"/>
      <c r="H950" s="45">
        <f>'Hao phí vật tư'!J2307</f>
        <v>12.5213</v>
      </c>
      <c r="I950" s="166"/>
      <c r="J950" s="156">
        <f>ROUND(H950*I948,2)</f>
        <v>239044.14</v>
      </c>
      <c r="K950" s="166"/>
      <c r="L950" s="156">
        <f>ROUND(H950*K948,2)</f>
        <v>239044.14</v>
      </c>
      <c r="M950" s="34"/>
      <c r="N950" s="166"/>
      <c r="O950" s="156">
        <f>ROUND(H950*N948,2)</f>
        <v>0</v>
      </c>
      <c r="P950" s="166"/>
      <c r="Q950" s="156">
        <f>ROUND(H950*P948,2)</f>
        <v>0</v>
      </c>
      <c r="R950" s="166"/>
      <c r="S950" s="156">
        <f>ROUND(H950*R948,2)</f>
        <v>0</v>
      </c>
      <c r="T950" s="34"/>
      <c r="U950" s="34"/>
      <c r="V950" s="166"/>
      <c r="W950" s="166"/>
      <c r="X950" s="166"/>
      <c r="Y950" s="156">
        <f>ROUND(H950*X948,2)</f>
        <v>0</v>
      </c>
      <c r="Z950" s="166"/>
      <c r="AA950" s="156">
        <f>ROUND(H950*Z948,2)</f>
        <v>0</v>
      </c>
      <c r="AB950" s="156">
        <f>ROUND(H950*W948,2)</f>
        <v>239044.14</v>
      </c>
    </row>
    <row r="951" spans="1:28" hidden="1" x14ac:dyDescent="0.25">
      <c r="A951" s="168"/>
      <c r="B951" s="133" t="str">
        <f>'Công trình'!B318</f>
        <v>AI.52211</v>
      </c>
      <c r="C951" s="34"/>
      <c r="D951" s="133" t="str">
        <f>'Công trình'!C318</f>
        <v>Sản xuất kết cấu thép khe cửa - thép CT3</v>
      </c>
      <c r="E951" s="168"/>
      <c r="F951" s="20">
        <v>1</v>
      </c>
      <c r="G951" s="169"/>
      <c r="H951" s="45">
        <f>'Hao phí vật tư'!J2338</f>
        <v>12.66</v>
      </c>
      <c r="I951" s="166"/>
      <c r="J951" s="156">
        <f>ROUND(H951*I948,2)</f>
        <v>241692.06</v>
      </c>
      <c r="K951" s="166"/>
      <c r="L951" s="156">
        <f>ROUND(H951*K948,2)</f>
        <v>241692.06</v>
      </c>
      <c r="M951" s="34"/>
      <c r="N951" s="166"/>
      <c r="O951" s="156">
        <f>ROUND(H951*N948,2)</f>
        <v>0</v>
      </c>
      <c r="P951" s="166"/>
      <c r="Q951" s="156">
        <f>ROUND(H951*P948,2)</f>
        <v>0</v>
      </c>
      <c r="R951" s="166"/>
      <c r="S951" s="156">
        <f>ROUND(H951*R948,2)</f>
        <v>0</v>
      </c>
      <c r="T951" s="34"/>
      <c r="U951" s="34"/>
      <c r="V951" s="166"/>
      <c r="W951" s="166"/>
      <c r="X951" s="166"/>
      <c r="Y951" s="156">
        <f>ROUND(H951*X948,2)</f>
        <v>0</v>
      </c>
      <c r="Z951" s="166"/>
      <c r="AA951" s="156">
        <f>ROUND(H951*Z948,2)</f>
        <v>0</v>
      </c>
      <c r="AB951" s="156">
        <f>ROUND(H951*W948,2)</f>
        <v>241692.06</v>
      </c>
    </row>
    <row r="952" spans="1:28" x14ac:dyDescent="0.25">
      <c r="A952" s="168">
        <v>11</v>
      </c>
      <c r="B952" s="84" t="s">
        <v>581</v>
      </c>
      <c r="C952" s="34">
        <v>780</v>
      </c>
      <c r="D952" s="144" t="s">
        <v>596</v>
      </c>
      <c r="E952" s="168" t="s">
        <v>555</v>
      </c>
      <c r="F952" s="34"/>
      <c r="G952" s="169"/>
      <c r="H952" s="60">
        <f>SUM(H953:H954)</f>
        <v>37.327500000000001</v>
      </c>
      <c r="I952" s="166">
        <v>19091</v>
      </c>
      <c r="J952" s="166">
        <f>ROUND(H952*I952,0)</f>
        <v>712619</v>
      </c>
      <c r="K952" s="156">
        <f>'Tổng hợp VL,NC,M'!I554</f>
        <v>145455</v>
      </c>
      <c r="L952" s="166">
        <f>ROUND(H952*K952,0)</f>
        <v>5429472</v>
      </c>
      <c r="M952" s="34">
        <v>1</v>
      </c>
      <c r="N952" s="166"/>
      <c r="O952" s="166">
        <f>ROUND(H952*N952,0)</f>
        <v>0</v>
      </c>
      <c r="P952" s="166"/>
      <c r="Q952" s="166">
        <f>ROUND(H952*P952,0)</f>
        <v>0</v>
      </c>
      <c r="R952" s="166"/>
      <c r="S952" s="166">
        <f>ROUND(H952*R952,0)</f>
        <v>0</v>
      </c>
      <c r="T952" s="34"/>
      <c r="U952" s="34"/>
      <c r="V952" s="166">
        <f>ROUND((K952+N952+P952+R952)*(U952+T952),0)</f>
        <v>0</v>
      </c>
      <c r="W952" s="156">
        <f>K952+N952+P952+R952+V952</f>
        <v>145455</v>
      </c>
      <c r="X952" s="166">
        <f>K952-I952</f>
        <v>126364</v>
      </c>
      <c r="Y952" s="166">
        <f>ROUND(H952*X952,0)</f>
        <v>4716852</v>
      </c>
      <c r="Z952" s="166">
        <f>W952-I952</f>
        <v>126364</v>
      </c>
      <c r="AA952" s="166">
        <f>ROUND(H952*Z952,0)</f>
        <v>4716852</v>
      </c>
      <c r="AB952" s="166">
        <f>ROUND(H952*W952,0)</f>
        <v>5429472</v>
      </c>
    </row>
    <row r="953" spans="1:28" hidden="1" x14ac:dyDescent="0.25">
      <c r="A953" s="168"/>
      <c r="B953" s="133" t="str">
        <f>'Công trình'!B317</f>
        <v>AI.52211</v>
      </c>
      <c r="C953" s="34"/>
      <c r="D953" s="133" t="str">
        <f>'Công trình'!C317</f>
        <v>Sản xuất kết cấu thép khe phai - thép SUS304</v>
      </c>
      <c r="E953" s="168"/>
      <c r="F953" s="20">
        <v>1</v>
      </c>
      <c r="G953" s="169"/>
      <c r="H953" s="45">
        <f>'Hao phí vật tư'!J2323</f>
        <v>17.114999999999998</v>
      </c>
      <c r="I953" s="166"/>
      <c r="J953" s="156">
        <f>ROUND(H953*I952,2)</f>
        <v>326742.46999999997</v>
      </c>
      <c r="K953" s="166"/>
      <c r="L953" s="156">
        <f>ROUND(H953*K952,2)</f>
        <v>2489462.33</v>
      </c>
      <c r="M953" s="34"/>
      <c r="N953" s="166"/>
      <c r="O953" s="156">
        <f>ROUND(H953*N952,2)</f>
        <v>0</v>
      </c>
      <c r="P953" s="166"/>
      <c r="Q953" s="156">
        <f>ROUND(H953*P952,2)</f>
        <v>0</v>
      </c>
      <c r="R953" s="166"/>
      <c r="S953" s="156">
        <f>ROUND(H953*R952,2)</f>
        <v>0</v>
      </c>
      <c r="T953" s="34"/>
      <c r="U953" s="34"/>
      <c r="V953" s="166"/>
      <c r="W953" s="166"/>
      <c r="X953" s="166"/>
      <c r="Y953" s="156">
        <f>ROUND(H953*X952,2)</f>
        <v>2162719.86</v>
      </c>
      <c r="Z953" s="166"/>
      <c r="AA953" s="156">
        <f>ROUND(H953*Z952,2)</f>
        <v>2162719.86</v>
      </c>
      <c r="AB953" s="156">
        <f>ROUND(H953*W952,2)</f>
        <v>2489462.33</v>
      </c>
    </row>
    <row r="954" spans="1:28" hidden="1" x14ac:dyDescent="0.25">
      <c r="A954" s="168"/>
      <c r="B954" s="133" t="str">
        <f>'Công trình'!B319</f>
        <v>AI.52211</v>
      </c>
      <c r="C954" s="34"/>
      <c r="D954" s="133" t="str">
        <f>'Công trình'!C319</f>
        <v>Sản xuất kết cấu thép khe cửa- thép SUS304</v>
      </c>
      <c r="E954" s="168"/>
      <c r="F954" s="20">
        <v>1</v>
      </c>
      <c r="G954" s="169"/>
      <c r="H954" s="45">
        <f>'Hao phí vật tư'!J2354</f>
        <v>20.212499999999999</v>
      </c>
      <c r="I954" s="166"/>
      <c r="J954" s="156">
        <f>ROUND(H954*I952,2)</f>
        <v>385876.84</v>
      </c>
      <c r="K954" s="166"/>
      <c r="L954" s="156">
        <f>ROUND(H954*K952,2)</f>
        <v>2940009.19</v>
      </c>
      <c r="M954" s="34"/>
      <c r="N954" s="166"/>
      <c r="O954" s="156">
        <f>ROUND(H954*N952,2)</f>
        <v>0</v>
      </c>
      <c r="P954" s="166"/>
      <c r="Q954" s="156">
        <f>ROUND(H954*P952,2)</f>
        <v>0</v>
      </c>
      <c r="R954" s="166"/>
      <c r="S954" s="156">
        <f>ROUND(H954*R952,2)</f>
        <v>0</v>
      </c>
      <c r="T954" s="34"/>
      <c r="U954" s="34"/>
      <c r="V954" s="166"/>
      <c r="W954" s="166"/>
      <c r="X954" s="166"/>
      <c r="Y954" s="156">
        <f>ROUND(H954*X952,2)</f>
        <v>2554132.35</v>
      </c>
      <c r="Z954" s="166"/>
      <c r="AA954" s="156">
        <f>ROUND(H954*Z952,2)</f>
        <v>2554132.35</v>
      </c>
      <c r="AB954" s="156">
        <f>ROUND(H954*W952,2)</f>
        <v>2940009.19</v>
      </c>
    </row>
    <row r="955" spans="1:28" x14ac:dyDescent="0.25">
      <c r="A955" s="168">
        <v>12</v>
      </c>
      <c r="B955" s="84" t="s">
        <v>948</v>
      </c>
      <c r="C955" s="34">
        <v>826</v>
      </c>
      <c r="D955" s="144" t="s">
        <v>31</v>
      </c>
      <c r="E955" s="168" t="s">
        <v>555</v>
      </c>
      <c r="F955" s="34"/>
      <c r="G955" s="169"/>
      <c r="H955" s="60">
        <f>SUM(H956:H957)</f>
        <v>140.00670000000002</v>
      </c>
      <c r="I955" s="166">
        <v>0</v>
      </c>
      <c r="J955" s="166">
        <f>ROUND(H955*I955,0)</f>
        <v>0</v>
      </c>
      <c r="K955" s="156">
        <f>'Tổng hợp VL,NC,M'!I559</f>
        <v>14000</v>
      </c>
      <c r="L955" s="166">
        <f>ROUND(H955*K955,0)</f>
        <v>1960094</v>
      </c>
      <c r="M955" s="34">
        <v>1</v>
      </c>
      <c r="N955" s="166"/>
      <c r="O955" s="166">
        <f>ROUND(H955*N955,0)</f>
        <v>0</v>
      </c>
      <c r="P955" s="166"/>
      <c r="Q955" s="166">
        <f>ROUND(H955*P955,0)</f>
        <v>0</v>
      </c>
      <c r="R955" s="166"/>
      <c r="S955" s="166">
        <f>ROUND(H955*R955,0)</f>
        <v>0</v>
      </c>
      <c r="T955" s="34"/>
      <c r="U955" s="34"/>
      <c r="V955" s="166">
        <f>ROUND((K955+N955+P955+R955)*(U955+T955),0)</f>
        <v>0</v>
      </c>
      <c r="W955" s="156">
        <f>K955+N955+P955+R955+V955</f>
        <v>14000</v>
      </c>
      <c r="X955" s="166">
        <f>K955-I955</f>
        <v>14000</v>
      </c>
      <c r="Y955" s="166">
        <f>ROUND(H955*X955,0)</f>
        <v>1960094</v>
      </c>
      <c r="Z955" s="166">
        <f>W955-I955</f>
        <v>14000</v>
      </c>
      <c r="AA955" s="166">
        <f>ROUND(H955*Z955,0)</f>
        <v>1960094</v>
      </c>
      <c r="AB955" s="166">
        <f>ROUND(H955*W955,0)</f>
        <v>1960094</v>
      </c>
    </row>
    <row r="956" spans="1:28" ht="30" hidden="1" x14ac:dyDescent="0.25">
      <c r="A956" s="168"/>
      <c r="B956" s="133" t="str">
        <f>'Công trình'!B320</f>
        <v>CV.0102</v>
      </c>
      <c r="C956" s="34"/>
      <c r="D956" s="133" t="str">
        <f>'Công trình'!C320</f>
        <v>Sản xuất cửa van bằng thép không gỉ, chiều rộng cống (B) &lt;= 8m</v>
      </c>
      <c r="E956" s="168"/>
      <c r="F956" s="20">
        <v>1</v>
      </c>
      <c r="G956" s="169"/>
      <c r="H956" s="45">
        <f>'Hao phí vật tư'!J2369</f>
        <v>45.291200000000003</v>
      </c>
      <c r="I956" s="166"/>
      <c r="J956" s="156">
        <f>ROUND(H956*I955,2)</f>
        <v>0</v>
      </c>
      <c r="K956" s="166"/>
      <c r="L956" s="156">
        <f>ROUND(H956*K955,2)</f>
        <v>634076.80000000005</v>
      </c>
      <c r="M956" s="34"/>
      <c r="N956" s="166"/>
      <c r="O956" s="156">
        <f>ROUND(H956*N955,2)</f>
        <v>0</v>
      </c>
      <c r="P956" s="166"/>
      <c r="Q956" s="156">
        <f>ROUND(H956*P955,2)</f>
        <v>0</v>
      </c>
      <c r="R956" s="166"/>
      <c r="S956" s="156">
        <f>ROUND(H956*R955,2)</f>
        <v>0</v>
      </c>
      <c r="T956" s="34"/>
      <c r="U956" s="34"/>
      <c r="V956" s="166"/>
      <c r="W956" s="166"/>
      <c r="X956" s="166"/>
      <c r="Y956" s="156">
        <f>ROUND(H956*X955,2)</f>
        <v>634076.80000000005</v>
      </c>
      <c r="Z956" s="166"/>
      <c r="AA956" s="156">
        <f>ROUND(H956*Z955,2)</f>
        <v>634076.80000000005</v>
      </c>
      <c r="AB956" s="156">
        <f>ROUND(H956*W955,2)</f>
        <v>634076.80000000005</v>
      </c>
    </row>
    <row r="957" spans="1:28" ht="30" hidden="1" x14ac:dyDescent="0.25">
      <c r="A957" s="168"/>
      <c r="B957" s="133" t="str">
        <f>'Công trình'!B321</f>
        <v>CV.0202</v>
      </c>
      <c r="C957" s="34"/>
      <c r="D957" s="133" t="str">
        <f>'Công trình'!C321</f>
        <v>Lắp đặt cửa van bằng thép không gỉ, chiều rộng cống (B) &lt;= 8m</v>
      </c>
      <c r="E957" s="168"/>
      <c r="F957" s="20">
        <v>1</v>
      </c>
      <c r="G957" s="169"/>
      <c r="H957" s="45">
        <f>'Hao phí vật tư'!J2391</f>
        <v>94.715500000000006</v>
      </c>
      <c r="I957" s="166"/>
      <c r="J957" s="156">
        <f>ROUND(H957*I955,2)</f>
        <v>0</v>
      </c>
      <c r="K957" s="166"/>
      <c r="L957" s="156">
        <f>ROUND(H957*K955,2)</f>
        <v>1326017</v>
      </c>
      <c r="M957" s="34"/>
      <c r="N957" s="166"/>
      <c r="O957" s="156">
        <f>ROUND(H957*N955,2)</f>
        <v>0</v>
      </c>
      <c r="P957" s="166"/>
      <c r="Q957" s="156">
        <f>ROUND(H957*P955,2)</f>
        <v>0</v>
      </c>
      <c r="R957" s="166"/>
      <c r="S957" s="156">
        <f>ROUND(H957*R955,2)</f>
        <v>0</v>
      </c>
      <c r="T957" s="34"/>
      <c r="U957" s="34"/>
      <c r="V957" s="166"/>
      <c r="W957" s="166"/>
      <c r="X957" s="166"/>
      <c r="Y957" s="156">
        <f>ROUND(H957*X955,2)</f>
        <v>1326017</v>
      </c>
      <c r="Z957" s="166"/>
      <c r="AA957" s="156">
        <f>ROUND(H957*Z955,2)</f>
        <v>1326017</v>
      </c>
      <c r="AB957" s="156">
        <f>ROUND(H957*W955,2)</f>
        <v>1326017</v>
      </c>
    </row>
    <row r="958" spans="1:28" x14ac:dyDescent="0.25">
      <c r="A958" s="168">
        <v>13</v>
      </c>
      <c r="B958" s="84" t="s">
        <v>150</v>
      </c>
      <c r="C958" s="34">
        <v>825</v>
      </c>
      <c r="D958" s="144" t="s">
        <v>19</v>
      </c>
      <c r="E958" s="168" t="s">
        <v>555</v>
      </c>
      <c r="F958" s="34"/>
      <c r="G958" s="169"/>
      <c r="H958" s="60">
        <f>SUM(H959:H959)</f>
        <v>604.11270000000002</v>
      </c>
      <c r="I958" s="166">
        <v>0</v>
      </c>
      <c r="J958" s="166">
        <f>ROUND(H958*I958,0)</f>
        <v>0</v>
      </c>
      <c r="K958" s="156">
        <f>'Tổng hợp VL,NC,M'!I562</f>
        <v>145455</v>
      </c>
      <c r="L958" s="166">
        <f>ROUND(H958*K958,0)</f>
        <v>87871213</v>
      </c>
      <c r="M958" s="34">
        <v>1</v>
      </c>
      <c r="N958" s="166"/>
      <c r="O958" s="166">
        <f>ROUND(H958*N958,0)</f>
        <v>0</v>
      </c>
      <c r="P958" s="166"/>
      <c r="Q958" s="166">
        <f>ROUND(H958*P958,0)</f>
        <v>0</v>
      </c>
      <c r="R958" s="166"/>
      <c r="S958" s="166">
        <f>ROUND(H958*R958,0)</f>
        <v>0</v>
      </c>
      <c r="T958" s="34"/>
      <c r="U958" s="34"/>
      <c r="V958" s="166">
        <f>ROUND((K958+N958+P958+R958)*(U958+T958),0)</f>
        <v>0</v>
      </c>
      <c r="W958" s="156">
        <f>K958+N958+P958+R958+V958</f>
        <v>145455</v>
      </c>
      <c r="X958" s="166">
        <f>K958-I958</f>
        <v>145455</v>
      </c>
      <c r="Y958" s="166">
        <f>ROUND(H958*X958,0)</f>
        <v>87871213</v>
      </c>
      <c r="Z958" s="166">
        <f>W958-I958</f>
        <v>145455</v>
      </c>
      <c r="AA958" s="166">
        <f>ROUND(H958*Z958,0)</f>
        <v>87871213</v>
      </c>
      <c r="AB958" s="166">
        <f>ROUND(H958*W958,0)</f>
        <v>87871213</v>
      </c>
    </row>
    <row r="959" spans="1:28" ht="30" hidden="1" x14ac:dyDescent="0.25">
      <c r="A959" s="168"/>
      <c r="B959" s="133" t="str">
        <f>'Công trình'!B320</f>
        <v>CV.0102</v>
      </c>
      <c r="C959" s="34"/>
      <c r="D959" s="133" t="str">
        <f>'Công trình'!C320</f>
        <v>Sản xuất cửa van bằng thép không gỉ, chiều rộng cống (B) &lt;= 8m</v>
      </c>
      <c r="E959" s="168"/>
      <c r="F959" s="20">
        <v>1</v>
      </c>
      <c r="G959" s="169"/>
      <c r="H959" s="45">
        <f>'Hao phí vật tư'!J2368</f>
        <v>604.11270000000002</v>
      </c>
      <c r="I959" s="166"/>
      <c r="J959" s="156">
        <f>ROUND(H959*I958,2)</f>
        <v>0</v>
      </c>
      <c r="K959" s="166"/>
      <c r="L959" s="156">
        <f>ROUND(H959*K958,2)</f>
        <v>87871212.780000001</v>
      </c>
      <c r="M959" s="34"/>
      <c r="N959" s="166"/>
      <c r="O959" s="156">
        <f>ROUND(H959*N958,2)</f>
        <v>0</v>
      </c>
      <c r="P959" s="166"/>
      <c r="Q959" s="156">
        <f>ROUND(H959*P958,2)</f>
        <v>0</v>
      </c>
      <c r="R959" s="166"/>
      <c r="S959" s="156">
        <f>ROUND(H959*R958,2)</f>
        <v>0</v>
      </c>
      <c r="T959" s="34"/>
      <c r="U959" s="34"/>
      <c r="V959" s="166"/>
      <c r="W959" s="166"/>
      <c r="X959" s="166"/>
      <c r="Y959" s="156">
        <f>ROUND(H959*X958,2)</f>
        <v>87871212.780000001</v>
      </c>
      <c r="Z959" s="166"/>
      <c r="AA959" s="156">
        <f>ROUND(H959*Z958,2)</f>
        <v>87871212.780000001</v>
      </c>
      <c r="AB959" s="156">
        <f>ROUND(H959*W958,2)</f>
        <v>87871212.780000001</v>
      </c>
    </row>
    <row r="960" spans="1:28" x14ac:dyDescent="0.25">
      <c r="A960" s="168">
        <v>14</v>
      </c>
      <c r="B960" s="84" t="s">
        <v>165</v>
      </c>
      <c r="C960" s="34">
        <v>781</v>
      </c>
      <c r="D960" s="144" t="s">
        <v>672</v>
      </c>
      <c r="E960" s="168" t="s">
        <v>555</v>
      </c>
      <c r="F960" s="34"/>
      <c r="G960" s="169"/>
      <c r="H960" s="60">
        <f>SUM(H961:H963)</f>
        <v>1556.5880000000002</v>
      </c>
      <c r="I960" s="166">
        <v>16050</v>
      </c>
      <c r="J960" s="166">
        <f>ROUND(H960*I960,0)</f>
        <v>24983237</v>
      </c>
      <c r="K960" s="139">
        <f>'Tổng hợp VL,NC,M'!I589</f>
        <v>15291</v>
      </c>
      <c r="L960" s="166">
        <f>ROUND(H960*K960,0)</f>
        <v>23801787</v>
      </c>
      <c r="M960" s="34">
        <v>1</v>
      </c>
      <c r="N960" s="166"/>
      <c r="O960" s="166">
        <f>ROUND(H960*N960,0)</f>
        <v>0</v>
      </c>
      <c r="P960" s="166"/>
      <c r="Q960" s="166">
        <f>ROUND(H960*P960,0)</f>
        <v>0</v>
      </c>
      <c r="R960" s="166"/>
      <c r="S960" s="166">
        <f>ROUND(H960*R960,0)</f>
        <v>0</v>
      </c>
      <c r="T960" s="34"/>
      <c r="U960" s="34"/>
      <c r="V960" s="166">
        <f>ROUND((K960+N960+P960+R960)*(U960+T960),0)</f>
        <v>0</v>
      </c>
      <c r="W960" s="139">
        <f>K960+N960+P960+R960+V960</f>
        <v>15291</v>
      </c>
      <c r="X960" s="166">
        <f>K960-I960</f>
        <v>-759</v>
      </c>
      <c r="Y960" s="166">
        <f>ROUND(H960*X960,0)</f>
        <v>-1181450</v>
      </c>
      <c r="Z960" s="166">
        <f>W960-I960</f>
        <v>-759</v>
      </c>
      <c r="AA960" s="166">
        <f>ROUND(H960*Z960,0)</f>
        <v>-1181450</v>
      </c>
      <c r="AB960" s="166">
        <f>ROUND(H960*W960,0)</f>
        <v>23801787</v>
      </c>
    </row>
    <row r="961" spans="1:28" hidden="1" x14ac:dyDescent="0.25">
      <c r="A961" s="168"/>
      <c r="B961" s="133" t="str">
        <f>'Công trình'!B316</f>
        <v>AI.52211</v>
      </c>
      <c r="C961" s="34"/>
      <c r="D961" s="133" t="str">
        <f>'Công trình'!C316</f>
        <v>Sản xuất kết cấu thép khe phai - thép CT3</v>
      </c>
      <c r="E961" s="168"/>
      <c r="F961" s="20">
        <v>1</v>
      </c>
      <c r="G961" s="169"/>
      <c r="H961" s="45">
        <f>'Hao phí vật tư'!J2310</f>
        <v>534.24</v>
      </c>
      <c r="I961" s="166"/>
      <c r="J961" s="156">
        <f>ROUND(H961*I960,2)</f>
        <v>8574552</v>
      </c>
      <c r="K961" s="166"/>
      <c r="L961" s="156">
        <f>ROUND(H961*K960,2)</f>
        <v>8169063.8399999999</v>
      </c>
      <c r="M961" s="34"/>
      <c r="N961" s="166"/>
      <c r="O961" s="156">
        <f>ROUND(H961*N960,2)</f>
        <v>0</v>
      </c>
      <c r="P961" s="166"/>
      <c r="Q961" s="156">
        <f>ROUND(H961*P960,2)</f>
        <v>0</v>
      </c>
      <c r="R961" s="166"/>
      <c r="S961" s="156">
        <f>ROUND(H961*R960,2)</f>
        <v>0</v>
      </c>
      <c r="T961" s="34"/>
      <c r="U961" s="34"/>
      <c r="V961" s="166"/>
      <c r="W961" s="166"/>
      <c r="X961" s="166"/>
      <c r="Y961" s="156">
        <f>ROUND(H961*X960,2)</f>
        <v>-405488.16</v>
      </c>
      <c r="Z961" s="166"/>
      <c r="AA961" s="156">
        <f>ROUND(H961*Z960,2)</f>
        <v>-405488.16</v>
      </c>
      <c r="AB961" s="156">
        <f>ROUND(H961*W960,2)</f>
        <v>8169063.8399999999</v>
      </c>
    </row>
    <row r="962" spans="1:28" hidden="1" x14ac:dyDescent="0.25">
      <c r="A962" s="168"/>
      <c r="B962" s="133" t="str">
        <f>'Công trình'!B318</f>
        <v>AI.52211</v>
      </c>
      <c r="C962" s="34"/>
      <c r="D962" s="133" t="str">
        <f>'Công trình'!C318</f>
        <v>Sản xuất kết cấu thép khe cửa - thép CT3</v>
      </c>
      <c r="E962" s="168"/>
      <c r="F962" s="20">
        <v>1</v>
      </c>
      <c r="G962" s="169"/>
      <c r="H962" s="45">
        <f>'Hao phí vật tư'!J2341</f>
        <v>540.16</v>
      </c>
      <c r="I962" s="166"/>
      <c r="J962" s="156">
        <f>ROUND(H962*I960,2)</f>
        <v>8669568</v>
      </c>
      <c r="K962" s="166"/>
      <c r="L962" s="156">
        <f>ROUND(H962*K960,2)</f>
        <v>8259586.5599999996</v>
      </c>
      <c r="M962" s="34"/>
      <c r="N962" s="166"/>
      <c r="O962" s="156">
        <f>ROUND(H962*N960,2)</f>
        <v>0</v>
      </c>
      <c r="P962" s="166"/>
      <c r="Q962" s="156">
        <f>ROUND(H962*P960,2)</f>
        <v>0</v>
      </c>
      <c r="R962" s="166"/>
      <c r="S962" s="156">
        <f>ROUND(H962*R960,2)</f>
        <v>0</v>
      </c>
      <c r="T962" s="34"/>
      <c r="U962" s="34"/>
      <c r="V962" s="166"/>
      <c r="W962" s="166"/>
      <c r="X962" s="166"/>
      <c r="Y962" s="156">
        <f>ROUND(H962*X960,2)</f>
        <v>-409981.44</v>
      </c>
      <c r="Z962" s="166"/>
      <c r="AA962" s="156">
        <f>ROUND(H962*Z960,2)</f>
        <v>-409981.44</v>
      </c>
      <c r="AB962" s="156">
        <f>ROUND(H962*W960,2)</f>
        <v>8259586.5599999996</v>
      </c>
    </row>
    <row r="963" spans="1:28" ht="30" hidden="1" x14ac:dyDescent="0.25">
      <c r="A963" s="168"/>
      <c r="B963" s="133" t="str">
        <f>'Công trình'!B321</f>
        <v>CV.0202</v>
      </c>
      <c r="C963" s="34"/>
      <c r="D963" s="133" t="str">
        <f>'Công trình'!C321</f>
        <v>Lắp đặt cửa van bằng thép không gỉ, chiều rộng cống (B) &lt;= 8m</v>
      </c>
      <c r="E963" s="168"/>
      <c r="F963" s="20">
        <v>1</v>
      </c>
      <c r="G963" s="169"/>
      <c r="H963" s="45">
        <f>'Hao phí vật tư'!J2390</f>
        <v>482.18799999999999</v>
      </c>
      <c r="I963" s="166"/>
      <c r="J963" s="156">
        <f>ROUND(H963*I960,2)</f>
        <v>7739117.4000000004</v>
      </c>
      <c r="K963" s="166"/>
      <c r="L963" s="156">
        <f>ROUND(H963*K960,2)</f>
        <v>7373136.71</v>
      </c>
      <c r="M963" s="34"/>
      <c r="N963" s="166"/>
      <c r="O963" s="156">
        <f>ROUND(H963*N960,2)</f>
        <v>0</v>
      </c>
      <c r="P963" s="166"/>
      <c r="Q963" s="156">
        <f>ROUND(H963*P960,2)</f>
        <v>0</v>
      </c>
      <c r="R963" s="166"/>
      <c r="S963" s="156">
        <f>ROUND(H963*R960,2)</f>
        <v>0</v>
      </c>
      <c r="T963" s="34"/>
      <c r="U963" s="34"/>
      <c r="V963" s="166"/>
      <c r="W963" s="166"/>
      <c r="X963" s="166"/>
      <c r="Y963" s="156">
        <f>ROUND(H963*X960,2)</f>
        <v>-365980.69</v>
      </c>
      <c r="Z963" s="166"/>
      <c r="AA963" s="156">
        <f>ROUND(H963*Z960,2)</f>
        <v>-365980.69</v>
      </c>
      <c r="AB963" s="156">
        <f>ROUND(H963*W960,2)</f>
        <v>7373136.71</v>
      </c>
    </row>
    <row r="964" spans="1:28" x14ac:dyDescent="0.25">
      <c r="A964" s="168">
        <v>15</v>
      </c>
      <c r="B964" s="84" t="s">
        <v>429</v>
      </c>
      <c r="C964" s="34">
        <v>827</v>
      </c>
      <c r="D964" s="144" t="s">
        <v>152</v>
      </c>
      <c r="E964" s="168" t="s">
        <v>555</v>
      </c>
      <c r="F964" s="34"/>
      <c r="G964" s="169"/>
      <c r="H964" s="60">
        <f>SUM(H965:H965)</f>
        <v>18082.05</v>
      </c>
      <c r="I964" s="166">
        <v>0</v>
      </c>
      <c r="J964" s="166">
        <f>ROUND(H964*I964,0)</f>
        <v>0</v>
      </c>
      <c r="K964" s="156">
        <f>'Tổng hợp VL,NC,M'!I640</f>
        <v>59000</v>
      </c>
      <c r="L964" s="166">
        <f>ROUND(H964*K964,0)</f>
        <v>1066840950</v>
      </c>
      <c r="M964" s="34">
        <v>1</v>
      </c>
      <c r="N964" s="166"/>
      <c r="O964" s="166">
        <f>ROUND(H964*N964,0)</f>
        <v>0</v>
      </c>
      <c r="P964" s="166"/>
      <c r="Q964" s="166">
        <f>ROUND(H964*P964,0)</f>
        <v>0</v>
      </c>
      <c r="R964" s="166"/>
      <c r="S964" s="166">
        <f>ROUND(H964*R964,0)</f>
        <v>0</v>
      </c>
      <c r="T964" s="34"/>
      <c r="U964" s="34"/>
      <c r="V964" s="166">
        <f>ROUND((K964+N964+P964+R964)*(U964+T964),0)</f>
        <v>0</v>
      </c>
      <c r="W964" s="156">
        <f>K964+N964+P964+R964+V964</f>
        <v>59000</v>
      </c>
      <c r="X964" s="166">
        <f>K964-I964</f>
        <v>59000</v>
      </c>
      <c r="Y964" s="166">
        <f>ROUND(H964*X964,0)</f>
        <v>1066840950</v>
      </c>
      <c r="Z964" s="166">
        <f>W964-I964</f>
        <v>59000</v>
      </c>
      <c r="AA964" s="166">
        <f>ROUND(H964*Z964,0)</f>
        <v>1066840950</v>
      </c>
      <c r="AB964" s="166">
        <f>ROUND(H964*W964,0)</f>
        <v>1066840950</v>
      </c>
    </row>
    <row r="965" spans="1:28" ht="30" hidden="1" x14ac:dyDescent="0.25">
      <c r="A965" s="168"/>
      <c r="B965" s="133" t="str">
        <f>'Công trình'!B320</f>
        <v>CV.0102</v>
      </c>
      <c r="C965" s="34"/>
      <c r="D965" s="133" t="str">
        <f>'Công trình'!C320</f>
        <v>Sản xuất cửa van bằng thép không gỉ, chiều rộng cống (B) &lt;= 8m</v>
      </c>
      <c r="E965" s="168"/>
      <c r="F965" s="20">
        <v>1</v>
      </c>
      <c r="G965" s="169"/>
      <c r="H965" s="45">
        <f>'Hao phí vật tư'!J2370</f>
        <v>18082.05</v>
      </c>
      <c r="I965" s="166"/>
      <c r="J965" s="156">
        <f>ROUND(H965*I964,2)</f>
        <v>0</v>
      </c>
      <c r="K965" s="166"/>
      <c r="L965" s="156">
        <f>ROUND(H965*K964,2)</f>
        <v>1066840950</v>
      </c>
      <c r="M965" s="34"/>
      <c r="N965" s="166"/>
      <c r="O965" s="156">
        <f>ROUND(H965*N964,2)</f>
        <v>0</v>
      </c>
      <c r="P965" s="166"/>
      <c r="Q965" s="156">
        <f>ROUND(H965*P964,2)</f>
        <v>0</v>
      </c>
      <c r="R965" s="166"/>
      <c r="S965" s="156">
        <f>ROUND(H965*R964,2)</f>
        <v>0</v>
      </c>
      <c r="T965" s="34"/>
      <c r="U965" s="34"/>
      <c r="V965" s="166"/>
      <c r="W965" s="166"/>
      <c r="X965" s="166"/>
      <c r="Y965" s="156">
        <f>ROUND(H965*X964,2)</f>
        <v>1066840950</v>
      </c>
      <c r="Z965" s="166"/>
      <c r="AA965" s="156">
        <f>ROUND(H965*Z964,2)</f>
        <v>1066840950</v>
      </c>
      <c r="AB965" s="156">
        <f>ROUND(H965*W964,2)</f>
        <v>1066840950</v>
      </c>
    </row>
    <row r="966" spans="1:28" x14ac:dyDescent="0.25">
      <c r="A966" s="168">
        <v>16</v>
      </c>
      <c r="B966" s="84" t="s">
        <v>210</v>
      </c>
      <c r="C966" s="34">
        <v>788</v>
      </c>
      <c r="D966" s="144" t="s">
        <v>986</v>
      </c>
      <c r="E966" s="168" t="s">
        <v>555</v>
      </c>
      <c r="F966" s="34"/>
      <c r="G966" s="169"/>
      <c r="H966" s="60">
        <f>SUM(H967:H968)</f>
        <v>2040.5700000000002</v>
      </c>
      <c r="I966" s="166">
        <v>16050</v>
      </c>
      <c r="J966" s="166">
        <f>ROUND(H966*I966,0)</f>
        <v>32751149</v>
      </c>
      <c r="K966" s="156">
        <f>'Tổng hợp VL,NC,M'!I644</f>
        <v>59000</v>
      </c>
      <c r="L966" s="166">
        <f>ROUND(H966*K966,0)</f>
        <v>120393630</v>
      </c>
      <c r="M966" s="34">
        <v>1</v>
      </c>
      <c r="N966" s="166"/>
      <c r="O966" s="166">
        <f>ROUND(H966*N966,0)</f>
        <v>0</v>
      </c>
      <c r="P966" s="166"/>
      <c r="Q966" s="166">
        <f>ROUND(H966*P966,0)</f>
        <v>0</v>
      </c>
      <c r="R966" s="166"/>
      <c r="S966" s="166">
        <f>ROUND(H966*R966,0)</f>
        <v>0</v>
      </c>
      <c r="T966" s="34"/>
      <c r="U966" s="34"/>
      <c r="V966" s="166">
        <f>ROUND((K966+N966+P966+R966)*(U966+T966),0)</f>
        <v>0</v>
      </c>
      <c r="W966" s="156">
        <f>K966+N966+P966+R966+V966</f>
        <v>59000</v>
      </c>
      <c r="X966" s="166">
        <f>K966-I966</f>
        <v>42950</v>
      </c>
      <c r="Y966" s="166">
        <f>ROUND(H966*X966,0)</f>
        <v>87642482</v>
      </c>
      <c r="Z966" s="166">
        <f>W966-I966</f>
        <v>42950</v>
      </c>
      <c r="AA966" s="166">
        <f>ROUND(H966*Z966,0)</f>
        <v>87642482</v>
      </c>
      <c r="AB966" s="166">
        <f>ROUND(H966*W966,0)</f>
        <v>120393630</v>
      </c>
    </row>
    <row r="967" spans="1:28" hidden="1" x14ac:dyDescent="0.25">
      <c r="A967" s="168"/>
      <c r="B967" s="133" t="str">
        <f>'Công trình'!B317</f>
        <v>AI.52211</v>
      </c>
      <c r="C967" s="34"/>
      <c r="D967" s="133" t="str">
        <f>'Công trình'!C317</f>
        <v>Sản xuất kết cấu thép khe phai - thép SUS304</v>
      </c>
      <c r="E967" s="168"/>
      <c r="F967" s="20">
        <v>1</v>
      </c>
      <c r="G967" s="169"/>
      <c r="H967" s="45">
        <f>'Hao phí vật tư'!J2325</f>
        <v>935.62</v>
      </c>
      <c r="I967" s="166"/>
      <c r="J967" s="156">
        <f>ROUND(H967*I966,2)</f>
        <v>15016701</v>
      </c>
      <c r="K967" s="166"/>
      <c r="L967" s="156">
        <f>ROUND(H967*K966,2)</f>
        <v>55201580</v>
      </c>
      <c r="M967" s="34"/>
      <c r="N967" s="166"/>
      <c r="O967" s="156">
        <f>ROUND(H967*N966,2)</f>
        <v>0</v>
      </c>
      <c r="P967" s="166"/>
      <c r="Q967" s="156">
        <f>ROUND(H967*P966,2)</f>
        <v>0</v>
      </c>
      <c r="R967" s="166"/>
      <c r="S967" s="156">
        <f>ROUND(H967*R966,2)</f>
        <v>0</v>
      </c>
      <c r="T967" s="34"/>
      <c r="U967" s="34"/>
      <c r="V967" s="166"/>
      <c r="W967" s="166"/>
      <c r="X967" s="166"/>
      <c r="Y967" s="156">
        <f>ROUND(H967*X966,2)</f>
        <v>40184879</v>
      </c>
      <c r="Z967" s="166"/>
      <c r="AA967" s="156">
        <f>ROUND(H967*Z966,2)</f>
        <v>40184879</v>
      </c>
      <c r="AB967" s="156">
        <f>ROUND(H967*W966,2)</f>
        <v>55201580</v>
      </c>
    </row>
    <row r="968" spans="1:28" hidden="1" x14ac:dyDescent="0.25">
      <c r="A968" s="168"/>
      <c r="B968" s="133" t="str">
        <f>'Công trình'!B319</f>
        <v>AI.52211</v>
      </c>
      <c r="C968" s="34"/>
      <c r="D968" s="133" t="str">
        <f>'Công trình'!C319</f>
        <v>Sản xuất kết cấu thép khe cửa- thép SUS304</v>
      </c>
      <c r="E968" s="168"/>
      <c r="F968" s="20">
        <v>1</v>
      </c>
      <c r="G968" s="169"/>
      <c r="H968" s="45">
        <f>'Hao phí vật tư'!J2356</f>
        <v>1104.95</v>
      </c>
      <c r="I968" s="166"/>
      <c r="J968" s="156">
        <f>ROUND(H968*I966,2)</f>
        <v>17734447.5</v>
      </c>
      <c r="K968" s="166"/>
      <c r="L968" s="156">
        <f>ROUND(H968*K966,2)</f>
        <v>65192050</v>
      </c>
      <c r="M968" s="34"/>
      <c r="N968" s="166"/>
      <c r="O968" s="156">
        <f>ROUND(H968*N966,2)</f>
        <v>0</v>
      </c>
      <c r="P968" s="166"/>
      <c r="Q968" s="156">
        <f>ROUND(H968*P966,2)</f>
        <v>0</v>
      </c>
      <c r="R968" s="166"/>
      <c r="S968" s="156">
        <f>ROUND(H968*R966,2)</f>
        <v>0</v>
      </c>
      <c r="T968" s="34"/>
      <c r="U968" s="34"/>
      <c r="V968" s="166"/>
      <c r="W968" s="166"/>
      <c r="X968" s="166"/>
      <c r="Y968" s="156">
        <f>ROUND(H968*X966,2)</f>
        <v>47457602.5</v>
      </c>
      <c r="Z968" s="166"/>
      <c r="AA968" s="156">
        <f>ROUND(H968*Z966,2)</f>
        <v>47457602.5</v>
      </c>
      <c r="AB968" s="156">
        <f>ROUND(H968*W966,2)</f>
        <v>65192050</v>
      </c>
    </row>
    <row r="969" spans="1:28" x14ac:dyDescent="0.25">
      <c r="A969" s="168">
        <v>17</v>
      </c>
      <c r="B969" s="84" t="s">
        <v>132</v>
      </c>
      <c r="C969" s="34">
        <v>783</v>
      </c>
      <c r="D969" s="144" t="s">
        <v>1003</v>
      </c>
      <c r="E969" s="168" t="s">
        <v>555</v>
      </c>
      <c r="F969" s="34"/>
      <c r="G969" s="169"/>
      <c r="H969" s="60">
        <f>SUM(H970:H972)</f>
        <v>377.42250000000001</v>
      </c>
      <c r="I969" s="166">
        <v>16050</v>
      </c>
      <c r="J969" s="166">
        <f>ROUND(H969*I969,0)</f>
        <v>6057631</v>
      </c>
      <c r="K969" s="139">
        <f>'Tổng hợp VL,NC,M'!I647</f>
        <v>12574</v>
      </c>
      <c r="L969" s="166">
        <f>ROUND(H969*K969,0)</f>
        <v>4745711</v>
      </c>
      <c r="M969" s="34">
        <v>1</v>
      </c>
      <c r="N969" s="166"/>
      <c r="O969" s="166">
        <f>ROUND(H969*N969,0)</f>
        <v>0</v>
      </c>
      <c r="P969" s="166"/>
      <c r="Q969" s="166">
        <f>ROUND(H969*P969,0)</f>
        <v>0</v>
      </c>
      <c r="R969" s="166"/>
      <c r="S969" s="166">
        <f>ROUND(H969*R969,0)</f>
        <v>0</v>
      </c>
      <c r="T969" s="34"/>
      <c r="U969" s="34"/>
      <c r="V969" s="166">
        <f>ROUND((K969+N969+P969+R969)*(U969+T969),0)</f>
        <v>0</v>
      </c>
      <c r="W969" s="139">
        <f>K969+N969+P969+R969+V969</f>
        <v>12574</v>
      </c>
      <c r="X969" s="166">
        <f>K969-I969</f>
        <v>-3476</v>
      </c>
      <c r="Y969" s="166">
        <f>ROUND(H969*X969,0)</f>
        <v>-1311921</v>
      </c>
      <c r="Z969" s="166">
        <f>W969-I969</f>
        <v>-3476</v>
      </c>
      <c r="AA969" s="166">
        <f>ROUND(H969*Z969,0)</f>
        <v>-1311921</v>
      </c>
      <c r="AB969" s="166">
        <f>ROUND(H969*W969,0)</f>
        <v>4745711</v>
      </c>
    </row>
    <row r="970" spans="1:28" hidden="1" x14ac:dyDescent="0.25">
      <c r="A970" s="168"/>
      <c r="B970" s="133" t="str">
        <f>'Công trình'!B322</f>
        <v>AI.65411</v>
      </c>
      <c r="C970" s="34"/>
      <c r="D970" s="133" t="str">
        <f>'Công trình'!C322</f>
        <v>Lắp đặt kết cấu thép khe van, khe phai</v>
      </c>
      <c r="E970" s="168"/>
      <c r="F970" s="20">
        <v>1</v>
      </c>
      <c r="G970" s="169"/>
      <c r="H970" s="45">
        <f>'Hao phí vật tư'!J2409</f>
        <v>41.672499999999999</v>
      </c>
      <c r="I970" s="166"/>
      <c r="J970" s="156">
        <f>ROUND(H970*I969,2)</f>
        <v>668843.63</v>
      </c>
      <c r="K970" s="166"/>
      <c r="L970" s="156">
        <f>ROUND(H970*K969,2)</f>
        <v>523990.02</v>
      </c>
      <c r="M970" s="34"/>
      <c r="N970" s="166"/>
      <c r="O970" s="156">
        <f>ROUND(H970*N969,2)</f>
        <v>0</v>
      </c>
      <c r="P970" s="166"/>
      <c r="Q970" s="156">
        <f>ROUND(H970*P969,2)</f>
        <v>0</v>
      </c>
      <c r="R970" s="166"/>
      <c r="S970" s="156">
        <f>ROUND(H970*R969,2)</f>
        <v>0</v>
      </c>
      <c r="T970" s="34"/>
      <c r="U970" s="34"/>
      <c r="V970" s="166"/>
      <c r="W970" s="166"/>
      <c r="X970" s="166"/>
      <c r="Y970" s="156">
        <f>ROUND(H970*X969,2)</f>
        <v>-144853.60999999999</v>
      </c>
      <c r="Z970" s="166"/>
      <c r="AA970" s="156">
        <f>ROUND(H970*Z969,2)</f>
        <v>-144853.60999999999</v>
      </c>
      <c r="AB970" s="156">
        <f>ROUND(H970*W969,2)</f>
        <v>523990.02</v>
      </c>
    </row>
    <row r="971" spans="1:28" hidden="1" x14ac:dyDescent="0.25">
      <c r="A971" s="168"/>
      <c r="B971" s="133" t="str">
        <f>'Công trình'!B316</f>
        <v>AI.52211</v>
      </c>
      <c r="C971" s="34"/>
      <c r="D971" s="133" t="str">
        <f>'Công trình'!C316</f>
        <v>Sản xuất kết cấu thép khe phai - thép CT3</v>
      </c>
      <c r="E971" s="168"/>
      <c r="F971" s="20">
        <v>1</v>
      </c>
      <c r="G971" s="169"/>
      <c r="H971" s="45">
        <f>'Hao phí vật tư'!J2309</f>
        <v>166.95</v>
      </c>
      <c r="I971" s="166"/>
      <c r="J971" s="156">
        <f>ROUND(H971*I969,2)</f>
        <v>2679547.5</v>
      </c>
      <c r="K971" s="166"/>
      <c r="L971" s="156">
        <f>ROUND(H971*K969,2)</f>
        <v>2099229.2999999998</v>
      </c>
      <c r="M971" s="34"/>
      <c r="N971" s="166"/>
      <c r="O971" s="156">
        <f>ROUND(H971*N969,2)</f>
        <v>0</v>
      </c>
      <c r="P971" s="166"/>
      <c r="Q971" s="156">
        <f>ROUND(H971*P969,2)</f>
        <v>0</v>
      </c>
      <c r="R971" s="166"/>
      <c r="S971" s="156">
        <f>ROUND(H971*R969,2)</f>
        <v>0</v>
      </c>
      <c r="T971" s="34"/>
      <c r="U971" s="34"/>
      <c r="V971" s="166"/>
      <c r="W971" s="166"/>
      <c r="X971" s="166"/>
      <c r="Y971" s="156">
        <f>ROUND(H971*X969,2)</f>
        <v>-580318.19999999995</v>
      </c>
      <c r="Z971" s="166"/>
      <c r="AA971" s="156">
        <f>ROUND(H971*Z969,2)</f>
        <v>-580318.19999999995</v>
      </c>
      <c r="AB971" s="156">
        <f>ROUND(H971*W969,2)</f>
        <v>2099229.2999999998</v>
      </c>
    </row>
    <row r="972" spans="1:28" hidden="1" x14ac:dyDescent="0.25">
      <c r="A972" s="168"/>
      <c r="B972" s="133" t="str">
        <f>'Công trình'!B318</f>
        <v>AI.52211</v>
      </c>
      <c r="C972" s="34"/>
      <c r="D972" s="133" t="str">
        <f>'Công trình'!C318</f>
        <v>Sản xuất kết cấu thép khe cửa - thép CT3</v>
      </c>
      <c r="E972" s="168"/>
      <c r="F972" s="20">
        <v>1</v>
      </c>
      <c r="G972" s="169"/>
      <c r="H972" s="45">
        <f>'Hao phí vật tư'!J2340</f>
        <v>168.8</v>
      </c>
      <c r="I972" s="166"/>
      <c r="J972" s="156">
        <f>ROUND(H972*I969,2)</f>
        <v>2709240</v>
      </c>
      <c r="K972" s="166"/>
      <c r="L972" s="156">
        <f>ROUND(H972*K969,2)</f>
        <v>2122491.2000000002</v>
      </c>
      <c r="M972" s="34"/>
      <c r="N972" s="166"/>
      <c r="O972" s="156">
        <f>ROUND(H972*N969,2)</f>
        <v>0</v>
      </c>
      <c r="P972" s="166"/>
      <c r="Q972" s="156">
        <f>ROUND(H972*P969,2)</f>
        <v>0</v>
      </c>
      <c r="R972" s="166"/>
      <c r="S972" s="156">
        <f>ROUND(H972*R969,2)</f>
        <v>0</v>
      </c>
      <c r="T972" s="34"/>
      <c r="U972" s="34"/>
      <c r="V972" s="166"/>
      <c r="W972" s="166"/>
      <c r="X972" s="166"/>
      <c r="Y972" s="156">
        <f>ROUND(H972*X969,2)</f>
        <v>-586748.80000000005</v>
      </c>
      <c r="Z972" s="166"/>
      <c r="AA972" s="156">
        <f>ROUND(H972*Z969,2)</f>
        <v>-586748.80000000005</v>
      </c>
      <c r="AB972" s="156">
        <f>ROUND(H972*W969,2)</f>
        <v>2122491.2000000002</v>
      </c>
    </row>
    <row r="973" spans="1:28" x14ac:dyDescent="0.25">
      <c r="A973" s="168">
        <v>18</v>
      </c>
      <c r="B973" s="84" t="s">
        <v>629</v>
      </c>
      <c r="C973" s="34">
        <v>793</v>
      </c>
      <c r="D973" s="144" t="s">
        <v>392</v>
      </c>
      <c r="E973" s="7" t="s">
        <v>584</v>
      </c>
      <c r="F973" s="34"/>
      <c r="G973" s="169"/>
      <c r="H973" s="60"/>
      <c r="I973" s="166"/>
      <c r="J973" s="166">
        <f>ROUND(SUM(J974:J980),0)</f>
        <v>1676670</v>
      </c>
      <c r="K973" s="166"/>
      <c r="L973" s="166">
        <f>ROUND(SUM(L974:L980),0)</f>
        <v>15075154</v>
      </c>
      <c r="M973" s="34">
        <v>1</v>
      </c>
      <c r="N973" s="166"/>
      <c r="O973" s="166">
        <f>ROUND(SUM(O974:O980),0)</f>
        <v>0</v>
      </c>
      <c r="P973" s="166"/>
      <c r="Q973" s="166">
        <f>ROUND(SUM(Q974:Q980),0)</f>
        <v>0</v>
      </c>
      <c r="R973" s="166"/>
      <c r="S973" s="166">
        <f>ROUND(SUM(S974:S980),0)</f>
        <v>0</v>
      </c>
      <c r="T973" s="34"/>
      <c r="U973" s="34"/>
      <c r="V973" s="166">
        <f>ROUND((K973+N973+P973+R973)*(U973+T973),0)</f>
        <v>0</v>
      </c>
      <c r="W973" s="166">
        <f>K973+N973+P973+R973+V973</f>
        <v>0</v>
      </c>
      <c r="X973" s="166"/>
      <c r="Y973" s="166">
        <f>ROUND(SUM(Y974:Y980),0)</f>
        <v>13398484</v>
      </c>
      <c r="Z973" s="166"/>
      <c r="AA973" s="166">
        <f>ROUND(SUM(AA974:AA980),0)</f>
        <v>13398484</v>
      </c>
      <c r="AB973" s="166">
        <f>ROUND(SUM(AB974:AB980),0)</f>
        <v>15075154</v>
      </c>
    </row>
    <row r="974" spans="1:28" hidden="1" x14ac:dyDescent="0.25">
      <c r="A974" s="168"/>
      <c r="B974" s="133" t="str">
        <f>'Công trình'!B322</f>
        <v>AI.65411</v>
      </c>
      <c r="C974" s="34"/>
      <c r="D974" s="133" t="str">
        <f>'Công trình'!C322</f>
        <v>Lắp đặt kết cấu thép khe van, khe phai</v>
      </c>
      <c r="E974" s="168"/>
      <c r="F974" s="20">
        <v>1</v>
      </c>
      <c r="G974" s="169"/>
      <c r="H974" s="45">
        <f>'Hao phí vật tư'!G2411</f>
        <v>2</v>
      </c>
      <c r="I974" s="166"/>
      <c r="J974" s="156">
        <f>ROUND((J920+J932+J936+J940+J949+J970)*H974/100,2)</f>
        <v>54124.09</v>
      </c>
      <c r="K974" s="166"/>
      <c r="L974" s="156">
        <f>ROUND((L920+L932+L936+L940+L949+L970)*H974/100,2)</f>
        <v>50546.83</v>
      </c>
      <c r="M974" s="34"/>
      <c r="N974" s="166"/>
      <c r="O974" s="156">
        <f>ROUND((O920+O932+O936+O940+O949+O970)*H974/100,2)</f>
        <v>0</v>
      </c>
      <c r="P974" s="166"/>
      <c r="Q974" s="156">
        <f>ROUND((Q920+Q932+Q936+Q940+Q949+Q970)*H974/100,2)</f>
        <v>0</v>
      </c>
      <c r="R974" s="166"/>
      <c r="S974" s="156">
        <f>ROUND((S920+S932+S936+S940+S949+S970)*H974/100,2)</f>
        <v>0</v>
      </c>
      <c r="T974" s="34"/>
      <c r="U974" s="34"/>
      <c r="V974" s="166"/>
      <c r="W974" s="166"/>
      <c r="X974" s="166"/>
      <c r="Y974" s="156">
        <f>ROUND((Y920+Y932+Y936+Y940+Y949+Y970)*H974/100,2)</f>
        <v>-3577.26</v>
      </c>
      <c r="Z974" s="166"/>
      <c r="AA974" s="156">
        <f>ROUND((AA920+AA932+AA936+AA940+AA949+AA970)*H974/100,2)</f>
        <v>-3577.26</v>
      </c>
      <c r="AB974" s="156">
        <f>ROUND((AB920+AB932+AB936+AB940+AB949+AB970)*H974/100,2)</f>
        <v>50546.83</v>
      </c>
    </row>
    <row r="975" spans="1:28" hidden="1" x14ac:dyDescent="0.25">
      <c r="A975" s="168"/>
      <c r="B975" s="133" t="str">
        <f>'Công trình'!B316</f>
        <v>AI.52211</v>
      </c>
      <c r="C975" s="34"/>
      <c r="D975" s="133" t="str">
        <f>'Công trình'!C316</f>
        <v>Sản xuất kết cấu thép khe phai - thép CT3</v>
      </c>
      <c r="E975" s="168"/>
      <c r="F975" s="20">
        <v>1</v>
      </c>
      <c r="G975" s="169"/>
      <c r="H975" s="45">
        <f>'Hao phí vật tư'!G2312</f>
        <v>2</v>
      </c>
      <c r="I975" s="166"/>
      <c r="J975" s="156">
        <f>ROUND((J921+J927+J942+J950+J961+J971)*H975/100,2)</f>
        <v>233393.94</v>
      </c>
      <c r="K975" s="166"/>
      <c r="L975" s="156">
        <f>ROUND((L921+L927+L942+L950+L961+L971)*H975/100,2)</f>
        <v>213677.82</v>
      </c>
      <c r="M975" s="34"/>
      <c r="N975" s="166"/>
      <c r="O975" s="156">
        <f>ROUND((O921+O927+O942+O950+O961+O971)*H975/100,2)</f>
        <v>0</v>
      </c>
      <c r="P975" s="166"/>
      <c r="Q975" s="156">
        <f>ROUND((Q921+Q927+Q942+Q950+Q961+Q971)*H975/100,2)</f>
        <v>0</v>
      </c>
      <c r="R975" s="166"/>
      <c r="S975" s="156">
        <f>ROUND((S921+S927+S942+S950+S961+S971)*H975/100,2)</f>
        <v>0</v>
      </c>
      <c r="T975" s="34"/>
      <c r="U975" s="34"/>
      <c r="V975" s="166"/>
      <c r="W975" s="166"/>
      <c r="X975" s="166"/>
      <c r="Y975" s="156">
        <f>ROUND((Y921+Y927+Y942+Y950+Y961+Y971)*H975/100,2)</f>
        <v>-19716.13</v>
      </c>
      <c r="Z975" s="166"/>
      <c r="AA975" s="156">
        <f>ROUND((AA921+AA927+AA942+AA950+AA961+AA971)*H975/100,2)</f>
        <v>-19716.13</v>
      </c>
      <c r="AB975" s="156">
        <f>ROUND((AB921+AB927+AB942+AB950+AB961+AB971)*H975/100,2)</f>
        <v>213677.82</v>
      </c>
    </row>
    <row r="976" spans="1:28" hidden="1" x14ac:dyDescent="0.25">
      <c r="A976" s="168"/>
      <c r="B976" s="133" t="str">
        <f>'Công trình'!B317</f>
        <v>AI.52211</v>
      </c>
      <c r="C976" s="34"/>
      <c r="D976" s="133" t="str">
        <f>'Công trình'!C317</f>
        <v>Sản xuất kết cấu thép khe phai - thép SUS304</v>
      </c>
      <c r="E976" s="168"/>
      <c r="F976" s="20">
        <v>1</v>
      </c>
      <c r="G976" s="169"/>
      <c r="H976" s="45">
        <f>'Hao phí vật tư'!G2327</f>
        <v>2</v>
      </c>
      <c r="I976" s="166"/>
      <c r="J976" s="156">
        <f>ROUND((J922+J928+J943+J953+J967)*H976/100,2)</f>
        <v>311695.31</v>
      </c>
      <c r="K976" s="166"/>
      <c r="L976" s="156">
        <f>ROUND((L922+L928+L943+L953+L967)*H976/100,2)</f>
        <v>1158647.29</v>
      </c>
      <c r="M976" s="34"/>
      <c r="N976" s="166"/>
      <c r="O976" s="156">
        <f>ROUND((O922+O928+O943+O953+O967)*H976/100,2)</f>
        <v>0</v>
      </c>
      <c r="P976" s="166"/>
      <c r="Q976" s="156">
        <f>ROUND((Q922+Q928+Q943+Q953+Q967)*H976/100,2)</f>
        <v>0</v>
      </c>
      <c r="R976" s="166"/>
      <c r="S976" s="156">
        <f>ROUND((S922+S928+S943+S953+S967)*H976/100,2)</f>
        <v>0</v>
      </c>
      <c r="T976" s="34"/>
      <c r="U976" s="34"/>
      <c r="V976" s="166"/>
      <c r="W976" s="166"/>
      <c r="X976" s="166"/>
      <c r="Y976" s="156">
        <f>ROUND((Y922+Y928+Y943+Y953+Y967)*H976/100,2)</f>
        <v>846951.98</v>
      </c>
      <c r="Z976" s="166"/>
      <c r="AA976" s="156">
        <f>ROUND((AA922+AA928+AA943+AA953+AA967)*H976/100,2)</f>
        <v>846951.98</v>
      </c>
      <c r="AB976" s="156">
        <f>ROUND((AB922+AB928+AB943+AB953+AB967)*H976/100,2)</f>
        <v>1158647.29</v>
      </c>
    </row>
    <row r="977" spans="1:28" hidden="1" x14ac:dyDescent="0.25">
      <c r="A977" s="168"/>
      <c r="B977" s="133" t="str">
        <f>'Công trình'!B318</f>
        <v>AI.52211</v>
      </c>
      <c r="C977" s="34"/>
      <c r="D977" s="133" t="str">
        <f>'Công trình'!C318</f>
        <v>Sản xuất kết cấu thép khe cửa - thép CT3</v>
      </c>
      <c r="E977" s="168"/>
      <c r="F977" s="20">
        <v>1</v>
      </c>
      <c r="G977" s="169"/>
      <c r="H977" s="45">
        <f>'Hao phí vật tư'!G2343</f>
        <v>2</v>
      </c>
      <c r="I977" s="166"/>
      <c r="J977" s="156">
        <f>ROUND((J923+J929+J944+J951+J962+J972)*H977/100,2)</f>
        <v>235980.14</v>
      </c>
      <c r="K977" s="166"/>
      <c r="L977" s="156">
        <f>ROUND((L923+L929+L944+L951+L962+L972)*H977/100,2)</f>
        <v>216045.53</v>
      </c>
      <c r="M977" s="34"/>
      <c r="N977" s="166"/>
      <c r="O977" s="156">
        <f>ROUND((O923+O929+O944+O951+O962+O972)*H977/100,2)</f>
        <v>0</v>
      </c>
      <c r="P977" s="166"/>
      <c r="Q977" s="156">
        <f>ROUND((Q923+Q929+Q944+Q951+Q962+Q972)*H977/100,2)</f>
        <v>0</v>
      </c>
      <c r="R977" s="166"/>
      <c r="S977" s="156">
        <f>ROUND((S923+S929+S944+S951+S962+S972)*H977/100,2)</f>
        <v>0</v>
      </c>
      <c r="T977" s="34"/>
      <c r="U977" s="34"/>
      <c r="V977" s="166"/>
      <c r="W977" s="166"/>
      <c r="X977" s="166"/>
      <c r="Y977" s="156">
        <f>ROUND((Y923+Y929+Y944+Y951+Y962+Y972)*H977/100,2)</f>
        <v>-19934.599999999999</v>
      </c>
      <c r="Z977" s="166"/>
      <c r="AA977" s="156">
        <f>ROUND((AA923+AA929+AA944+AA951+AA962+AA972)*H977/100,2)</f>
        <v>-19934.599999999999</v>
      </c>
      <c r="AB977" s="156">
        <f>ROUND((AB923+AB929+AB944+AB951+AB962+AB972)*H977/100,2)</f>
        <v>216045.53</v>
      </c>
    </row>
    <row r="978" spans="1:28" hidden="1" x14ac:dyDescent="0.25">
      <c r="A978" s="168"/>
      <c r="B978" s="133" t="str">
        <f>'Công trình'!B319</f>
        <v>AI.52211</v>
      </c>
      <c r="C978" s="34"/>
      <c r="D978" s="133" t="str">
        <f>'Công trình'!C319</f>
        <v>Sản xuất kết cấu thép khe cửa- thép SUS304</v>
      </c>
      <c r="E978" s="168"/>
      <c r="F978" s="20">
        <v>1</v>
      </c>
      <c r="G978" s="169"/>
      <c r="H978" s="45">
        <f>'Hao phí vật tư'!G2358</f>
        <v>2</v>
      </c>
      <c r="I978" s="166"/>
      <c r="J978" s="156">
        <f>ROUND((J924+J930+J945+J954+J968)*H978/100,2)</f>
        <v>368106.43</v>
      </c>
      <c r="K978" s="166"/>
      <c r="L978" s="156">
        <f>ROUND((L924+L930+L945+L954+L968)*H978/100,2)</f>
        <v>1368341.13</v>
      </c>
      <c r="M978" s="34"/>
      <c r="N978" s="166"/>
      <c r="O978" s="156">
        <f>ROUND((O924+O930+O945+O954+O968)*H978/100,2)</f>
        <v>0</v>
      </c>
      <c r="P978" s="166"/>
      <c r="Q978" s="156">
        <f>ROUND((Q924+Q930+Q945+Q954+Q968)*H978/100,2)</f>
        <v>0</v>
      </c>
      <c r="R978" s="166"/>
      <c r="S978" s="156">
        <f>ROUND((S924+S930+S945+S954+S968)*H978/100,2)</f>
        <v>0</v>
      </c>
      <c r="T978" s="34"/>
      <c r="U978" s="34"/>
      <c r="V978" s="166"/>
      <c r="W978" s="166"/>
      <c r="X978" s="166"/>
      <c r="Y978" s="156">
        <f>ROUND((Y924+Y930+Y945+Y954+Y968)*H978/100,2)</f>
        <v>1000234.7</v>
      </c>
      <c r="Z978" s="166"/>
      <c r="AA978" s="156">
        <f>ROUND((AA924+AA930+AA945+AA954+AA968)*H978/100,2)</f>
        <v>1000234.7</v>
      </c>
      <c r="AB978" s="156">
        <f>ROUND((AB924+AB930+AB945+AB954+AB968)*H978/100,2)</f>
        <v>1368341.13</v>
      </c>
    </row>
    <row r="979" spans="1:28" ht="30" hidden="1" x14ac:dyDescent="0.25">
      <c r="A979" s="168"/>
      <c r="B979" s="133" t="str">
        <f>'Công trình'!B320</f>
        <v>CV.0102</v>
      </c>
      <c r="C979" s="34"/>
      <c r="D979" s="133" t="str">
        <f>'Công trình'!C320</f>
        <v>Sản xuất cửa van bằng thép không gỉ, chiều rộng cống (B) &lt;= 8m</v>
      </c>
      <c r="E979" s="168"/>
      <c r="F979" s="20">
        <v>1</v>
      </c>
      <c r="G979" s="169"/>
      <c r="H979" s="45">
        <f>'Hao phí vật tư'!G2372</f>
        <v>1</v>
      </c>
      <c r="I979" s="166"/>
      <c r="J979" s="156">
        <f>ROUND((J925+J956+J959+J965)*H979/100,2)</f>
        <v>5955.71</v>
      </c>
      <c r="K979" s="166"/>
      <c r="L979" s="156">
        <f>ROUND((L925+L956+L959+L965)*H979/100,2)</f>
        <v>11559418.1</v>
      </c>
      <c r="M979" s="34"/>
      <c r="N979" s="166"/>
      <c r="O979" s="156">
        <f>ROUND((O925+O956+O959+O965)*H979/100,2)</f>
        <v>0</v>
      </c>
      <c r="P979" s="166"/>
      <c r="Q979" s="156">
        <f>ROUND((Q925+Q956+Q959+Q965)*H979/100,2)</f>
        <v>0</v>
      </c>
      <c r="R979" s="166"/>
      <c r="S979" s="156">
        <f>ROUND((S925+S956+S959+S965)*H979/100,2)</f>
        <v>0</v>
      </c>
      <c r="T979" s="34"/>
      <c r="U979" s="34"/>
      <c r="V979" s="166"/>
      <c r="W979" s="166"/>
      <c r="X979" s="166"/>
      <c r="Y979" s="156">
        <f>ROUND((Y925+Y956+Y959+Y965)*H979/100,2)</f>
        <v>11553462.4</v>
      </c>
      <c r="Z979" s="166"/>
      <c r="AA979" s="156">
        <f>ROUND((AA925+AA956+AA959+AA965)*H979/100,2)</f>
        <v>11553462.4</v>
      </c>
      <c r="AB979" s="156">
        <f>ROUND((AB925+AB956+AB959+AB965)*H979/100,2)</f>
        <v>11559418.1</v>
      </c>
    </row>
    <row r="980" spans="1:28" ht="30" hidden="1" x14ac:dyDescent="0.25">
      <c r="A980" s="57"/>
      <c r="B980" s="12" t="str">
        <f>'Công trình'!B321</f>
        <v>CV.0202</v>
      </c>
      <c r="C980" s="89"/>
      <c r="D980" s="12" t="str">
        <f>'Công trình'!C321</f>
        <v>Lắp đặt cửa van bằng thép không gỉ, chiều rộng cống (B) &lt;= 8m</v>
      </c>
      <c r="E980" s="57"/>
      <c r="F980" s="79">
        <v>1</v>
      </c>
      <c r="G980" s="58"/>
      <c r="H980" s="103">
        <f>'Hao phí vật tư'!G2393</f>
        <v>5</v>
      </c>
      <c r="I980" s="51"/>
      <c r="J980" s="38">
        <f>ROUND((J934+J938+J947+J957+J963)*H980/100,2)</f>
        <v>467414.62</v>
      </c>
      <c r="K980" s="51"/>
      <c r="L980" s="38">
        <f>ROUND((L934+L938+L947+L957+L963)*H980/100,2)</f>
        <v>508477.55</v>
      </c>
      <c r="M980" s="89"/>
      <c r="N980" s="51"/>
      <c r="O980" s="38">
        <f>ROUND((O934+O938+O947+O957+O963)*H980/100,2)</f>
        <v>0</v>
      </c>
      <c r="P980" s="51"/>
      <c r="Q980" s="38">
        <f>ROUND((Q934+Q938+Q947+Q957+Q963)*H980/100,2)</f>
        <v>0</v>
      </c>
      <c r="R980" s="51"/>
      <c r="S980" s="38">
        <f>ROUND((S934+S938+S947+S957+S963)*H980/100,2)</f>
        <v>0</v>
      </c>
      <c r="T980" s="89"/>
      <c r="U980" s="89"/>
      <c r="V980" s="51"/>
      <c r="W980" s="51"/>
      <c r="X980" s="51"/>
      <c r="Y980" s="38">
        <f>ROUND((Y934+Y938+Y947+Y957+Y963)*H980/100,2)</f>
        <v>41062.93</v>
      </c>
      <c r="Z980" s="51"/>
      <c r="AA980" s="38">
        <f>ROUND((AA934+AA938+AA947+AA957+AA963)*H980/100,2)</f>
        <v>41062.93</v>
      </c>
      <c r="AB980" s="38">
        <f>ROUND((AB934+AB938+AB947+AB957+AB963)*H980/100,2)</f>
        <v>508477.55</v>
      </c>
    </row>
    <row r="981" spans="1:28" ht="18" customHeight="1" x14ac:dyDescent="0.25">
      <c r="A981" s="40"/>
      <c r="B981" s="5"/>
      <c r="C981" s="157"/>
      <c r="D981" s="5" t="s">
        <v>362</v>
      </c>
      <c r="E981" s="40"/>
      <c r="F981" s="86"/>
      <c r="G981" s="86"/>
      <c r="H981" s="99"/>
      <c r="I981" s="33"/>
      <c r="J981" s="33">
        <f>ROUND(SUMIF(C919:C980,"&gt;0",J919:J980),0)</f>
        <v>71785528</v>
      </c>
      <c r="K981" s="33"/>
      <c r="L981" s="33">
        <f>ROUND(SUMIF(C919:C980,"&gt;0",L919:L980),0)</f>
        <v>1331549446</v>
      </c>
      <c r="M981" s="157"/>
      <c r="N981" s="115"/>
      <c r="O981" s="33">
        <f>ROUND(SUMIF(C919:C980,"&gt;0",O919:O980),0)</f>
        <v>0</v>
      </c>
      <c r="P981" s="115"/>
      <c r="Q981" s="33">
        <f>ROUND(SUMIF(C919:C980,"&gt;0",Q919:Q980),0)</f>
        <v>0</v>
      </c>
      <c r="R981" s="115"/>
      <c r="S981" s="33">
        <f>ROUND(SUMIF(C919:C980,"&gt;0",S919:S980),0)</f>
        <v>0</v>
      </c>
      <c r="T981" s="86"/>
      <c r="U981" s="86"/>
      <c r="V981" s="44"/>
      <c r="W981" s="115"/>
      <c r="X981" s="115"/>
      <c r="Y981" s="33">
        <f>ROUND(SUMIF(C919:C980,"&gt;0",Y919:Y980),0)</f>
        <v>1259763917</v>
      </c>
      <c r="Z981" s="33"/>
      <c r="AA981" s="33">
        <f>ROUND(SUMIF(C919:C980,"&gt;0",AA919:AA980),0)</f>
        <v>1259763917</v>
      </c>
      <c r="AB981" s="33">
        <f>ROUND(SUMIF(C919:C980,"&gt;0",AB919:AB980),0)</f>
        <v>1331549446</v>
      </c>
    </row>
    <row r="982" spans="1:28" ht="16.5" customHeight="1" x14ac:dyDescent="0.25">
      <c r="A982" s="2"/>
      <c r="B982" s="146"/>
      <c r="C982" s="36"/>
      <c r="D982" s="146"/>
      <c r="E982" s="2"/>
      <c r="F982" s="146"/>
      <c r="G982" s="146"/>
      <c r="H982" s="36"/>
      <c r="I982" s="36"/>
      <c r="J982" s="36"/>
      <c r="K982" s="36"/>
      <c r="L982" s="36"/>
      <c r="M982" s="36"/>
      <c r="N982" s="36"/>
      <c r="O982" s="36"/>
      <c r="P982" s="36"/>
      <c r="Q982" s="36"/>
      <c r="R982" s="36"/>
      <c r="S982" s="36"/>
      <c r="T982" s="146"/>
      <c r="U982" s="146"/>
      <c r="V982" s="146"/>
      <c r="W982" s="36"/>
      <c r="X982" s="36"/>
      <c r="Y982" s="36"/>
      <c r="Z982" s="36"/>
      <c r="AA982" s="146"/>
      <c r="AB982" s="36"/>
    </row>
  </sheetData>
  <mergeCells count="62">
    <mergeCell ref="AA917:AA918"/>
    <mergeCell ref="AB917:AB918"/>
    <mergeCell ref="T917:V917"/>
    <mergeCell ref="W917:W918"/>
    <mergeCell ref="X917:X918"/>
    <mergeCell ref="Y917:Y918"/>
    <mergeCell ref="Z917:Z918"/>
    <mergeCell ref="O917:O918"/>
    <mergeCell ref="P917:P918"/>
    <mergeCell ref="Q917:Q918"/>
    <mergeCell ref="R917:R918"/>
    <mergeCell ref="S917:S918"/>
    <mergeCell ref="A915:AB915"/>
    <mergeCell ref="Z916:AB916"/>
    <mergeCell ref="A917:A918"/>
    <mergeCell ref="B917:B918"/>
    <mergeCell ref="C917:C918"/>
    <mergeCell ref="D917:D918"/>
    <mergeCell ref="E917:E918"/>
    <mergeCell ref="F917:F918"/>
    <mergeCell ref="G917:G918"/>
    <mergeCell ref="H917:H918"/>
    <mergeCell ref="I917:I918"/>
    <mergeCell ref="J917:J918"/>
    <mergeCell ref="K917:K918"/>
    <mergeCell ref="L917:L918"/>
    <mergeCell ref="M917:M918"/>
    <mergeCell ref="N917:N918"/>
    <mergeCell ref="A914:AB914"/>
    <mergeCell ref="R6:R7"/>
    <mergeCell ref="S6:S7"/>
    <mergeCell ref="T6:V6"/>
    <mergeCell ref="W6:W7"/>
    <mergeCell ref="Z6:Z7"/>
    <mergeCell ref="AA6:AA7"/>
    <mergeCell ref="AB6:AB7"/>
    <mergeCell ref="A912:AB912"/>
    <mergeCell ref="A913:AB913"/>
    <mergeCell ref="K6:K7"/>
    <mergeCell ref="X6:X7"/>
    <mergeCell ref="Y6:Y7"/>
    <mergeCell ref="L6:L7"/>
    <mergeCell ref="M6:M7"/>
    <mergeCell ref="N6:N7"/>
    <mergeCell ref="O6:O7"/>
    <mergeCell ref="P6:P7"/>
    <mergeCell ref="Q6:Q7"/>
    <mergeCell ref="F6:F7"/>
    <mergeCell ref="G6:G7"/>
    <mergeCell ref="H6:H7"/>
    <mergeCell ref="I6:I7"/>
    <mergeCell ref="J6:J7"/>
    <mergeCell ref="A6:A7"/>
    <mergeCell ref="B6:B7"/>
    <mergeCell ref="C6:C7"/>
    <mergeCell ref="D6:D7"/>
    <mergeCell ref="E6:E7"/>
    <mergeCell ref="A1:AB1"/>
    <mergeCell ref="A2:AB2"/>
    <mergeCell ref="A3:AB3"/>
    <mergeCell ref="A4:AB4"/>
    <mergeCell ref="Z5:AB5"/>
  </mergeCells>
  <pageMargins left="0.7" right="0.7" top="0.75" bottom="0.75" header="0.3" footer="0.3"/>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249"/>
  <sheetViews>
    <sheetView showZeros="0" workbookViewId="0">
      <selection sqref="A1:O1"/>
    </sheetView>
  </sheetViews>
  <sheetFormatPr defaultColWidth="9.140625" defaultRowHeight="15" x14ac:dyDescent="0.25"/>
  <cols>
    <col min="1" max="1" width="6.7109375" style="143" customWidth="1"/>
    <col min="2" max="2" width="11.42578125" style="143" customWidth="1"/>
    <col min="3" max="3" width="11.140625" style="143" hidden="1" customWidth="1"/>
    <col min="4" max="4" width="42.42578125" style="143" customWidth="1"/>
    <col min="5" max="5" width="11.42578125" style="143" customWidth="1"/>
    <col min="6" max="6" width="13.28515625" style="143" customWidth="1"/>
    <col min="7" max="7" width="9.7109375" style="143" customWidth="1"/>
    <col min="8" max="8" width="9" style="143" hidden="1" customWidth="1"/>
    <col min="9" max="9" width="13.5703125" style="143" customWidth="1"/>
    <col min="10" max="10" width="13.7109375" style="143" customWidth="1"/>
    <col min="11" max="11" width="19.140625" style="143" hidden="1" customWidth="1"/>
    <col min="12" max="12" width="15" style="143" hidden="1" customWidth="1"/>
    <col min="13" max="14" width="13.140625" style="143" customWidth="1"/>
    <col min="15" max="15" width="14.5703125" style="143" customWidth="1"/>
    <col min="16" max="16" width="14" style="143" hidden="1" customWidth="1"/>
    <col min="17" max="16384" width="9.140625" style="143"/>
  </cols>
  <sheetData>
    <row r="1" spans="1:16" ht="22.5" customHeight="1" x14ac:dyDescent="0.25">
      <c r="A1" s="310" t="s">
        <v>356</v>
      </c>
      <c r="B1" s="310"/>
      <c r="C1" s="310"/>
      <c r="D1" s="310"/>
      <c r="E1" s="310"/>
      <c r="F1" s="310"/>
      <c r="G1" s="310"/>
      <c r="H1" s="310"/>
      <c r="I1" s="310"/>
      <c r="J1" s="310"/>
      <c r="K1" s="310"/>
      <c r="L1" s="310"/>
      <c r="M1" s="310"/>
      <c r="N1" s="310"/>
      <c r="O1" s="310"/>
      <c r="P1" s="36"/>
    </row>
    <row r="2" spans="1:16" ht="19.5" customHeight="1" x14ac:dyDescent="0.25">
      <c r="A2" s="309" t="s">
        <v>421</v>
      </c>
      <c r="B2" s="309"/>
      <c r="C2" s="309"/>
      <c r="D2" s="309"/>
      <c r="E2" s="309"/>
      <c r="F2" s="309"/>
      <c r="G2" s="309"/>
      <c r="H2" s="309"/>
      <c r="I2" s="309"/>
      <c r="J2" s="309"/>
      <c r="K2" s="309"/>
      <c r="L2" s="309"/>
      <c r="M2" s="309"/>
      <c r="N2" s="309"/>
      <c r="O2" s="309"/>
      <c r="P2" s="36"/>
    </row>
    <row r="3" spans="1:16" ht="18" customHeight="1" x14ac:dyDescent="0.25">
      <c r="A3" s="311" t="s">
        <v>663</v>
      </c>
      <c r="B3" s="311"/>
      <c r="C3" s="311"/>
      <c r="D3" s="311"/>
      <c r="E3" s="311"/>
      <c r="F3" s="311"/>
      <c r="G3" s="311"/>
      <c r="H3" s="311"/>
      <c r="I3" s="311"/>
      <c r="J3" s="311"/>
      <c r="K3" s="311"/>
      <c r="L3" s="311"/>
      <c r="M3" s="311"/>
      <c r="N3" s="311"/>
      <c r="O3" s="311"/>
      <c r="P3" s="36"/>
    </row>
    <row r="4" spans="1:16" ht="16.5" customHeight="1" x14ac:dyDescent="0.25">
      <c r="A4" s="2"/>
      <c r="B4" s="146"/>
      <c r="C4" s="36"/>
      <c r="D4" s="146"/>
      <c r="E4" s="146"/>
      <c r="F4" s="146"/>
      <c r="G4" s="2"/>
      <c r="H4" s="146"/>
      <c r="I4" s="36"/>
      <c r="J4" s="36"/>
      <c r="K4" s="36"/>
      <c r="L4" s="70"/>
      <c r="M4" s="36"/>
      <c r="N4" s="313" t="s">
        <v>919</v>
      </c>
      <c r="O4" s="313"/>
      <c r="P4" s="313"/>
    </row>
    <row r="5" spans="1:16" ht="18.75" customHeight="1" x14ac:dyDescent="0.25">
      <c r="A5" s="140" t="s">
        <v>761</v>
      </c>
      <c r="B5" s="83" t="s">
        <v>178</v>
      </c>
      <c r="C5" s="140" t="s">
        <v>993</v>
      </c>
      <c r="D5" s="140" t="s">
        <v>850</v>
      </c>
      <c r="E5" s="140" t="s">
        <v>1111</v>
      </c>
      <c r="F5" s="140" t="s">
        <v>760</v>
      </c>
      <c r="G5" s="140" t="s">
        <v>971</v>
      </c>
      <c r="H5" s="140" t="s">
        <v>639</v>
      </c>
      <c r="I5" s="164" t="s">
        <v>1192</v>
      </c>
      <c r="J5" s="92" t="s">
        <v>944</v>
      </c>
      <c r="K5" s="92" t="s">
        <v>1015</v>
      </c>
      <c r="L5" s="140" t="s">
        <v>1006</v>
      </c>
      <c r="M5" s="92" t="s">
        <v>239</v>
      </c>
      <c r="N5" s="92" t="s">
        <v>401</v>
      </c>
      <c r="O5" s="92" t="s">
        <v>144</v>
      </c>
      <c r="P5" s="67" t="s">
        <v>563</v>
      </c>
    </row>
    <row r="6" spans="1:16" x14ac:dyDescent="0.25">
      <c r="A6" s="65">
        <v>1</v>
      </c>
      <c r="B6" s="154" t="s">
        <v>17</v>
      </c>
      <c r="C6" s="94">
        <v>545</v>
      </c>
      <c r="D6" s="31" t="s">
        <v>510</v>
      </c>
      <c r="E6" s="31" t="s">
        <v>939</v>
      </c>
      <c r="F6" s="31" t="s">
        <v>939</v>
      </c>
      <c r="G6" s="65" t="s">
        <v>450</v>
      </c>
      <c r="H6" s="94"/>
      <c r="I6" s="126">
        <f>SUM(I7:I44)</f>
        <v>2604.3040000000005</v>
      </c>
      <c r="J6" s="54">
        <v>195231</v>
      </c>
      <c r="K6" s="54">
        <f>ROUND(I6*J6,0)</f>
        <v>508440874</v>
      </c>
      <c r="L6" s="135">
        <v>1</v>
      </c>
      <c r="M6" s="54">
        <v>195231</v>
      </c>
      <c r="N6" s="54">
        <f>M6-J6</f>
        <v>0</v>
      </c>
      <c r="O6" s="54">
        <f>ROUND(I6*N6,0)</f>
        <v>0</v>
      </c>
      <c r="P6" s="54">
        <f>ROUND(I6*M6,0)</f>
        <v>508440874</v>
      </c>
    </row>
    <row r="7" spans="1:16" ht="30" hidden="1" x14ac:dyDescent="0.25">
      <c r="A7" s="168"/>
      <c r="B7" s="133" t="str">
        <f>'Công trình'!B43</f>
        <v>AF.11212</v>
      </c>
      <c r="C7" s="34"/>
      <c r="D7" s="133" t="str">
        <f>'Công trình'!C43</f>
        <v>Bê tông móng rộng &lt;=250cm đá 1x2, vữa BT mác 150</v>
      </c>
      <c r="E7" s="144"/>
      <c r="F7" s="144"/>
      <c r="G7" s="168"/>
      <c r="H7" s="20">
        <v>1</v>
      </c>
      <c r="I7" s="45">
        <f>'Hao phí vật tư'!K327</f>
        <v>9.8400000000000001E-2</v>
      </c>
      <c r="J7" s="166"/>
      <c r="K7" s="156">
        <f>ROUND(I7*J6,2)</f>
        <v>19210.73</v>
      </c>
      <c r="L7" s="55" t="str">
        <f>'Công trình'!X43</f>
        <v>HCM_2016_QD_3384_XD</v>
      </c>
      <c r="M7" s="166"/>
      <c r="N7" s="166"/>
      <c r="O7" s="156">
        <f>ROUND(I7*N6,2)</f>
        <v>0</v>
      </c>
      <c r="P7" s="156">
        <f>ROUND(I7*M6,2)</f>
        <v>19210.73</v>
      </c>
    </row>
    <row r="8" spans="1:16" ht="30" hidden="1" x14ac:dyDescent="0.25">
      <c r="A8" s="168"/>
      <c r="B8" s="133" t="str">
        <f>'Công trình'!B44</f>
        <v>AF.11213</v>
      </c>
      <c r="C8" s="34"/>
      <c r="D8" s="133" t="str">
        <f>'Công trình'!C44</f>
        <v>Bê tông móng rộng &lt;=250cm đá 1x2, vữa BT mác 200</v>
      </c>
      <c r="E8" s="144"/>
      <c r="F8" s="144"/>
      <c r="G8" s="168"/>
      <c r="H8" s="20">
        <v>1</v>
      </c>
      <c r="I8" s="45">
        <f>'Hao phí vật tư'!K339</f>
        <v>0.32800000000000001</v>
      </c>
      <c r="J8" s="166"/>
      <c r="K8" s="156">
        <f>ROUND(I8*J6,2)</f>
        <v>64035.77</v>
      </c>
      <c r="L8" s="55" t="str">
        <f>'Công trình'!X44</f>
        <v>HCM_2016_QD_3384_XD</v>
      </c>
      <c r="M8" s="166"/>
      <c r="N8" s="166"/>
      <c r="O8" s="156">
        <f>ROUND(I8*N6,2)</f>
        <v>0</v>
      </c>
      <c r="P8" s="156">
        <f>ROUND(I8*M6,2)</f>
        <v>64035.77</v>
      </c>
    </row>
    <row r="9" spans="1:16" ht="30" hidden="1" x14ac:dyDescent="0.25">
      <c r="A9" s="168"/>
      <c r="B9" s="133" t="str">
        <f>'Công trình'!B52</f>
        <v>AG.11412</v>
      </c>
      <c r="C9" s="34"/>
      <c r="D9" s="133" t="str">
        <f>'Công trình'!C52</f>
        <v>Sản xuất bê tông tấm BT tự chèn đúc sẵn đá 1x2, vữa BT mác 150</v>
      </c>
      <c r="E9" s="144"/>
      <c r="F9" s="144"/>
      <c r="G9" s="168"/>
      <c r="H9" s="20">
        <v>1</v>
      </c>
      <c r="I9" s="45">
        <f>'Hao phí vật tư'!K384</f>
        <v>235.96610000000001</v>
      </c>
      <c r="J9" s="166"/>
      <c r="K9" s="156">
        <f>ROUND(I9*J6,2)</f>
        <v>46067897.670000002</v>
      </c>
      <c r="L9" s="55" t="str">
        <f>'Công trình'!X52</f>
        <v>HCM_2016_QD_3384_XD</v>
      </c>
      <c r="M9" s="166"/>
      <c r="N9" s="166"/>
      <c r="O9" s="156">
        <f>ROUND(I9*N6,2)</f>
        <v>0</v>
      </c>
      <c r="P9" s="156">
        <f>ROUND(I9*M6,2)</f>
        <v>46067897.670000002</v>
      </c>
    </row>
    <row r="10" spans="1:16" ht="30" hidden="1" x14ac:dyDescent="0.25">
      <c r="A10" s="168"/>
      <c r="B10" s="133" t="str">
        <f>'Công trình'!B54</f>
        <v>AB.13411</v>
      </c>
      <c r="C10" s="34"/>
      <c r="D10" s="133" t="str">
        <f>'Công trình'!C54</f>
        <v>Đắp cát nền móng công trình</v>
      </c>
      <c r="E10" s="144"/>
      <c r="F10" s="144"/>
      <c r="G10" s="168"/>
      <c r="H10" s="20">
        <v>1</v>
      </c>
      <c r="I10" s="45">
        <f>'Hao phí vật tư'!K398</f>
        <v>17.216999999999999</v>
      </c>
      <c r="J10" s="166"/>
      <c r="K10" s="156">
        <f>ROUND(I10*J6,2)</f>
        <v>3361292.13</v>
      </c>
      <c r="L10" s="55" t="str">
        <f>'Công trình'!X54</f>
        <v>HCM_2016_QD_3384_XD</v>
      </c>
      <c r="M10" s="166"/>
      <c r="N10" s="166"/>
      <c r="O10" s="156">
        <f>ROUND(I10*N6,2)</f>
        <v>0</v>
      </c>
      <c r="P10" s="156">
        <f>ROUND(I10*M6,2)</f>
        <v>3361292.13</v>
      </c>
    </row>
    <row r="11" spans="1:16" ht="30" hidden="1" x14ac:dyDescent="0.25">
      <c r="A11" s="168"/>
      <c r="B11" s="133" t="str">
        <f>'Công trình'!B63</f>
        <v>AF.11223</v>
      </c>
      <c r="C11" s="34"/>
      <c r="D11" s="133" t="str">
        <f>'Công trình'!C63</f>
        <v>Bê tông lát mái rộng &gt;250cm đá 1x2, vữa BT mác 200</v>
      </c>
      <c r="E11" s="144"/>
      <c r="F11" s="144"/>
      <c r="G11" s="168"/>
      <c r="H11" s="20">
        <v>1</v>
      </c>
      <c r="I11" s="45">
        <f>'Hao phí vật tư'!K482</f>
        <v>321.12970000000001</v>
      </c>
      <c r="J11" s="166"/>
      <c r="K11" s="156">
        <f>ROUND(I11*J6,2)</f>
        <v>62694472.460000001</v>
      </c>
      <c r="L11" s="55" t="str">
        <f>'Công trình'!X63</f>
        <v>HCM_2016_QD_3384_XD</v>
      </c>
      <c r="M11" s="166"/>
      <c r="N11" s="166"/>
      <c r="O11" s="156">
        <f>ROUND(I11*N6,2)</f>
        <v>0</v>
      </c>
      <c r="P11" s="156">
        <f>ROUND(I11*M6,2)</f>
        <v>62694472.460000001</v>
      </c>
    </row>
    <row r="12" spans="1:16" ht="30" hidden="1" x14ac:dyDescent="0.25">
      <c r="A12" s="168"/>
      <c r="B12" s="133" t="str">
        <f>'Công trình'!B68</f>
        <v>AG.11125</v>
      </c>
      <c r="C12" s="34"/>
      <c r="D12" s="133" t="str">
        <f>'Công trình'!C68</f>
        <v>Sản xuất bê tông cọc cừ đúc sẵn đá 1x2, vữa BT mác 300</v>
      </c>
      <c r="E12" s="144"/>
      <c r="F12" s="144"/>
      <c r="G12" s="168"/>
      <c r="H12" s="20">
        <v>1</v>
      </c>
      <c r="I12" s="45">
        <f>'Hao phí vật tư'!K512</f>
        <v>267.78750000000002</v>
      </c>
      <c r="J12" s="166"/>
      <c r="K12" s="156">
        <f>ROUND(I12*J6,2)</f>
        <v>52280421.409999996</v>
      </c>
      <c r="L12" s="55" t="str">
        <f>'Công trình'!X68</f>
        <v>HCM_2016_QD_3384_XD</v>
      </c>
      <c r="M12" s="166"/>
      <c r="N12" s="166"/>
      <c r="O12" s="156">
        <f>ROUND(I12*N6,2)</f>
        <v>0</v>
      </c>
      <c r="P12" s="156">
        <f>ROUND(I12*M6,2)</f>
        <v>52280421.409999996</v>
      </c>
    </row>
    <row r="13" spans="1:16" ht="30" hidden="1" x14ac:dyDescent="0.25">
      <c r="A13" s="168"/>
      <c r="B13" s="133" t="str">
        <f>'Công trình'!B79</f>
        <v>AG.11125</v>
      </c>
      <c r="C13" s="34"/>
      <c r="D13" s="133" t="str">
        <f>'Công trình'!C79</f>
        <v>Sản xuất bê tông cọc cừ đúc sẵn đá 1x2, vữa BT mác 300</v>
      </c>
      <c r="E13" s="144"/>
      <c r="F13" s="144"/>
      <c r="G13" s="168"/>
      <c r="H13" s="20">
        <v>1</v>
      </c>
      <c r="I13" s="45">
        <f>'Hao phí vật tư'!K628</f>
        <v>104.8875</v>
      </c>
      <c r="J13" s="166"/>
      <c r="K13" s="156">
        <f>ROUND(I13*J6,2)</f>
        <v>20477291.510000002</v>
      </c>
      <c r="L13" s="55" t="str">
        <f>'Công trình'!X79</f>
        <v>HCM_2016_QD_3384_XD</v>
      </c>
      <c r="M13" s="166"/>
      <c r="N13" s="166"/>
      <c r="O13" s="156">
        <f>ROUND(I13*N6,2)</f>
        <v>0</v>
      </c>
      <c r="P13" s="156">
        <f>ROUND(I13*M6,2)</f>
        <v>20477291.510000002</v>
      </c>
    </row>
    <row r="14" spans="1:16" ht="30" hidden="1" x14ac:dyDescent="0.25">
      <c r="A14" s="168"/>
      <c r="B14" s="133" t="str">
        <f>'Công trình'!B91</f>
        <v>AB.62111</v>
      </c>
      <c r="C14" s="34"/>
      <c r="D14" s="133" t="str">
        <f>'Công trình'!C91</f>
        <v>San đầm đất mặt bằng bằng máy đầm 9T, độ chặt K=0,85</v>
      </c>
      <c r="E14" s="144"/>
      <c r="F14" s="144"/>
      <c r="G14" s="168"/>
      <c r="H14" s="20">
        <v>1</v>
      </c>
      <c r="I14" s="45">
        <f>'Hao phí vật tư'!K738</f>
        <v>7.3630000000000004</v>
      </c>
      <c r="J14" s="166"/>
      <c r="K14" s="156">
        <f>ROUND(I14*J6,2)</f>
        <v>1437485.85</v>
      </c>
      <c r="L14" s="55" t="str">
        <f>'Công trình'!X91</f>
        <v>HCM_2016_QD_3384_XD</v>
      </c>
      <c r="M14" s="166"/>
      <c r="N14" s="166"/>
      <c r="O14" s="156">
        <f>ROUND(I14*N6,2)</f>
        <v>0</v>
      </c>
      <c r="P14" s="156">
        <f>ROUND(I14*M6,2)</f>
        <v>1437485.85</v>
      </c>
    </row>
    <row r="15" spans="1:16" ht="30" hidden="1" x14ac:dyDescent="0.25">
      <c r="A15" s="168"/>
      <c r="B15" s="133" t="str">
        <f>'Công trình'!B92</f>
        <v>AF.11121</v>
      </c>
      <c r="C15" s="34"/>
      <c r="D15" s="133" t="str">
        <f>'Công trình'!C92</f>
        <v>Bê tông M100 đá 4x6</v>
      </c>
      <c r="E15" s="144"/>
      <c r="F15" s="144"/>
      <c r="G15" s="168"/>
      <c r="H15" s="20">
        <v>1</v>
      </c>
      <c r="I15" s="45">
        <f>'Hao phí vật tư'!K749</f>
        <v>121.54</v>
      </c>
      <c r="J15" s="166"/>
      <c r="K15" s="156">
        <f>ROUND(I15*J6,2)</f>
        <v>23728375.739999998</v>
      </c>
      <c r="L15" s="55" t="str">
        <f>'Công trình'!X92</f>
        <v>HCM_2016_QD_3384_XD</v>
      </c>
      <c r="M15" s="166"/>
      <c r="N15" s="166"/>
      <c r="O15" s="156">
        <f>ROUND(I15*N6,2)</f>
        <v>0</v>
      </c>
      <c r="P15" s="156">
        <f>ROUND(I15*M6,2)</f>
        <v>23728375.739999998</v>
      </c>
    </row>
    <row r="16" spans="1:16" ht="30" hidden="1" x14ac:dyDescent="0.25">
      <c r="A16" s="168"/>
      <c r="B16" s="133" t="str">
        <f>'Công trình'!B99</f>
        <v>TT</v>
      </c>
      <c r="C16" s="34"/>
      <c r="D16" s="133" t="str">
        <f>'Công trình'!C99</f>
        <v>Đắp đê quây bằng bao tải cát (VD định mức đắp bao tải đất theo QĐ số 4416/QĐ-BGTVT)</v>
      </c>
      <c r="E16" s="144"/>
      <c r="F16" s="144"/>
      <c r="G16" s="168"/>
      <c r="H16" s="20">
        <v>1</v>
      </c>
      <c r="I16" s="45">
        <f>'Hao phí vật tư'!K806</f>
        <v>69.92</v>
      </c>
      <c r="J16" s="166"/>
      <c r="K16" s="156">
        <f>ROUND(I16*J6,2)</f>
        <v>13650551.52</v>
      </c>
      <c r="L16" s="55">
        <f>'Công trình'!X99</f>
        <v>0</v>
      </c>
      <c r="M16" s="166"/>
      <c r="N16" s="166"/>
      <c r="O16" s="156">
        <f>ROUND(I16*N6,2)</f>
        <v>0</v>
      </c>
      <c r="P16" s="156">
        <f>ROUND(I16*M6,2)</f>
        <v>13650551.52</v>
      </c>
    </row>
    <row r="17" spans="1:16" ht="30" hidden="1" x14ac:dyDescent="0.25">
      <c r="A17" s="168"/>
      <c r="B17" s="133" t="str">
        <f>'Công trình'!B100</f>
        <v>AB.66112</v>
      </c>
      <c r="C17" s="34"/>
      <c r="D17" s="133" t="str">
        <f>'Công trình'!C100</f>
        <v>Đắp cát công trình bằng máy đầm 9T, độ chặt K=0,90</v>
      </c>
      <c r="E17" s="144"/>
      <c r="F17" s="144"/>
      <c r="G17" s="168"/>
      <c r="H17" s="20">
        <v>1</v>
      </c>
      <c r="I17" s="45">
        <f>'Hao phí vật tư'!K811</f>
        <v>5.5259999999999998</v>
      </c>
      <c r="J17" s="166"/>
      <c r="K17" s="156">
        <f>ROUND(I17*J6,2)</f>
        <v>1078846.51</v>
      </c>
      <c r="L17" s="55" t="str">
        <f>'Công trình'!X100</f>
        <v>HCM_2016_QD_3384_XD</v>
      </c>
      <c r="M17" s="166"/>
      <c r="N17" s="166"/>
      <c r="O17" s="156">
        <f>ROUND(I17*N6,2)</f>
        <v>0</v>
      </c>
      <c r="P17" s="156">
        <f>ROUND(I17*M6,2)</f>
        <v>1078846.51</v>
      </c>
    </row>
    <row r="18" spans="1:16" ht="30" hidden="1" x14ac:dyDescent="0.25">
      <c r="A18" s="168"/>
      <c r="B18" s="133" t="str">
        <f>'Công trình'!B148</f>
        <v>AI.61171</v>
      </c>
      <c r="C18" s="34"/>
      <c r="D18" s="133" t="str">
        <f>'Công trình'!C148</f>
        <v>Lắp sàn thang sắt</v>
      </c>
      <c r="E18" s="144"/>
      <c r="F18" s="144"/>
      <c r="G18" s="168"/>
      <c r="H18" s="20">
        <v>1</v>
      </c>
      <c r="I18" s="45">
        <f>'Hao phí vật tư'!K1129</f>
        <v>1.01</v>
      </c>
      <c r="J18" s="166"/>
      <c r="K18" s="156">
        <f>ROUND(I18*J6,2)</f>
        <v>197183.31</v>
      </c>
      <c r="L18" s="55" t="str">
        <f>'Công trình'!X148</f>
        <v>HCM_2016_QD_3384_XD</v>
      </c>
      <c r="M18" s="166"/>
      <c r="N18" s="166"/>
      <c r="O18" s="156">
        <f>ROUND(I18*N6,2)</f>
        <v>0</v>
      </c>
      <c r="P18" s="156">
        <f>ROUND(I18*M6,2)</f>
        <v>197183.31</v>
      </c>
    </row>
    <row r="19" spans="1:16" ht="30" hidden="1" x14ac:dyDescent="0.25">
      <c r="A19" s="168"/>
      <c r="B19" s="133" t="str">
        <f>'Công trình'!B152</f>
        <v>AB.13411</v>
      </c>
      <c r="C19" s="34"/>
      <c r="D19" s="133" t="str">
        <f>'Công trình'!C152</f>
        <v>Đắp cát nền móng công trình</v>
      </c>
      <c r="E19" s="144"/>
      <c r="F19" s="144"/>
      <c r="G19" s="168"/>
      <c r="H19" s="20">
        <v>1</v>
      </c>
      <c r="I19" s="45">
        <f>'Hao phí vật tư'!K1157</f>
        <v>2.2320000000000002</v>
      </c>
      <c r="J19" s="166"/>
      <c r="K19" s="156">
        <f>ROUND(I19*J6,2)</f>
        <v>435755.59</v>
      </c>
      <c r="L19" s="55" t="str">
        <f>'Công trình'!X152</f>
        <v>HCM_2016_QD_3384_XD</v>
      </c>
      <c r="M19" s="166"/>
      <c r="N19" s="166"/>
      <c r="O19" s="156">
        <f>ROUND(I19*N6,2)</f>
        <v>0</v>
      </c>
      <c r="P19" s="156">
        <f>ROUND(I19*M6,2)</f>
        <v>435755.59</v>
      </c>
    </row>
    <row r="20" spans="1:16" ht="30" hidden="1" x14ac:dyDescent="0.25">
      <c r="A20" s="168"/>
      <c r="B20" s="133" t="str">
        <f>'Công trình'!B167</f>
        <v>AG.11413</v>
      </c>
      <c r="C20" s="34"/>
      <c r="D20" s="133" t="str">
        <f>'Công trình'!C167</f>
        <v>Bê tông tấm đan đúc sẵn đá 1x2, vữa BT mác 200</v>
      </c>
      <c r="E20" s="144"/>
      <c r="F20" s="144"/>
      <c r="G20" s="168"/>
      <c r="H20" s="20">
        <v>1</v>
      </c>
      <c r="I20" s="45">
        <f>'Hao phí vật tư'!K1265</f>
        <v>22.564599999999999</v>
      </c>
      <c r="J20" s="166"/>
      <c r="K20" s="156">
        <f>ROUND(I20*J6,2)</f>
        <v>4405309.42</v>
      </c>
      <c r="L20" s="55" t="str">
        <f>'Công trình'!X167</f>
        <v>HCM_2016_QD_3384_XD</v>
      </c>
      <c r="M20" s="166"/>
      <c r="N20" s="166"/>
      <c r="O20" s="156">
        <f>ROUND(I20*N6,2)</f>
        <v>0</v>
      </c>
      <c r="P20" s="156">
        <f>ROUND(I20*M6,2)</f>
        <v>4405309.42</v>
      </c>
    </row>
    <row r="21" spans="1:16" ht="30" hidden="1" x14ac:dyDescent="0.25">
      <c r="A21" s="168"/>
      <c r="B21" s="133" t="str">
        <f>'Công trình'!B171</f>
        <v>AB.13112</v>
      </c>
      <c r="C21" s="34"/>
      <c r="D21" s="133" t="str">
        <f>'Công trình'!C171</f>
        <v>Đắp đất nền móng công trình, độ chặt K=0,90</v>
      </c>
      <c r="E21" s="144"/>
      <c r="F21" s="144"/>
      <c r="G21" s="168"/>
      <c r="H21" s="20">
        <v>1</v>
      </c>
      <c r="I21" s="45">
        <f>'Hao phí vật tư'!K1295</f>
        <v>5.4672000000000001</v>
      </c>
      <c r="J21" s="166"/>
      <c r="K21" s="156">
        <f>ROUND(I21*J6,2)</f>
        <v>1067366.92</v>
      </c>
      <c r="L21" s="55" t="str">
        <f>'Công trình'!X171</f>
        <v>HCM_2016_QD_3384_XD</v>
      </c>
      <c r="M21" s="166"/>
      <c r="N21" s="166"/>
      <c r="O21" s="156">
        <f>ROUND(I21*N6,2)</f>
        <v>0</v>
      </c>
      <c r="P21" s="156">
        <f>ROUND(I21*M6,2)</f>
        <v>1067366.92</v>
      </c>
    </row>
    <row r="22" spans="1:16" ht="30" hidden="1" x14ac:dyDescent="0.25">
      <c r="A22" s="168"/>
      <c r="B22" s="133" t="str">
        <f>'Công trình'!B177</f>
        <v>AF.11121</v>
      </c>
      <c r="C22" s="34"/>
      <c r="D22" s="133" t="str">
        <f>'Công trình'!C177</f>
        <v>Bê tông lót móng rộng &gt;250cm đá 4x6, vữa BT mác 100</v>
      </c>
      <c r="E22" s="144"/>
      <c r="F22" s="144"/>
      <c r="G22" s="168"/>
      <c r="H22" s="20">
        <v>1</v>
      </c>
      <c r="I22" s="45">
        <f>'Hao phí vật tư'!K1341</f>
        <v>9.7585999999999995</v>
      </c>
      <c r="J22" s="166"/>
      <c r="K22" s="156">
        <f>ROUND(I22*J6,2)</f>
        <v>1905181.24</v>
      </c>
      <c r="L22" s="55" t="str">
        <f>'Công trình'!X177</f>
        <v>HCM_2016_QD_3384_XD</v>
      </c>
      <c r="M22" s="166"/>
      <c r="N22" s="166"/>
      <c r="O22" s="156">
        <f>ROUND(I22*N6,2)</f>
        <v>0</v>
      </c>
      <c r="P22" s="156">
        <f>ROUND(I22*M6,2)</f>
        <v>1905181.24</v>
      </c>
    </row>
    <row r="23" spans="1:16" ht="30" hidden="1" x14ac:dyDescent="0.25">
      <c r="A23" s="168"/>
      <c r="B23" s="133" t="str">
        <f>'Công trình'!B217</f>
        <v>AF.11215</v>
      </c>
      <c r="C23" s="34"/>
      <c r="D23" s="133" t="str">
        <f>'Công trình'!C217</f>
        <v>BT M300 đổ sau có phụ gia</v>
      </c>
      <c r="E23" s="144"/>
      <c r="F23" s="144"/>
      <c r="G23" s="168"/>
      <c r="H23" s="20">
        <v>1</v>
      </c>
      <c r="I23" s="45">
        <f>'Hao phí vật tư'!K1639</f>
        <v>1.8532</v>
      </c>
      <c r="J23" s="166"/>
      <c r="K23" s="156">
        <f>ROUND(I23*J6,2)</f>
        <v>361802.09</v>
      </c>
      <c r="L23" s="55" t="str">
        <f>'Công trình'!X217</f>
        <v>HCM_2016_QD_3384_XD</v>
      </c>
      <c r="M23" s="166"/>
      <c r="N23" s="166"/>
      <c r="O23" s="156">
        <f>ROUND(I23*N6,2)</f>
        <v>0</v>
      </c>
      <c r="P23" s="156">
        <f>ROUND(I23*M6,2)</f>
        <v>361802.09</v>
      </c>
    </row>
    <row r="24" spans="1:16" ht="30" hidden="1" x14ac:dyDescent="0.25">
      <c r="A24" s="168"/>
      <c r="B24" s="133" t="str">
        <f>'Công trình'!B225</f>
        <v>AG.11125</v>
      </c>
      <c r="C24" s="34"/>
      <c r="D24" s="133" t="str">
        <f>'Công trình'!C225</f>
        <v>Sản xuất bê tông cọc cừ đúc sẵn đá 1x2, vữa BT mác 300</v>
      </c>
      <c r="E24" s="144"/>
      <c r="F24" s="144"/>
      <c r="G24" s="168"/>
      <c r="H24" s="20">
        <v>1</v>
      </c>
      <c r="I24" s="45">
        <f>'Hao phí vật tư'!K1688</f>
        <v>289.42500000000001</v>
      </c>
      <c r="J24" s="166"/>
      <c r="K24" s="156">
        <f>ROUND(I24*J6,2)</f>
        <v>56504732.18</v>
      </c>
      <c r="L24" s="55" t="str">
        <f>'Công trình'!X225</f>
        <v>HCM_2016_QD_3384_XD</v>
      </c>
      <c r="M24" s="166"/>
      <c r="N24" s="166"/>
      <c r="O24" s="156">
        <f>ROUND(I24*N6,2)</f>
        <v>0</v>
      </c>
      <c r="P24" s="156">
        <f>ROUND(I24*M6,2)</f>
        <v>56504732.18</v>
      </c>
    </row>
    <row r="25" spans="1:16" ht="30" hidden="1" x14ac:dyDescent="0.25">
      <c r="A25" s="168"/>
      <c r="B25" s="133" t="str">
        <f>'Công trình'!B238</f>
        <v>AB.25112</v>
      </c>
      <c r="C25" s="34"/>
      <c r="D25" s="133" t="str">
        <f>'Công trình'!C238</f>
        <v>Đào móng chiều rộng &lt;=6m bằng máy đào 0,8m3, đất cấp II</v>
      </c>
      <c r="E25" s="144"/>
      <c r="F25" s="144"/>
      <c r="G25" s="168"/>
      <c r="H25" s="20">
        <v>1</v>
      </c>
      <c r="I25" s="45">
        <f>'Hao phí vật tư'!K1813</f>
        <v>13.884399999999999</v>
      </c>
      <c r="J25" s="166"/>
      <c r="K25" s="156">
        <f>ROUND(I25*J6,2)</f>
        <v>2710665.3</v>
      </c>
      <c r="L25" s="55" t="str">
        <f>'Công trình'!X238</f>
        <v>HCM_2016_QD_3384_XD</v>
      </c>
      <c r="M25" s="166"/>
      <c r="N25" s="166"/>
      <c r="O25" s="156">
        <f>ROUND(I25*N6,2)</f>
        <v>0</v>
      </c>
      <c r="P25" s="156">
        <f>ROUND(I25*M6,2)</f>
        <v>2710665.3</v>
      </c>
    </row>
    <row r="26" spans="1:16" ht="30" hidden="1" x14ac:dyDescent="0.25">
      <c r="A26" s="168"/>
      <c r="B26" s="133" t="str">
        <f>'Công trình'!B242</f>
        <v>AB.66114</v>
      </c>
      <c r="C26" s="34"/>
      <c r="D26" s="133" t="str">
        <f>'Công trình'!C242</f>
        <v>Đắp cát công trình bằng máy đầm 9T, độ chặt K=0,98</v>
      </c>
      <c r="E26" s="144"/>
      <c r="F26" s="144"/>
      <c r="G26" s="168"/>
      <c r="H26" s="20">
        <v>1</v>
      </c>
      <c r="I26" s="45">
        <f>'Hao phí vật tư'!K1837</f>
        <v>23.668099999999999</v>
      </c>
      <c r="J26" s="166"/>
      <c r="K26" s="156">
        <f>ROUND(I26*J6,2)</f>
        <v>4620746.83</v>
      </c>
      <c r="L26" s="55" t="str">
        <f>'Công trình'!X242</f>
        <v>HCM_2016_QD_3384_XD</v>
      </c>
      <c r="M26" s="166"/>
      <c r="N26" s="166"/>
      <c r="O26" s="156">
        <f>ROUND(I26*N6,2)</f>
        <v>0</v>
      </c>
      <c r="P26" s="156">
        <f>ROUND(I26*M6,2)</f>
        <v>4620746.83</v>
      </c>
    </row>
    <row r="27" spans="1:16" ht="30" hidden="1" x14ac:dyDescent="0.25">
      <c r="A27" s="168"/>
      <c r="B27" s="133" t="str">
        <f>'Công trình'!B243</f>
        <v>AB.21121</v>
      </c>
      <c r="C27" s="34"/>
      <c r="D27" s="133" t="str">
        <f>'Công trình'!C243</f>
        <v>Đất bóc phong hóa</v>
      </c>
      <c r="E27" s="144"/>
      <c r="F27" s="144"/>
      <c r="G27" s="168"/>
      <c r="H27" s="20">
        <v>1</v>
      </c>
      <c r="I27" s="45">
        <f>'Hao phí vật tư'!K1844</f>
        <v>1.2507999999999999</v>
      </c>
      <c r="J27" s="166"/>
      <c r="K27" s="156">
        <f>ROUND(I27*J6,2)</f>
        <v>244194.93</v>
      </c>
      <c r="L27" s="55" t="str">
        <f>'Công trình'!X243</f>
        <v>HCM_2016_QD_3384_XD</v>
      </c>
      <c r="M27" s="166"/>
      <c r="N27" s="166"/>
      <c r="O27" s="156">
        <f>ROUND(I27*N6,2)</f>
        <v>0</v>
      </c>
      <c r="P27" s="156">
        <f>ROUND(I27*M6,2)</f>
        <v>244194.93</v>
      </c>
    </row>
    <row r="28" spans="1:16" ht="30" hidden="1" x14ac:dyDescent="0.25">
      <c r="A28" s="168"/>
      <c r="B28" s="133" t="str">
        <f>'Công trình'!B244</f>
        <v>AB.25112</v>
      </c>
      <c r="C28" s="34"/>
      <c r="D28" s="133" t="str">
        <f>'Công trình'!C244</f>
        <v>Đào móng chiều rộng &lt;=6m bằng máy đào 0,8m3, đất cấp II</v>
      </c>
      <c r="E28" s="144"/>
      <c r="F28" s="144"/>
      <c r="G28" s="168"/>
      <c r="H28" s="20">
        <v>1</v>
      </c>
      <c r="I28" s="45">
        <f>'Hao phí vật tư'!K1850</f>
        <v>0.87190000000000001</v>
      </c>
      <c r="J28" s="166"/>
      <c r="K28" s="156">
        <f>ROUND(I28*J6,2)</f>
        <v>170221.91</v>
      </c>
      <c r="L28" s="55" t="str">
        <f>'Công trình'!X244</f>
        <v>HCM_2016_QD_3384_XD</v>
      </c>
      <c r="M28" s="166"/>
      <c r="N28" s="166"/>
      <c r="O28" s="156">
        <f>ROUND(I28*N6,2)</f>
        <v>0</v>
      </c>
      <c r="P28" s="156">
        <f>ROUND(I28*M6,2)</f>
        <v>170221.91</v>
      </c>
    </row>
    <row r="29" spans="1:16" ht="30" hidden="1" x14ac:dyDescent="0.25">
      <c r="A29" s="168"/>
      <c r="B29" s="133" t="str">
        <f>'Công trình'!B250</f>
        <v>AG.11413</v>
      </c>
      <c r="C29" s="34"/>
      <c r="D29" s="133" t="str">
        <f>'Công trình'!C250</f>
        <v>Sản xuất bê tông lục giác, đá 1x2, vữa BT mác 200</v>
      </c>
      <c r="E29" s="144"/>
      <c r="F29" s="144"/>
      <c r="G29" s="168"/>
      <c r="H29" s="20">
        <v>1</v>
      </c>
      <c r="I29" s="45">
        <f>'Hao phí vật tư'!K1906</f>
        <v>186.22219999999999</v>
      </c>
      <c r="J29" s="166"/>
      <c r="K29" s="156">
        <f>ROUND(I29*J6,2)</f>
        <v>36356346.329999998</v>
      </c>
      <c r="L29" s="55" t="str">
        <f>'Công trình'!X250</f>
        <v>HCM_2016_QD_3384_XD</v>
      </c>
      <c r="M29" s="166"/>
      <c r="N29" s="166"/>
      <c r="O29" s="156">
        <f>ROUND(I29*N6,2)</f>
        <v>0</v>
      </c>
      <c r="P29" s="156">
        <f>ROUND(I29*M6,2)</f>
        <v>36356346.329999998</v>
      </c>
    </row>
    <row r="30" spans="1:16" ht="30" hidden="1" x14ac:dyDescent="0.25">
      <c r="A30" s="168"/>
      <c r="B30" s="133" t="str">
        <f>'Công trình'!B267</f>
        <v>AF.11212</v>
      </c>
      <c r="C30" s="34"/>
      <c r="D30" s="133" t="str">
        <f>'Công trình'!C267</f>
        <v>Bê tông móng rộng &lt;=250cm đá 1x2, vữa BT mác 150</v>
      </c>
      <c r="E30" s="144"/>
      <c r="F30" s="144"/>
      <c r="G30" s="168"/>
      <c r="H30" s="20">
        <v>1</v>
      </c>
      <c r="I30" s="45">
        <f>'Hao phí vật tư'!K2037</f>
        <v>5.5759999999999996</v>
      </c>
      <c r="J30" s="166"/>
      <c r="K30" s="156">
        <f>ROUND(I30*J6,2)</f>
        <v>1088608.06</v>
      </c>
      <c r="L30" s="55" t="str">
        <f>'Công trình'!X267</f>
        <v>HCM_2016_QD_3384_XD</v>
      </c>
      <c r="M30" s="166"/>
      <c r="N30" s="166"/>
      <c r="O30" s="156">
        <f>ROUND(I30*N6,2)</f>
        <v>0</v>
      </c>
      <c r="P30" s="156">
        <f>ROUND(I30*M6,2)</f>
        <v>1088608.06</v>
      </c>
    </row>
    <row r="31" spans="1:16" ht="30" hidden="1" x14ac:dyDescent="0.25">
      <c r="A31" s="168"/>
      <c r="B31" s="133" t="str">
        <f>'Công trình'!B272</f>
        <v>AB.11412</v>
      </c>
      <c r="C31" s="34"/>
      <c r="D31" s="133" t="str">
        <f>'Công trình'!C272</f>
        <v>Đào móng cột trụ, hố kiểm tra, rộng &lt;=1m,sâu &lt;=1m, đất cấp II</v>
      </c>
      <c r="E31" s="144"/>
      <c r="F31" s="144"/>
      <c r="G31" s="168"/>
      <c r="H31" s="20">
        <v>1</v>
      </c>
      <c r="I31" s="45">
        <f>'Hao phí vật tư'!K2076</f>
        <v>3.8555999999999999</v>
      </c>
      <c r="J31" s="166"/>
      <c r="K31" s="156">
        <f>ROUND(I31*J6,2)</f>
        <v>752732.64</v>
      </c>
      <c r="L31" s="55" t="str">
        <f>'Công trình'!X272</f>
        <v>HCM_2016_QD_3384_XD</v>
      </c>
      <c r="M31" s="166"/>
      <c r="N31" s="166"/>
      <c r="O31" s="156">
        <f>ROUND(I31*N6,2)</f>
        <v>0</v>
      </c>
      <c r="P31" s="156">
        <f>ROUND(I31*M6,2)</f>
        <v>752732.64</v>
      </c>
    </row>
    <row r="32" spans="1:16" ht="30" hidden="1" x14ac:dyDescent="0.25">
      <c r="A32" s="168"/>
      <c r="B32" s="133" t="str">
        <f>'Công trình'!B284</f>
        <v>AF.11213</v>
      </c>
      <c r="C32" s="34"/>
      <c r="D32" s="133" t="str">
        <f>'Công trình'!C284</f>
        <v>Bê tông móng rộng &lt;=250cm đá 1x2, vữa BT mác 200</v>
      </c>
      <c r="E32" s="144"/>
      <c r="F32" s="144"/>
      <c r="G32" s="168"/>
      <c r="H32" s="20">
        <v>1</v>
      </c>
      <c r="I32" s="45">
        <f>'Hao phí vật tư'!K2128</f>
        <v>12.8576</v>
      </c>
      <c r="J32" s="166"/>
      <c r="K32" s="156">
        <f>ROUND(I32*J6,2)</f>
        <v>2510202.11</v>
      </c>
      <c r="L32" s="55" t="str">
        <f>'Công trình'!X284</f>
        <v>HCM_2016_QD_3384_XD</v>
      </c>
      <c r="M32" s="166"/>
      <c r="N32" s="166"/>
      <c r="O32" s="156">
        <f>ROUND(I32*N6,2)</f>
        <v>0</v>
      </c>
      <c r="P32" s="156">
        <f>ROUND(I32*M6,2)</f>
        <v>2510202.11</v>
      </c>
    </row>
    <row r="33" spans="1:16" ht="30" hidden="1" x14ac:dyDescent="0.25">
      <c r="A33" s="168"/>
      <c r="B33" s="133" t="str">
        <f>'Công trình'!B285</f>
        <v>AF.11212</v>
      </c>
      <c r="C33" s="34"/>
      <c r="D33" s="133" t="str">
        <f>'Công trình'!C285</f>
        <v>Bê tông móng rộng &lt;=250cm đá 1x2, vữa BT mác 150</v>
      </c>
      <c r="E33" s="144"/>
      <c r="F33" s="144"/>
      <c r="G33" s="168"/>
      <c r="H33" s="20">
        <v>1</v>
      </c>
      <c r="I33" s="45">
        <f>'Hao phí vật tư'!K2140</f>
        <v>2.2959999999999998</v>
      </c>
      <c r="J33" s="166"/>
      <c r="K33" s="156">
        <f>ROUND(I33*J6,2)</f>
        <v>448250.38</v>
      </c>
      <c r="L33" s="55" t="str">
        <f>'Công trình'!X285</f>
        <v>HCM_2016_QD_3384_XD</v>
      </c>
      <c r="M33" s="166"/>
      <c r="N33" s="166"/>
      <c r="O33" s="156">
        <f>ROUND(I33*N6,2)</f>
        <v>0</v>
      </c>
      <c r="P33" s="156">
        <f>ROUND(I33*M6,2)</f>
        <v>448250.38</v>
      </c>
    </row>
    <row r="34" spans="1:16" ht="30" hidden="1" x14ac:dyDescent="0.25">
      <c r="A34" s="168"/>
      <c r="B34" s="133" t="str">
        <f>'Công trình'!B295</f>
        <v>AF.11213</v>
      </c>
      <c r="C34" s="34"/>
      <c r="D34" s="133" t="str">
        <f>'Công trình'!C295</f>
        <v>Bê tông móng rộng &lt;=250cm đá 1x2, vữa BT mác 200</v>
      </c>
      <c r="E34" s="144"/>
      <c r="F34" s="144"/>
      <c r="G34" s="168"/>
      <c r="H34" s="20">
        <v>1</v>
      </c>
      <c r="I34" s="45">
        <f>'Hao phí vật tư'!K2212</f>
        <v>0.27879999999999999</v>
      </c>
      <c r="J34" s="166"/>
      <c r="K34" s="156">
        <f>ROUND(I34*J6,2)</f>
        <v>54430.400000000001</v>
      </c>
      <c r="L34" s="55" t="str">
        <f>'Công trình'!X295</f>
        <v>HCM_2016_QD_3384_XD</v>
      </c>
      <c r="M34" s="166"/>
      <c r="N34" s="166"/>
      <c r="O34" s="156">
        <f>ROUND(I34*N6,2)</f>
        <v>0</v>
      </c>
      <c r="P34" s="156">
        <f>ROUND(I34*M6,2)</f>
        <v>54430.400000000001</v>
      </c>
    </row>
    <row r="35" spans="1:16" ht="30" hidden="1" x14ac:dyDescent="0.25">
      <c r="A35" s="168"/>
      <c r="B35" s="133" t="str">
        <f>'Công trình'!B296</f>
        <v>AF.11212</v>
      </c>
      <c r="C35" s="34"/>
      <c r="D35" s="133" t="str">
        <f>'Công trình'!C296</f>
        <v>Bê tông móng rộng &lt;=250cm đá 1x2, vữa BT mác 150</v>
      </c>
      <c r="E35" s="144"/>
      <c r="F35" s="144"/>
      <c r="G35" s="168"/>
      <c r="H35" s="20">
        <v>1</v>
      </c>
      <c r="I35" s="45">
        <f>'Hao phí vật tư'!K2224</f>
        <v>9.8400000000000001E-2</v>
      </c>
      <c r="J35" s="166"/>
      <c r="K35" s="156">
        <f>ROUND(I35*J6,2)</f>
        <v>19210.73</v>
      </c>
      <c r="L35" s="55" t="str">
        <f>'Công trình'!X296</f>
        <v>HCM_2016_QD_3384_XD</v>
      </c>
      <c r="M35" s="166"/>
      <c r="N35" s="166"/>
      <c r="O35" s="156">
        <f>ROUND(I35*N6,2)</f>
        <v>0</v>
      </c>
      <c r="P35" s="156">
        <f>ROUND(I35*M6,2)</f>
        <v>19210.73</v>
      </c>
    </row>
    <row r="36" spans="1:16" ht="30" hidden="1" x14ac:dyDescent="0.25">
      <c r="A36" s="168"/>
      <c r="B36" s="133" t="str">
        <f>'Công trình'!B297</f>
        <v>AB.11412</v>
      </c>
      <c r="C36" s="34"/>
      <c r="D36" s="133" t="str">
        <f>'Công trình'!C297</f>
        <v>Đào móng cột trụ, hố kiểm tra, rộng &lt;=1m,sâu &lt;=1m, đất cấp II</v>
      </c>
      <c r="E36" s="144"/>
      <c r="F36" s="144"/>
      <c r="G36" s="168"/>
      <c r="H36" s="20">
        <v>1</v>
      </c>
      <c r="I36" s="45">
        <f>'Hao phí vật tư'!K2230</f>
        <v>0.23799999999999999</v>
      </c>
      <c r="J36" s="166"/>
      <c r="K36" s="156">
        <f>ROUND(I36*J6,2)</f>
        <v>46464.98</v>
      </c>
      <c r="L36" s="55" t="str">
        <f>'Công trình'!X297</f>
        <v>HCM_2016_QD_3384_XD</v>
      </c>
      <c r="M36" s="166"/>
      <c r="N36" s="166"/>
      <c r="O36" s="156">
        <f>ROUND(I36*N6,2)</f>
        <v>0</v>
      </c>
      <c r="P36" s="156">
        <f>ROUND(I36*M6,2)</f>
        <v>46464.98</v>
      </c>
    </row>
    <row r="37" spans="1:16" ht="30" hidden="1" x14ac:dyDescent="0.25">
      <c r="A37" s="168"/>
      <c r="B37" s="133" t="str">
        <f>'Công trình'!B300</f>
        <v>AG.11113</v>
      </c>
      <c r="C37" s="34"/>
      <c r="D37" s="133" t="str">
        <f>'Công trình'!C300</f>
        <v>Sản xuất bê tông cọc, cột đúc sẵn đá 1x2, vữa BT mác 200</v>
      </c>
      <c r="E37" s="144"/>
      <c r="F37" s="144"/>
      <c r="G37" s="168"/>
      <c r="H37" s="20">
        <v>1</v>
      </c>
      <c r="I37" s="45">
        <f>'Hao phí vật tư'!K2246</f>
        <v>1.647</v>
      </c>
      <c r="J37" s="166"/>
      <c r="K37" s="156">
        <f>ROUND(I37*J6,2)</f>
        <v>321545.46000000002</v>
      </c>
      <c r="L37" s="55" t="str">
        <f>'Công trình'!X300</f>
        <v>HCM_2016_QD_3384_XD</v>
      </c>
      <c r="M37" s="166"/>
      <c r="N37" s="166"/>
      <c r="O37" s="156">
        <f>ROUND(I37*N6,2)</f>
        <v>0</v>
      </c>
      <c r="P37" s="156">
        <f>ROUND(I37*M6,2)</f>
        <v>321545.46000000002</v>
      </c>
    </row>
    <row r="38" spans="1:16" ht="30" hidden="1" x14ac:dyDescent="0.25">
      <c r="A38" s="168"/>
      <c r="B38" s="133" t="str">
        <f>'Công trình'!B301</f>
        <v>AF.11212</v>
      </c>
      <c r="C38" s="34"/>
      <c r="D38" s="133" t="str">
        <f>'Công trình'!C301</f>
        <v>Bê tông móng rộng &lt;=250cm đá 1x2, vữa BT mác 150</v>
      </c>
      <c r="E38" s="144"/>
      <c r="F38" s="144"/>
      <c r="G38" s="168"/>
      <c r="H38" s="20">
        <v>1</v>
      </c>
      <c r="I38" s="45">
        <f>'Hao phí vật tư'!K2259</f>
        <v>2.3616000000000001</v>
      </c>
      <c r="J38" s="166"/>
      <c r="K38" s="156">
        <f>ROUND(I38*J6,2)</f>
        <v>461057.53</v>
      </c>
      <c r="L38" s="55" t="str">
        <f>'Công trình'!X301</f>
        <v>HCM_2016_QD_3384_XD</v>
      </c>
      <c r="M38" s="166"/>
      <c r="N38" s="166"/>
      <c r="O38" s="156">
        <f>ROUND(I38*N6,2)</f>
        <v>0</v>
      </c>
      <c r="P38" s="156">
        <f>ROUND(I38*M6,2)</f>
        <v>461057.53</v>
      </c>
    </row>
    <row r="39" spans="1:16" ht="30" hidden="1" x14ac:dyDescent="0.25">
      <c r="A39" s="168"/>
      <c r="B39" s="133" t="str">
        <f>'Công trình'!B306</f>
        <v>AB.11312</v>
      </c>
      <c r="C39" s="34"/>
      <c r="D39" s="133" t="str">
        <f>'Công trình'!C306</f>
        <v>Đào móng băng, rộng &lt;=3m, sâu &lt;=1m, đất cấp II</v>
      </c>
      <c r="E39" s="144"/>
      <c r="F39" s="144"/>
      <c r="G39" s="168"/>
      <c r="H39" s="20">
        <v>1</v>
      </c>
      <c r="I39" s="45">
        <f>'Hao phí vật tư'!K2295</f>
        <v>1.1808000000000001</v>
      </c>
      <c r="J39" s="166"/>
      <c r="K39" s="156">
        <f>ROUND(I39*J6,2)</f>
        <v>230528.76</v>
      </c>
      <c r="L39" s="55" t="str">
        <f>'Công trình'!X306</f>
        <v>HCM_2016_QD_3384_XD</v>
      </c>
      <c r="M39" s="166"/>
      <c r="N39" s="166"/>
      <c r="O39" s="156">
        <f>ROUND(I39*N6,2)</f>
        <v>0</v>
      </c>
      <c r="P39" s="156">
        <f>ROUND(I39*M6,2)</f>
        <v>230528.76</v>
      </c>
    </row>
    <row r="40" spans="1:16" ht="30" hidden="1" x14ac:dyDescent="0.25">
      <c r="A40" s="168"/>
      <c r="B40" s="133" t="str">
        <f>'Công trình'!B7</f>
        <v>AF.11224</v>
      </c>
      <c r="C40" s="34"/>
      <c r="D40" s="133" t="str">
        <f>'Công trình'!C7</f>
        <v>Bê tông móng rộng &gt;250cm đá 1x2, vữa BT mác 250</v>
      </c>
      <c r="E40" s="144"/>
      <c r="F40" s="144"/>
      <c r="G40" s="168"/>
      <c r="H40" s="20">
        <v>1</v>
      </c>
      <c r="I40" s="45">
        <f>'Hao phí vật tư'!K18</f>
        <v>323.74979999999999</v>
      </c>
      <c r="J40" s="166"/>
      <c r="K40" s="156">
        <f>ROUND(I40*J6,2)</f>
        <v>63205997.200000003</v>
      </c>
      <c r="L40" s="55" t="str">
        <f>'Công trình'!X7</f>
        <v>HCM_2016_QD_3384_XD</v>
      </c>
      <c r="M40" s="166"/>
      <c r="N40" s="166"/>
      <c r="O40" s="156">
        <f>ROUND(I40*N6,2)</f>
        <v>0</v>
      </c>
      <c r="P40" s="156">
        <f>ROUND(I40*M6,2)</f>
        <v>63205997.200000003</v>
      </c>
    </row>
    <row r="41" spans="1:16" ht="30" hidden="1" x14ac:dyDescent="0.25">
      <c r="A41" s="168"/>
      <c r="B41" s="133" t="str">
        <f>'Công trình'!B175</f>
        <v>AF.11225</v>
      </c>
      <c r="C41" s="34"/>
      <c r="D41" s="133" t="str">
        <f>'Công trình'!C175</f>
        <v>Bê tông bản dẫn đá 1x2, vữa BT mác 300</v>
      </c>
      <c r="E41" s="144"/>
      <c r="F41" s="144"/>
      <c r="G41" s="168"/>
      <c r="H41" s="20">
        <v>1</v>
      </c>
      <c r="I41" s="45">
        <f>'Hao phí vật tư'!K1321</f>
        <v>35.46</v>
      </c>
      <c r="J41" s="166"/>
      <c r="K41" s="156">
        <f>ROUND(I41*J6,2)</f>
        <v>6922891.2599999998</v>
      </c>
      <c r="L41" s="55" t="str">
        <f>'Công trình'!X175</f>
        <v>HCM_2016_QD_3384_XD</v>
      </c>
      <c r="M41" s="166"/>
      <c r="N41" s="166"/>
      <c r="O41" s="156">
        <f>ROUND(I41*N6,2)</f>
        <v>0</v>
      </c>
      <c r="P41" s="156">
        <f>ROUND(I41*M6,2)</f>
        <v>6922891.2599999998</v>
      </c>
    </row>
    <row r="42" spans="1:16" ht="30" hidden="1" x14ac:dyDescent="0.25">
      <c r="A42" s="168"/>
      <c r="B42" s="133" t="str">
        <f>'Công trình'!B9</f>
        <v>AF.11333</v>
      </c>
      <c r="C42" s="34"/>
      <c r="D42" s="133" t="str">
        <f>'Công trình'!C9</f>
        <v>Bê tông bịt đáy đá 4x6, vữa BT mác 200</v>
      </c>
      <c r="E42" s="144"/>
      <c r="F42" s="144"/>
      <c r="G42" s="168"/>
      <c r="H42" s="20">
        <v>1</v>
      </c>
      <c r="I42" s="45">
        <f>'Hao phí vật tư'!K46</f>
        <v>410.8</v>
      </c>
      <c r="J42" s="166"/>
      <c r="K42" s="156">
        <f>ROUND(I42*J6,2)</f>
        <v>80200894.799999997</v>
      </c>
      <c r="L42" s="55" t="str">
        <f>'Công trình'!X9</f>
        <v>HCM_2016_QD_3384_XD</v>
      </c>
      <c r="M42" s="166"/>
      <c r="N42" s="166"/>
      <c r="O42" s="156">
        <f>ROUND(I42*N6,2)</f>
        <v>0</v>
      </c>
      <c r="P42" s="156">
        <f>ROUND(I42*M6,2)</f>
        <v>80200894.799999997</v>
      </c>
    </row>
    <row r="43" spans="1:16" ht="30" hidden="1" x14ac:dyDescent="0.25">
      <c r="A43" s="168"/>
      <c r="B43" s="133" t="str">
        <f>'Công trình'!B245</f>
        <v>AB.64112</v>
      </c>
      <c r="C43" s="34"/>
      <c r="D43" s="133" t="str">
        <f>'Công trình'!C245</f>
        <v>Đắp nền đường bằng máy đầm 9T, độ chặt K=0,90</v>
      </c>
      <c r="E43" s="144"/>
      <c r="F43" s="144"/>
      <c r="G43" s="168"/>
      <c r="H43" s="20">
        <v>1</v>
      </c>
      <c r="I43" s="45">
        <f>'Hao phí vật tư'!K1855</f>
        <v>29.505199999999999</v>
      </c>
      <c r="J43" s="166"/>
      <c r="K43" s="156">
        <f>ROUND(I43*J6,2)</f>
        <v>5760329.7000000002</v>
      </c>
      <c r="L43" s="55" t="str">
        <f>'Công trình'!X245</f>
        <v>HCM_2016_QD_3384_XD</v>
      </c>
      <c r="M43" s="166"/>
      <c r="N43" s="166"/>
      <c r="O43" s="156">
        <f>ROUND(I43*N6,2)</f>
        <v>0</v>
      </c>
      <c r="P43" s="156">
        <f>ROUND(I43*M6,2)</f>
        <v>5760329.7000000002</v>
      </c>
    </row>
    <row r="44" spans="1:16" ht="30" hidden="1" x14ac:dyDescent="0.25">
      <c r="A44" s="168"/>
      <c r="B44" s="133" t="str">
        <f>'Công trình'!B10</f>
        <v>AF.11121</v>
      </c>
      <c r="C44" s="34"/>
      <c r="D44" s="133" t="str">
        <f>'Công trình'!C10</f>
        <v>Bê tông lót móng rộng &gt;250cm đá 4x6, vữa BT mác 100</v>
      </c>
      <c r="E44" s="144"/>
      <c r="F44" s="144"/>
      <c r="G44" s="168"/>
      <c r="H44" s="20">
        <v>1</v>
      </c>
      <c r="I44" s="45">
        <f>'Hao phí vật tư'!K57</f>
        <v>64.427999999999997</v>
      </c>
      <c r="J44" s="166"/>
      <c r="K44" s="156">
        <f>ROUND(I44*J6,2)</f>
        <v>12578342.869999999</v>
      </c>
      <c r="L44" s="55" t="str">
        <f>'Công trình'!X10</f>
        <v>HCM_2016_QD_3384_XD</v>
      </c>
      <c r="M44" s="166"/>
      <c r="N44" s="166"/>
      <c r="O44" s="156">
        <f>ROUND(I44*N6,2)</f>
        <v>0</v>
      </c>
      <c r="P44" s="156">
        <f>ROUND(I44*M6,2)</f>
        <v>12578342.869999999</v>
      </c>
    </row>
    <row r="45" spans="1:16" x14ac:dyDescent="0.25">
      <c r="A45" s="168">
        <v>2</v>
      </c>
      <c r="B45" s="84" t="s">
        <v>323</v>
      </c>
      <c r="C45" s="34">
        <v>546</v>
      </c>
      <c r="D45" s="144" t="s">
        <v>690</v>
      </c>
      <c r="E45" s="144" t="s">
        <v>939</v>
      </c>
      <c r="F45" s="144" t="s">
        <v>939</v>
      </c>
      <c r="G45" s="168" t="s">
        <v>450</v>
      </c>
      <c r="H45" s="34"/>
      <c r="I45" s="60">
        <f>SUM(I46:I102)</f>
        <v>4416.8483999999999</v>
      </c>
      <c r="J45" s="166">
        <v>212856</v>
      </c>
      <c r="K45" s="166">
        <f>ROUND(I45*J45,0)</f>
        <v>940152683</v>
      </c>
      <c r="L45" s="69">
        <v>1</v>
      </c>
      <c r="M45" s="166">
        <v>212856</v>
      </c>
      <c r="N45" s="166">
        <f>M45-J45</f>
        <v>0</v>
      </c>
      <c r="O45" s="166">
        <f>ROUND(I45*N45,0)</f>
        <v>0</v>
      </c>
      <c r="P45" s="166">
        <f>ROUND(I45*M45,0)</f>
        <v>940152683</v>
      </c>
    </row>
    <row r="46" spans="1:16" ht="30" hidden="1" x14ac:dyDescent="0.25">
      <c r="A46" s="168"/>
      <c r="B46" s="133" t="str">
        <f>'Công trình'!B11</f>
        <v>AF.61120</v>
      </c>
      <c r="C46" s="34"/>
      <c r="D46" s="133" t="str">
        <f>'Công trình'!C11</f>
        <v>Sản xuất, lắp dựng cốt thép móng đường kính &lt;=18mm</v>
      </c>
      <c r="E46" s="144"/>
      <c r="F46" s="144"/>
      <c r="G46" s="168"/>
      <c r="H46" s="20">
        <v>1</v>
      </c>
      <c r="I46" s="45">
        <f>'Hao phí vật tư'!K67</f>
        <v>75.442800000000005</v>
      </c>
      <c r="J46" s="166"/>
      <c r="K46" s="156">
        <f>ROUND(I46*J45,2)</f>
        <v>16058452.640000001</v>
      </c>
      <c r="L46" s="55" t="str">
        <f>'Công trình'!X11</f>
        <v>HCM_2016_QD_3384_XD</v>
      </c>
      <c r="M46" s="166"/>
      <c r="N46" s="166"/>
      <c r="O46" s="156">
        <f>ROUND(I46*N45,2)</f>
        <v>0</v>
      </c>
      <c r="P46" s="156">
        <f>ROUND(I46*M45,2)</f>
        <v>16058452.640000001</v>
      </c>
    </row>
    <row r="47" spans="1:16" ht="30" hidden="1" x14ac:dyDescent="0.25">
      <c r="A47" s="168"/>
      <c r="B47" s="133" t="str">
        <f>'Công trình'!B12</f>
        <v>AF.61130</v>
      </c>
      <c r="C47" s="34"/>
      <c r="D47" s="133" t="str">
        <f>'Công trình'!C12</f>
        <v>Sản xuất, lắp dựng cốt thép móng đường kính &gt;18mm</v>
      </c>
      <c r="E47" s="144"/>
      <c r="F47" s="144"/>
      <c r="G47" s="168"/>
      <c r="H47" s="20">
        <v>1</v>
      </c>
      <c r="I47" s="45">
        <f>'Hao phí vật tư'!K77</f>
        <v>16.670000000000002</v>
      </c>
      <c r="J47" s="166"/>
      <c r="K47" s="156">
        <f>ROUND(I47*J45,2)</f>
        <v>3548309.52</v>
      </c>
      <c r="L47" s="55" t="str">
        <f>'Công trình'!X12</f>
        <v>HCM_2016_QD_3384_XD</v>
      </c>
      <c r="M47" s="166"/>
      <c r="N47" s="166"/>
      <c r="O47" s="156">
        <f>ROUND(I47*N45,2)</f>
        <v>0</v>
      </c>
      <c r="P47" s="156">
        <f>ROUND(I47*M45,2)</f>
        <v>3548309.52</v>
      </c>
    </row>
    <row r="48" spans="1:16" ht="30" hidden="1" x14ac:dyDescent="0.25">
      <c r="A48" s="168"/>
      <c r="B48" s="133" t="str">
        <f>'Công trình'!B13</f>
        <v>AF.61321</v>
      </c>
      <c r="C48" s="34"/>
      <c r="D48" s="133" t="str">
        <f>'Công trình'!C13</f>
        <v>Sản xuất, lắp dựng cốt thép tường đường kính &lt;=18mm, chiều cao &lt;=4m</v>
      </c>
      <c r="E48" s="144"/>
      <c r="F48" s="144"/>
      <c r="G48" s="168"/>
      <c r="H48" s="20">
        <v>1</v>
      </c>
      <c r="I48" s="45">
        <f>'Hao phí vật tư'!K87</f>
        <v>85.175700000000006</v>
      </c>
      <c r="J48" s="166"/>
      <c r="K48" s="156">
        <f>ROUND(I48*J45,2)</f>
        <v>18130158.800000001</v>
      </c>
      <c r="L48" s="55" t="str">
        <f>'Công trình'!X13</f>
        <v>HCM_2016_QD_3384_XD</v>
      </c>
      <c r="M48" s="166"/>
      <c r="N48" s="166"/>
      <c r="O48" s="156">
        <f>ROUND(I48*N45,2)</f>
        <v>0</v>
      </c>
      <c r="P48" s="156">
        <f>ROUND(I48*M45,2)</f>
        <v>18130158.800000001</v>
      </c>
    </row>
    <row r="49" spans="1:16" ht="30" hidden="1" x14ac:dyDescent="0.25">
      <c r="A49" s="168"/>
      <c r="B49" s="133" t="str">
        <f>'Công trình'!B14</f>
        <v>AF.61331</v>
      </c>
      <c r="C49" s="34"/>
      <c r="D49" s="133" t="str">
        <f>'Công trình'!C14</f>
        <v>Sản xuất, lắp dựng cốt thép tường đường kính &gt;18mm, chiều cao &lt;=4m</v>
      </c>
      <c r="E49" s="144"/>
      <c r="F49" s="144"/>
      <c r="G49" s="168"/>
      <c r="H49" s="20">
        <v>1</v>
      </c>
      <c r="I49" s="45">
        <f>'Hao phí vật tư'!K97</f>
        <v>26.863199999999999</v>
      </c>
      <c r="J49" s="166"/>
      <c r="K49" s="156">
        <f>ROUND(I49*J45,2)</f>
        <v>5717993.2999999998</v>
      </c>
      <c r="L49" s="55" t="str">
        <f>'Công trình'!X14</f>
        <v>HCM_2016_QD_3384_XD</v>
      </c>
      <c r="M49" s="166"/>
      <c r="N49" s="166"/>
      <c r="O49" s="156">
        <f>ROUND(I49*N45,2)</f>
        <v>0</v>
      </c>
      <c r="P49" s="156">
        <f>ROUND(I49*M45,2)</f>
        <v>5717993.2999999998</v>
      </c>
    </row>
    <row r="50" spans="1:16" ht="30" hidden="1" x14ac:dyDescent="0.25">
      <c r="A50" s="168"/>
      <c r="B50" s="133" t="str">
        <f>'Công trình'!B18</f>
        <v>AF.12314</v>
      </c>
      <c r="C50" s="34"/>
      <c r="D50" s="133" t="str">
        <f>'Công trình'!C18</f>
        <v>Bê tông xà dầm, giằng nhà đá 1x2, vữa BT mác 250</v>
      </c>
      <c r="E50" s="144"/>
      <c r="F50" s="144"/>
      <c r="G50" s="168"/>
      <c r="H50" s="20">
        <v>1</v>
      </c>
      <c r="I50" s="45">
        <f>'Hao phí vật tư'!K129</f>
        <v>230.7236</v>
      </c>
      <c r="J50" s="166"/>
      <c r="K50" s="156">
        <f>ROUND(I50*J45,2)</f>
        <v>49110902.600000001</v>
      </c>
      <c r="L50" s="55" t="str">
        <f>'Công trình'!X18</f>
        <v>HCM_2016_QD_3384_XD</v>
      </c>
      <c r="M50" s="166"/>
      <c r="N50" s="166"/>
      <c r="O50" s="156">
        <f>ROUND(I50*N45,2)</f>
        <v>0</v>
      </c>
      <c r="P50" s="156">
        <f>ROUND(I50*M45,2)</f>
        <v>49110902.600000001</v>
      </c>
    </row>
    <row r="51" spans="1:16" ht="30" hidden="1" x14ac:dyDescent="0.25">
      <c r="A51" s="168"/>
      <c r="B51" s="133" t="str">
        <f>'Công trình'!B20</f>
        <v>AF.61511</v>
      </c>
      <c r="C51" s="34"/>
      <c r="D51" s="133" t="str">
        <f>'Công trình'!C20</f>
        <v>Sản xuất, lắp dựng cốt thép xà dầm, giằng đường kính &lt;=10mm, chiều cao &lt;=4m</v>
      </c>
      <c r="E51" s="144"/>
      <c r="F51" s="144"/>
      <c r="G51" s="168"/>
      <c r="H51" s="20">
        <v>1</v>
      </c>
      <c r="I51" s="45">
        <f>'Hao phí vật tư'!K152</f>
        <v>17.896100000000001</v>
      </c>
      <c r="J51" s="166"/>
      <c r="K51" s="156">
        <f>ROUND(I51*J45,2)</f>
        <v>3809292.26</v>
      </c>
      <c r="L51" s="55" t="str">
        <f>'Công trình'!X20</f>
        <v>HCM_2016_QD_3384_XD</v>
      </c>
      <c r="M51" s="166"/>
      <c r="N51" s="166"/>
      <c r="O51" s="156">
        <f>ROUND(I51*N45,2)</f>
        <v>0</v>
      </c>
      <c r="P51" s="156">
        <f>ROUND(I51*M45,2)</f>
        <v>3809292.26</v>
      </c>
    </row>
    <row r="52" spans="1:16" ht="30" hidden="1" x14ac:dyDescent="0.25">
      <c r="A52" s="168"/>
      <c r="B52" s="133" t="str">
        <f>'Công trình'!B22</f>
        <v>AF.61521</v>
      </c>
      <c r="C52" s="34"/>
      <c r="D52" s="133" t="str">
        <f>'Công trình'!C22</f>
        <v>Sản xuất, lắp dựng cốt thép xà dầm, giằng đường kính &lt;=18mm, chiều cao &lt;=4m</v>
      </c>
      <c r="E52" s="144"/>
      <c r="F52" s="144"/>
      <c r="G52" s="168"/>
      <c r="H52" s="20">
        <v>1</v>
      </c>
      <c r="I52" s="45">
        <f>'Hao phí vật tư'!K161</f>
        <v>21.6844</v>
      </c>
      <c r="J52" s="166"/>
      <c r="K52" s="156">
        <f>ROUND(I52*J45,2)</f>
        <v>4615654.6500000004</v>
      </c>
      <c r="L52" s="55" t="str">
        <f>'Công trình'!X22</f>
        <v>HCM_2016_QD_3384_XD</v>
      </c>
      <c r="M52" s="166"/>
      <c r="N52" s="166"/>
      <c r="O52" s="156">
        <f>ROUND(I52*N45,2)</f>
        <v>0</v>
      </c>
      <c r="P52" s="156">
        <f>ROUND(I52*M45,2)</f>
        <v>4615654.6500000004</v>
      </c>
    </row>
    <row r="53" spans="1:16" ht="30" hidden="1" x14ac:dyDescent="0.25">
      <c r="A53" s="168"/>
      <c r="B53" s="133" t="str">
        <f>'Công trình'!B30</f>
        <v>AF.12113</v>
      </c>
      <c r="C53" s="34"/>
      <c r="D53" s="133" t="str">
        <f>'Công trình'!C30</f>
        <v>Bê tông tường dày &lt;=45cm, chiều cao &lt;=4m đá 1x2, vữa BT mác 200</v>
      </c>
      <c r="E53" s="144"/>
      <c r="F53" s="144"/>
      <c r="G53" s="168"/>
      <c r="H53" s="20">
        <v>1</v>
      </c>
      <c r="I53" s="45">
        <f>'Hao phí vật tư'!K210</f>
        <v>93.200800000000001</v>
      </c>
      <c r="J53" s="166"/>
      <c r="K53" s="156">
        <f>ROUND(I53*J45,2)</f>
        <v>19838349.48</v>
      </c>
      <c r="L53" s="55" t="str">
        <f>'Công trình'!X30</f>
        <v>HCM_2016_QD_3384_XD</v>
      </c>
      <c r="M53" s="166"/>
      <c r="N53" s="166"/>
      <c r="O53" s="156">
        <f>ROUND(I53*N45,2)</f>
        <v>0</v>
      </c>
      <c r="P53" s="156">
        <f>ROUND(I53*M45,2)</f>
        <v>19838349.48</v>
      </c>
    </row>
    <row r="54" spans="1:16" ht="30" hidden="1" x14ac:dyDescent="0.25">
      <c r="A54" s="168"/>
      <c r="B54" s="133" t="str">
        <f>'Công trình'!B32</f>
        <v>AF.61311</v>
      </c>
      <c r="C54" s="34"/>
      <c r="D54" s="133" t="str">
        <f>'Công trình'!C32</f>
        <v>Sản xuất, lắp dựng cốt thép tường đường kính &lt;=10mm, chiều cao &lt;=4m</v>
      </c>
      <c r="E54" s="144"/>
      <c r="F54" s="144"/>
      <c r="G54" s="168"/>
      <c r="H54" s="20">
        <v>1</v>
      </c>
      <c r="I54" s="45">
        <f>'Hao phí vật tư'!K232</f>
        <v>11.929</v>
      </c>
      <c r="J54" s="166"/>
      <c r="K54" s="156">
        <f>ROUND(I54*J45,2)</f>
        <v>2539159.2200000002</v>
      </c>
      <c r="L54" s="55" t="str">
        <f>'Công trình'!X32</f>
        <v>HCM_2016_QD_3384_XD</v>
      </c>
      <c r="M54" s="166"/>
      <c r="N54" s="166"/>
      <c r="O54" s="156">
        <f>ROUND(I54*N45,2)</f>
        <v>0</v>
      </c>
      <c r="P54" s="156">
        <f>ROUND(I54*M45,2)</f>
        <v>2539159.2200000002</v>
      </c>
    </row>
    <row r="55" spans="1:16" ht="30" hidden="1" x14ac:dyDescent="0.25">
      <c r="A55" s="168"/>
      <c r="B55" s="133" t="str">
        <f>'Công trình'!B33</f>
        <v>AF.61321</v>
      </c>
      <c r="C55" s="34"/>
      <c r="D55" s="133" t="str">
        <f>'Công trình'!C33</f>
        <v>Sản xuất, lắp dựng cốt thép tường đường kính &lt;=18mm, chiều cao &lt;=4m</v>
      </c>
      <c r="E55" s="144"/>
      <c r="F55" s="144"/>
      <c r="G55" s="168"/>
      <c r="H55" s="20">
        <v>1</v>
      </c>
      <c r="I55" s="45">
        <f>'Hao phí vật tư'!K241</f>
        <v>9.4408999999999992</v>
      </c>
      <c r="J55" s="166"/>
      <c r="K55" s="156">
        <f>ROUND(I55*J45,2)</f>
        <v>2009552.21</v>
      </c>
      <c r="L55" s="55" t="str">
        <f>'Công trình'!X33</f>
        <v>HCM_2016_QD_3384_XD</v>
      </c>
      <c r="M55" s="166"/>
      <c r="N55" s="166"/>
      <c r="O55" s="156">
        <f>ROUND(I55*N45,2)</f>
        <v>0</v>
      </c>
      <c r="P55" s="156">
        <f>ROUND(I55*M45,2)</f>
        <v>2009552.21</v>
      </c>
    </row>
    <row r="56" spans="1:16" ht="30" hidden="1" x14ac:dyDescent="0.25">
      <c r="A56" s="168"/>
      <c r="B56" s="133" t="str">
        <f>'Công trình'!B45</f>
        <v>AK.84422</v>
      </c>
      <c r="C56" s="34"/>
      <c r="D56" s="133" t="str">
        <f>'Công trình'!C45</f>
        <v>Sơn dầm, trần, cột, tường 1 nước lót + 2 nước phủ bằng sơn ICI Dulux</v>
      </c>
      <c r="E56" s="144"/>
      <c r="F56" s="144"/>
      <c r="G56" s="168"/>
      <c r="H56" s="20">
        <v>1</v>
      </c>
      <c r="I56" s="45">
        <f>'Hao phí vật tư'!K349</f>
        <v>0.26400000000000001</v>
      </c>
      <c r="J56" s="166"/>
      <c r="K56" s="156">
        <f>ROUND(I56*J45,2)</f>
        <v>56193.98</v>
      </c>
      <c r="L56" s="55" t="str">
        <f>'Công trình'!X45</f>
        <v>HCM_2016_QD_3384_XD</v>
      </c>
      <c r="M56" s="166"/>
      <c r="N56" s="166"/>
      <c r="O56" s="156">
        <f>ROUND(I56*N45,2)</f>
        <v>0</v>
      </c>
      <c r="P56" s="156">
        <f>ROUND(I56*M45,2)</f>
        <v>56193.98</v>
      </c>
    </row>
    <row r="57" spans="1:16" ht="30" hidden="1" x14ac:dyDescent="0.25">
      <c r="A57" s="168"/>
      <c r="B57" s="133" t="str">
        <f>'Công trình'!B60</f>
        <v>AF.61511</v>
      </c>
      <c r="C57" s="34"/>
      <c r="D57" s="133" t="str">
        <f>'Công trình'!C60</f>
        <v>Sản xuất, lắp dựng cốt thép xà dầm, giằng đường kính &lt;=10mm, chiều cao &lt;=4m</v>
      </c>
      <c r="E57" s="144"/>
      <c r="F57" s="144"/>
      <c r="G57" s="168"/>
      <c r="H57" s="20">
        <v>1</v>
      </c>
      <c r="I57" s="45">
        <f>'Hao phí vật tư'!K458</f>
        <v>6.8348000000000004</v>
      </c>
      <c r="J57" s="166"/>
      <c r="K57" s="156">
        <f>ROUND(I57*J45,2)</f>
        <v>1454828.19</v>
      </c>
      <c r="L57" s="55" t="str">
        <f>'Công trình'!X60</f>
        <v>HCM_2016_QD_3384_XD</v>
      </c>
      <c r="M57" s="166"/>
      <c r="N57" s="166"/>
      <c r="O57" s="156">
        <f>ROUND(I57*N45,2)</f>
        <v>0</v>
      </c>
      <c r="P57" s="156">
        <f>ROUND(I57*M45,2)</f>
        <v>1454828.19</v>
      </c>
    </row>
    <row r="58" spans="1:16" ht="30" hidden="1" x14ac:dyDescent="0.25">
      <c r="A58" s="168"/>
      <c r="B58" s="133" t="str">
        <f>'Công trình'!B61</f>
        <v>AF.61521</v>
      </c>
      <c r="C58" s="34"/>
      <c r="D58" s="133" t="str">
        <f>'Công trình'!C61</f>
        <v>Sản xuất, lắp dựng cốt thép xà dầm, giằng đường kính &lt;=18mm, chiều cao &lt;=4m</v>
      </c>
      <c r="E58" s="144"/>
      <c r="F58" s="144"/>
      <c r="G58" s="168"/>
      <c r="H58" s="20">
        <v>1</v>
      </c>
      <c r="I58" s="45">
        <f>'Hao phí vật tư'!K467</f>
        <v>18.373200000000001</v>
      </c>
      <c r="J58" s="166"/>
      <c r="K58" s="156">
        <f>ROUND(I58*J45,2)</f>
        <v>3910845.86</v>
      </c>
      <c r="L58" s="55" t="str">
        <f>'Công trình'!X61</f>
        <v>HCM_2016_QD_3384_XD</v>
      </c>
      <c r="M58" s="166"/>
      <c r="N58" s="166"/>
      <c r="O58" s="156">
        <f>ROUND(I58*N45,2)</f>
        <v>0</v>
      </c>
      <c r="P58" s="156">
        <f>ROUND(I58*M45,2)</f>
        <v>3910845.86</v>
      </c>
    </row>
    <row r="59" spans="1:16" ht="30" hidden="1" x14ac:dyDescent="0.25">
      <c r="A59" s="168"/>
      <c r="B59" s="133" t="str">
        <f>'Công trình'!B57</f>
        <v>AF.12313</v>
      </c>
      <c r="C59" s="34"/>
      <c r="D59" s="133" t="str">
        <f>'Công trình'!C57</f>
        <v>Bê tông xà dầm, giằng đá 1x2, vữa BT mác 200</v>
      </c>
      <c r="E59" s="144"/>
      <c r="F59" s="144"/>
      <c r="G59" s="168"/>
      <c r="H59" s="20">
        <v>1</v>
      </c>
      <c r="I59" s="45">
        <f>'Hao phí vật tư'!K426</f>
        <v>124.13720000000001</v>
      </c>
      <c r="J59" s="166"/>
      <c r="K59" s="156">
        <f>ROUND(I59*J45,2)</f>
        <v>26423347.84</v>
      </c>
      <c r="L59" s="55" t="str">
        <f>'Công trình'!X57</f>
        <v>HCM_2016_QD_3384_XD</v>
      </c>
      <c r="M59" s="166"/>
      <c r="N59" s="166"/>
      <c r="O59" s="156">
        <f>ROUND(I59*N45,2)</f>
        <v>0</v>
      </c>
      <c r="P59" s="156">
        <f>ROUND(I59*M45,2)</f>
        <v>26423347.84</v>
      </c>
    </row>
    <row r="60" spans="1:16" ht="30" hidden="1" x14ac:dyDescent="0.25">
      <c r="A60" s="168"/>
      <c r="B60" s="133" t="str">
        <f>'Công trình'!B65</f>
        <v>AF.82511</v>
      </c>
      <c r="C60" s="34"/>
      <c r="D60" s="133" t="str">
        <f>'Công trình'!C65</f>
        <v>Sản xuất, lắp dựng tháo dỡ ván khuôn lát mái</v>
      </c>
      <c r="E60" s="144"/>
      <c r="F60" s="144"/>
      <c r="G60" s="168"/>
      <c r="H60" s="20">
        <v>1</v>
      </c>
      <c r="I60" s="45">
        <f>'Hao phí vật tư'!K503</f>
        <v>12.6981</v>
      </c>
      <c r="J60" s="166"/>
      <c r="K60" s="156">
        <f>ROUND(I60*J45,2)</f>
        <v>2702866.77</v>
      </c>
      <c r="L60" s="55" t="str">
        <f>'Công trình'!X65</f>
        <v>HCM_2016_QD_3384_XD</v>
      </c>
      <c r="M60" s="166"/>
      <c r="N60" s="166"/>
      <c r="O60" s="156">
        <f>ROUND(I60*N45,2)</f>
        <v>0</v>
      </c>
      <c r="P60" s="156">
        <f>ROUND(I60*M45,2)</f>
        <v>2702866.77</v>
      </c>
    </row>
    <row r="61" spans="1:16" ht="30" hidden="1" x14ac:dyDescent="0.25">
      <c r="A61" s="168"/>
      <c r="B61" s="133" t="str">
        <f>'Công trình'!B69</f>
        <v>AG.13111</v>
      </c>
      <c r="C61" s="34"/>
      <c r="D61" s="133" t="str">
        <f>'Công trình'!C69</f>
        <v>Sản xuất, lắp dựng cốt thép BT đúc sẵn cọc, đường kính &lt;=10mm</v>
      </c>
      <c r="E61" s="144"/>
      <c r="F61" s="144"/>
      <c r="G61" s="168"/>
      <c r="H61" s="20">
        <v>1</v>
      </c>
      <c r="I61" s="45">
        <f>'Hao phí vật tư'!K522</f>
        <v>32.8277</v>
      </c>
      <c r="J61" s="166"/>
      <c r="K61" s="156">
        <f>ROUND(I61*J45,2)</f>
        <v>6987572.9100000001</v>
      </c>
      <c r="L61" s="55" t="str">
        <f>'Công trình'!X69</f>
        <v>HCM_2016_QD_3384_XD</v>
      </c>
      <c r="M61" s="166"/>
      <c r="N61" s="166"/>
      <c r="O61" s="156">
        <f>ROUND(I61*N45,2)</f>
        <v>0</v>
      </c>
      <c r="P61" s="156">
        <f>ROUND(I61*M45,2)</f>
        <v>6987572.9100000001</v>
      </c>
    </row>
    <row r="62" spans="1:16" ht="30" hidden="1" x14ac:dyDescent="0.25">
      <c r="A62" s="168"/>
      <c r="B62" s="133" t="str">
        <f>'Công trình'!B70</f>
        <v>AG.13121</v>
      </c>
      <c r="C62" s="34"/>
      <c r="D62" s="133" t="str">
        <f>'Công trình'!C70</f>
        <v>Sản xuất, lắp dựng cốt thép BT đúc sẵn cọc, đường kính &lt;=18mm</v>
      </c>
      <c r="E62" s="144"/>
      <c r="F62" s="144"/>
      <c r="G62" s="168"/>
      <c r="H62" s="20">
        <v>1</v>
      </c>
      <c r="I62" s="45">
        <f>'Hao phí vật tư'!K531</f>
        <v>3.286</v>
      </c>
      <c r="J62" s="166"/>
      <c r="K62" s="156">
        <f>ROUND(I62*J45,2)</f>
        <v>699444.82</v>
      </c>
      <c r="L62" s="55" t="str">
        <f>'Công trình'!X70</f>
        <v>HCM_2016_QD_3384_XD</v>
      </c>
      <c r="M62" s="166"/>
      <c r="N62" s="166"/>
      <c r="O62" s="156">
        <f>ROUND(I62*N45,2)</f>
        <v>0</v>
      </c>
      <c r="P62" s="156">
        <f>ROUND(I62*M45,2)</f>
        <v>699444.82</v>
      </c>
    </row>
    <row r="63" spans="1:16" ht="30" hidden="1" x14ac:dyDescent="0.25">
      <c r="A63" s="168"/>
      <c r="B63" s="133" t="str">
        <f>'Công trình'!B71</f>
        <v>AG.13131</v>
      </c>
      <c r="C63" s="34"/>
      <c r="D63" s="133" t="str">
        <f>'Công trình'!C71</f>
        <v>Sản xuất, lắp dựng cốt thép BT đúc sẵn cọc, đường kính &gt;18mm</v>
      </c>
      <c r="E63" s="144"/>
      <c r="F63" s="144"/>
      <c r="G63" s="168"/>
      <c r="H63" s="20">
        <v>1</v>
      </c>
      <c r="I63" s="45">
        <f>'Hao phí vật tư'!K541</f>
        <v>94.060199999999995</v>
      </c>
      <c r="J63" s="166"/>
      <c r="K63" s="156">
        <f>ROUND(I63*J45,2)</f>
        <v>20021277.93</v>
      </c>
      <c r="L63" s="55" t="str">
        <f>'Công trình'!X71</f>
        <v>HCM_2016_QD_3384_XD</v>
      </c>
      <c r="M63" s="166"/>
      <c r="N63" s="166"/>
      <c r="O63" s="156">
        <f>ROUND(I63*N45,2)</f>
        <v>0</v>
      </c>
      <c r="P63" s="156">
        <f>ROUND(I63*M45,2)</f>
        <v>20021277.93</v>
      </c>
    </row>
    <row r="64" spans="1:16" ht="30" hidden="1" x14ac:dyDescent="0.25">
      <c r="A64" s="168"/>
      <c r="B64" s="133" t="str">
        <f>'Công trình'!B80</f>
        <v>AG.13111</v>
      </c>
      <c r="C64" s="34"/>
      <c r="D64" s="133" t="str">
        <f>'Công trình'!C80</f>
        <v>Sản xuất, lắp dựng cốt thép BT đúc sẵn cọc, đường kính &lt;=10mm</v>
      </c>
      <c r="E64" s="144"/>
      <c r="F64" s="144"/>
      <c r="G64" s="168"/>
      <c r="H64" s="20">
        <v>1</v>
      </c>
      <c r="I64" s="45">
        <f>'Hao phí vật tư'!K638</f>
        <v>16.857800000000001</v>
      </c>
      <c r="J64" s="166"/>
      <c r="K64" s="156">
        <f>ROUND(I64*J45,2)</f>
        <v>3588283.88</v>
      </c>
      <c r="L64" s="55" t="str">
        <f>'Công trình'!X80</f>
        <v>HCM_2016_QD_3384_XD</v>
      </c>
      <c r="M64" s="166"/>
      <c r="N64" s="166"/>
      <c r="O64" s="156">
        <f>ROUND(I64*N45,2)</f>
        <v>0</v>
      </c>
      <c r="P64" s="156">
        <f>ROUND(I64*M45,2)</f>
        <v>3588283.88</v>
      </c>
    </row>
    <row r="65" spans="1:16" ht="30" hidden="1" x14ac:dyDescent="0.25">
      <c r="A65" s="168"/>
      <c r="B65" s="133" t="str">
        <f>'Công trình'!B81</f>
        <v>AG.13121</v>
      </c>
      <c r="C65" s="34"/>
      <c r="D65" s="133" t="str">
        <f>'Công trình'!C81</f>
        <v>Sản xuất, lắp dựng cốt thép BT đúc sẵn cọc, đường kính &lt;=18mm</v>
      </c>
      <c r="E65" s="144"/>
      <c r="F65" s="144"/>
      <c r="G65" s="168"/>
      <c r="H65" s="20">
        <v>1</v>
      </c>
      <c r="I65" s="45">
        <f>'Hao phí vật tư'!K647</f>
        <v>1.7877000000000001</v>
      </c>
      <c r="J65" s="166"/>
      <c r="K65" s="156">
        <f>ROUND(I65*J45,2)</f>
        <v>380522.67</v>
      </c>
      <c r="L65" s="55" t="str">
        <f>'Công trình'!X81</f>
        <v>HCM_2016_QD_3384_XD</v>
      </c>
      <c r="M65" s="166"/>
      <c r="N65" s="166"/>
      <c r="O65" s="156">
        <f>ROUND(I65*N45,2)</f>
        <v>0</v>
      </c>
      <c r="P65" s="156">
        <f>ROUND(I65*M45,2)</f>
        <v>380522.67</v>
      </c>
    </row>
    <row r="66" spans="1:16" ht="30" hidden="1" x14ac:dyDescent="0.25">
      <c r="A66" s="168"/>
      <c r="B66" s="133" t="str">
        <f>'Công trình'!B82</f>
        <v>AG.13131</v>
      </c>
      <c r="C66" s="34"/>
      <c r="D66" s="133" t="str">
        <f>'Công trình'!C82</f>
        <v>Sản xuất, lắp dựng cốt thép BT đúc sẵn cọc, đường kính &gt;18mm</v>
      </c>
      <c r="E66" s="144"/>
      <c r="F66" s="144"/>
      <c r="G66" s="168"/>
      <c r="H66" s="20">
        <v>1</v>
      </c>
      <c r="I66" s="45">
        <f>'Hao phí vật tư'!K657</f>
        <v>49.7254</v>
      </c>
      <c r="J66" s="166"/>
      <c r="K66" s="156">
        <f>ROUND(I66*J45,2)</f>
        <v>10584349.74</v>
      </c>
      <c r="L66" s="55" t="str">
        <f>'Công trình'!X82</f>
        <v>HCM_2016_QD_3384_XD</v>
      </c>
      <c r="M66" s="166"/>
      <c r="N66" s="166"/>
      <c r="O66" s="156">
        <f>ROUND(I66*N45,2)</f>
        <v>0</v>
      </c>
      <c r="P66" s="156">
        <f>ROUND(I66*M45,2)</f>
        <v>10584349.74</v>
      </c>
    </row>
    <row r="67" spans="1:16" ht="30" hidden="1" x14ac:dyDescent="0.25">
      <c r="A67" s="168"/>
      <c r="B67" s="133" t="str">
        <f>'Công trình'!B95</f>
        <v>KH.0102</v>
      </c>
      <c r="C67" s="34"/>
      <c r="D67" s="133" t="str">
        <f>'Công trình'!C95</f>
        <v>Đóng cừ dừa bằng máy đào (TT theo MHĐM KH.0102  định mức 1751)</v>
      </c>
      <c r="E67" s="144"/>
      <c r="F67" s="144"/>
      <c r="G67" s="168"/>
      <c r="H67" s="20">
        <v>1</v>
      </c>
      <c r="I67" s="45">
        <f>'Hao phí vật tư'!K770</f>
        <v>10.295999999999999</v>
      </c>
      <c r="J67" s="166"/>
      <c r="K67" s="156">
        <f>ROUND(I67*J45,2)</f>
        <v>2191565.38</v>
      </c>
      <c r="L67" s="55" t="str">
        <f>'Công trình'!X95</f>
        <v>TL_2013_QD_1751</v>
      </c>
      <c r="M67" s="166"/>
      <c r="N67" s="166"/>
      <c r="O67" s="156">
        <f>ROUND(I67*N45,2)</f>
        <v>0</v>
      </c>
      <c r="P67" s="156">
        <f>ROUND(I67*M45,2)</f>
        <v>2191565.38</v>
      </c>
    </row>
    <row r="68" spans="1:16" ht="30" hidden="1" x14ac:dyDescent="0.25">
      <c r="A68" s="168"/>
      <c r="B68" s="133" t="str">
        <f>'Công trình'!B101</f>
        <v>AF.61110</v>
      </c>
      <c r="C68" s="34"/>
      <c r="D68" s="133" t="str">
        <f>'Công trình'!C101</f>
        <v>Sản xuất, lắp dựng cốt thép móng đường kính &lt;=10mm</v>
      </c>
      <c r="E68" s="144"/>
      <c r="F68" s="144"/>
      <c r="G68" s="168"/>
      <c r="H68" s="20">
        <v>1</v>
      </c>
      <c r="I68" s="45">
        <f>'Hao phí vật tư'!K821</f>
        <v>1.1162000000000001</v>
      </c>
      <c r="J68" s="166"/>
      <c r="K68" s="156">
        <f>ROUND(I68*J45,2)</f>
        <v>237589.87</v>
      </c>
      <c r="L68" s="55" t="str">
        <f>'Công trình'!X101</f>
        <v>HCM_2016_QD_3384_XD</v>
      </c>
      <c r="M68" s="166"/>
      <c r="N68" s="166"/>
      <c r="O68" s="156">
        <f>ROUND(I68*N45,2)</f>
        <v>0</v>
      </c>
      <c r="P68" s="156">
        <f>ROUND(I68*M45,2)</f>
        <v>237589.87</v>
      </c>
    </row>
    <row r="69" spans="1:16" ht="30" hidden="1" x14ac:dyDescent="0.25">
      <c r="A69" s="168"/>
      <c r="B69" s="133" t="str">
        <f>'Công trình'!B147</f>
        <v>AI.11411</v>
      </c>
      <c r="C69" s="34"/>
      <c r="D69" s="133" t="str">
        <f>'Công trình'!C147</f>
        <v>Sản xuất thang sắt</v>
      </c>
      <c r="E69" s="144"/>
      <c r="F69" s="144"/>
      <c r="G69" s="168"/>
      <c r="H69" s="20">
        <v>1</v>
      </c>
      <c r="I69" s="45">
        <f>'Hao phí vật tư'!K1119</f>
        <v>2.1945000000000001</v>
      </c>
      <c r="J69" s="166"/>
      <c r="K69" s="156">
        <f>ROUND(I69*J45,2)</f>
        <v>467112.49</v>
      </c>
      <c r="L69" s="55" t="str">
        <f>'Công trình'!X147</f>
        <v>HCM_2016_QD_3384_XD</v>
      </c>
      <c r="M69" s="166"/>
      <c r="N69" s="166"/>
      <c r="O69" s="156">
        <f>ROUND(I69*N45,2)</f>
        <v>0</v>
      </c>
      <c r="P69" s="156">
        <f>ROUND(I69*M45,2)</f>
        <v>467112.49</v>
      </c>
    </row>
    <row r="70" spans="1:16" ht="30" hidden="1" x14ac:dyDescent="0.25">
      <c r="A70" s="168"/>
      <c r="B70" s="133" t="str">
        <f>'Công trình'!B151</f>
        <v>TT</v>
      </c>
      <c r="C70" s="34"/>
      <c r="D70" s="133" t="str">
        <f>'Công trình'!C151</f>
        <v>Làm tầng lọc đá dăm 1x2 (Tính theo QĐ65/2003/029)</v>
      </c>
      <c r="E70" s="144"/>
      <c r="F70" s="144"/>
      <c r="G70" s="168"/>
      <c r="H70" s="20">
        <v>1</v>
      </c>
      <c r="I70" s="45">
        <f>'Hao phí vật tư'!K1151</f>
        <v>16.033899999999999</v>
      </c>
      <c r="J70" s="166"/>
      <c r="K70" s="156">
        <f>ROUND(I70*J45,2)</f>
        <v>3412911.82</v>
      </c>
      <c r="L70" s="55">
        <f>'Công trình'!X151</f>
        <v>0</v>
      </c>
      <c r="M70" s="166"/>
      <c r="N70" s="166"/>
      <c r="O70" s="156">
        <f>ROUND(I70*N45,2)</f>
        <v>0</v>
      </c>
      <c r="P70" s="156">
        <f>ROUND(I70*M45,2)</f>
        <v>3412911.82</v>
      </c>
    </row>
    <row r="71" spans="1:16" ht="30" hidden="1" x14ac:dyDescent="0.25">
      <c r="A71" s="168"/>
      <c r="B71" s="133" t="str">
        <f>'Công trình'!B183</f>
        <v>AF.61110</v>
      </c>
      <c r="C71" s="34"/>
      <c r="D71" s="133" t="str">
        <f>'Công trình'!C183</f>
        <v>Sản xuất, lắp dựng cốt thép bản dẫn đường kính &lt;=10mm</v>
      </c>
      <c r="E71" s="144"/>
      <c r="F71" s="144"/>
      <c r="G71" s="168"/>
      <c r="H71" s="20">
        <v>1</v>
      </c>
      <c r="I71" s="45">
        <f>'Hao phí vật tư'!K1400</f>
        <v>0.15060000000000001</v>
      </c>
      <c r="J71" s="166"/>
      <c r="K71" s="156">
        <f>ROUND(I71*J45,2)</f>
        <v>32056.11</v>
      </c>
      <c r="L71" s="55" t="str">
        <f>'Công trình'!X183</f>
        <v>HCM_2016_QD_3384_XD</v>
      </c>
      <c r="M71" s="166"/>
      <c r="N71" s="166"/>
      <c r="O71" s="156">
        <f>ROUND(I71*N45,2)</f>
        <v>0</v>
      </c>
      <c r="P71" s="156">
        <f>ROUND(I71*M45,2)</f>
        <v>32056.11</v>
      </c>
    </row>
    <row r="72" spans="1:16" ht="30" hidden="1" x14ac:dyDescent="0.25">
      <c r="A72" s="168"/>
      <c r="B72" s="133" t="str">
        <f>'Công trình'!B184</f>
        <v>AF.61120</v>
      </c>
      <c r="C72" s="34"/>
      <c r="D72" s="133" t="str">
        <f>'Công trình'!C184</f>
        <v>Sản xuất, lắp dựng cốt thép bản dẫn đường kính &lt;=18mm</v>
      </c>
      <c r="E72" s="144"/>
      <c r="F72" s="144"/>
      <c r="G72" s="168"/>
      <c r="H72" s="20">
        <v>1</v>
      </c>
      <c r="I72" s="45">
        <f>'Hao phí vật tư'!K1409</f>
        <v>8.2957999999999998</v>
      </c>
      <c r="J72" s="166"/>
      <c r="K72" s="156">
        <f>ROUND(I72*J45,2)</f>
        <v>1765810.8</v>
      </c>
      <c r="L72" s="55" t="str">
        <f>'Công trình'!X184</f>
        <v>HCM_2016_QD_3384_XD</v>
      </c>
      <c r="M72" s="166"/>
      <c r="N72" s="166"/>
      <c r="O72" s="156">
        <f>ROUND(I72*N45,2)</f>
        <v>0</v>
      </c>
      <c r="P72" s="156">
        <f>ROUND(I72*M45,2)</f>
        <v>1765810.8</v>
      </c>
    </row>
    <row r="73" spans="1:16" ht="30" hidden="1" x14ac:dyDescent="0.25">
      <c r="A73" s="168"/>
      <c r="B73" s="133" t="str">
        <f>'Công trình'!B196</f>
        <v>AF.14315</v>
      </c>
      <c r="C73" s="34"/>
      <c r="D73" s="133" t="str">
        <f>'Công trình'!C196</f>
        <v>Bê tông mặt cầu đá 1x2, vữa BT mác 300</v>
      </c>
      <c r="E73" s="144"/>
      <c r="F73" s="144"/>
      <c r="G73" s="168"/>
      <c r="H73" s="20">
        <v>1</v>
      </c>
      <c r="I73" s="45">
        <f>'Hao phí vật tư'!K1503</f>
        <v>157.52799999999999</v>
      </c>
      <c r="J73" s="166"/>
      <c r="K73" s="156">
        <f>ROUND(I73*J45,2)</f>
        <v>33530779.969999999</v>
      </c>
      <c r="L73" s="55" t="str">
        <f>'Công trình'!X196</f>
        <v>HCM_2016_QD_3384_XD</v>
      </c>
      <c r="M73" s="166"/>
      <c r="N73" s="166"/>
      <c r="O73" s="156">
        <f>ROUND(I73*N45,2)</f>
        <v>0</v>
      </c>
      <c r="P73" s="156">
        <f>ROUND(I73*M45,2)</f>
        <v>33530779.969999999</v>
      </c>
    </row>
    <row r="74" spans="1:16" ht="30" hidden="1" x14ac:dyDescent="0.25">
      <c r="A74" s="168"/>
      <c r="B74" s="133" t="str">
        <f>'Công trình'!B202</f>
        <v>AF.61711</v>
      </c>
      <c r="C74" s="34"/>
      <c r="D74" s="133" t="str">
        <f>'Công trình'!C202</f>
        <v>Sản xuất, lắp dựng cốt thép mặt cầu đường kính &lt;=10mm, chiều cao &lt;=16m</v>
      </c>
      <c r="E74" s="144"/>
      <c r="F74" s="144"/>
      <c r="G74" s="168"/>
      <c r="H74" s="20">
        <v>1</v>
      </c>
      <c r="I74" s="45">
        <f>'Hao phí vật tư'!K1568</f>
        <v>1.2523</v>
      </c>
      <c r="J74" s="166"/>
      <c r="K74" s="156">
        <f>ROUND(I74*J45,2)</f>
        <v>266559.57</v>
      </c>
      <c r="L74" s="55" t="str">
        <f>'Công trình'!X202</f>
        <v>HCM_2016_QD_3384_XD</v>
      </c>
      <c r="M74" s="166"/>
      <c r="N74" s="166"/>
      <c r="O74" s="156">
        <f>ROUND(I74*N45,2)</f>
        <v>0</v>
      </c>
      <c r="P74" s="156">
        <f>ROUND(I74*M45,2)</f>
        <v>266559.57</v>
      </c>
    </row>
    <row r="75" spans="1:16" ht="30" hidden="1" x14ac:dyDescent="0.25">
      <c r="A75" s="168"/>
      <c r="B75" s="133" t="str">
        <f>'Công trình'!B204</f>
        <v>AF.61721</v>
      </c>
      <c r="C75" s="34"/>
      <c r="D75" s="133" t="str">
        <f>'Công trình'!C204</f>
        <v>Sản xuất, lắp dựng cốt thép mặt cầu đường kính &gt;10mm, chiều cao &lt;=16m</v>
      </c>
      <c r="E75" s="144"/>
      <c r="F75" s="144"/>
      <c r="G75" s="168"/>
      <c r="H75" s="20">
        <v>1</v>
      </c>
      <c r="I75" s="45">
        <f>'Hao phí vật tư'!K1578</f>
        <v>112.71559999999999</v>
      </c>
      <c r="J75" s="166"/>
      <c r="K75" s="156">
        <f>ROUND(I75*J45,2)</f>
        <v>23992191.75</v>
      </c>
      <c r="L75" s="55" t="str">
        <f>'Công trình'!X204</f>
        <v>HCM_2016_QD_3384_XD</v>
      </c>
      <c r="M75" s="166"/>
      <c r="N75" s="166"/>
      <c r="O75" s="156">
        <f>ROUND(I75*N45,2)</f>
        <v>0</v>
      </c>
      <c r="P75" s="156">
        <f>ROUND(I75*M45,2)</f>
        <v>23992191.75</v>
      </c>
    </row>
    <row r="76" spans="1:16" ht="30" hidden="1" x14ac:dyDescent="0.25">
      <c r="A76" s="168"/>
      <c r="B76" s="133" t="str">
        <f>'Công trình'!B218</f>
        <v>AF.61120</v>
      </c>
      <c r="C76" s="34"/>
      <c r="D76" s="133" t="str">
        <f>'Công trình'!C218</f>
        <v>Sản xuất, lắp dựng cốt thép móng đường kính &lt;=18mm</v>
      </c>
      <c r="E76" s="144"/>
      <c r="F76" s="144"/>
      <c r="G76" s="168"/>
      <c r="H76" s="20">
        <v>1</v>
      </c>
      <c r="I76" s="45">
        <f>'Hao phí vật tư'!K1649</f>
        <v>2.5929000000000002</v>
      </c>
      <c r="J76" s="166"/>
      <c r="K76" s="156">
        <f>ROUND(I76*J45,2)</f>
        <v>551914.31999999995</v>
      </c>
      <c r="L76" s="55" t="str">
        <f>'Công trình'!X218</f>
        <v>HCM_2016_QD_3384_XD</v>
      </c>
      <c r="M76" s="166"/>
      <c r="N76" s="166"/>
      <c r="O76" s="156">
        <f>ROUND(I76*N45,2)</f>
        <v>0</v>
      </c>
      <c r="P76" s="156">
        <f>ROUND(I76*M45,2)</f>
        <v>551914.31999999995</v>
      </c>
    </row>
    <row r="77" spans="1:16" ht="30" hidden="1" x14ac:dyDescent="0.25">
      <c r="A77" s="168"/>
      <c r="B77" s="133" t="str">
        <f>'Công trình'!B220</f>
        <v>AF.61110</v>
      </c>
      <c r="C77" s="34"/>
      <c r="D77" s="133" t="str">
        <f>'Công trình'!C220</f>
        <v>Sản xuất, lắp dựng cốt thép đường kính &lt;=10mm</v>
      </c>
      <c r="E77" s="144"/>
      <c r="F77" s="144"/>
      <c r="G77" s="168"/>
      <c r="H77" s="20">
        <v>1</v>
      </c>
      <c r="I77" s="45">
        <f>'Hao phí vật tư'!K1658</f>
        <v>0.16980000000000001</v>
      </c>
      <c r="J77" s="166"/>
      <c r="K77" s="156">
        <f>ROUND(I77*J45,2)</f>
        <v>36142.949999999997</v>
      </c>
      <c r="L77" s="55" t="str">
        <f>'Công trình'!X220</f>
        <v>HCM_2016_QD_3384_XD</v>
      </c>
      <c r="M77" s="166"/>
      <c r="N77" s="166"/>
      <c r="O77" s="156">
        <f>ROUND(I77*N45,2)</f>
        <v>0</v>
      </c>
      <c r="P77" s="156">
        <f>ROUND(I77*M45,2)</f>
        <v>36142.949999999997</v>
      </c>
    </row>
    <row r="78" spans="1:16" ht="30" hidden="1" x14ac:dyDescent="0.25">
      <c r="A78" s="168"/>
      <c r="B78" s="133" t="str">
        <f>'Công trình'!B221</f>
        <v>AF.61120</v>
      </c>
      <c r="C78" s="34"/>
      <c r="D78" s="133" t="str">
        <f>'Công trình'!C221</f>
        <v>Sản xuất, lắp dựng cốt thép đường kính &lt;=18mm</v>
      </c>
      <c r="E78" s="144"/>
      <c r="F78" s="144"/>
      <c r="G78" s="168"/>
      <c r="H78" s="20">
        <v>1</v>
      </c>
      <c r="I78" s="45">
        <f>'Hao phí vật tư'!K1667</f>
        <v>14.7835</v>
      </c>
      <c r="J78" s="166"/>
      <c r="K78" s="156">
        <f>ROUND(I78*J45,2)</f>
        <v>3146756.68</v>
      </c>
      <c r="L78" s="55" t="str">
        <f>'Công trình'!X221</f>
        <v>HCM_2016_QD_3384_XD</v>
      </c>
      <c r="M78" s="166"/>
      <c r="N78" s="166"/>
      <c r="O78" s="156">
        <f>ROUND(I78*N45,2)</f>
        <v>0</v>
      </c>
      <c r="P78" s="156">
        <f>ROUND(I78*M45,2)</f>
        <v>3146756.68</v>
      </c>
    </row>
    <row r="79" spans="1:16" ht="30" hidden="1" x14ac:dyDescent="0.25">
      <c r="A79" s="168"/>
      <c r="B79" s="133" t="str">
        <f>'Công trình'!B226</f>
        <v>AG.13111</v>
      </c>
      <c r="C79" s="34"/>
      <c r="D79" s="133" t="str">
        <f>'Công trình'!C226</f>
        <v>Sản xuất, lắp dựng cốt thép BT đúc sẵn cọc, đường kính &lt;=10mm</v>
      </c>
      <c r="E79" s="144"/>
      <c r="F79" s="144"/>
      <c r="G79" s="168"/>
      <c r="H79" s="20">
        <v>1</v>
      </c>
      <c r="I79" s="45">
        <f>'Hao phí vật tư'!K1698</f>
        <v>34.845500000000001</v>
      </c>
      <c r="J79" s="166"/>
      <c r="K79" s="156">
        <f>ROUND(I79*J45,2)</f>
        <v>7417073.75</v>
      </c>
      <c r="L79" s="55" t="str">
        <f>'Công trình'!X226</f>
        <v>HCM_2016_QD_3384_XD</v>
      </c>
      <c r="M79" s="166"/>
      <c r="N79" s="166"/>
      <c r="O79" s="156">
        <f>ROUND(I79*N45,2)</f>
        <v>0</v>
      </c>
      <c r="P79" s="156">
        <f>ROUND(I79*M45,2)</f>
        <v>7417073.75</v>
      </c>
    </row>
    <row r="80" spans="1:16" ht="30" hidden="1" x14ac:dyDescent="0.25">
      <c r="A80" s="168"/>
      <c r="B80" s="133" t="str">
        <f>'Công trình'!B227</f>
        <v>AG.13121</v>
      </c>
      <c r="C80" s="34"/>
      <c r="D80" s="133" t="str">
        <f>'Công trình'!C227</f>
        <v>Sản xuất, lắp dựng cốt thép BT đúc sẵn cọc, đường kính &lt;=18mm</v>
      </c>
      <c r="E80" s="144"/>
      <c r="F80" s="144"/>
      <c r="G80" s="168"/>
      <c r="H80" s="20">
        <v>1</v>
      </c>
      <c r="I80" s="45">
        <f>'Hao phí vật tư'!K1707</f>
        <v>3.3523999999999998</v>
      </c>
      <c r="J80" s="166"/>
      <c r="K80" s="156">
        <f>ROUND(I80*J45,2)</f>
        <v>713578.45</v>
      </c>
      <c r="L80" s="55" t="str">
        <f>'Công trình'!X227</f>
        <v>HCM_2016_QD_3384_XD</v>
      </c>
      <c r="M80" s="166"/>
      <c r="N80" s="166"/>
      <c r="O80" s="156">
        <f>ROUND(I80*N45,2)</f>
        <v>0</v>
      </c>
      <c r="P80" s="156">
        <f>ROUND(I80*M45,2)</f>
        <v>713578.45</v>
      </c>
    </row>
    <row r="81" spans="1:16" ht="30" hidden="1" x14ac:dyDescent="0.25">
      <c r="A81" s="168"/>
      <c r="B81" s="133" t="str">
        <f>'Công trình'!B228</f>
        <v>AG.13131</v>
      </c>
      <c r="C81" s="34"/>
      <c r="D81" s="133" t="str">
        <f>'Công trình'!C228</f>
        <v>Sản xuất, lắp dựng cốt thép BT đúc sẵn cọc, đường kính &gt;18mm</v>
      </c>
      <c r="E81" s="144"/>
      <c r="F81" s="144"/>
      <c r="G81" s="168"/>
      <c r="H81" s="20">
        <v>1</v>
      </c>
      <c r="I81" s="45">
        <f>'Hao phí vật tư'!K1717</f>
        <v>99.705399999999997</v>
      </c>
      <c r="J81" s="166"/>
      <c r="K81" s="156">
        <f>ROUND(I81*J45,2)</f>
        <v>21222892.620000001</v>
      </c>
      <c r="L81" s="55" t="str">
        <f>'Công trình'!X228</f>
        <v>HCM_2016_QD_3384_XD</v>
      </c>
      <c r="M81" s="166"/>
      <c r="N81" s="166"/>
      <c r="O81" s="156">
        <f>ROUND(I81*N45,2)</f>
        <v>0</v>
      </c>
      <c r="P81" s="156">
        <f>ROUND(I81*M45,2)</f>
        <v>21222892.620000001</v>
      </c>
    </row>
    <row r="82" spans="1:16" ht="30" hidden="1" x14ac:dyDescent="0.25">
      <c r="A82" s="168"/>
      <c r="B82" s="133" t="str">
        <f>'Công trình'!B247</f>
        <v>AF.12313</v>
      </c>
      <c r="C82" s="34"/>
      <c r="D82" s="133" t="str">
        <f>'Công trình'!C247</f>
        <v>Bê tông dầm chặn chân, đá 1x2, vữa BT mác 200</v>
      </c>
      <c r="E82" s="144"/>
      <c r="F82" s="144"/>
      <c r="G82" s="168"/>
      <c r="H82" s="20">
        <v>1</v>
      </c>
      <c r="I82" s="45">
        <f>'Hao phí vật tư'!K1871</f>
        <v>63.510399999999997</v>
      </c>
      <c r="J82" s="166"/>
      <c r="K82" s="156">
        <f>ROUND(I82*J45,2)</f>
        <v>13518569.699999999</v>
      </c>
      <c r="L82" s="55" t="str">
        <f>'Công trình'!X247</f>
        <v>HCM_2016_QD_3384_XD</v>
      </c>
      <c r="M82" s="166"/>
      <c r="N82" s="166"/>
      <c r="O82" s="156">
        <f>ROUND(I82*N45,2)</f>
        <v>0</v>
      </c>
      <c r="P82" s="156">
        <f>ROUND(I82*M45,2)</f>
        <v>13518569.699999999</v>
      </c>
    </row>
    <row r="83" spans="1:16" ht="30" hidden="1" x14ac:dyDescent="0.25">
      <c r="A83" s="168"/>
      <c r="B83" s="133" t="str">
        <f>'Công trình'!B255</f>
        <v>AF.14325</v>
      </c>
      <c r="C83" s="34"/>
      <c r="D83" s="133" t="str">
        <f>'Công trình'!C255</f>
        <v>Bê tông lan can, gờ chắn đá 1x2, vữa BT mác 300</v>
      </c>
      <c r="E83" s="144"/>
      <c r="F83" s="144"/>
      <c r="G83" s="168"/>
      <c r="H83" s="20">
        <v>1</v>
      </c>
      <c r="I83" s="45">
        <f>'Hao phí vật tư'!K1942</f>
        <v>96.435000000000002</v>
      </c>
      <c r="J83" s="166"/>
      <c r="K83" s="156">
        <f>ROUND(I83*J45,2)</f>
        <v>20526768.359999999</v>
      </c>
      <c r="L83" s="55" t="str">
        <f>'Công trình'!X255</f>
        <v>HCM_2016_QD_3384_XD</v>
      </c>
      <c r="M83" s="166"/>
      <c r="N83" s="166"/>
      <c r="O83" s="156">
        <f>ROUND(I83*N45,2)</f>
        <v>0</v>
      </c>
      <c r="P83" s="156">
        <f>ROUND(I83*M45,2)</f>
        <v>20526768.359999999</v>
      </c>
    </row>
    <row r="84" spans="1:16" ht="30" hidden="1" x14ac:dyDescent="0.25">
      <c r="A84" s="168"/>
      <c r="B84" s="133" t="str">
        <f>'Công trình'!B257</f>
        <v>AF.61110</v>
      </c>
      <c r="C84" s="34"/>
      <c r="D84" s="133" t="str">
        <f>'Công trình'!C257</f>
        <v>Sản xuất, lắp dựng cốt thép đường kính &lt;=10mm</v>
      </c>
      <c r="E84" s="144"/>
      <c r="F84" s="144"/>
      <c r="G84" s="168"/>
      <c r="H84" s="20">
        <v>1</v>
      </c>
      <c r="I84" s="45">
        <f>'Hao phí vật tư'!K1964</f>
        <v>18.8886</v>
      </c>
      <c r="J84" s="166"/>
      <c r="K84" s="156">
        <f>ROUND(I84*J45,2)</f>
        <v>4020551.84</v>
      </c>
      <c r="L84" s="55" t="str">
        <f>'Công trình'!X257</f>
        <v>HCM_2016_QD_3384_XD</v>
      </c>
      <c r="M84" s="166"/>
      <c r="N84" s="166"/>
      <c r="O84" s="156">
        <f>ROUND(I84*N45,2)</f>
        <v>0</v>
      </c>
      <c r="P84" s="156">
        <f>ROUND(I84*M45,2)</f>
        <v>4020551.84</v>
      </c>
    </row>
    <row r="85" spans="1:16" ht="30" hidden="1" x14ac:dyDescent="0.25">
      <c r="A85" s="168"/>
      <c r="B85" s="133" t="str">
        <f>'Công trình'!B258</f>
        <v>AF.61120</v>
      </c>
      <c r="C85" s="34"/>
      <c r="D85" s="133" t="str">
        <f>'Công trình'!C258</f>
        <v>Sản xuất, lắp dựng cốt thép đường kính &lt;=18mm</v>
      </c>
      <c r="E85" s="144"/>
      <c r="F85" s="144"/>
      <c r="G85" s="168"/>
      <c r="H85" s="20">
        <v>1</v>
      </c>
      <c r="I85" s="45">
        <f>'Hao phí vật tư'!K1973</f>
        <v>5.3091999999999997</v>
      </c>
      <c r="J85" s="166"/>
      <c r="K85" s="156">
        <f>ROUND(I85*J45,2)</f>
        <v>1130095.08</v>
      </c>
      <c r="L85" s="55" t="str">
        <f>'Công trình'!X258</f>
        <v>HCM_2016_QD_3384_XD</v>
      </c>
      <c r="M85" s="166"/>
      <c r="N85" s="166"/>
      <c r="O85" s="156">
        <f>ROUND(I85*N45,2)</f>
        <v>0</v>
      </c>
      <c r="P85" s="156">
        <f>ROUND(I85*M45,2)</f>
        <v>1130095.08</v>
      </c>
    </row>
    <row r="86" spans="1:16" ht="45" hidden="1" x14ac:dyDescent="0.25">
      <c r="A86" s="168"/>
      <c r="B86" s="133" t="str">
        <f>'Công trình'!B283</f>
        <v>AK.90122</v>
      </c>
      <c r="C86" s="34"/>
      <c r="D86" s="133" t="str">
        <f>'Công trình'!C283</f>
        <v>Sơn trắng đỏ</v>
      </c>
      <c r="E86" s="144"/>
      <c r="F86" s="144"/>
      <c r="G86" s="168"/>
      <c r="H86" s="20">
        <v>1</v>
      </c>
      <c r="I86" s="45">
        <f>'Hao phí vật tư'!K2119</f>
        <v>4.9215999999999998</v>
      </c>
      <c r="J86" s="166"/>
      <c r="K86" s="156">
        <f>ROUND(I86*J45,2)</f>
        <v>1047592.09</v>
      </c>
      <c r="L86" s="55" t="str">
        <f>'Công trình'!X283</f>
        <v>HCM_2016_QD_3384_XD_SuDung235</v>
      </c>
      <c r="M86" s="166"/>
      <c r="N86" s="166"/>
      <c r="O86" s="156">
        <f>ROUND(I86*N45,2)</f>
        <v>0</v>
      </c>
      <c r="P86" s="156">
        <f>ROUND(I86*M45,2)</f>
        <v>1047592.09</v>
      </c>
    </row>
    <row r="87" spans="1:16" ht="45" hidden="1" x14ac:dyDescent="0.25">
      <c r="A87" s="168"/>
      <c r="B87" s="133" t="str">
        <f>'Công trình'!B292</f>
        <v>AK.90122</v>
      </c>
      <c r="C87" s="34"/>
      <c r="D87" s="133" t="str">
        <f>'Công trình'!C292</f>
        <v>Sơn trắng đỏ</v>
      </c>
      <c r="E87" s="144"/>
      <c r="F87" s="144"/>
      <c r="G87" s="168"/>
      <c r="H87" s="20">
        <v>1</v>
      </c>
      <c r="I87" s="45">
        <f>'Hao phí vật tư'!K2197</f>
        <v>4.9215999999999998</v>
      </c>
      <c r="J87" s="166"/>
      <c r="K87" s="156">
        <f>ROUND(I87*J45,2)</f>
        <v>1047592.09</v>
      </c>
      <c r="L87" s="55" t="str">
        <f>'Công trình'!X292</f>
        <v>HCM_2016_QD_3384_XD_SuDung235</v>
      </c>
      <c r="M87" s="166"/>
      <c r="N87" s="166"/>
      <c r="O87" s="156">
        <f>ROUND(I87*N45,2)</f>
        <v>0</v>
      </c>
      <c r="P87" s="156">
        <f>ROUND(I87*M45,2)</f>
        <v>1047592.09</v>
      </c>
    </row>
    <row r="88" spans="1:16" ht="30" hidden="1" x14ac:dyDescent="0.25">
      <c r="A88" s="168"/>
      <c r="B88" s="133" t="str">
        <f>'Công trình'!B302</f>
        <v>AF.61110</v>
      </c>
      <c r="C88" s="34"/>
      <c r="D88" s="133" t="str">
        <f>'Công trình'!C302</f>
        <v>Sản xuất, lắp dựng cốt thép móng đường kính &lt;=10mm</v>
      </c>
      <c r="E88" s="144"/>
      <c r="F88" s="144"/>
      <c r="G88" s="168"/>
      <c r="H88" s="20">
        <v>1</v>
      </c>
      <c r="I88" s="45">
        <f>'Hao phí vật tư'!K2268</f>
        <v>1.3086</v>
      </c>
      <c r="J88" s="166"/>
      <c r="K88" s="156">
        <f>ROUND(I88*J45,2)</f>
        <v>278543.35999999999</v>
      </c>
      <c r="L88" s="55" t="str">
        <f>'Công trình'!X302</f>
        <v>HCM_2016_QD_3384_XD</v>
      </c>
      <c r="M88" s="166"/>
      <c r="N88" s="166"/>
      <c r="O88" s="156">
        <f>ROUND(I88*N45,2)</f>
        <v>0</v>
      </c>
      <c r="P88" s="156">
        <f>ROUND(I88*M45,2)</f>
        <v>278543.35999999999</v>
      </c>
    </row>
    <row r="89" spans="1:16" ht="45" hidden="1" x14ac:dyDescent="0.25">
      <c r="A89" s="168"/>
      <c r="B89" s="133" t="str">
        <f>'Công trình'!B304</f>
        <v>AK.90122</v>
      </c>
      <c r="C89" s="34"/>
      <c r="D89" s="133" t="str">
        <f>'Công trình'!C304</f>
        <v>Sơn trắng đỏ</v>
      </c>
      <c r="E89" s="144"/>
      <c r="F89" s="144"/>
      <c r="G89" s="168"/>
      <c r="H89" s="20">
        <v>1</v>
      </c>
      <c r="I89" s="45">
        <f>'Hao phí vật tư'!K2285</f>
        <v>3.96</v>
      </c>
      <c r="J89" s="166"/>
      <c r="K89" s="156">
        <f>ROUND(I89*J45,2)</f>
        <v>842909.76</v>
      </c>
      <c r="L89" s="55" t="str">
        <f>'Công trình'!X304</f>
        <v>HCM_2016_QD_3384_XD_SuDung235</v>
      </c>
      <c r="M89" s="166"/>
      <c r="N89" s="166"/>
      <c r="O89" s="156">
        <f>ROUND(I89*N45,2)</f>
        <v>0</v>
      </c>
      <c r="P89" s="156">
        <f>ROUND(I89*M45,2)</f>
        <v>842909.76</v>
      </c>
    </row>
    <row r="90" spans="1:16" ht="30" hidden="1" x14ac:dyDescent="0.25">
      <c r="A90" s="168"/>
      <c r="B90" s="133" t="str">
        <f>'Công trình'!B8</f>
        <v>AF.12144</v>
      </c>
      <c r="C90" s="34"/>
      <c r="D90" s="133" t="str">
        <f>'Công trình'!C8</f>
        <v>Bê tông tường dày &gt;45cm, chiều cao &lt;=16m đá 1x2, vữa BT mác 250</v>
      </c>
      <c r="E90" s="144"/>
      <c r="F90" s="144"/>
      <c r="G90" s="168"/>
      <c r="H90" s="20">
        <v>1</v>
      </c>
      <c r="I90" s="45">
        <f>'Hao phí vật tư'!K33</f>
        <v>634.64649999999995</v>
      </c>
      <c r="J90" s="166"/>
      <c r="K90" s="156">
        <f>ROUND(I90*J45,2)</f>
        <v>135088315.40000001</v>
      </c>
      <c r="L90" s="55" t="str">
        <f>'Công trình'!X8</f>
        <v>HCM_2016_QD_3384_XD</v>
      </c>
      <c r="M90" s="166"/>
      <c r="N90" s="166"/>
      <c r="O90" s="156">
        <f>ROUND(I90*N45,2)</f>
        <v>0</v>
      </c>
      <c r="P90" s="156">
        <f>ROUND(I90*M45,2)</f>
        <v>135088315.40000001</v>
      </c>
    </row>
    <row r="91" spans="1:16" ht="30" hidden="1" x14ac:dyDescent="0.25">
      <c r="A91" s="168"/>
      <c r="B91" s="133" t="str">
        <f>'Công trình'!B47</f>
        <v>035.41</v>
      </c>
      <c r="C91" s="34"/>
      <c r="D91" s="133" t="str">
        <f>'Công trình'!C47</f>
        <v>Thả rọ thép đá hộc, loai rọ 2x1x0.5 trên cạn</v>
      </c>
      <c r="E91" s="144"/>
      <c r="F91" s="144"/>
      <c r="G91" s="168"/>
      <c r="H91" s="20">
        <v>1</v>
      </c>
      <c r="I91" s="45">
        <f>'Hao phí vật tư'!K355</f>
        <v>323.7</v>
      </c>
      <c r="J91" s="166"/>
      <c r="K91" s="156">
        <f>ROUND(I91*J45,2)</f>
        <v>68901487.200000003</v>
      </c>
      <c r="L91" s="55" t="str">
        <f>'Công trình'!X47</f>
        <v>TL_2003_QD_65</v>
      </c>
      <c r="M91" s="166"/>
      <c r="N91" s="166"/>
      <c r="O91" s="156">
        <f>ROUND(I91*N45,2)</f>
        <v>0</v>
      </c>
      <c r="P91" s="156">
        <f>ROUND(I91*M45,2)</f>
        <v>68901487.200000003</v>
      </c>
    </row>
    <row r="92" spans="1:16" ht="30" hidden="1" x14ac:dyDescent="0.25">
      <c r="A92" s="168"/>
      <c r="B92" s="133" t="str">
        <f>'Công trình'!B48</f>
        <v>035.41</v>
      </c>
      <c r="C92" s="34"/>
      <c r="D92" s="133" t="str">
        <f>'Công trình'!C48</f>
        <v>Thả rọ thép đá hộc, loai rọ 2x1x0.3 trên cạn</v>
      </c>
      <c r="E92" s="144"/>
      <c r="F92" s="144"/>
      <c r="G92" s="168"/>
      <c r="H92" s="20">
        <v>1</v>
      </c>
      <c r="I92" s="45">
        <f>'Hao phí vật tư'!K361</f>
        <v>960.98599999999999</v>
      </c>
      <c r="J92" s="166"/>
      <c r="K92" s="156">
        <f>ROUND(I92*J45,2)</f>
        <v>204551636.02000001</v>
      </c>
      <c r="L92" s="55" t="str">
        <f>'Công trình'!X48</f>
        <v>TL_2003_QD_65</v>
      </c>
      <c r="M92" s="166"/>
      <c r="N92" s="166"/>
      <c r="O92" s="156">
        <f>ROUND(I92*N45,2)</f>
        <v>0</v>
      </c>
      <c r="P92" s="156">
        <f>ROUND(I92*M45,2)</f>
        <v>204551636.02000001</v>
      </c>
    </row>
    <row r="93" spans="1:16" ht="30" hidden="1" x14ac:dyDescent="0.25">
      <c r="A93" s="168"/>
      <c r="B93" s="133" t="str">
        <f>'Công trình'!B170</f>
        <v>035.41</v>
      </c>
      <c r="C93" s="34"/>
      <c r="D93" s="133" t="str">
        <f>'Công trình'!C170</f>
        <v>Thả rọ thép đá hộc, loai rọ 2x1x0.5 trên cạn</v>
      </c>
      <c r="E93" s="144"/>
      <c r="F93" s="144"/>
      <c r="G93" s="168"/>
      <c r="H93" s="20">
        <v>1</v>
      </c>
      <c r="I93" s="45">
        <f>'Hao phí vật tư'!K1292</f>
        <v>38.844000000000001</v>
      </c>
      <c r="J93" s="166"/>
      <c r="K93" s="156">
        <f>ROUND(I93*J45,2)</f>
        <v>8268178.46</v>
      </c>
      <c r="L93" s="55" t="str">
        <f>'Công trình'!X170</f>
        <v>TL_2003_QD_65</v>
      </c>
      <c r="M93" s="166"/>
      <c r="N93" s="166"/>
      <c r="O93" s="156">
        <f>ROUND(I93*N45,2)</f>
        <v>0</v>
      </c>
      <c r="P93" s="156">
        <f>ROUND(I93*M45,2)</f>
        <v>8268178.46</v>
      </c>
    </row>
    <row r="94" spans="1:16" ht="30" hidden="1" x14ac:dyDescent="0.25">
      <c r="A94" s="168"/>
      <c r="B94" s="133" t="str">
        <f>'Công trình'!B230</f>
        <v>AG.32321</v>
      </c>
      <c r="C94" s="34"/>
      <c r="D94" s="133" t="str">
        <f>'Công trình'!C230</f>
        <v>Sản xuất, lắp dựng, tháo dỡ ván khuôn thép bê tông đúc sẵn cọc, cột</v>
      </c>
      <c r="E94" s="144"/>
      <c r="F94" s="144"/>
      <c r="G94" s="168"/>
      <c r="H94" s="20">
        <v>1</v>
      </c>
      <c r="I94" s="45">
        <f>'Hao phí vật tư'!K1744</f>
        <v>115.8536</v>
      </c>
      <c r="J94" s="166"/>
      <c r="K94" s="156">
        <f>ROUND(I94*J45,2)</f>
        <v>24660133.879999999</v>
      </c>
      <c r="L94" s="55" t="str">
        <f>'Công trình'!X230</f>
        <v>HCM_2016_QD_3384_XD</v>
      </c>
      <c r="M94" s="166"/>
      <c r="N94" s="166"/>
      <c r="O94" s="156">
        <f>ROUND(I94*N45,2)</f>
        <v>0</v>
      </c>
      <c r="P94" s="156">
        <f>ROUND(I94*M45,2)</f>
        <v>24660133.879999999</v>
      </c>
    </row>
    <row r="95" spans="1:16" ht="30" hidden="1" x14ac:dyDescent="0.25">
      <c r="A95" s="168"/>
      <c r="B95" s="133" t="str">
        <f>'Công trình'!B56</f>
        <v>AG.32511</v>
      </c>
      <c r="C95" s="34"/>
      <c r="D95" s="133" t="str">
        <f>'Công trình'!C56</f>
        <v>Sản xuất, lắp dựng, tháo dỡ ván khuôn thép bê tông đúc sẵn tấm tự chèn</v>
      </c>
      <c r="E95" s="144"/>
      <c r="F95" s="144"/>
      <c r="G95" s="168"/>
      <c r="H95" s="20">
        <v>1</v>
      </c>
      <c r="I95" s="45">
        <f>'Hao phí vật tư'!K414</f>
        <v>229.9059</v>
      </c>
      <c r="J95" s="166"/>
      <c r="K95" s="156">
        <f>ROUND(I95*J45,2)</f>
        <v>48936850.25</v>
      </c>
      <c r="L95" s="55" t="str">
        <f>'Công trình'!X56</f>
        <v>HCM_2016_QD_3384_XD</v>
      </c>
      <c r="M95" s="166"/>
      <c r="N95" s="166"/>
      <c r="O95" s="156">
        <f>ROUND(I95*N45,2)</f>
        <v>0</v>
      </c>
      <c r="P95" s="156">
        <f>ROUND(I95*M45,2)</f>
        <v>48936850.25</v>
      </c>
    </row>
    <row r="96" spans="1:16" ht="30" hidden="1" x14ac:dyDescent="0.25">
      <c r="A96" s="168"/>
      <c r="B96" s="133" t="str">
        <f>'Công trình'!B251</f>
        <v>AG.32511</v>
      </c>
      <c r="C96" s="34"/>
      <c r="D96" s="133" t="str">
        <f>'Công trình'!C251</f>
        <v>Sản xuất, lắp dựng, tháo dỡ ván khuôn thép bê tông đúc sẵn nắp đan, tấm chớp</v>
      </c>
      <c r="E96" s="144"/>
      <c r="F96" s="144"/>
      <c r="G96" s="168"/>
      <c r="H96" s="20">
        <v>1</v>
      </c>
      <c r="I96" s="45">
        <f>'Hao phí vật tư'!K1916</f>
        <v>293.70600000000002</v>
      </c>
      <c r="J96" s="166"/>
      <c r="K96" s="156">
        <f>ROUND(I96*J45,2)</f>
        <v>62517084.340000004</v>
      </c>
      <c r="L96" s="55" t="str">
        <f>'Công trình'!X251</f>
        <v>HCM_2016_QD_3384_XD</v>
      </c>
      <c r="M96" s="166"/>
      <c r="N96" s="166"/>
      <c r="O96" s="156">
        <f>ROUND(I96*N45,2)</f>
        <v>0</v>
      </c>
      <c r="P96" s="156">
        <f>ROUND(I96*M45,2)</f>
        <v>62517084.340000004</v>
      </c>
    </row>
    <row r="97" spans="1:16" ht="30" hidden="1" x14ac:dyDescent="0.25">
      <c r="A97" s="168"/>
      <c r="B97" s="133" t="str">
        <f>'Công trình'!B73</f>
        <v>AG.32321</v>
      </c>
      <c r="C97" s="34"/>
      <c r="D97" s="133" t="str">
        <f>'Công trình'!C73</f>
        <v>Sản xuất, lắp dựng, tháo dỡ ván khuôn thép bê tông đúc sẵn cọc</v>
      </c>
      <c r="E97" s="144"/>
      <c r="F97" s="144"/>
      <c r="G97" s="168"/>
      <c r="H97" s="20">
        <v>1</v>
      </c>
      <c r="I97" s="45">
        <f>'Hao phí vật tư'!K568</f>
        <v>107.081</v>
      </c>
      <c r="J97" s="166"/>
      <c r="K97" s="156">
        <f>ROUND(I97*J45,2)</f>
        <v>22792833.34</v>
      </c>
      <c r="L97" s="55" t="str">
        <f>'Công trình'!X73</f>
        <v>HCM_2016_QD_3384_XD</v>
      </c>
      <c r="M97" s="166"/>
      <c r="N97" s="166"/>
      <c r="O97" s="156">
        <f>ROUND(I97*N45,2)</f>
        <v>0</v>
      </c>
      <c r="P97" s="156">
        <f>ROUND(I97*M45,2)</f>
        <v>22792833.34</v>
      </c>
    </row>
    <row r="98" spans="1:16" ht="30" hidden="1" x14ac:dyDescent="0.25">
      <c r="A98" s="168"/>
      <c r="B98" s="133" t="str">
        <f>'Công trình'!B84</f>
        <v>AG.32321</v>
      </c>
      <c r="C98" s="34"/>
      <c r="D98" s="133" t="str">
        <f>'Công trình'!C84</f>
        <v>Sản xuất, lắp dựng, tháo dỡ ván khuôn thép bê tông đúc sẵn cọc</v>
      </c>
      <c r="E98" s="144"/>
      <c r="F98" s="144"/>
      <c r="G98" s="168"/>
      <c r="H98" s="20">
        <v>1</v>
      </c>
      <c r="I98" s="45">
        <f>'Hao phí vật tư'!K684</f>
        <v>48.455199999999998</v>
      </c>
      <c r="J98" s="166"/>
      <c r="K98" s="156">
        <f>ROUND(I98*J45,2)</f>
        <v>10313980.050000001</v>
      </c>
      <c r="L98" s="55" t="str">
        <f>'Công trình'!X84</f>
        <v>HCM_2016_QD_3384_XD</v>
      </c>
      <c r="M98" s="166"/>
      <c r="N98" s="166"/>
      <c r="O98" s="156">
        <f>ROUND(I98*N45,2)</f>
        <v>0</v>
      </c>
      <c r="P98" s="156">
        <f>ROUND(I98*M45,2)</f>
        <v>10313980.050000001</v>
      </c>
    </row>
    <row r="99" spans="1:16" ht="30" hidden="1" x14ac:dyDescent="0.25">
      <c r="A99" s="168"/>
      <c r="B99" s="133" t="str">
        <f>'Công trình'!B24</f>
        <v>AF.61130</v>
      </c>
      <c r="C99" s="34"/>
      <c r="D99" s="133" t="str">
        <f>'Công trình'!C24</f>
        <v>Neo dầm mang cống bằng thép D32 SUS304</v>
      </c>
      <c r="E99" s="144"/>
      <c r="F99" s="144"/>
      <c r="G99" s="168"/>
      <c r="H99" s="20">
        <v>1</v>
      </c>
      <c r="I99" s="45">
        <f>'Hao phí vật tư'!K171</f>
        <v>3.9420999999999999</v>
      </c>
      <c r="J99" s="166"/>
      <c r="K99" s="156">
        <f>ROUND(I99*J45,2)</f>
        <v>839099.64</v>
      </c>
      <c r="L99" s="55" t="str">
        <f>'Công trình'!X24</f>
        <v>HCM_2016_QD_3384_XD</v>
      </c>
      <c r="M99" s="166"/>
      <c r="N99" s="166"/>
      <c r="O99" s="156">
        <f>ROUND(I99*N45,2)</f>
        <v>0</v>
      </c>
      <c r="P99" s="156">
        <f>ROUND(I99*M45,2)</f>
        <v>839099.64</v>
      </c>
    </row>
    <row r="100" spans="1:16" ht="30" hidden="1" x14ac:dyDescent="0.25">
      <c r="A100" s="168"/>
      <c r="B100" s="133" t="str">
        <f>'Công trình'!B34</f>
        <v>AF.12313</v>
      </c>
      <c r="C100" s="34"/>
      <c r="D100" s="133" t="str">
        <f>'Công trình'!C34</f>
        <v>Bê tông dầm, giằng đá 1x2, vữa BT mác 200</v>
      </c>
      <c r="E100" s="144"/>
      <c r="F100" s="144"/>
      <c r="G100" s="168"/>
      <c r="H100" s="20">
        <v>1</v>
      </c>
      <c r="I100" s="45">
        <f>'Hao phí vật tư'!K253</f>
        <v>36.739199999999997</v>
      </c>
      <c r="J100" s="166"/>
      <c r="K100" s="156">
        <f>ROUND(I100*J45,2)</f>
        <v>7820159.1600000001</v>
      </c>
      <c r="L100" s="55" t="str">
        <f>'Công trình'!X34</f>
        <v>HCM_2016_QD_3384_XD</v>
      </c>
      <c r="M100" s="166"/>
      <c r="N100" s="166"/>
      <c r="O100" s="156">
        <f>ROUND(I100*N45,2)</f>
        <v>0</v>
      </c>
      <c r="P100" s="156">
        <f>ROUND(I100*M45,2)</f>
        <v>7820159.1600000001</v>
      </c>
    </row>
    <row r="101" spans="1:16" ht="30" hidden="1" x14ac:dyDescent="0.25">
      <c r="A101" s="168"/>
      <c r="B101" s="133" t="str">
        <f>'Công trình'!B37</f>
        <v>AF.61521</v>
      </c>
      <c r="C101" s="34"/>
      <c r="D101" s="133" t="str">
        <f>'Công trình'!C37</f>
        <v>Sản xuất, lắp dựng cốt thép xà dầm, giằng đường kính &lt;=18mm, chiều cao &lt;=4m</v>
      </c>
      <c r="E101" s="144"/>
      <c r="F101" s="144"/>
      <c r="G101" s="168"/>
      <c r="H101" s="20">
        <v>1</v>
      </c>
      <c r="I101" s="45">
        <f>'Hao phí vật tư'!K285</f>
        <v>2.7349000000000001</v>
      </c>
      <c r="J101" s="166"/>
      <c r="K101" s="156">
        <f>ROUND(I101*J45,2)</f>
        <v>582139.87</v>
      </c>
      <c r="L101" s="55" t="str">
        <f>'Công trình'!X37</f>
        <v>HCM_2016_QD_3384_XD</v>
      </c>
      <c r="M101" s="166"/>
      <c r="N101" s="166"/>
      <c r="O101" s="156">
        <f>ROUND(I101*N45,2)</f>
        <v>0</v>
      </c>
      <c r="P101" s="156">
        <f>ROUND(I101*M45,2)</f>
        <v>582139.87</v>
      </c>
    </row>
    <row r="102" spans="1:16" ht="30" hidden="1" x14ac:dyDescent="0.25">
      <c r="A102" s="168"/>
      <c r="B102" s="133" t="str">
        <f>'Công trình'!B36</f>
        <v>AF.61511</v>
      </c>
      <c r="C102" s="34"/>
      <c r="D102" s="133" t="str">
        <f>'Công trình'!C36</f>
        <v>Sản xuất, lắp dựng cốt thép xà dầm, giằng đường kính &lt;=10mm, chiều cao &lt;=4m</v>
      </c>
      <c r="E102" s="144"/>
      <c r="F102" s="144"/>
      <c r="G102" s="168"/>
      <c r="H102" s="20">
        <v>1</v>
      </c>
      <c r="I102" s="45">
        <f>'Hao phí vật tư'!K276</f>
        <v>6.0880000000000001</v>
      </c>
      <c r="J102" s="166"/>
      <c r="K102" s="156">
        <f>ROUND(I102*J45,2)</f>
        <v>1295867.33</v>
      </c>
      <c r="L102" s="55" t="str">
        <f>'Công trình'!X36</f>
        <v>HCM_2016_QD_3384_XD</v>
      </c>
      <c r="M102" s="166"/>
      <c r="N102" s="166"/>
      <c r="O102" s="156">
        <f>ROUND(I102*N45,2)</f>
        <v>0</v>
      </c>
      <c r="P102" s="156">
        <f>ROUND(I102*M45,2)</f>
        <v>1295867.33</v>
      </c>
    </row>
    <row r="103" spans="1:16" x14ac:dyDescent="0.25">
      <c r="A103" s="168">
        <v>3</v>
      </c>
      <c r="B103" s="84" t="s">
        <v>464</v>
      </c>
      <c r="C103" s="34">
        <v>554</v>
      </c>
      <c r="D103" s="144" t="s">
        <v>690</v>
      </c>
      <c r="E103" s="144" t="s">
        <v>907</v>
      </c>
      <c r="F103" s="144" t="s">
        <v>907</v>
      </c>
      <c r="G103" s="168" t="s">
        <v>450</v>
      </c>
      <c r="H103" s="34"/>
      <c r="I103" s="60">
        <f>SUM(I104:I125)</f>
        <v>679.79959999999994</v>
      </c>
      <c r="J103" s="166">
        <v>239519</v>
      </c>
      <c r="K103" s="166">
        <f>ROUND(I103*J103,0)</f>
        <v>162824920</v>
      </c>
      <c r="L103" s="69">
        <v>1</v>
      </c>
      <c r="M103" s="166">
        <v>239519</v>
      </c>
      <c r="N103" s="166">
        <f>M103-J103</f>
        <v>0</v>
      </c>
      <c r="O103" s="166">
        <f>ROUND(I103*N103,0)</f>
        <v>0</v>
      </c>
      <c r="P103" s="166">
        <f>ROUND(I103*M103,0)</f>
        <v>162824920</v>
      </c>
    </row>
    <row r="104" spans="1:16" ht="30" hidden="1" x14ac:dyDescent="0.25">
      <c r="A104" s="168"/>
      <c r="B104" s="133" t="str">
        <f>'Công trình'!B28</f>
        <v>AL.16122</v>
      </c>
      <c r="C104" s="34"/>
      <c r="D104" s="133" t="str">
        <f>'Công trình'!C28</f>
        <v>Rải vải địa kỹ thuật làm móng công trình</v>
      </c>
      <c r="E104" s="144"/>
      <c r="F104" s="144"/>
      <c r="G104" s="168"/>
      <c r="H104" s="20">
        <v>1</v>
      </c>
      <c r="I104" s="45">
        <f>'Hao phí vật tư'!K198</f>
        <v>8.7479999999999993</v>
      </c>
      <c r="J104" s="166"/>
      <c r="K104" s="156">
        <f>ROUND(I104*J103,2)</f>
        <v>2095312.21</v>
      </c>
      <c r="L104" s="55" t="str">
        <f>'Công trình'!X28</f>
        <v>HCM_2016_QD_3384_XD</v>
      </c>
      <c r="M104" s="166"/>
      <c r="N104" s="166"/>
      <c r="O104" s="156">
        <f>ROUND(I104*N103,2)</f>
        <v>0</v>
      </c>
      <c r="P104" s="156">
        <f>ROUND(I104*M103,2)</f>
        <v>2095312.21</v>
      </c>
    </row>
    <row r="105" spans="1:16" ht="30" hidden="1" x14ac:dyDescent="0.25">
      <c r="A105" s="168"/>
      <c r="B105" s="133" t="str">
        <f>'Công trình'!B42</f>
        <v>AC.11121</v>
      </c>
      <c r="C105" s="34"/>
      <c r="D105" s="133" t="str">
        <f>'Công trình'!C42</f>
        <v>Đóng cọc tràm chiều dài cọc ngập đất &gt;2,5m đất cấp I</v>
      </c>
      <c r="E105" s="144"/>
      <c r="F105" s="144"/>
      <c r="G105" s="168"/>
      <c r="H105" s="20">
        <v>1</v>
      </c>
      <c r="I105" s="45">
        <f>'Hao phí vật tư'!K318</f>
        <v>0.68310000000000004</v>
      </c>
      <c r="J105" s="166"/>
      <c r="K105" s="156">
        <f>ROUND(I105*J103,2)</f>
        <v>163615.43</v>
      </c>
      <c r="L105" s="55" t="str">
        <f>'Công trình'!X42</f>
        <v>HCM_2016_QD_3384_XD</v>
      </c>
      <c r="M105" s="166"/>
      <c r="N105" s="166"/>
      <c r="O105" s="156">
        <f>ROUND(I105*N103,2)</f>
        <v>0</v>
      </c>
      <c r="P105" s="156">
        <f>ROUND(I105*M103,2)</f>
        <v>163615.43</v>
      </c>
    </row>
    <row r="106" spans="1:16" ht="30" hidden="1" x14ac:dyDescent="0.25">
      <c r="A106" s="168"/>
      <c r="B106" s="133" t="str">
        <f>'Công trình'!B49</f>
        <v>AL.16122</v>
      </c>
      <c r="C106" s="34"/>
      <c r="D106" s="133" t="str">
        <f>'Công trình'!C49</f>
        <v>Rải vải địa kỹ thuật làm móng công trình</v>
      </c>
      <c r="E106" s="144"/>
      <c r="F106" s="144"/>
      <c r="G106" s="168"/>
      <c r="H106" s="20">
        <v>1</v>
      </c>
      <c r="I106" s="45">
        <f>'Hao phí vật tư'!K367</f>
        <v>25.695</v>
      </c>
      <c r="J106" s="166"/>
      <c r="K106" s="156">
        <f>ROUND(I106*J103,2)</f>
        <v>6154440.71</v>
      </c>
      <c r="L106" s="55" t="str">
        <f>'Công trình'!X49</f>
        <v>HCM_2016_QD_3384_XD</v>
      </c>
      <c r="M106" s="166"/>
      <c r="N106" s="166"/>
      <c r="O106" s="156">
        <f>ROUND(I106*N103,2)</f>
        <v>0</v>
      </c>
      <c r="P106" s="156">
        <f>ROUND(I106*M103,2)</f>
        <v>6154440.71</v>
      </c>
    </row>
    <row r="107" spans="1:16" ht="30" hidden="1" x14ac:dyDescent="0.25">
      <c r="A107" s="168"/>
      <c r="B107" s="133" t="str">
        <f>'Công trình'!B50</f>
        <v>AC.11121</v>
      </c>
      <c r="C107" s="34"/>
      <c r="D107" s="133" t="str">
        <f>'Công trình'!C50</f>
        <v>Đóng cọc tràm chiều dài cọc ngập đất &gt;2,5m đất cấp I</v>
      </c>
      <c r="E107" s="144"/>
      <c r="F107" s="144"/>
      <c r="G107" s="168"/>
      <c r="H107" s="20">
        <v>1</v>
      </c>
      <c r="I107" s="45">
        <f>'Hao phí vật tư'!K375</f>
        <v>338.47609999999997</v>
      </c>
      <c r="J107" s="166"/>
      <c r="K107" s="156">
        <f>ROUND(I107*J103,2)</f>
        <v>81071457</v>
      </c>
      <c r="L107" s="55" t="str">
        <f>'Công trình'!X50</f>
        <v>HCM_2016_QD_3384_XD</v>
      </c>
      <c r="M107" s="166"/>
      <c r="N107" s="166"/>
      <c r="O107" s="156">
        <f>ROUND(I107*N103,2)</f>
        <v>0</v>
      </c>
      <c r="P107" s="156">
        <f>ROUND(I107*M103,2)</f>
        <v>81071457</v>
      </c>
    </row>
    <row r="108" spans="1:16" ht="30" hidden="1" x14ac:dyDescent="0.25">
      <c r="A108" s="168"/>
      <c r="B108" s="133" t="str">
        <f>'Công trình'!B53</f>
        <v>AL.16122</v>
      </c>
      <c r="C108" s="34"/>
      <c r="D108" s="133" t="str">
        <f>'Công trình'!C53</f>
        <v>Rải vải địa kỹ thuật làm móng công trình</v>
      </c>
      <c r="E108" s="144"/>
      <c r="F108" s="144"/>
      <c r="G108" s="168"/>
      <c r="H108" s="20">
        <v>1</v>
      </c>
      <c r="I108" s="45">
        <f>'Hao phí vật tư'!K392</f>
        <v>8.2634000000000007</v>
      </c>
      <c r="J108" s="166"/>
      <c r="K108" s="156">
        <f>ROUND(I108*J103,2)</f>
        <v>1979241.3</v>
      </c>
      <c r="L108" s="55" t="str">
        <f>'Công trình'!X53</f>
        <v>HCM_2016_QD_3384_XD</v>
      </c>
      <c r="M108" s="166"/>
      <c r="N108" s="166"/>
      <c r="O108" s="156">
        <f>ROUND(I108*N103,2)</f>
        <v>0</v>
      </c>
      <c r="P108" s="156">
        <f>ROUND(I108*M103,2)</f>
        <v>1979241.3</v>
      </c>
    </row>
    <row r="109" spans="1:16" ht="30" hidden="1" x14ac:dyDescent="0.25">
      <c r="A109" s="168"/>
      <c r="B109" s="133" t="str">
        <f>'Công trình'!B96</f>
        <v>AC.11121</v>
      </c>
      <c r="C109" s="34"/>
      <c r="D109" s="133" t="str">
        <f>'Công trình'!C96</f>
        <v>Đóng cọc tràm chiều dài cọc ngập đất &gt;2,5m đất cấp I</v>
      </c>
      <c r="E109" s="144"/>
      <c r="F109" s="144"/>
      <c r="G109" s="168"/>
      <c r="H109" s="20">
        <v>1</v>
      </c>
      <c r="I109" s="45">
        <f>'Hao phí vật tư'!K780</f>
        <v>54.648000000000003</v>
      </c>
      <c r="J109" s="166"/>
      <c r="K109" s="156">
        <f>ROUND(I109*J103,2)</f>
        <v>13089234.310000001</v>
      </c>
      <c r="L109" s="55" t="str">
        <f>'Công trình'!X96</f>
        <v>HCM_2016_QD_3384_XD</v>
      </c>
      <c r="M109" s="166"/>
      <c r="N109" s="166"/>
      <c r="O109" s="156">
        <f>ROUND(I109*N103,2)</f>
        <v>0</v>
      </c>
      <c r="P109" s="156">
        <f>ROUND(I109*M103,2)</f>
        <v>13089234.310000001</v>
      </c>
    </row>
    <row r="110" spans="1:16" ht="30" hidden="1" x14ac:dyDescent="0.25">
      <c r="A110" s="168"/>
      <c r="B110" s="133" t="str">
        <f>'Công trình'!B97</f>
        <v>AL.16122</v>
      </c>
      <c r="C110" s="34"/>
      <c r="D110" s="133" t="str">
        <f>'Công trình'!C97</f>
        <v>Rải vải địa kỹ thuật làm móng công trình</v>
      </c>
      <c r="E110" s="144"/>
      <c r="F110" s="144"/>
      <c r="G110" s="168"/>
      <c r="H110" s="20">
        <v>1</v>
      </c>
      <c r="I110" s="45">
        <f>'Hao phí vật tư'!K786</f>
        <v>5.3136000000000001</v>
      </c>
      <c r="J110" s="166"/>
      <c r="K110" s="156">
        <f>ROUND(I110*J103,2)</f>
        <v>1272708.1599999999</v>
      </c>
      <c r="L110" s="55" t="str">
        <f>'Công trình'!X97</f>
        <v>HCM_2016_QD_3384_XD</v>
      </c>
      <c r="M110" s="166"/>
      <c r="N110" s="166"/>
      <c r="O110" s="156">
        <f>ROUND(I110*N103,2)</f>
        <v>0</v>
      </c>
      <c r="P110" s="156">
        <f>ROUND(I110*M103,2)</f>
        <v>1272708.1599999999</v>
      </c>
    </row>
    <row r="111" spans="1:16" ht="30" hidden="1" x14ac:dyDescent="0.25">
      <c r="A111" s="168"/>
      <c r="B111" s="133" t="str">
        <f>'Công trình'!B86</f>
        <v>AC.17111</v>
      </c>
      <c r="C111" s="34"/>
      <c r="D111" s="133" t="str">
        <f>'Công trình'!C86</f>
        <v>Đóng cọc BTCT 30x30 chiều dài &lt;=24m trên mặt nước bằng tàu đóng cọc búa 1,8T</v>
      </c>
      <c r="E111" s="144"/>
      <c r="F111" s="144"/>
      <c r="G111" s="168"/>
      <c r="H111" s="20">
        <v>1</v>
      </c>
      <c r="I111" s="45">
        <f>'Hao phí vật tư'!K709</f>
        <v>17.654399999999999</v>
      </c>
      <c r="J111" s="166"/>
      <c r="K111" s="156">
        <f>ROUND(I111*J103,2)</f>
        <v>4228564.2300000004</v>
      </c>
      <c r="L111" s="55" t="str">
        <f>'Công trình'!X86</f>
        <v>HCM_2016_QD_3384_XD</v>
      </c>
      <c r="M111" s="166"/>
      <c r="N111" s="166"/>
      <c r="O111" s="156">
        <f>ROUND(I111*N103,2)</f>
        <v>0</v>
      </c>
      <c r="P111" s="156">
        <f>ROUND(I111*M103,2)</f>
        <v>4228564.2300000004</v>
      </c>
    </row>
    <row r="112" spans="1:16" ht="30" hidden="1" x14ac:dyDescent="0.25">
      <c r="A112" s="168"/>
      <c r="B112" s="133" t="str">
        <f>'Công trình'!B75</f>
        <v>AC.17112</v>
      </c>
      <c r="C112" s="34"/>
      <c r="D112" s="133" t="str">
        <f>'Công trình'!C75</f>
        <v>Đóng cọc BTCT 35x35 chiều dài &lt;=24m trên mặt nước bằng tàu đóng cọc búa 1,8T</v>
      </c>
      <c r="E112" s="144"/>
      <c r="F112" s="144"/>
      <c r="G112" s="168"/>
      <c r="H112" s="20">
        <v>1</v>
      </c>
      <c r="I112" s="45">
        <f>'Hao phí vật tư'!K593</f>
        <v>34.816000000000003</v>
      </c>
      <c r="J112" s="166"/>
      <c r="K112" s="156">
        <f>ROUND(I112*J103,2)</f>
        <v>8339093.5</v>
      </c>
      <c r="L112" s="55" t="str">
        <f>'Công trình'!X75</f>
        <v>HCM_2016_QD_3384_XD</v>
      </c>
      <c r="M112" s="166"/>
      <c r="N112" s="166"/>
      <c r="O112" s="156">
        <f>ROUND(I112*N103,2)</f>
        <v>0</v>
      </c>
      <c r="P112" s="156">
        <f>ROUND(I112*M103,2)</f>
        <v>8339093.5</v>
      </c>
    </row>
    <row r="113" spans="1:16" ht="30" hidden="1" x14ac:dyDescent="0.25">
      <c r="A113" s="168"/>
      <c r="B113" s="133" t="str">
        <f>'Công trình'!B107</f>
        <v>AC.17112</v>
      </c>
      <c r="C113" s="34"/>
      <c r="D113" s="133" t="str">
        <f>'Công trình'!C107</f>
        <v>Đóng cọc âm BTCT 35x35 chiều dài &lt;=24m trên mặt nước bằng tàu đóng cọc búa 1,8T</v>
      </c>
      <c r="E113" s="144"/>
      <c r="F113" s="144"/>
      <c r="G113" s="168"/>
      <c r="H113" s="20">
        <v>1</v>
      </c>
      <c r="I113" s="45">
        <f>'Hao phí vật tư'!K856</f>
        <v>14.28</v>
      </c>
      <c r="J113" s="166"/>
      <c r="K113" s="156">
        <f>ROUND(I113*J103,2)</f>
        <v>3420331.32</v>
      </c>
      <c r="L113" s="55" t="str">
        <f>'Công trình'!X107</f>
        <v>HCM_2016_QD_3384_XD</v>
      </c>
      <c r="M113" s="166"/>
      <c r="N113" s="166"/>
      <c r="O113" s="156">
        <f>ROUND(I113*N103,2)</f>
        <v>0</v>
      </c>
      <c r="P113" s="156">
        <f>ROUND(I113*M103,2)</f>
        <v>3420331.32</v>
      </c>
    </row>
    <row r="114" spans="1:16" ht="30" hidden="1" x14ac:dyDescent="0.25">
      <c r="A114" s="168"/>
      <c r="B114" s="133" t="str">
        <f>'Công trình'!B149</f>
        <v>AC.11121</v>
      </c>
      <c r="C114" s="34"/>
      <c r="D114" s="133" t="str">
        <f>'Công trình'!C149</f>
        <v>Đóng cọc tràm chiều dài cọc ngập đất &gt;2,5m đất cấp I</v>
      </c>
      <c r="E114" s="144"/>
      <c r="F114" s="144"/>
      <c r="G114" s="168"/>
      <c r="H114" s="20">
        <v>1</v>
      </c>
      <c r="I114" s="45">
        <f>'Hao phí vật tư'!K1140</f>
        <v>53.509500000000003</v>
      </c>
      <c r="J114" s="166"/>
      <c r="K114" s="156">
        <f>ROUND(I114*J103,2)</f>
        <v>12816541.93</v>
      </c>
      <c r="L114" s="55" t="str">
        <f>'Công trình'!X149</f>
        <v>HCM_2016_QD_3384_XD</v>
      </c>
      <c r="M114" s="166"/>
      <c r="N114" s="166"/>
      <c r="O114" s="156">
        <f>ROUND(I114*N103,2)</f>
        <v>0</v>
      </c>
      <c r="P114" s="156">
        <f>ROUND(I114*M103,2)</f>
        <v>12816541.93</v>
      </c>
    </row>
    <row r="115" spans="1:16" ht="30" hidden="1" x14ac:dyDescent="0.25">
      <c r="A115" s="168"/>
      <c r="B115" s="133" t="str">
        <f>'Công trình'!B150</f>
        <v>AL.16122</v>
      </c>
      <c r="C115" s="34"/>
      <c r="D115" s="133" t="str">
        <f>'Công trình'!C150</f>
        <v>Rải vải địa kỹ thuật làm móng công trình</v>
      </c>
      <c r="E115" s="144"/>
      <c r="F115" s="144"/>
      <c r="G115" s="168"/>
      <c r="H115" s="20">
        <v>1</v>
      </c>
      <c r="I115" s="45">
        <f>'Hao phí vật tư'!K1146</f>
        <v>0.79069999999999996</v>
      </c>
      <c r="J115" s="166"/>
      <c r="K115" s="156">
        <f>ROUND(I115*J103,2)</f>
        <v>189387.67</v>
      </c>
      <c r="L115" s="55" t="str">
        <f>'Công trình'!X150</f>
        <v>HCM_2016_QD_3384_XD</v>
      </c>
      <c r="M115" s="166"/>
      <c r="N115" s="166"/>
      <c r="O115" s="156">
        <f>ROUND(I115*N103,2)</f>
        <v>0</v>
      </c>
      <c r="P115" s="156">
        <f>ROUND(I115*M103,2)</f>
        <v>189387.67</v>
      </c>
    </row>
    <row r="116" spans="1:16" ht="30" hidden="1" x14ac:dyDescent="0.25">
      <c r="A116" s="168"/>
      <c r="B116" s="133" t="str">
        <f>'Công trình'!B222</f>
        <v>AL.16210</v>
      </c>
      <c r="C116" s="34"/>
      <c r="D116" s="133" t="str">
        <f>'Công trình'!C222</f>
        <v>Giấy dầu</v>
      </c>
      <c r="E116" s="144"/>
      <c r="F116" s="144"/>
      <c r="G116" s="168"/>
      <c r="H116" s="20">
        <v>1</v>
      </c>
      <c r="I116" s="45">
        <f>'Hao phí vật tư'!K1676</f>
        <v>0.34360000000000002</v>
      </c>
      <c r="J116" s="166"/>
      <c r="K116" s="156">
        <f>ROUND(I116*J103,2)</f>
        <v>82298.73</v>
      </c>
      <c r="L116" s="55" t="str">
        <f>'Công trình'!X222</f>
        <v>HCM_2016_QD_3384_XD</v>
      </c>
      <c r="M116" s="166"/>
      <c r="N116" s="166"/>
      <c r="O116" s="156">
        <f>ROUND(I116*N103,2)</f>
        <v>0</v>
      </c>
      <c r="P116" s="156">
        <f>ROUND(I116*M103,2)</f>
        <v>82298.73</v>
      </c>
    </row>
    <row r="117" spans="1:16" ht="30" hidden="1" x14ac:dyDescent="0.25">
      <c r="A117" s="168"/>
      <c r="B117" s="133" t="str">
        <f>'Công trình'!B232</f>
        <v>AC.14114</v>
      </c>
      <c r="C117" s="34"/>
      <c r="D117" s="133" t="str">
        <f>'Công trình'!C232</f>
        <v>Đóng cọc BTCT 35x35 chiều dài &lt;=24m trên mặt đất, trọng lượng đầu búa 1,8T, đất cấp I</v>
      </c>
      <c r="E117" s="144"/>
      <c r="F117" s="144"/>
      <c r="G117" s="168"/>
      <c r="H117" s="20">
        <v>1</v>
      </c>
      <c r="I117" s="45">
        <f>'Hao phí vật tư'!K1769</f>
        <v>14.448</v>
      </c>
      <c r="J117" s="166"/>
      <c r="K117" s="156">
        <f>ROUND(I117*J103,2)</f>
        <v>3460570.51</v>
      </c>
      <c r="L117" s="55" t="str">
        <f>'Công trình'!X232</f>
        <v>HCM_2016_QD_3384_XD</v>
      </c>
      <c r="M117" s="166"/>
      <c r="N117" s="166"/>
      <c r="O117" s="156">
        <f>ROUND(I117*N103,2)</f>
        <v>0</v>
      </c>
      <c r="P117" s="156">
        <f>ROUND(I117*M103,2)</f>
        <v>3460570.51</v>
      </c>
    </row>
    <row r="118" spans="1:16" ht="45" hidden="1" x14ac:dyDescent="0.25">
      <c r="A118" s="168"/>
      <c r="B118" s="133" t="str">
        <f>'Công trình'!B233</f>
        <v>AC.14114</v>
      </c>
      <c r="C118" s="34"/>
      <c r="D118" s="133" t="str">
        <f>'Công trình'!C233</f>
        <v>Đóng cọc xiên BTCT 35x35 chiều dài &lt;=24m trên mặt đất, trọng lượng đầu búa 1,8T, đất cấp I (HS NC, MTC x 1,22)</v>
      </c>
      <c r="E118" s="144"/>
      <c r="F118" s="144"/>
      <c r="G118" s="168"/>
      <c r="H118" s="20">
        <v>1</v>
      </c>
      <c r="I118" s="45">
        <f>'Hao phí vật tư'!K1778</f>
        <v>35.253100000000003</v>
      </c>
      <c r="J118" s="166"/>
      <c r="K118" s="156">
        <f>ROUND(I118*J103,2)</f>
        <v>8443787.2599999998</v>
      </c>
      <c r="L118" s="55" t="str">
        <f>'Công trình'!X233</f>
        <v>HCM_2016_QD_3384_XD</v>
      </c>
      <c r="M118" s="166"/>
      <c r="N118" s="166"/>
      <c r="O118" s="156">
        <f>ROUND(I118*N103,2)</f>
        <v>0</v>
      </c>
      <c r="P118" s="156">
        <f>ROUND(I118*M103,2)</f>
        <v>8443787.2599999998</v>
      </c>
    </row>
    <row r="119" spans="1:16" ht="30" hidden="1" x14ac:dyDescent="0.25">
      <c r="A119" s="168"/>
      <c r="B119" s="133" t="str">
        <f>'Công trình'!B236</f>
        <v>AC.14114</v>
      </c>
      <c r="C119" s="34"/>
      <c r="D119" s="133" t="str">
        <f>'Công trình'!C236</f>
        <v>Đóng cọc âm chiều dài &lt;=24m trên mặt đất, trọng lượng đầu búa 1,8T, đất cấp I</v>
      </c>
      <c r="E119" s="144"/>
      <c r="F119" s="144"/>
      <c r="G119" s="168"/>
      <c r="H119" s="20">
        <v>1</v>
      </c>
      <c r="I119" s="45">
        <f>'Hao phí vật tư'!K1807</f>
        <v>2.1671999999999998</v>
      </c>
      <c r="J119" s="166"/>
      <c r="K119" s="156">
        <f>ROUND(I119*J103,2)</f>
        <v>519085.58</v>
      </c>
      <c r="L119" s="55" t="str">
        <f>'Công trình'!X236</f>
        <v>HCM_2016_QD_3384_XD</v>
      </c>
      <c r="M119" s="166"/>
      <c r="N119" s="166"/>
      <c r="O119" s="156">
        <f>ROUND(I119*N103,2)</f>
        <v>0</v>
      </c>
      <c r="P119" s="156">
        <f>ROUND(I119*M103,2)</f>
        <v>519085.58</v>
      </c>
    </row>
    <row r="120" spans="1:16" ht="30" hidden="1" x14ac:dyDescent="0.25">
      <c r="A120" s="168"/>
      <c r="B120" s="133" t="str">
        <f>'Công trình'!B253</f>
        <v>AL.16122</v>
      </c>
      <c r="C120" s="34"/>
      <c r="D120" s="133" t="str">
        <f>'Công trình'!C253</f>
        <v>Rải vải địa kỹ thuật làm móng công trình</v>
      </c>
      <c r="E120" s="144"/>
      <c r="F120" s="144"/>
      <c r="G120" s="168"/>
      <c r="H120" s="20">
        <v>1</v>
      </c>
      <c r="I120" s="45">
        <f>'Hao phí vật tư'!K1933</f>
        <v>21.470800000000001</v>
      </c>
      <c r="J120" s="166"/>
      <c r="K120" s="156">
        <f>ROUND(I120*J103,2)</f>
        <v>5142664.55</v>
      </c>
      <c r="L120" s="55" t="str">
        <f>'Công trình'!X253</f>
        <v>HCM_2016_QD_3384_XD</v>
      </c>
      <c r="M120" s="166"/>
      <c r="N120" s="166"/>
      <c r="O120" s="156">
        <f>ROUND(I120*N103,2)</f>
        <v>0</v>
      </c>
      <c r="P120" s="156">
        <f>ROUND(I120*M103,2)</f>
        <v>5142664.55</v>
      </c>
    </row>
    <row r="121" spans="1:16" ht="30" hidden="1" x14ac:dyDescent="0.25">
      <c r="A121" s="168"/>
      <c r="B121" s="133" t="str">
        <f>'Công trình'!B259</f>
        <v>BB.14309</v>
      </c>
      <c r="C121" s="34"/>
      <c r="D121" s="133" t="str">
        <f>'Công trình'!C259</f>
        <v>Lắp đặt ống thép tráng kẽm, đoạn ống dài 8m, đk=110mm</v>
      </c>
      <c r="E121" s="144"/>
      <c r="F121" s="144"/>
      <c r="G121" s="168"/>
      <c r="H121" s="20">
        <v>1</v>
      </c>
      <c r="I121" s="45">
        <f>'Hao phí vật tư'!K1983</f>
        <v>6.5970000000000004</v>
      </c>
      <c r="J121" s="166"/>
      <c r="K121" s="156">
        <f>ROUND(I121*J103,2)</f>
        <v>1580106.84</v>
      </c>
      <c r="L121" s="55" t="str">
        <f>'Công trình'!X259</f>
        <v>HCM_2016_QD_3384_LD</v>
      </c>
      <c r="M121" s="166"/>
      <c r="N121" s="166"/>
      <c r="O121" s="156">
        <f>ROUND(I121*N103,2)</f>
        <v>0</v>
      </c>
      <c r="P121" s="156">
        <f>ROUND(I121*M103,2)</f>
        <v>1580106.84</v>
      </c>
    </row>
    <row r="122" spans="1:16" ht="30" hidden="1" x14ac:dyDescent="0.25">
      <c r="A122" s="168"/>
      <c r="B122" s="133" t="str">
        <f>'Công trình'!B260</f>
        <v>BB.26119</v>
      </c>
      <c r="C122" s="34"/>
      <c r="D122" s="133" t="str">
        <f>'Công trình'!C260</f>
        <v>Cút nối 90 độ thép mạ kẽm</v>
      </c>
      <c r="E122" s="144"/>
      <c r="F122" s="144"/>
      <c r="G122" s="168"/>
      <c r="H122" s="20">
        <v>1</v>
      </c>
      <c r="I122" s="45">
        <f>'Hao phí vật tư'!K1989</f>
        <v>4.4000000000000004</v>
      </c>
      <c r="J122" s="166"/>
      <c r="K122" s="156">
        <f>ROUND(I122*J103,2)</f>
        <v>1053883.6000000001</v>
      </c>
      <c r="L122" s="55" t="str">
        <f>'Công trình'!X260</f>
        <v>HCM_2016_QD_3384_LD</v>
      </c>
      <c r="M122" s="166"/>
      <c r="N122" s="166"/>
      <c r="O122" s="156">
        <f>ROUND(I122*N103,2)</f>
        <v>0</v>
      </c>
      <c r="P122" s="156">
        <f>ROUND(I122*M103,2)</f>
        <v>1053883.6000000001</v>
      </c>
    </row>
    <row r="123" spans="1:16" ht="30" hidden="1" x14ac:dyDescent="0.25">
      <c r="A123" s="168"/>
      <c r="B123" s="133" t="str">
        <f>'Công trình'!B268</f>
        <v>BB.14211</v>
      </c>
      <c r="C123" s="34"/>
      <c r="D123" s="133" t="str">
        <f>'Công trình'!C268</f>
        <v>Ống thép Þ120 dày 2 mm</v>
      </c>
      <c r="E123" s="144"/>
      <c r="F123" s="144"/>
      <c r="G123" s="168"/>
      <c r="H123" s="20">
        <v>1</v>
      </c>
      <c r="I123" s="45">
        <f>'Hao phí vật tư'!K2047</f>
        <v>27.881699999999999</v>
      </c>
      <c r="J123" s="166"/>
      <c r="K123" s="156">
        <f>ROUND(I123*J103,2)</f>
        <v>6678196.9000000004</v>
      </c>
      <c r="L123" s="55" t="str">
        <f>'Công trình'!X268</f>
        <v>HCM_2016_QD_3384_LD</v>
      </c>
      <c r="M123" s="166"/>
      <c r="N123" s="166"/>
      <c r="O123" s="156">
        <f>ROUND(I123*N103,2)</f>
        <v>0</v>
      </c>
      <c r="P123" s="156">
        <f>ROUND(I123*M103,2)</f>
        <v>6678196.9000000004</v>
      </c>
    </row>
    <row r="124" spans="1:16" ht="30" hidden="1" x14ac:dyDescent="0.25">
      <c r="A124" s="168"/>
      <c r="B124" s="133" t="str">
        <f>'Công trình'!B271</f>
        <v>AC.11121</v>
      </c>
      <c r="C124" s="34"/>
      <c r="D124" s="133" t="str">
        <f>'Công trình'!C271</f>
        <v>Đóng cọc tràm chiều dài cọc ngập đất &gt;2,5m đất cấp I</v>
      </c>
      <c r="E124" s="144"/>
      <c r="F124" s="144"/>
      <c r="G124" s="168"/>
      <c r="H124" s="20">
        <v>1</v>
      </c>
      <c r="I124" s="45">
        <f>'Hao phí vật tư'!K2073</f>
        <v>3.036</v>
      </c>
      <c r="J124" s="166"/>
      <c r="K124" s="156">
        <f>ROUND(I124*J103,2)</f>
        <v>727179.68</v>
      </c>
      <c r="L124" s="55" t="str">
        <f>'Công trình'!X271</f>
        <v>HCM_2016_QD_3384_XD</v>
      </c>
      <c r="M124" s="166"/>
      <c r="N124" s="166"/>
      <c r="O124" s="156">
        <f>ROUND(I124*N103,2)</f>
        <v>0</v>
      </c>
      <c r="P124" s="156">
        <f>ROUND(I124*M103,2)</f>
        <v>727179.68</v>
      </c>
    </row>
    <row r="125" spans="1:16" ht="30" hidden="1" x14ac:dyDescent="0.25">
      <c r="A125" s="168"/>
      <c r="B125" s="133" t="str">
        <f>'Công trình'!B289</f>
        <v>BB.14306</v>
      </c>
      <c r="C125" s="34"/>
      <c r="D125" s="133" t="str">
        <f>'Công trình'!C289</f>
        <v>Ống thép D80mm, dày 2.9mm, mạ kẽm</v>
      </c>
      <c r="E125" s="144"/>
      <c r="F125" s="144"/>
      <c r="G125" s="168"/>
      <c r="H125" s="20">
        <v>1</v>
      </c>
      <c r="I125" s="45">
        <f>'Hao phí vật tư'!K2166</f>
        <v>1.3244</v>
      </c>
      <c r="J125" s="166"/>
      <c r="K125" s="156">
        <f>ROUND(I125*J103,2)</f>
        <v>317218.96000000002</v>
      </c>
      <c r="L125" s="55" t="str">
        <f>'Công trình'!X289</f>
        <v>HCM_2016_QD_3384_LD</v>
      </c>
      <c r="M125" s="166"/>
      <c r="N125" s="166"/>
      <c r="O125" s="156">
        <f>ROUND(I125*N103,2)</f>
        <v>0</v>
      </c>
      <c r="P125" s="156">
        <f>ROUND(I125*M103,2)</f>
        <v>317218.96000000002</v>
      </c>
    </row>
    <row r="126" spans="1:16" x14ac:dyDescent="0.25">
      <c r="A126" s="168">
        <v>4</v>
      </c>
      <c r="B126" s="84" t="s">
        <v>601</v>
      </c>
      <c r="C126" s="34">
        <v>559</v>
      </c>
      <c r="D126" s="144" t="s">
        <v>1136</v>
      </c>
      <c r="E126" s="144" t="s">
        <v>907</v>
      </c>
      <c r="F126" s="144" t="s">
        <v>907</v>
      </c>
      <c r="G126" s="168" t="s">
        <v>450</v>
      </c>
      <c r="H126" s="34"/>
      <c r="I126" s="60">
        <f>SUM(I127:I129)</f>
        <v>99.759999999999991</v>
      </c>
      <c r="J126" s="166">
        <v>247112</v>
      </c>
      <c r="K126" s="166">
        <f>ROUND(I126*J126,0)</f>
        <v>24651893</v>
      </c>
      <c r="L126" s="69">
        <v>1</v>
      </c>
      <c r="M126" s="166">
        <v>247112</v>
      </c>
      <c r="N126" s="166">
        <f>M126-J126</f>
        <v>0</v>
      </c>
      <c r="O126" s="166">
        <f>ROUND(I126*N126,0)</f>
        <v>0</v>
      </c>
      <c r="P126" s="166">
        <f>ROUND(I126*M126,0)</f>
        <v>24651893</v>
      </c>
    </row>
    <row r="127" spans="1:16" ht="30" hidden="1" x14ac:dyDescent="0.25">
      <c r="A127" s="168"/>
      <c r="B127" s="133" t="str">
        <f>'Công trình'!B269</f>
        <v>AD.32411</v>
      </c>
      <c r="C127" s="34"/>
      <c r="D127" s="133" t="str">
        <f>'Công trình'!C269</f>
        <v>Biển báo (1.2 x 1.2)m</v>
      </c>
      <c r="E127" s="144"/>
      <c r="F127" s="144"/>
      <c r="G127" s="168"/>
      <c r="H127" s="20">
        <v>1</v>
      </c>
      <c r="I127" s="45">
        <f>'Hao phí vật tư'!K2060</f>
        <v>93.16</v>
      </c>
      <c r="J127" s="166"/>
      <c r="K127" s="156">
        <f>ROUND(I127*J126,2)</f>
        <v>23020953.920000002</v>
      </c>
      <c r="L127" s="55" t="str">
        <f>'Công trình'!X269</f>
        <v>HCM_2016_QD_3384_XD</v>
      </c>
      <c r="M127" s="166"/>
      <c r="N127" s="166"/>
      <c r="O127" s="156">
        <f>ROUND(I127*N126,2)</f>
        <v>0</v>
      </c>
      <c r="P127" s="156">
        <f>ROUND(I127*M126,2)</f>
        <v>23020953.920000002</v>
      </c>
    </row>
    <row r="128" spans="1:16" ht="30" hidden="1" x14ac:dyDescent="0.25">
      <c r="A128" s="168"/>
      <c r="B128" s="133" t="str">
        <f>'Công trình'!B290</f>
        <v>AD.32421</v>
      </c>
      <c r="C128" s="34"/>
      <c r="D128" s="133" t="str">
        <f>'Công trình'!C290</f>
        <v>Biển báo bằng tôn hình tròn D70cm, dày 1.2mm, sơn phản quang (Biển 115)</v>
      </c>
      <c r="E128" s="144"/>
      <c r="F128" s="144"/>
      <c r="G128" s="168"/>
      <c r="H128" s="20">
        <v>1</v>
      </c>
      <c r="I128" s="45">
        <f>'Hao phí vật tư'!K2176</f>
        <v>2.88</v>
      </c>
      <c r="J128" s="166"/>
      <c r="K128" s="156">
        <f>ROUND(I128*J126,2)</f>
        <v>711682.56000000006</v>
      </c>
      <c r="L128" s="55" t="str">
        <f>'Công trình'!X290</f>
        <v>HCM_2016_QD_3384_XD</v>
      </c>
      <c r="M128" s="166"/>
      <c r="N128" s="166"/>
      <c r="O128" s="156">
        <f>ROUND(I128*N126,2)</f>
        <v>0</v>
      </c>
      <c r="P128" s="156">
        <f>ROUND(I128*M126,2)</f>
        <v>711682.56000000006</v>
      </c>
    </row>
    <row r="129" spans="1:16" ht="30" hidden="1" x14ac:dyDescent="0.25">
      <c r="A129" s="168"/>
      <c r="B129" s="133" t="str">
        <f>'Công trình'!B291</f>
        <v>AD.32441</v>
      </c>
      <c r="C129" s="34"/>
      <c r="D129" s="133" t="str">
        <f>'Công trình'!C291</f>
        <v>Biển hình chữ nhật (40x60) (biển 439)</v>
      </c>
      <c r="E129" s="144"/>
      <c r="F129" s="144"/>
      <c r="G129" s="168"/>
      <c r="H129" s="20">
        <v>1</v>
      </c>
      <c r="I129" s="45">
        <f>'Hao phí vật tư'!K2188</f>
        <v>3.72</v>
      </c>
      <c r="J129" s="166"/>
      <c r="K129" s="156">
        <f>ROUND(I129*J126,2)</f>
        <v>919256.64</v>
      </c>
      <c r="L129" s="55" t="str">
        <f>'Công trình'!X291</f>
        <v>HCM_2016_QD_3384_XD</v>
      </c>
      <c r="M129" s="166"/>
      <c r="N129" s="166"/>
      <c r="O129" s="156">
        <f>ROUND(I129*N126,2)</f>
        <v>0</v>
      </c>
      <c r="P129" s="156">
        <f>ROUND(I129*M126,2)</f>
        <v>919256.64</v>
      </c>
    </row>
    <row r="130" spans="1:16" x14ac:dyDescent="0.25">
      <c r="A130" s="168">
        <v>5</v>
      </c>
      <c r="B130" s="84" t="s">
        <v>221</v>
      </c>
      <c r="C130" s="34">
        <v>550</v>
      </c>
      <c r="D130" s="144" t="s">
        <v>776</v>
      </c>
      <c r="E130" s="144" t="s">
        <v>939</v>
      </c>
      <c r="F130" s="144" t="s">
        <v>939</v>
      </c>
      <c r="G130" s="168" t="s">
        <v>450</v>
      </c>
      <c r="H130" s="34"/>
      <c r="I130" s="60">
        <f>SUM(I131:I182)</f>
        <v>6739.6307000000006</v>
      </c>
      <c r="J130" s="166">
        <v>230481</v>
      </c>
      <c r="K130" s="166">
        <f>ROUND(I130*J130,0)</f>
        <v>1553356823</v>
      </c>
      <c r="L130" s="69">
        <v>1</v>
      </c>
      <c r="M130" s="166">
        <v>230481</v>
      </c>
      <c r="N130" s="166">
        <f>M130-J130</f>
        <v>0</v>
      </c>
      <c r="O130" s="166">
        <f>ROUND(I130*N130,0)</f>
        <v>0</v>
      </c>
      <c r="P130" s="166">
        <f>ROUND(I130*M130,0)</f>
        <v>1553356823</v>
      </c>
    </row>
    <row r="131" spans="1:16" ht="30" hidden="1" x14ac:dyDescent="0.25">
      <c r="A131" s="168"/>
      <c r="B131" s="133" t="str">
        <f>'Công trình'!B15</f>
        <v>AF.82511</v>
      </c>
      <c r="C131" s="34"/>
      <c r="D131" s="133" t="str">
        <f>'Công trình'!C15</f>
        <v>Sản xuất, lắp dựng, tháo dỡ ván khuôn thép, ván khuôn móng</v>
      </c>
      <c r="E131" s="144"/>
      <c r="F131" s="144"/>
      <c r="G131" s="168"/>
      <c r="H131" s="20">
        <v>1</v>
      </c>
      <c r="I131" s="45">
        <f>'Hao phí vật tư'!K107</f>
        <v>5.2919999999999998</v>
      </c>
      <c r="J131" s="166"/>
      <c r="K131" s="156">
        <f>ROUND(I131*J130,2)</f>
        <v>1219705.45</v>
      </c>
      <c r="L131" s="55" t="str">
        <f>'Công trình'!X15</f>
        <v>HCM_2016_QD_3384_XD</v>
      </c>
      <c r="M131" s="166"/>
      <c r="N131" s="166"/>
      <c r="O131" s="156">
        <f>ROUND(I131*N130,2)</f>
        <v>0</v>
      </c>
      <c r="P131" s="156">
        <f>ROUND(I131*M130,2)</f>
        <v>1219705.45</v>
      </c>
    </row>
    <row r="132" spans="1:16" ht="30" hidden="1" x14ac:dyDescent="0.25">
      <c r="A132" s="168"/>
      <c r="B132" s="133" t="str">
        <f>'Công trình'!B16</f>
        <v>AF.82111</v>
      </c>
      <c r="C132" s="34"/>
      <c r="D132" s="133" t="str">
        <f>'Công trình'!C16</f>
        <v>Sản xuất, lắp dựng tháo dỡ ván khuôn thép tường, chiều cao &lt;=16m</v>
      </c>
      <c r="E132" s="144"/>
      <c r="F132" s="144"/>
      <c r="G132" s="168"/>
      <c r="H132" s="20">
        <v>1</v>
      </c>
      <c r="I132" s="45">
        <f>'Hao phí vật tư'!K116</f>
        <v>137.01179999999999</v>
      </c>
      <c r="J132" s="166"/>
      <c r="K132" s="156">
        <f>ROUND(I132*J130,2)</f>
        <v>31578616.68</v>
      </c>
      <c r="L132" s="55" t="str">
        <f>'Công trình'!X16</f>
        <v>HCM_2016_QD_3384_XD</v>
      </c>
      <c r="M132" s="166"/>
      <c r="N132" s="166"/>
      <c r="O132" s="156">
        <f>ROUND(I132*N130,2)</f>
        <v>0</v>
      </c>
      <c r="P132" s="156">
        <f>ROUND(I132*M130,2)</f>
        <v>31578616.68</v>
      </c>
    </row>
    <row r="133" spans="1:16" ht="30" hidden="1" x14ac:dyDescent="0.25">
      <c r="A133" s="168"/>
      <c r="B133" s="133" t="str">
        <f>'Công trình'!B19</f>
        <v>AF.82111</v>
      </c>
      <c r="C133" s="34"/>
      <c r="D133" s="133" t="str">
        <f>'Công trình'!C19</f>
        <v>Sản xuất, lắp dựng tháo dỡ ván khuôn thép dầm, giằng, chiều cao &lt;=16m</v>
      </c>
      <c r="E133" s="144"/>
      <c r="F133" s="144"/>
      <c r="G133" s="168"/>
      <c r="H133" s="20">
        <v>1</v>
      </c>
      <c r="I133" s="45">
        <f>'Hao phí vật tư'!K142</f>
        <v>124.75830000000001</v>
      </c>
      <c r="J133" s="166"/>
      <c r="K133" s="156">
        <f>ROUND(I133*J130,2)</f>
        <v>28754417.739999998</v>
      </c>
      <c r="L133" s="55" t="str">
        <f>'Công trình'!X19</f>
        <v>HCM_2016_QD_3384_XD</v>
      </c>
      <c r="M133" s="166"/>
      <c r="N133" s="166"/>
      <c r="O133" s="156">
        <f>ROUND(I133*N130,2)</f>
        <v>0</v>
      </c>
      <c r="P133" s="156">
        <f>ROUND(I133*M130,2)</f>
        <v>28754417.739999998</v>
      </c>
    </row>
    <row r="134" spans="1:16" ht="30" hidden="1" x14ac:dyDescent="0.25">
      <c r="A134" s="168"/>
      <c r="B134" s="133" t="str">
        <f>'Công trình'!B31</f>
        <v>AF.82111</v>
      </c>
      <c r="C134" s="34"/>
      <c r="D134" s="133" t="str">
        <f>'Công trình'!C31</f>
        <v>Sản xuất, lắp dựng tháo dỡ ván khuôn thép tường, chiều cao &lt;=16m</v>
      </c>
      <c r="E134" s="144"/>
      <c r="F134" s="144"/>
      <c r="G134" s="168"/>
      <c r="H134" s="20">
        <v>1</v>
      </c>
      <c r="I134" s="45">
        <f>'Hao phí vật tư'!K222</f>
        <v>44.5426</v>
      </c>
      <c r="J134" s="166"/>
      <c r="K134" s="156">
        <f>ROUND(I134*J130,2)</f>
        <v>10266222.99</v>
      </c>
      <c r="L134" s="55" t="str">
        <f>'Công trình'!X31</f>
        <v>HCM_2016_QD_3384_XD</v>
      </c>
      <c r="M134" s="166"/>
      <c r="N134" s="166"/>
      <c r="O134" s="156">
        <f>ROUND(I134*N130,2)</f>
        <v>0</v>
      </c>
      <c r="P134" s="156">
        <f>ROUND(I134*M130,2)</f>
        <v>10266222.99</v>
      </c>
    </row>
    <row r="135" spans="1:16" ht="30" hidden="1" x14ac:dyDescent="0.25">
      <c r="A135" s="168"/>
      <c r="B135" s="133" t="str">
        <f>'Công trình'!B59</f>
        <v>AF.82111</v>
      </c>
      <c r="C135" s="34"/>
      <c r="D135" s="133" t="str">
        <f>'Công trình'!C59</f>
        <v>Sản xuất, lắp dựng tháo dỡ ván khuôn thép dầm, giằng, chiều cao &lt;=16m</v>
      </c>
      <c r="E135" s="144"/>
      <c r="F135" s="144"/>
      <c r="G135" s="168"/>
      <c r="H135" s="20">
        <v>1</v>
      </c>
      <c r="I135" s="45">
        <f>'Hao phí vật tư'!K448</f>
        <v>88.250699999999995</v>
      </c>
      <c r="J135" s="166"/>
      <c r="K135" s="156">
        <f>ROUND(I135*J130,2)</f>
        <v>20340109.59</v>
      </c>
      <c r="L135" s="55" t="str">
        <f>'Công trình'!X59</f>
        <v>HCM_2016_QD_3384_XD</v>
      </c>
      <c r="M135" s="166"/>
      <c r="N135" s="166"/>
      <c r="O135" s="156">
        <f>ROUND(I135*N130,2)</f>
        <v>0</v>
      </c>
      <c r="P135" s="156">
        <f>ROUND(I135*M130,2)</f>
        <v>20340109.59</v>
      </c>
    </row>
    <row r="136" spans="1:16" ht="30" hidden="1" x14ac:dyDescent="0.25">
      <c r="A136" s="168"/>
      <c r="B136" s="133" t="str">
        <f>'Công trình'!B58</f>
        <v>AK.41124</v>
      </c>
      <c r="C136" s="34"/>
      <c r="D136" s="133" t="str">
        <f>'Công trình'!C58</f>
        <v>Vữa lót M75 dày 3cm</v>
      </c>
      <c r="E136" s="144"/>
      <c r="F136" s="144"/>
      <c r="G136" s="168"/>
      <c r="H136" s="20">
        <v>1</v>
      </c>
      <c r="I136" s="45">
        <f>'Hao phí vật tư'!K437</f>
        <v>9.2401</v>
      </c>
      <c r="J136" s="166"/>
      <c r="K136" s="156">
        <f>ROUND(I136*J130,2)</f>
        <v>2129667.4900000002</v>
      </c>
      <c r="L136" s="55" t="str">
        <f>'Công trình'!X58</f>
        <v>HCM_2016_QD_3384_XD</v>
      </c>
      <c r="M136" s="166"/>
      <c r="N136" s="166"/>
      <c r="O136" s="156">
        <f>ROUND(I136*N130,2)</f>
        <v>0</v>
      </c>
      <c r="P136" s="156">
        <f>ROUND(I136*M130,2)</f>
        <v>2129667.4900000002</v>
      </c>
    </row>
    <row r="137" spans="1:16" ht="30" hidden="1" x14ac:dyDescent="0.25">
      <c r="A137" s="168"/>
      <c r="B137" s="133" t="str">
        <f>'Công trình'!B64</f>
        <v>AK.41124</v>
      </c>
      <c r="C137" s="34"/>
      <c r="D137" s="133" t="str">
        <f>'Công trình'!C64</f>
        <v>Vữa lót M75 dày 3cm</v>
      </c>
      <c r="E137" s="144"/>
      <c r="F137" s="144"/>
      <c r="G137" s="168"/>
      <c r="H137" s="20">
        <v>1</v>
      </c>
      <c r="I137" s="45">
        <f>'Hao phí vật tư'!K492</f>
        <v>143.98330000000001</v>
      </c>
      <c r="J137" s="166"/>
      <c r="K137" s="156">
        <f>ROUND(I137*J130,2)</f>
        <v>33185414.969999999</v>
      </c>
      <c r="L137" s="55" t="str">
        <f>'Công trình'!X64</f>
        <v>HCM_2016_QD_3384_XD</v>
      </c>
      <c r="M137" s="166"/>
      <c r="N137" s="166"/>
      <c r="O137" s="156">
        <f>ROUND(I137*N130,2)</f>
        <v>0</v>
      </c>
      <c r="P137" s="156">
        <f>ROUND(I137*M130,2)</f>
        <v>33185414.969999999</v>
      </c>
    </row>
    <row r="138" spans="1:16" ht="30" hidden="1" x14ac:dyDescent="0.25">
      <c r="A138" s="168"/>
      <c r="B138" s="133" t="str">
        <f>'Công trình'!B109</f>
        <v>AI.11912</v>
      </c>
      <c r="C138" s="34"/>
      <c r="D138" s="133" t="str">
        <f>'Công trình'!C109</f>
        <v>Sản xuất hệ sàn đạo, sàn thao tác</v>
      </c>
      <c r="E138" s="144"/>
      <c r="F138" s="144"/>
      <c r="G138" s="168"/>
      <c r="H138" s="20">
        <v>1</v>
      </c>
      <c r="I138" s="45">
        <f>'Hao phí vật tư'!K872</f>
        <v>57.117400000000004</v>
      </c>
      <c r="J138" s="166"/>
      <c r="K138" s="156">
        <f>ROUND(I138*J130,2)</f>
        <v>13164475.470000001</v>
      </c>
      <c r="L138" s="55" t="str">
        <f>'Công trình'!X109</f>
        <v>HCM_2016_QD_3384_XD</v>
      </c>
      <c r="M138" s="166"/>
      <c r="N138" s="166"/>
      <c r="O138" s="156">
        <f>ROUND(I138*N130,2)</f>
        <v>0</v>
      </c>
      <c r="P138" s="156">
        <f>ROUND(I138*M130,2)</f>
        <v>13164475.470000001</v>
      </c>
    </row>
    <row r="139" spans="1:16" ht="30" hidden="1" x14ac:dyDescent="0.25">
      <c r="A139" s="168"/>
      <c r="B139" s="133" t="str">
        <f>'Công trình'!B104</f>
        <v>AI.11131</v>
      </c>
      <c r="C139" s="34"/>
      <c r="D139" s="133" t="str">
        <f>'Công trình'!C104</f>
        <v>Sản xuất cọc dẫn bằng thép hình</v>
      </c>
      <c r="E139" s="144"/>
      <c r="F139" s="144"/>
      <c r="G139" s="168"/>
      <c r="H139" s="20">
        <v>1</v>
      </c>
      <c r="I139" s="45">
        <f>'Hao phí vật tư'!K836</f>
        <v>21.252500000000001</v>
      </c>
      <c r="J139" s="166"/>
      <c r="K139" s="156">
        <f>ROUND(I139*J130,2)</f>
        <v>4898297.45</v>
      </c>
      <c r="L139" s="55" t="str">
        <f>'Công trình'!X104</f>
        <v>HCM_2016_QD_3384_XD</v>
      </c>
      <c r="M139" s="166"/>
      <c r="N139" s="166"/>
      <c r="O139" s="156">
        <f>ROUND(I139*N130,2)</f>
        <v>0</v>
      </c>
      <c r="P139" s="156">
        <f>ROUND(I139*M130,2)</f>
        <v>4898297.45</v>
      </c>
    </row>
    <row r="140" spans="1:16" ht="30" hidden="1" x14ac:dyDescent="0.25">
      <c r="A140" s="168"/>
      <c r="B140" s="133" t="str">
        <f>'Công trình'!B120</f>
        <v>AI.11912</v>
      </c>
      <c r="C140" s="34"/>
      <c r="D140" s="133" t="str">
        <f>'Công trình'!C120</f>
        <v>Sản xuất hệ sàn đạo, sàn thao tác</v>
      </c>
      <c r="E140" s="144"/>
      <c r="F140" s="144"/>
      <c r="G140" s="168"/>
      <c r="H140" s="20">
        <v>1</v>
      </c>
      <c r="I140" s="45">
        <f>'Hao phí vật tư'!K944</f>
        <v>117.6964</v>
      </c>
      <c r="J140" s="166"/>
      <c r="K140" s="156">
        <f>ROUND(I140*J130,2)</f>
        <v>27126783.969999999</v>
      </c>
      <c r="L140" s="55" t="str">
        <f>'Công trình'!X120</f>
        <v>HCM_2016_QD_3384_XD</v>
      </c>
      <c r="M140" s="166"/>
      <c r="N140" s="166"/>
      <c r="O140" s="156">
        <f>ROUND(I140*N130,2)</f>
        <v>0</v>
      </c>
      <c r="P140" s="156">
        <f>ROUND(I140*M130,2)</f>
        <v>27126783.969999999</v>
      </c>
    </row>
    <row r="141" spans="1:16" ht="30" hidden="1" x14ac:dyDescent="0.25">
      <c r="A141" s="168"/>
      <c r="B141" s="133" t="str">
        <f>'Công trình'!B112</f>
        <v>AI.63311</v>
      </c>
      <c r="C141" s="34"/>
      <c r="D141" s="133" t="str">
        <f>'Công trình'!C112</f>
        <v>Lắp dựng kết cấu thép hệ khung dàn, sàn đạo trên cạn</v>
      </c>
      <c r="E141" s="144"/>
      <c r="F141" s="144"/>
      <c r="G141" s="168"/>
      <c r="H141" s="20">
        <v>1</v>
      </c>
      <c r="I141" s="45">
        <f>'Hao phí vật tư'!K892</f>
        <v>119.9945</v>
      </c>
      <c r="J141" s="166"/>
      <c r="K141" s="156">
        <f>ROUND(I141*J130,2)</f>
        <v>27656452.350000001</v>
      </c>
      <c r="L141" s="55" t="str">
        <f>'Công trình'!X112</f>
        <v>HCM_2016_QD_3384_XD</v>
      </c>
      <c r="M141" s="166"/>
      <c r="N141" s="166"/>
      <c r="O141" s="156">
        <f>ROUND(I141*N130,2)</f>
        <v>0</v>
      </c>
      <c r="P141" s="156">
        <f>ROUND(I141*M130,2)</f>
        <v>27656452.350000001</v>
      </c>
    </row>
    <row r="142" spans="1:16" ht="30" hidden="1" x14ac:dyDescent="0.25">
      <c r="A142" s="168"/>
      <c r="B142" s="133" t="str">
        <f>'Công trình'!B113</f>
        <v>AI.63311</v>
      </c>
      <c r="C142" s="34"/>
      <c r="D142" s="133" t="str">
        <f>'Công trình'!C113</f>
        <v>Tháo dỡ kết cấu thép hệ khung dàn, sàn đạo trên cạn (60% Đg)</v>
      </c>
      <c r="E142" s="144"/>
      <c r="F142" s="144"/>
      <c r="G142" s="168"/>
      <c r="H142" s="20">
        <v>1</v>
      </c>
      <c r="I142" s="45">
        <f>'Hao phí vật tư'!K903</f>
        <v>71.996700000000004</v>
      </c>
      <c r="J142" s="166"/>
      <c r="K142" s="156">
        <f>ROUND(I142*J130,2)</f>
        <v>16593871.41</v>
      </c>
      <c r="L142" s="55" t="str">
        <f>'Công trình'!X113</f>
        <v>HCM_2016_QD_3384_XD</v>
      </c>
      <c r="M142" s="166"/>
      <c r="N142" s="166"/>
      <c r="O142" s="156">
        <f>ROUND(I142*N130,2)</f>
        <v>0</v>
      </c>
      <c r="P142" s="156">
        <f>ROUND(I142*M130,2)</f>
        <v>16593871.41</v>
      </c>
    </row>
    <row r="143" spans="1:16" ht="30" hidden="1" x14ac:dyDescent="0.25">
      <c r="A143" s="168"/>
      <c r="B143" s="133" t="str">
        <f>'Công trình'!B123</f>
        <v>AI.63311</v>
      </c>
      <c r="C143" s="34"/>
      <c r="D143" s="133" t="str">
        <f>'Công trình'!C123</f>
        <v>Lắp dựng kết cấu thép hệ khung dàn, sàn đạo trên cạn</v>
      </c>
      <c r="E143" s="144"/>
      <c r="F143" s="144"/>
      <c r="G143" s="168"/>
      <c r="H143" s="20">
        <v>1</v>
      </c>
      <c r="I143" s="45">
        <f>'Hao phí vật tư'!K964</f>
        <v>49.452300000000001</v>
      </c>
      <c r="J143" s="166"/>
      <c r="K143" s="156">
        <f>ROUND(I143*J130,2)</f>
        <v>11397815.560000001</v>
      </c>
      <c r="L143" s="55" t="str">
        <f>'Công trình'!X123</f>
        <v>HCM_2016_QD_3384_XD</v>
      </c>
      <c r="M143" s="166"/>
      <c r="N143" s="166"/>
      <c r="O143" s="156">
        <f>ROUND(I143*N130,2)</f>
        <v>0</v>
      </c>
      <c r="P143" s="156">
        <f>ROUND(I143*M130,2)</f>
        <v>11397815.560000001</v>
      </c>
    </row>
    <row r="144" spans="1:16" ht="30" hidden="1" x14ac:dyDescent="0.25">
      <c r="A144" s="168"/>
      <c r="B144" s="133" t="str">
        <f>'Công trình'!B124</f>
        <v>AI.63311</v>
      </c>
      <c r="C144" s="34"/>
      <c r="D144" s="133" t="str">
        <f>'Công trình'!C124</f>
        <v>Tháo dỡ kết cấu thép hệ khung dàn, sàn đạo trên cạn (60% Đg)</v>
      </c>
      <c r="E144" s="144"/>
      <c r="F144" s="144"/>
      <c r="G144" s="168"/>
      <c r="H144" s="20">
        <v>1</v>
      </c>
      <c r="I144" s="45">
        <f>'Hao phí vật tư'!K975</f>
        <v>29.671399999999998</v>
      </c>
      <c r="J144" s="166"/>
      <c r="K144" s="156">
        <f>ROUND(I144*J130,2)</f>
        <v>6838693.9400000004</v>
      </c>
      <c r="L144" s="55" t="str">
        <f>'Công trình'!X124</f>
        <v>HCM_2016_QD_3384_XD</v>
      </c>
      <c r="M144" s="166"/>
      <c r="N144" s="166"/>
      <c r="O144" s="156">
        <f>ROUND(I144*N130,2)</f>
        <v>0</v>
      </c>
      <c r="P144" s="156">
        <f>ROUND(I144*M130,2)</f>
        <v>6838693.9400000004</v>
      </c>
    </row>
    <row r="145" spans="1:16" ht="30" hidden="1" x14ac:dyDescent="0.25">
      <c r="A145" s="168"/>
      <c r="B145" s="133" t="str">
        <f>'Công trình'!B136</f>
        <v>AI.11912</v>
      </c>
      <c r="C145" s="34"/>
      <c r="D145" s="133" t="str">
        <f>'Công trình'!C136</f>
        <v>Sản xuất hệ sàn đạo, sàn thao tác</v>
      </c>
      <c r="E145" s="144"/>
      <c r="F145" s="144"/>
      <c r="G145" s="168"/>
      <c r="H145" s="20">
        <v>1</v>
      </c>
      <c r="I145" s="45">
        <f>'Hao phí vật tư'!K1045</f>
        <v>1863.6609000000001</v>
      </c>
      <c r="J145" s="166"/>
      <c r="K145" s="156">
        <f>ROUND(I145*J130,2)</f>
        <v>429538427.88999999</v>
      </c>
      <c r="L145" s="55" t="str">
        <f>'Công trình'!X136</f>
        <v>HCM_2016_QD_3384_XD</v>
      </c>
      <c r="M145" s="166"/>
      <c r="N145" s="166"/>
      <c r="O145" s="156">
        <f>ROUND(I145*N130,2)</f>
        <v>0</v>
      </c>
      <c r="P145" s="156">
        <f>ROUND(I145*M130,2)</f>
        <v>429538427.88999999</v>
      </c>
    </row>
    <row r="146" spans="1:16" ht="30" hidden="1" x14ac:dyDescent="0.25">
      <c r="A146" s="168"/>
      <c r="B146" s="133" t="str">
        <f>'Công trình'!B139</f>
        <v>AI.63311</v>
      </c>
      <c r="C146" s="34"/>
      <c r="D146" s="133" t="str">
        <f>'Công trình'!C139</f>
        <v>Lắp dựng kết cấu thép hệ khung dàn, sàn đạo trên cạn</v>
      </c>
      <c r="E146" s="144"/>
      <c r="F146" s="144"/>
      <c r="G146" s="168"/>
      <c r="H146" s="20">
        <v>1</v>
      </c>
      <c r="I146" s="45">
        <f>'Hao phí vật tư'!K1065</f>
        <v>783.05079999999998</v>
      </c>
      <c r="J146" s="166"/>
      <c r="K146" s="156">
        <f>ROUND(I146*J130,2)</f>
        <v>180478331.43000001</v>
      </c>
      <c r="L146" s="55" t="str">
        <f>'Công trình'!X139</f>
        <v>HCM_2016_QD_3384_XD</v>
      </c>
      <c r="M146" s="166"/>
      <c r="N146" s="166"/>
      <c r="O146" s="156">
        <f>ROUND(I146*N130,2)</f>
        <v>0</v>
      </c>
      <c r="P146" s="156">
        <f>ROUND(I146*M130,2)</f>
        <v>180478331.43000001</v>
      </c>
    </row>
    <row r="147" spans="1:16" ht="30" hidden="1" x14ac:dyDescent="0.25">
      <c r="A147" s="168"/>
      <c r="B147" s="133" t="str">
        <f>'Công trình'!B140</f>
        <v>AI.63311</v>
      </c>
      <c r="C147" s="34"/>
      <c r="D147" s="133" t="str">
        <f>'Công trình'!C140</f>
        <v>Tháo dỡ kết cấu thép hệ khung dàn, sàn đạo trên cạn (60% Đg)</v>
      </c>
      <c r="E147" s="144"/>
      <c r="F147" s="144"/>
      <c r="G147" s="168"/>
      <c r="H147" s="20">
        <v>1</v>
      </c>
      <c r="I147" s="45">
        <f>'Hao phí vật tư'!K1076</f>
        <v>469.83049999999997</v>
      </c>
      <c r="J147" s="166"/>
      <c r="K147" s="156">
        <f>ROUND(I147*J130,2)</f>
        <v>108287003.47</v>
      </c>
      <c r="L147" s="55" t="str">
        <f>'Công trình'!X140</f>
        <v>HCM_2016_QD_3384_XD</v>
      </c>
      <c r="M147" s="166"/>
      <c r="N147" s="166"/>
      <c r="O147" s="156">
        <f>ROUND(I147*N130,2)</f>
        <v>0</v>
      </c>
      <c r="P147" s="156">
        <f>ROUND(I147*M130,2)</f>
        <v>108287003.47</v>
      </c>
    </row>
    <row r="148" spans="1:16" ht="45" hidden="1" x14ac:dyDescent="0.25">
      <c r="A148" s="168"/>
      <c r="B148" s="133" t="str">
        <f>'Công trình'!B153</f>
        <v>AB.81144</v>
      </c>
      <c r="C148" s="34"/>
      <c r="D148" s="133" t="str">
        <f>'Công trình'!C153</f>
        <v>Nạo vét đất pha cát từ 15-20%, đất bùn lỏng ở kênh mương bằng máy đào gầu dây 0,65m3, chiều cao đổ đất &gt;3</v>
      </c>
      <c r="E148" s="144"/>
      <c r="F148" s="144"/>
      <c r="G148" s="168"/>
      <c r="H148" s="20">
        <v>1</v>
      </c>
      <c r="I148" s="45">
        <f>'Hao phí vật tư'!K1160</f>
        <v>86.426900000000003</v>
      </c>
      <c r="J148" s="166"/>
      <c r="K148" s="156">
        <f>ROUND(I148*J130,2)</f>
        <v>19919758.34</v>
      </c>
      <c r="L148" s="55" t="str">
        <f>'Công trình'!X153</f>
        <v>HCM_2016_QD_3384_XD</v>
      </c>
      <c r="M148" s="166"/>
      <c r="N148" s="166"/>
      <c r="O148" s="156">
        <f>ROUND(I148*N130,2)</f>
        <v>0</v>
      </c>
      <c r="P148" s="156">
        <f>ROUND(I148*M130,2)</f>
        <v>19919758.34</v>
      </c>
    </row>
    <row r="149" spans="1:16" ht="30" hidden="1" x14ac:dyDescent="0.25">
      <c r="A149" s="168"/>
      <c r="B149" s="133" t="str">
        <f>'Công trình'!B155</f>
        <v>AB.65120</v>
      </c>
      <c r="C149" s="34"/>
      <c r="D149" s="133" t="str">
        <f>'Công trình'!C155</f>
        <v>Đắp đất công trình bằng đầm cóc, độ chặt K=0,90</v>
      </c>
      <c r="E149" s="144"/>
      <c r="F149" s="144"/>
      <c r="G149" s="168"/>
      <c r="H149" s="20">
        <v>1</v>
      </c>
      <c r="I149" s="45">
        <f>'Hao phí vật tư'!K1182</f>
        <v>133.30369999999999</v>
      </c>
      <c r="J149" s="166"/>
      <c r="K149" s="156">
        <f>ROUND(I149*J130,2)</f>
        <v>30723970.079999998</v>
      </c>
      <c r="L149" s="55" t="str">
        <f>'Công trình'!X155</f>
        <v>HCM_2016_QD_3384_XD</v>
      </c>
      <c r="M149" s="166"/>
      <c r="N149" s="166"/>
      <c r="O149" s="156">
        <f>ROUND(I149*N130,2)</f>
        <v>0</v>
      </c>
      <c r="P149" s="156">
        <f>ROUND(I149*M130,2)</f>
        <v>30723970.079999998</v>
      </c>
    </row>
    <row r="150" spans="1:16" ht="30" hidden="1" x14ac:dyDescent="0.25">
      <c r="A150" s="168"/>
      <c r="B150" s="133" t="str">
        <f>'Công trình'!B160</f>
        <v>AI.63311</v>
      </c>
      <c r="C150" s="34"/>
      <c r="D150" s="133" t="str">
        <f>'Công trình'!C160</f>
        <v>Lắp dựng kết cấu thép hệ khung dàn, sàn đạo trên cạn</v>
      </c>
      <c r="E150" s="144"/>
      <c r="F150" s="144"/>
      <c r="G150" s="168"/>
      <c r="H150" s="20">
        <v>1</v>
      </c>
      <c r="I150" s="45">
        <f>'Hao phí vật tư'!K1214</f>
        <v>381.75659999999999</v>
      </c>
      <c r="J150" s="166"/>
      <c r="K150" s="156">
        <f>ROUND(I150*J130,2)</f>
        <v>87987642.920000002</v>
      </c>
      <c r="L150" s="55" t="str">
        <f>'Công trình'!X160</f>
        <v>HCM_2016_QD_3384_XD</v>
      </c>
      <c r="M150" s="166"/>
      <c r="N150" s="166"/>
      <c r="O150" s="156">
        <f>ROUND(I150*N130,2)</f>
        <v>0</v>
      </c>
      <c r="P150" s="156">
        <f>ROUND(I150*M130,2)</f>
        <v>87987642.920000002</v>
      </c>
    </row>
    <row r="151" spans="1:16" ht="30" hidden="1" x14ac:dyDescent="0.25">
      <c r="A151" s="168"/>
      <c r="B151" s="133" t="str">
        <f>'Công trình'!B161</f>
        <v>AI.63311</v>
      </c>
      <c r="C151" s="34"/>
      <c r="D151" s="133" t="str">
        <f>'Công trình'!C161</f>
        <v>Tháo dỡ kết cấu thép hệ khung dàn, sàn đạo trên cạn (60% Đg)</v>
      </c>
      <c r="E151" s="144"/>
      <c r="F151" s="144"/>
      <c r="G151" s="168"/>
      <c r="H151" s="20">
        <v>1</v>
      </c>
      <c r="I151" s="45">
        <f>'Hao phí vật tư'!K1225</f>
        <v>229.0539</v>
      </c>
      <c r="J151" s="166"/>
      <c r="K151" s="156">
        <f>ROUND(I151*J130,2)</f>
        <v>52792571.93</v>
      </c>
      <c r="L151" s="55" t="str">
        <f>'Công trình'!X161</f>
        <v>HCM_2016_QD_3384_XD</v>
      </c>
      <c r="M151" s="166"/>
      <c r="N151" s="166"/>
      <c r="O151" s="156">
        <f>ROUND(I151*N130,2)</f>
        <v>0</v>
      </c>
      <c r="P151" s="156">
        <f>ROUND(I151*M130,2)</f>
        <v>52792571.93</v>
      </c>
    </row>
    <row r="152" spans="1:16" ht="30" hidden="1" x14ac:dyDescent="0.25">
      <c r="A152" s="168"/>
      <c r="B152" s="133" t="str">
        <f>'Công trình'!B157</f>
        <v>AI.11912</v>
      </c>
      <c r="C152" s="34"/>
      <c r="D152" s="133" t="str">
        <f>'Công trình'!C157</f>
        <v>Sản xuất cầu công tác</v>
      </c>
      <c r="E152" s="144"/>
      <c r="F152" s="144"/>
      <c r="G152" s="168"/>
      <c r="H152" s="20">
        <v>1</v>
      </c>
      <c r="I152" s="45">
        <f>'Hao phí vật tư'!K1194</f>
        <v>908.5806</v>
      </c>
      <c r="J152" s="166"/>
      <c r="K152" s="156">
        <f>ROUND(I152*J130,2)</f>
        <v>209410565.27000001</v>
      </c>
      <c r="L152" s="55" t="str">
        <f>'Công trình'!X157</f>
        <v>HCM_2016_QD_3384_XD</v>
      </c>
      <c r="M152" s="166"/>
      <c r="N152" s="166"/>
      <c r="O152" s="156">
        <f>ROUND(I152*N130,2)</f>
        <v>0</v>
      </c>
      <c r="P152" s="156">
        <f>ROUND(I152*M130,2)</f>
        <v>209410565.27000001</v>
      </c>
    </row>
    <row r="153" spans="1:16" ht="30" hidden="1" x14ac:dyDescent="0.25">
      <c r="A153" s="168"/>
      <c r="B153" s="133" t="str">
        <f>'Công trình'!B168</f>
        <v>AG.32211</v>
      </c>
      <c r="C153" s="34"/>
      <c r="D153" s="133" t="str">
        <f>'Công trình'!C168</f>
        <v>Sản xuất, lắp dựng tháo dỡ ván khuôn kim loại các loại cấu kiện khác</v>
      </c>
      <c r="E153" s="144"/>
      <c r="F153" s="144"/>
      <c r="G153" s="168"/>
      <c r="H153" s="20">
        <v>1</v>
      </c>
      <c r="I153" s="45">
        <f>'Hao phí vật tư'!K1275</f>
        <v>10.074299999999999</v>
      </c>
      <c r="J153" s="166"/>
      <c r="K153" s="156">
        <f>ROUND(I153*J130,2)</f>
        <v>2321934.7400000002</v>
      </c>
      <c r="L153" s="55" t="str">
        <f>'Công trình'!X168</f>
        <v>HCM_2016_QD_3384_XD</v>
      </c>
      <c r="M153" s="166"/>
      <c r="N153" s="166"/>
      <c r="O153" s="156">
        <f>ROUND(I153*N130,2)</f>
        <v>0</v>
      </c>
      <c r="P153" s="156">
        <f>ROUND(I153*M130,2)</f>
        <v>2321934.7400000002</v>
      </c>
    </row>
    <row r="154" spans="1:16" ht="30" hidden="1" x14ac:dyDescent="0.25">
      <c r="A154" s="168"/>
      <c r="B154" s="133" t="str">
        <f>'Công trình'!B174</f>
        <v>AF.14115</v>
      </c>
      <c r="C154" s="34"/>
      <c r="D154" s="133" t="str">
        <f>'Công trình'!C174</f>
        <v>Bê tông móng, mố trụ cầu trên cạn đá 1x2, vữa BT mác 300</v>
      </c>
      <c r="E154" s="144"/>
      <c r="F154" s="144"/>
      <c r="G154" s="168"/>
      <c r="H154" s="20">
        <v>1</v>
      </c>
      <c r="I154" s="45">
        <f>'Hao phí vật tư'!K1304</f>
        <v>286.54770000000002</v>
      </c>
      <c r="J154" s="166"/>
      <c r="K154" s="156">
        <f>ROUND(I154*J130,2)</f>
        <v>66043800.439999998</v>
      </c>
      <c r="L154" s="55" t="str">
        <f>'Công trình'!X174</f>
        <v>HCM_2016_QD_3384_XD</v>
      </c>
      <c r="M154" s="166"/>
      <c r="N154" s="166"/>
      <c r="O154" s="156">
        <f>ROUND(I154*N130,2)</f>
        <v>0</v>
      </c>
      <c r="P154" s="156">
        <f>ROUND(I154*M130,2)</f>
        <v>66043800.439999998</v>
      </c>
    </row>
    <row r="155" spans="1:16" ht="30" hidden="1" x14ac:dyDescent="0.25">
      <c r="A155" s="168"/>
      <c r="B155" s="133" t="str">
        <f>'Công trình'!B176</f>
        <v>AK.41125</v>
      </c>
      <c r="C155" s="34"/>
      <c r="D155" s="133" t="str">
        <f>'Công trình'!C176</f>
        <v>Vữa xi măng M100 độ dốc 10%</v>
      </c>
      <c r="E155" s="144"/>
      <c r="F155" s="144"/>
      <c r="G155" s="168"/>
      <c r="H155" s="20">
        <v>1</v>
      </c>
      <c r="I155" s="45">
        <f>'Hao phí vật tư'!K1331</f>
        <v>0.49859999999999999</v>
      </c>
      <c r="J155" s="166"/>
      <c r="K155" s="156">
        <f>ROUND(I155*J130,2)</f>
        <v>114917.83</v>
      </c>
      <c r="L155" s="55" t="str">
        <f>'Công trình'!X176</f>
        <v>HCM_2016_QD_3384_XD</v>
      </c>
      <c r="M155" s="166"/>
      <c r="N155" s="166"/>
      <c r="O155" s="156">
        <f>ROUND(I155*N130,2)</f>
        <v>0</v>
      </c>
      <c r="P155" s="156">
        <f>ROUND(I155*M130,2)</f>
        <v>114917.83</v>
      </c>
    </row>
    <row r="156" spans="1:16" ht="30" hidden="1" x14ac:dyDescent="0.25">
      <c r="A156" s="168"/>
      <c r="B156" s="133" t="str">
        <f>'Công trình'!B181</f>
        <v>AF.65120</v>
      </c>
      <c r="C156" s="34"/>
      <c r="D156" s="133" t="str">
        <f>'Công trình'!C181</f>
        <v>Sản xuất, lắp dựng cốt thép móng, mố, trụ, mũ mố, mũ trụ cầu trên cạn đường kính &lt;=18mm</v>
      </c>
      <c r="E156" s="144"/>
      <c r="F156" s="144"/>
      <c r="G156" s="168"/>
      <c r="H156" s="20">
        <v>1</v>
      </c>
      <c r="I156" s="45">
        <f>'Hao phí vật tư'!K1379</f>
        <v>50.173299999999998</v>
      </c>
      <c r="J156" s="166"/>
      <c r="K156" s="156">
        <f>ROUND(I156*J130,2)</f>
        <v>11563992.359999999</v>
      </c>
      <c r="L156" s="55" t="str">
        <f>'Công trình'!X181</f>
        <v>HCM_2016_QD_3384_XD</v>
      </c>
      <c r="M156" s="166"/>
      <c r="N156" s="166"/>
      <c r="O156" s="156">
        <f>ROUND(I156*N130,2)</f>
        <v>0</v>
      </c>
      <c r="P156" s="156">
        <f>ROUND(I156*M130,2)</f>
        <v>11563992.359999999</v>
      </c>
    </row>
    <row r="157" spans="1:16" ht="30" hidden="1" x14ac:dyDescent="0.25">
      <c r="A157" s="168"/>
      <c r="B157" s="133" t="str">
        <f>'Công trình'!B182</f>
        <v>AF.65130</v>
      </c>
      <c r="C157" s="34"/>
      <c r="D157" s="133" t="str">
        <f>'Công trình'!C182</f>
        <v>Sản xuất, lắp dựng cốt thép móng, mố, trụ, mũ mố, mũ trụ cầu trên cạn đường kính &gt;18mm</v>
      </c>
      <c r="E157" s="144"/>
      <c r="F157" s="144"/>
      <c r="G157" s="168"/>
      <c r="H157" s="20">
        <v>1</v>
      </c>
      <c r="I157" s="45">
        <f>'Hao phí vật tư'!K1390</f>
        <v>46.268599999999999</v>
      </c>
      <c r="J157" s="166"/>
      <c r="K157" s="156">
        <f>ROUND(I157*J130,2)</f>
        <v>10664033.199999999</v>
      </c>
      <c r="L157" s="55" t="str">
        <f>'Công trình'!X182</f>
        <v>HCM_2016_QD_3384_XD</v>
      </c>
      <c r="M157" s="166"/>
      <c r="N157" s="166"/>
      <c r="O157" s="156">
        <f>ROUND(I157*N130,2)</f>
        <v>0</v>
      </c>
      <c r="P157" s="156">
        <f>ROUND(I157*M130,2)</f>
        <v>10664033.199999999</v>
      </c>
    </row>
    <row r="158" spans="1:16" ht="30" hidden="1" x14ac:dyDescent="0.25">
      <c r="A158" s="168"/>
      <c r="B158" s="133" t="str">
        <f>'Công trình'!B186</f>
        <v>AF.14115</v>
      </c>
      <c r="C158" s="34"/>
      <c r="D158" s="133" t="str">
        <f>'Công trình'!C186</f>
        <v>Bê tông móng, mố trụ cầu trên cạn đá 1x2, vữa BT mác 300</v>
      </c>
      <c r="E158" s="144"/>
      <c r="F158" s="144"/>
      <c r="G158" s="168"/>
      <c r="H158" s="20">
        <v>1</v>
      </c>
      <c r="I158" s="45">
        <f>'Hao phí vật tư'!K1421</f>
        <v>10.2432</v>
      </c>
      <c r="J158" s="166"/>
      <c r="K158" s="156">
        <f>ROUND(I158*J130,2)</f>
        <v>2360862.98</v>
      </c>
      <c r="L158" s="55" t="str">
        <f>'Công trình'!X186</f>
        <v>HCM_2016_QD_3384_XD</v>
      </c>
      <c r="M158" s="166"/>
      <c r="N158" s="166"/>
      <c r="O158" s="156">
        <f>ROUND(I158*N130,2)</f>
        <v>0</v>
      </c>
      <c r="P158" s="156">
        <f>ROUND(I158*M130,2)</f>
        <v>2360862.98</v>
      </c>
    </row>
    <row r="159" spans="1:16" ht="30" hidden="1" x14ac:dyDescent="0.25">
      <c r="A159" s="168"/>
      <c r="B159" s="133" t="str">
        <f>'Công trình'!B187</f>
        <v>AK.41125</v>
      </c>
      <c r="C159" s="34"/>
      <c r="D159" s="133" t="str">
        <f>'Công trình'!C187</f>
        <v>Vữa xi măng dày 3cm, vữa XM mác 100</v>
      </c>
      <c r="E159" s="144"/>
      <c r="F159" s="144"/>
      <c r="G159" s="168"/>
      <c r="H159" s="20">
        <v>1</v>
      </c>
      <c r="I159" s="45">
        <f>'Hao phí vật tư'!K1433</f>
        <v>0.1018</v>
      </c>
      <c r="J159" s="166"/>
      <c r="K159" s="156">
        <f>ROUND(I159*J130,2)</f>
        <v>23462.97</v>
      </c>
      <c r="L159" s="55" t="str">
        <f>'Công trình'!X187</f>
        <v>HCM_2016_QD_3384_XD</v>
      </c>
      <c r="M159" s="166"/>
      <c r="N159" s="166"/>
      <c r="O159" s="156">
        <f>ROUND(I159*N130,2)</f>
        <v>0</v>
      </c>
      <c r="P159" s="156">
        <f>ROUND(I159*M130,2)</f>
        <v>23462.97</v>
      </c>
    </row>
    <row r="160" spans="1:16" ht="30" hidden="1" x14ac:dyDescent="0.25">
      <c r="A160" s="168"/>
      <c r="B160" s="133" t="str">
        <f>'Công trình'!B190</f>
        <v>AF.65120</v>
      </c>
      <c r="C160" s="34"/>
      <c r="D160" s="133" t="str">
        <f>'Công trình'!C190</f>
        <v>Sản xuất, lắp dựng cốt thép móng, mố, trụ, mũ mố, mũ trụ cầu trên cạn đường kính &lt;=18mm</v>
      </c>
      <c r="E160" s="144"/>
      <c r="F160" s="144"/>
      <c r="G160" s="168"/>
      <c r="H160" s="20">
        <v>1</v>
      </c>
      <c r="I160" s="45">
        <f>'Hao phí vật tư'!K1463</f>
        <v>5.7991000000000001</v>
      </c>
      <c r="J160" s="166"/>
      <c r="K160" s="156">
        <f>ROUND(I160*J130,2)</f>
        <v>1336582.3700000001</v>
      </c>
      <c r="L160" s="55" t="str">
        <f>'Công trình'!X190</f>
        <v>HCM_2016_QD_3384_XD</v>
      </c>
      <c r="M160" s="166"/>
      <c r="N160" s="166"/>
      <c r="O160" s="156">
        <f>ROUND(I160*N130,2)</f>
        <v>0</v>
      </c>
      <c r="P160" s="156">
        <f>ROUND(I160*M130,2)</f>
        <v>1336582.3700000001</v>
      </c>
    </row>
    <row r="161" spans="1:16" ht="30" hidden="1" x14ac:dyDescent="0.25">
      <c r="A161" s="168"/>
      <c r="B161" s="133" t="str">
        <f>'Công trình'!B191</f>
        <v>AF.65130</v>
      </c>
      <c r="C161" s="34"/>
      <c r="D161" s="133" t="str">
        <f>'Công trình'!C191</f>
        <v>Sản xuất, lắp dựng cốt thép móng, mố, trụ, mũ mố, mũ trụ cầu trên cạn đường kính &gt;18mm</v>
      </c>
      <c r="E161" s="144"/>
      <c r="F161" s="144"/>
      <c r="G161" s="168"/>
      <c r="H161" s="20">
        <v>1</v>
      </c>
      <c r="I161" s="45">
        <f>'Hao phí vật tư'!K1474</f>
        <v>18.4373</v>
      </c>
      <c r="J161" s="166"/>
      <c r="K161" s="156">
        <f>ROUND(I161*J130,2)</f>
        <v>4249447.34</v>
      </c>
      <c r="L161" s="55" t="str">
        <f>'Công trình'!X191</f>
        <v>HCM_2016_QD_3384_XD</v>
      </c>
      <c r="M161" s="166"/>
      <c r="N161" s="166"/>
      <c r="O161" s="156">
        <f>ROUND(I161*N130,2)</f>
        <v>0</v>
      </c>
      <c r="P161" s="156">
        <f>ROUND(I161*M130,2)</f>
        <v>4249447.34</v>
      </c>
    </row>
    <row r="162" spans="1:16" ht="30" hidden="1" x14ac:dyDescent="0.25">
      <c r="A162" s="168"/>
      <c r="B162" s="133" t="str">
        <f>'Công trình'!B197</f>
        <v>AF.15225</v>
      </c>
      <c r="C162" s="34"/>
      <c r="D162" s="133" t="str">
        <f>'Công trình'!C197</f>
        <v>Bê tông dầm cầu đá 1x2, vữa BT mác 300</v>
      </c>
      <c r="E162" s="144"/>
      <c r="F162" s="144"/>
      <c r="G162" s="168"/>
      <c r="H162" s="20">
        <v>1</v>
      </c>
      <c r="I162" s="45">
        <f>'Hao phí vật tư'!K1516</f>
        <v>7.6135999999999999</v>
      </c>
      <c r="J162" s="166"/>
      <c r="K162" s="156">
        <f>ROUND(I162*J130,2)</f>
        <v>1754790.14</v>
      </c>
      <c r="L162" s="55" t="str">
        <f>'Công trình'!X197</f>
        <v>HCM_2016_QD_3384_XD</v>
      </c>
      <c r="M162" s="166"/>
      <c r="N162" s="166"/>
      <c r="O162" s="156">
        <f>ROUND(I162*N130,2)</f>
        <v>0</v>
      </c>
      <c r="P162" s="156">
        <f>ROUND(I162*M130,2)</f>
        <v>1754790.14</v>
      </c>
    </row>
    <row r="163" spans="1:16" ht="30" hidden="1" x14ac:dyDescent="0.25">
      <c r="A163" s="168"/>
      <c r="B163" s="133" t="str">
        <f>'Công trình'!B200</f>
        <v>AF.82111</v>
      </c>
      <c r="C163" s="34"/>
      <c r="D163" s="133" t="str">
        <f>'Công trình'!C200</f>
        <v>Sản xuất, lắp dựng tháo dỡ ván khuôn thép, cây chống gỗ dầm ngang, chiều cao &lt;=16m</v>
      </c>
      <c r="E163" s="144"/>
      <c r="F163" s="144"/>
      <c r="G163" s="168"/>
      <c r="H163" s="20">
        <v>1</v>
      </c>
      <c r="I163" s="45">
        <f>'Hao phí vật tư'!K1545</f>
        <v>14.814399999999999</v>
      </c>
      <c r="J163" s="166"/>
      <c r="K163" s="156">
        <f>ROUND(I163*J130,2)</f>
        <v>3414437.73</v>
      </c>
      <c r="L163" s="55" t="str">
        <f>'Công trình'!X200</f>
        <v>HCM_2016_QD_3384_XD</v>
      </c>
      <c r="M163" s="166"/>
      <c r="N163" s="166"/>
      <c r="O163" s="156">
        <f>ROUND(I163*N130,2)</f>
        <v>0</v>
      </c>
      <c r="P163" s="156">
        <f>ROUND(I163*M130,2)</f>
        <v>3414437.73</v>
      </c>
    </row>
    <row r="164" spans="1:16" ht="30" hidden="1" x14ac:dyDescent="0.25">
      <c r="A164" s="168"/>
      <c r="B164" s="133" t="str">
        <f>'Công trình'!B206</f>
        <v>AF.65410</v>
      </c>
      <c r="C164" s="34"/>
      <c r="D164" s="133" t="str">
        <f>'Công trình'!C206</f>
        <v>Công tác sản xuất lắp dựng cốt thép bê tông tại chỗ, cốt thép dầm cầu trên cạn, D ≤10mm</v>
      </c>
      <c r="E164" s="144"/>
      <c r="F164" s="144"/>
      <c r="G164" s="168"/>
      <c r="H164" s="20">
        <v>1</v>
      </c>
      <c r="I164" s="45">
        <f>'Hao phí vật tư'!K1589</f>
        <v>5.6036999999999999</v>
      </c>
      <c r="J164" s="166"/>
      <c r="K164" s="156">
        <f>ROUND(I164*J130,2)</f>
        <v>1291546.3799999999</v>
      </c>
      <c r="L164" s="55" t="str">
        <f>'Công trình'!X206</f>
        <v>HCM_2016_QD_3384_XD</v>
      </c>
      <c r="M164" s="166"/>
      <c r="N164" s="166"/>
      <c r="O164" s="156">
        <f>ROUND(I164*N130,2)</f>
        <v>0</v>
      </c>
      <c r="P164" s="156">
        <f>ROUND(I164*M130,2)</f>
        <v>1291546.3799999999</v>
      </c>
    </row>
    <row r="165" spans="1:16" ht="30" hidden="1" x14ac:dyDescent="0.25">
      <c r="A165" s="168"/>
      <c r="B165" s="133" t="str">
        <f>'Công trình'!B208</f>
        <v>AF.65420</v>
      </c>
      <c r="C165" s="34"/>
      <c r="D165" s="133" t="str">
        <f>'Công trình'!C208</f>
        <v>Công tác sản xuất lắp dựng cốt thép bê tông tại chỗ, cốt thép dầm cầu trên cạn, D ≤18mm</v>
      </c>
      <c r="E165" s="144"/>
      <c r="F165" s="144"/>
      <c r="G165" s="168"/>
      <c r="H165" s="20">
        <v>1</v>
      </c>
      <c r="I165" s="45">
        <f>'Hao phí vật tư'!K1599</f>
        <v>1.7153</v>
      </c>
      <c r="J165" s="166"/>
      <c r="K165" s="156">
        <f>ROUND(I165*J130,2)</f>
        <v>395344.06</v>
      </c>
      <c r="L165" s="55" t="str">
        <f>'Công trình'!X208</f>
        <v>HCM_2016_QD_3384_XD</v>
      </c>
      <c r="M165" s="166"/>
      <c r="N165" s="166"/>
      <c r="O165" s="156">
        <f>ROUND(I165*N130,2)</f>
        <v>0</v>
      </c>
      <c r="P165" s="156">
        <f>ROUND(I165*M130,2)</f>
        <v>395344.06</v>
      </c>
    </row>
    <row r="166" spans="1:16" ht="30" hidden="1" x14ac:dyDescent="0.25">
      <c r="A166" s="168"/>
      <c r="B166" s="133" t="str">
        <f>'Công trình'!B210</f>
        <v>AF.65430</v>
      </c>
      <c r="C166" s="34"/>
      <c r="D166" s="133" t="str">
        <f>'Công trình'!C210</f>
        <v>Công tác sản xuất lắp dựng cốt thép bê tông tại chỗ, cốt thép dầm cầu trên cạn, D &gt;18mm</v>
      </c>
      <c r="E166" s="144"/>
      <c r="F166" s="144"/>
      <c r="G166" s="168"/>
      <c r="H166" s="20">
        <v>1</v>
      </c>
      <c r="I166" s="45">
        <f>'Hao phí vật tư'!K1610</f>
        <v>2.4885999999999999</v>
      </c>
      <c r="J166" s="166"/>
      <c r="K166" s="156">
        <f>ROUND(I166*J130,2)</f>
        <v>573575.02</v>
      </c>
      <c r="L166" s="55" t="str">
        <f>'Công trình'!X210</f>
        <v>HCM_2016_QD_3384_XD</v>
      </c>
      <c r="M166" s="166"/>
      <c r="N166" s="166"/>
      <c r="O166" s="156">
        <f>ROUND(I166*N130,2)</f>
        <v>0</v>
      </c>
      <c r="P166" s="156">
        <f>ROUND(I166*M130,2)</f>
        <v>573575.02</v>
      </c>
    </row>
    <row r="167" spans="1:16" ht="30" hidden="1" x14ac:dyDescent="0.25">
      <c r="A167" s="168"/>
      <c r="B167" s="133" t="str">
        <f>'Công trình'!B239</f>
        <v>AB.65120</v>
      </c>
      <c r="C167" s="34"/>
      <c r="D167" s="133" t="str">
        <f>'Công trình'!C239</f>
        <v>Đắp đất công trình bằng đầm cóc, độ chặt K=0,90</v>
      </c>
      <c r="E167" s="144"/>
      <c r="F167" s="144"/>
      <c r="G167" s="168"/>
      <c r="H167" s="20">
        <v>1</v>
      </c>
      <c r="I167" s="45">
        <f>'Hao phí vật tư'!K1818</f>
        <v>14.307499999999999</v>
      </c>
      <c r="J167" s="166"/>
      <c r="K167" s="156">
        <f>ROUND(I167*J130,2)</f>
        <v>3297606.91</v>
      </c>
      <c r="L167" s="55" t="str">
        <f>'Công trình'!X239</f>
        <v>HCM_2016_QD_3384_XD</v>
      </c>
      <c r="M167" s="166"/>
      <c r="N167" s="166"/>
      <c r="O167" s="156">
        <f>ROUND(I167*N130,2)</f>
        <v>0</v>
      </c>
      <c r="P167" s="156">
        <f>ROUND(I167*M130,2)</f>
        <v>3297606.91</v>
      </c>
    </row>
    <row r="168" spans="1:16" ht="30" hidden="1" x14ac:dyDescent="0.25">
      <c r="A168" s="168"/>
      <c r="B168" s="133" t="str">
        <f>'Công trình'!B248</f>
        <v>AK.41124</v>
      </c>
      <c r="C168" s="34"/>
      <c r="D168" s="133" t="str">
        <f>'Công trình'!C248</f>
        <v>Vữa lót M75-3cm</v>
      </c>
      <c r="E168" s="144"/>
      <c r="F168" s="144"/>
      <c r="G168" s="168"/>
      <c r="H168" s="20">
        <v>1</v>
      </c>
      <c r="I168" s="45">
        <f>'Hao phí vật tư'!K1882</f>
        <v>7.5641999999999996</v>
      </c>
      <c r="J168" s="166"/>
      <c r="K168" s="156">
        <f>ROUND(I168*J130,2)</f>
        <v>1743404.38</v>
      </c>
      <c r="L168" s="55" t="str">
        <f>'Công trình'!X248</f>
        <v>HCM_2016_QD_3384_XD</v>
      </c>
      <c r="M168" s="166"/>
      <c r="N168" s="166"/>
      <c r="O168" s="156">
        <f>ROUND(I168*N130,2)</f>
        <v>0</v>
      </c>
      <c r="P168" s="156">
        <f>ROUND(I168*M130,2)</f>
        <v>1743404.38</v>
      </c>
    </row>
    <row r="169" spans="1:16" ht="30" hidden="1" x14ac:dyDescent="0.25">
      <c r="A169" s="168"/>
      <c r="B169" s="133" t="str">
        <f>'Công trình'!B249</f>
        <v>AF.82111</v>
      </c>
      <c r="C169" s="34"/>
      <c r="D169" s="133" t="str">
        <f>'Công trình'!C249</f>
        <v>Sản xuất, lắp dựng tháo dỡ ván khuôn thép, cây chống gỗ dầm, giằng, chiều cao &lt;=16m</v>
      </c>
      <c r="E169" s="144"/>
      <c r="F169" s="144"/>
      <c r="G169" s="168"/>
      <c r="H169" s="20">
        <v>1</v>
      </c>
      <c r="I169" s="45">
        <f>'Hao phí vật tư'!K1893</f>
        <v>27.316600000000001</v>
      </c>
      <c r="J169" s="166"/>
      <c r="K169" s="156">
        <f>ROUND(I169*J130,2)</f>
        <v>6295957.2800000003</v>
      </c>
      <c r="L169" s="55" t="str">
        <f>'Công trình'!X249</f>
        <v>HCM_2016_QD_3384_XD</v>
      </c>
      <c r="M169" s="166"/>
      <c r="N169" s="166"/>
      <c r="O169" s="156">
        <f>ROUND(I169*N130,2)</f>
        <v>0</v>
      </c>
      <c r="P169" s="156">
        <f>ROUND(I169*M130,2)</f>
        <v>6295957.2800000003</v>
      </c>
    </row>
    <row r="170" spans="1:16" ht="30" hidden="1" x14ac:dyDescent="0.25">
      <c r="A170" s="168"/>
      <c r="B170" s="133" t="str">
        <f>'Công trình'!B256</f>
        <v>AF.82111</v>
      </c>
      <c r="C170" s="34"/>
      <c r="D170" s="133" t="str">
        <f>'Công trình'!C256</f>
        <v>Sản xuất, lắp dựng tháo dỡ ván khuôn thép lan can</v>
      </c>
      <c r="E170" s="144"/>
      <c r="F170" s="144"/>
      <c r="G170" s="168"/>
      <c r="H170" s="20">
        <v>1</v>
      </c>
      <c r="I170" s="45">
        <f>'Hao phí vật tư'!K1954</f>
        <v>58.560699999999997</v>
      </c>
      <c r="J170" s="166"/>
      <c r="K170" s="156">
        <f>ROUND(I170*J130,2)</f>
        <v>13497128.699999999</v>
      </c>
      <c r="L170" s="55" t="str">
        <f>'Công trình'!X256</f>
        <v>HCM_2016_QD_3384_XD</v>
      </c>
      <c r="M170" s="166"/>
      <c r="N170" s="166"/>
      <c r="O170" s="156">
        <f>ROUND(I170*N130,2)</f>
        <v>0</v>
      </c>
      <c r="P170" s="156">
        <f>ROUND(I170*M130,2)</f>
        <v>13497128.699999999</v>
      </c>
    </row>
    <row r="171" spans="1:16" ht="30" hidden="1" x14ac:dyDescent="0.25">
      <c r="A171" s="168"/>
      <c r="B171" s="133" t="str">
        <f>'Công trình'!B263</f>
        <v>AI.63211</v>
      </c>
      <c r="C171" s="34"/>
      <c r="D171" s="133" t="str">
        <f>'Công trình'!C263</f>
        <v>Lắp dựng lan can sắt, vữa XM mác 75</v>
      </c>
      <c r="E171" s="144"/>
      <c r="F171" s="144"/>
      <c r="G171" s="168"/>
      <c r="H171" s="20">
        <v>1</v>
      </c>
      <c r="I171" s="45">
        <f>'Hao phí vật tư'!K2014</f>
        <v>42.12</v>
      </c>
      <c r="J171" s="166"/>
      <c r="K171" s="156">
        <f>ROUND(I171*J130,2)</f>
        <v>9707859.7200000007</v>
      </c>
      <c r="L171" s="55" t="str">
        <f>'Công trình'!X263</f>
        <v>HCM_2016_QD_3384_XD</v>
      </c>
      <c r="M171" s="166"/>
      <c r="N171" s="166"/>
      <c r="O171" s="156">
        <f>ROUND(I171*N130,2)</f>
        <v>0</v>
      </c>
      <c r="P171" s="156">
        <f>ROUND(I171*M130,2)</f>
        <v>9707859.7200000007</v>
      </c>
    </row>
    <row r="172" spans="1:16" ht="30" hidden="1" x14ac:dyDescent="0.25">
      <c r="A172" s="168"/>
      <c r="B172" s="133" t="str">
        <f>'Công trình'!B286</f>
        <v>AK.41124</v>
      </c>
      <c r="C172" s="34"/>
      <c r="D172" s="133" t="str">
        <f>'Công trình'!C286</f>
        <v>Vữa lót M75 dày 3cm</v>
      </c>
      <c r="E172" s="144"/>
      <c r="F172" s="144"/>
      <c r="G172" s="168"/>
      <c r="H172" s="20">
        <v>1</v>
      </c>
      <c r="I172" s="45">
        <f>'Hao phí vật tư'!K2150</f>
        <v>1.202</v>
      </c>
      <c r="J172" s="166"/>
      <c r="K172" s="156">
        <f>ROUND(I172*J130,2)</f>
        <v>277038.15999999997</v>
      </c>
      <c r="L172" s="55" t="str">
        <f>'Công trình'!X286</f>
        <v>HCM_2016_QD_3384_XD</v>
      </c>
      <c r="M172" s="166"/>
      <c r="N172" s="166"/>
      <c r="O172" s="156">
        <f>ROUND(I172*N130,2)</f>
        <v>0</v>
      </c>
      <c r="P172" s="156">
        <f>ROUND(I172*M130,2)</f>
        <v>277038.15999999997</v>
      </c>
    </row>
    <row r="173" spans="1:16" ht="30" hidden="1" x14ac:dyDescent="0.25">
      <c r="A173" s="168"/>
      <c r="B173" s="133" t="str">
        <f>'Công trình'!B287</f>
        <v>AF.82511</v>
      </c>
      <c r="C173" s="34"/>
      <c r="D173" s="133" t="str">
        <f>'Công trình'!C287</f>
        <v>Ván khuôn móng</v>
      </c>
      <c r="E173" s="144"/>
      <c r="F173" s="144"/>
      <c r="G173" s="168"/>
      <c r="H173" s="20">
        <v>1</v>
      </c>
      <c r="I173" s="45">
        <f>'Hao phí vật tư'!K2159</f>
        <v>7.6832000000000003</v>
      </c>
      <c r="J173" s="166"/>
      <c r="K173" s="156">
        <f>ROUND(I173*J130,2)</f>
        <v>1770831.62</v>
      </c>
      <c r="L173" s="55" t="str">
        <f>'Công trình'!X287</f>
        <v>HCM_2016_QD_3384_XD</v>
      </c>
      <c r="M173" s="166"/>
      <c r="N173" s="166"/>
      <c r="O173" s="156">
        <f>ROUND(I173*N130,2)</f>
        <v>0</v>
      </c>
      <c r="P173" s="156">
        <f>ROUND(I173*M130,2)</f>
        <v>1770831.62</v>
      </c>
    </row>
    <row r="174" spans="1:16" ht="30" hidden="1" x14ac:dyDescent="0.25">
      <c r="A174" s="168"/>
      <c r="B174" s="133" t="str">
        <f>'Công trình'!B265</f>
        <v>AK.41115</v>
      </c>
      <c r="C174" s="34"/>
      <c r="D174" s="133" t="str">
        <f>'Công trình'!C265</f>
        <v>Vữa xi măng M100</v>
      </c>
      <c r="E174" s="144"/>
      <c r="F174" s="144"/>
      <c r="G174" s="168"/>
      <c r="H174" s="20">
        <v>1</v>
      </c>
      <c r="I174" s="45">
        <f>'Hao phí vật tư'!K2026</f>
        <v>1.0880000000000001</v>
      </c>
      <c r="J174" s="166"/>
      <c r="K174" s="156">
        <f>ROUND(I174*J130,2)</f>
        <v>250763.33</v>
      </c>
      <c r="L174" s="55" t="str">
        <f>'Công trình'!X265</f>
        <v>HCM_2016_QD_3384_XD</v>
      </c>
      <c r="M174" s="166"/>
      <c r="N174" s="166"/>
      <c r="O174" s="156">
        <f>ROUND(I174*N130,2)</f>
        <v>0</v>
      </c>
      <c r="P174" s="156">
        <f>ROUND(I174*M130,2)</f>
        <v>250763.33</v>
      </c>
    </row>
    <row r="175" spans="1:16" ht="30" hidden="1" x14ac:dyDescent="0.25">
      <c r="A175" s="168"/>
      <c r="B175" s="133" t="str">
        <f>'Công trình'!B298</f>
        <v>AF.82511</v>
      </c>
      <c r="C175" s="34"/>
      <c r="D175" s="133" t="str">
        <f>'Công trình'!C298</f>
        <v>Ván khuôn móng</v>
      </c>
      <c r="E175" s="144"/>
      <c r="F175" s="144"/>
      <c r="G175" s="168"/>
      <c r="H175" s="20">
        <v>1</v>
      </c>
      <c r="I175" s="45">
        <f>'Hao phí vật tư'!K2237</f>
        <v>0.2205</v>
      </c>
      <c r="J175" s="166"/>
      <c r="K175" s="156">
        <f>ROUND(I175*J130,2)</f>
        <v>50821.06</v>
      </c>
      <c r="L175" s="55" t="str">
        <f>'Công trình'!X298</f>
        <v>HCM_2016_QD_3384_XD</v>
      </c>
      <c r="M175" s="166"/>
      <c r="N175" s="166"/>
      <c r="O175" s="156">
        <f>ROUND(I175*N130,2)</f>
        <v>0</v>
      </c>
      <c r="P175" s="156">
        <f>ROUND(I175*M130,2)</f>
        <v>50821.06</v>
      </c>
    </row>
    <row r="176" spans="1:16" ht="45" hidden="1" x14ac:dyDescent="0.25">
      <c r="A176" s="168"/>
      <c r="B176" s="133" t="str">
        <f>'Công trình'!B305</f>
        <v>AF.82511</v>
      </c>
      <c r="C176" s="34"/>
      <c r="D176" s="133" t="str">
        <f>'Công trình'!C305</f>
        <v>Sản xuất, lắp dựng, tháo dỡ ván khuôn cho bê tông đổ tại chổ, ván khuôn thép, ván khuôn móng</v>
      </c>
      <c r="E176" s="144"/>
      <c r="F176" s="144"/>
      <c r="G176" s="168"/>
      <c r="H176" s="20">
        <v>1</v>
      </c>
      <c r="I176" s="45">
        <f>'Hao phí vật tư'!K2292</f>
        <v>4.0425000000000004</v>
      </c>
      <c r="J176" s="166"/>
      <c r="K176" s="156">
        <f>ROUND(I176*J130,2)</f>
        <v>931719.44</v>
      </c>
      <c r="L176" s="55" t="str">
        <f>'Công trình'!X305</f>
        <v>HCM_2016_QD_3384_XD</v>
      </c>
      <c r="M176" s="166"/>
      <c r="N176" s="166"/>
      <c r="O176" s="156">
        <f>ROUND(I176*N130,2)</f>
        <v>0</v>
      </c>
      <c r="P176" s="156">
        <f>ROUND(I176*M130,2)</f>
        <v>931719.44</v>
      </c>
    </row>
    <row r="177" spans="1:16" ht="30" hidden="1" x14ac:dyDescent="0.25">
      <c r="A177" s="168"/>
      <c r="B177" s="133" t="str">
        <f>'Công trình'!B179</f>
        <v>AF.87211</v>
      </c>
      <c r="C177" s="34"/>
      <c r="D177" s="133" t="str">
        <f>'Công trình'!C179</f>
        <v>Sản xuất, lắp dựng, tháo dỡ ván khuôn mố, trụ cầu trên cạn</v>
      </c>
      <c r="E177" s="144"/>
      <c r="F177" s="144"/>
      <c r="G177" s="168"/>
      <c r="H177" s="20">
        <v>1</v>
      </c>
      <c r="I177" s="45">
        <f>'Hao phí vật tư'!K1360</f>
        <v>51.573300000000003</v>
      </c>
      <c r="J177" s="166"/>
      <c r="K177" s="156">
        <f>ROUND(I177*J130,2)</f>
        <v>11886665.76</v>
      </c>
      <c r="L177" s="55" t="str">
        <f>'Công trình'!X179</f>
        <v>HCM_2016_QD_3384_XD</v>
      </c>
      <c r="M177" s="166"/>
      <c r="N177" s="166"/>
      <c r="O177" s="156">
        <f>ROUND(I177*N130,2)</f>
        <v>0</v>
      </c>
      <c r="P177" s="156">
        <f>ROUND(I177*M130,2)</f>
        <v>11886665.76</v>
      </c>
    </row>
    <row r="178" spans="1:16" ht="30" hidden="1" x14ac:dyDescent="0.25">
      <c r="A178" s="168"/>
      <c r="B178" s="133" t="str">
        <f>'Công trình'!B189</f>
        <v>AF.87211</v>
      </c>
      <c r="C178" s="34"/>
      <c r="D178" s="133" t="str">
        <f>'Công trình'!C189</f>
        <v>Sản xuất, lắp dựng, tháo dỡ ván khuôn mố, trụ cầu trên cạn</v>
      </c>
      <c r="E178" s="144"/>
      <c r="F178" s="144"/>
      <c r="G178" s="168"/>
      <c r="H178" s="20">
        <v>1</v>
      </c>
      <c r="I178" s="45">
        <f>'Hao phí vật tư'!K1451</f>
        <v>14.776899999999999</v>
      </c>
      <c r="J178" s="166"/>
      <c r="K178" s="156">
        <f>ROUND(I178*J130,2)</f>
        <v>3405794.69</v>
      </c>
      <c r="L178" s="55" t="str">
        <f>'Công trình'!X189</f>
        <v>HCM_2016_QD_3384_XD</v>
      </c>
      <c r="M178" s="166"/>
      <c r="N178" s="166"/>
      <c r="O178" s="156">
        <f>ROUND(I178*N130,2)</f>
        <v>0</v>
      </c>
      <c r="P178" s="156">
        <f>ROUND(I178*M130,2)</f>
        <v>3405794.69</v>
      </c>
    </row>
    <row r="179" spans="1:16" ht="30" hidden="1" x14ac:dyDescent="0.25">
      <c r="A179" s="168"/>
      <c r="B179" s="133" t="str">
        <f>'Công trình'!B201</f>
        <v>AF.82311</v>
      </c>
      <c r="C179" s="34"/>
      <c r="D179" s="133" t="str">
        <f>'Công trình'!C201</f>
        <v>Sản xuất, lắp dựng tháo dỡ ván khuôn thép, cây chống gỗ mặt cầu, chiều cao &lt;=16m</v>
      </c>
      <c r="E179" s="144"/>
      <c r="F179" s="144"/>
      <c r="G179" s="168"/>
      <c r="H179" s="20">
        <v>1</v>
      </c>
      <c r="I179" s="45">
        <f>'Hao phí vật tư'!K1558</f>
        <v>82.134</v>
      </c>
      <c r="J179" s="166"/>
      <c r="K179" s="156">
        <f>ROUND(I179*J130,2)</f>
        <v>18930326.449999999</v>
      </c>
      <c r="L179" s="55" t="str">
        <f>'Công trình'!X201</f>
        <v>HCM_2016_QD_3384_XD</v>
      </c>
      <c r="M179" s="166"/>
      <c r="N179" s="166"/>
      <c r="O179" s="156">
        <f>ROUND(I179*N130,2)</f>
        <v>0</v>
      </c>
      <c r="P179" s="156">
        <f>ROUND(I179*M130,2)</f>
        <v>18930326.449999999</v>
      </c>
    </row>
    <row r="180" spans="1:16" hidden="1" x14ac:dyDescent="0.25">
      <c r="A180" s="168"/>
      <c r="B180" s="133" t="str">
        <f>'Công trình'!B198</f>
        <v>TT</v>
      </c>
      <c r="C180" s="34"/>
      <c r="D180" s="133" t="str">
        <f>'Công trình'!C198</f>
        <v>Vữa xi măng dày 7cm, vữa XM mác 400</v>
      </c>
      <c r="E180" s="144"/>
      <c r="F180" s="144"/>
      <c r="G180" s="168"/>
      <c r="H180" s="20">
        <v>1</v>
      </c>
      <c r="I180" s="45">
        <f>'Hao phí vật tư'!K1531</f>
        <v>66.171300000000002</v>
      </c>
      <c r="J180" s="166"/>
      <c r="K180" s="156">
        <f>ROUND(I180*J130,2)</f>
        <v>15251227.4</v>
      </c>
      <c r="L180" s="55">
        <f>'Công trình'!X198</f>
        <v>0</v>
      </c>
      <c r="M180" s="166"/>
      <c r="N180" s="166"/>
      <c r="O180" s="156">
        <f>ROUND(I180*N130,2)</f>
        <v>0</v>
      </c>
      <c r="P180" s="156">
        <f>ROUND(I180*M130,2)</f>
        <v>15251227.4</v>
      </c>
    </row>
    <row r="181" spans="1:16" ht="45" hidden="1" x14ac:dyDescent="0.25">
      <c r="A181" s="168"/>
      <c r="B181" s="133" t="str">
        <f>'Công trình'!B180</f>
        <v>AF.82511</v>
      </c>
      <c r="C181" s="34"/>
      <c r="D181" s="133" t="str">
        <f>'Công trình'!C180</f>
        <v>Sản xuất, lắp dựng, tháo dỡ ván khuôn cho bê tông đổ tại chổ, ván khuôn thép, ván khuôn bản dẫn</v>
      </c>
      <c r="E181" s="144"/>
      <c r="F181" s="144"/>
      <c r="G181" s="168"/>
      <c r="H181" s="20">
        <v>1</v>
      </c>
      <c r="I181" s="45">
        <f>'Hao phí vật tư'!K1372</f>
        <v>2.3029999999999999</v>
      </c>
      <c r="J181" s="166"/>
      <c r="K181" s="156">
        <f>ROUND(I181*J130,2)</f>
        <v>530797.74</v>
      </c>
      <c r="L181" s="55" t="str">
        <f>'Công trình'!X180</f>
        <v>HCM_2016_QD_3384_XD</v>
      </c>
      <c r="M181" s="166"/>
      <c r="N181" s="166"/>
      <c r="O181" s="156">
        <f>ROUND(I181*N130,2)</f>
        <v>0</v>
      </c>
      <c r="P181" s="156">
        <f>ROUND(I181*M130,2)</f>
        <v>530797.74</v>
      </c>
    </row>
    <row r="182" spans="1:16" ht="45" hidden="1" x14ac:dyDescent="0.25">
      <c r="A182" s="168"/>
      <c r="B182" s="133" t="str">
        <f>'Công trình'!B35</f>
        <v>AF.82111</v>
      </c>
      <c r="C182" s="34"/>
      <c r="D182" s="133" t="str">
        <f>'Công trình'!C35</f>
        <v>Sản xuất, lắp dựng tháo dỡ ván khuôn thép, cây chống gỗ tường, cột vuông (chữ nhật), xà dầm, giằng, chiều cao &lt;=16m</v>
      </c>
      <c r="E182" s="144"/>
      <c r="F182" s="144"/>
      <c r="G182" s="168"/>
      <c r="H182" s="20">
        <v>1</v>
      </c>
      <c r="I182" s="45">
        <f>'Hao phí vật tư'!K266</f>
        <v>22.2636</v>
      </c>
      <c r="J182" s="166"/>
      <c r="K182" s="156">
        <f>ROUND(I182*J130,2)</f>
        <v>5131336.79</v>
      </c>
      <c r="L182" s="55" t="str">
        <f>'Công trình'!X35</f>
        <v>HCM_2016_QD_3384_XD</v>
      </c>
      <c r="M182" s="166"/>
      <c r="N182" s="166"/>
      <c r="O182" s="156">
        <f>ROUND(I182*N130,2)</f>
        <v>0</v>
      </c>
      <c r="P182" s="156">
        <f>ROUND(I182*M130,2)</f>
        <v>5131336.79</v>
      </c>
    </row>
    <row r="183" spans="1:16" x14ac:dyDescent="0.25">
      <c r="A183" s="168">
        <v>6</v>
      </c>
      <c r="B183" s="84" t="s">
        <v>221</v>
      </c>
      <c r="C183" s="34">
        <v>551</v>
      </c>
      <c r="D183" s="144" t="s">
        <v>776</v>
      </c>
      <c r="E183" s="144" t="s">
        <v>939</v>
      </c>
      <c r="F183" s="144" t="s">
        <v>939</v>
      </c>
      <c r="G183" s="168" t="s">
        <v>668</v>
      </c>
      <c r="H183" s="34"/>
      <c r="I183" s="60">
        <f>SUM(I184:I184)</f>
        <v>6.2720000000000002</v>
      </c>
      <c r="J183" s="166">
        <v>230481</v>
      </c>
      <c r="K183" s="166">
        <f>ROUND(I183*J183,0)</f>
        <v>1445577</v>
      </c>
      <c r="L183" s="69">
        <v>1</v>
      </c>
      <c r="M183" s="166">
        <v>230481</v>
      </c>
      <c r="N183" s="166">
        <f>M183-J183</f>
        <v>0</v>
      </c>
      <c r="O183" s="166">
        <f>ROUND(I183*N183,0)</f>
        <v>0</v>
      </c>
      <c r="P183" s="166">
        <f>ROUND(I183*M183,0)</f>
        <v>1445577</v>
      </c>
    </row>
    <row r="184" spans="1:16" ht="30" hidden="1" x14ac:dyDescent="0.25">
      <c r="A184" s="168"/>
      <c r="B184" s="133" t="str">
        <f>'Công trình'!B273</f>
        <v>TH.01.05.20</v>
      </c>
      <c r="C184" s="34"/>
      <c r="D184" s="133" t="str">
        <f>'Công trình'!C273</f>
        <v>Đèn tín hiệu thông thuyền</v>
      </c>
      <c r="E184" s="144"/>
      <c r="F184" s="144"/>
      <c r="G184" s="168"/>
      <c r="H184" s="20">
        <v>1</v>
      </c>
      <c r="I184" s="45">
        <f>'Hao phí vật tư'!K2081</f>
        <v>6.2720000000000002</v>
      </c>
      <c r="J184" s="166"/>
      <c r="K184" s="156">
        <f>ROUND(I184*J183,2)</f>
        <v>1445576.83</v>
      </c>
      <c r="L184" s="55" t="str">
        <f>'Công trình'!X273</f>
        <v>HCM_2017_QD_1001_CS</v>
      </c>
      <c r="M184" s="166"/>
      <c r="N184" s="166"/>
      <c r="O184" s="156">
        <f>ROUND(I184*N183,2)</f>
        <v>0</v>
      </c>
      <c r="P184" s="156">
        <f>ROUND(I184*M183,2)</f>
        <v>1445576.83</v>
      </c>
    </row>
    <row r="185" spans="1:16" x14ac:dyDescent="0.25">
      <c r="A185" s="168">
        <v>7</v>
      </c>
      <c r="B185" s="84" t="s">
        <v>237</v>
      </c>
      <c r="C185" s="34">
        <v>555</v>
      </c>
      <c r="D185" s="144" t="s">
        <v>776</v>
      </c>
      <c r="E185" s="144" t="s">
        <v>907</v>
      </c>
      <c r="F185" s="144" t="s">
        <v>907</v>
      </c>
      <c r="G185" s="168" t="s">
        <v>450</v>
      </c>
      <c r="H185" s="34"/>
      <c r="I185" s="60">
        <f>SUM(I186:I218)</f>
        <v>2932.2982999999999</v>
      </c>
      <c r="J185" s="166">
        <v>258500</v>
      </c>
      <c r="K185" s="166">
        <f>ROUND(I185*J185,0)</f>
        <v>757999111</v>
      </c>
      <c r="L185" s="69">
        <v>1</v>
      </c>
      <c r="M185" s="166">
        <v>258500</v>
      </c>
      <c r="N185" s="166">
        <f>M185-J185</f>
        <v>0</v>
      </c>
      <c r="O185" s="166">
        <f>ROUND(I185*N185,0)</f>
        <v>0</v>
      </c>
      <c r="P185" s="166">
        <f>ROUND(I185*M185,0)</f>
        <v>757999111</v>
      </c>
    </row>
    <row r="186" spans="1:16" ht="60" hidden="1" x14ac:dyDescent="0.25">
      <c r="A186" s="168"/>
      <c r="B186" s="133" t="str">
        <f>'Công trình'!B26</f>
        <v>AC.12412</v>
      </c>
      <c r="C186" s="34"/>
      <c r="D186" s="133" t="str">
        <f>'Công trình'!C26</f>
        <v>Đóng cọc cừ máng bê tông dự ứng lực trên cạn bằng búa rung kết hợp tách mũi nước áp lực SW600A, chiều cao máng cọc 60-84cm, L=18M</v>
      </c>
      <c r="E186" s="144"/>
      <c r="F186" s="144"/>
      <c r="G186" s="168"/>
      <c r="H186" s="20">
        <v>1</v>
      </c>
      <c r="I186" s="45">
        <f>'Hao phí vật tư'!K187</f>
        <v>199.26</v>
      </c>
      <c r="J186" s="166"/>
      <c r="K186" s="156">
        <f>ROUND(I186*J185,2)</f>
        <v>51508710</v>
      </c>
      <c r="L186" s="55" t="str">
        <f>'Công trình'!X26</f>
        <v>HCM_2016_QD_3384_XD</v>
      </c>
      <c r="M186" s="166"/>
      <c r="N186" s="166"/>
      <c r="O186" s="156">
        <f>ROUND(I186*N185,2)</f>
        <v>0</v>
      </c>
      <c r="P186" s="156">
        <f>ROUND(I186*M185,2)</f>
        <v>51508710</v>
      </c>
    </row>
    <row r="187" spans="1:16" ht="30" hidden="1" x14ac:dyDescent="0.25">
      <c r="A187" s="168"/>
      <c r="B187" s="133" t="str">
        <f>'Công trình'!B55</f>
        <v>AG.42111</v>
      </c>
      <c r="C187" s="34"/>
      <c r="D187" s="133" t="str">
        <f>'Công trình'!C55</f>
        <v>Lắp các loại cấu kiện BT đúc sẵn bằng thủ công trọng lượng &lt;=50kg, vữa XM mác 100</v>
      </c>
      <c r="E187" s="144"/>
      <c r="F187" s="144"/>
      <c r="G187" s="168"/>
      <c r="H187" s="20">
        <v>1</v>
      </c>
      <c r="I187" s="45">
        <f>'Hao phí vật tư'!K406</f>
        <v>724.55489999999998</v>
      </c>
      <c r="J187" s="166"/>
      <c r="K187" s="156">
        <f>ROUND(I187*J185,2)</f>
        <v>187297441.65000001</v>
      </c>
      <c r="L187" s="55" t="str">
        <f>'Công trình'!X55</f>
        <v>HCM_2016_QD_3384_XD</v>
      </c>
      <c r="M187" s="166"/>
      <c r="N187" s="166"/>
      <c r="O187" s="156">
        <f>ROUND(I187*N185,2)</f>
        <v>0</v>
      </c>
      <c r="P187" s="156">
        <f>ROUND(I187*M185,2)</f>
        <v>187297441.65000001</v>
      </c>
    </row>
    <row r="188" spans="1:16" ht="30" hidden="1" x14ac:dyDescent="0.25">
      <c r="A188" s="168"/>
      <c r="B188" s="133" t="str">
        <f>'Công trình'!B76</f>
        <v>AC.29341</v>
      </c>
      <c r="C188" s="34"/>
      <c r="D188" s="133" t="str">
        <f>'Công trình'!C76</f>
        <v>Nối cọc BTCT 35x35cm</v>
      </c>
      <c r="E188" s="144"/>
      <c r="F188" s="144"/>
      <c r="G188" s="168"/>
      <c r="H188" s="20">
        <v>1</v>
      </c>
      <c r="I188" s="45">
        <f>'Hao phí vật tư'!K606</f>
        <v>25.92</v>
      </c>
      <c r="J188" s="166"/>
      <c r="K188" s="156">
        <f>ROUND(I188*J185,2)</f>
        <v>6700320</v>
      </c>
      <c r="L188" s="55" t="str">
        <f>'Công trình'!X76</f>
        <v>HCM_2016_QD_3384_XD</v>
      </c>
      <c r="M188" s="166"/>
      <c r="N188" s="166"/>
      <c r="O188" s="156">
        <f>ROUND(I188*N185,2)</f>
        <v>0</v>
      </c>
      <c r="P188" s="156">
        <f>ROUND(I188*M185,2)</f>
        <v>6700320</v>
      </c>
    </row>
    <row r="189" spans="1:16" ht="30" hidden="1" x14ac:dyDescent="0.25">
      <c r="A189" s="168"/>
      <c r="B189" s="133" t="str">
        <f>'Công trình'!B77</f>
        <v>AA.22310</v>
      </c>
      <c r="C189" s="34"/>
      <c r="D189" s="133" t="str">
        <f>'Công trình'!C77</f>
        <v>Đập đầu cọc trên cạn</v>
      </c>
      <c r="E189" s="144"/>
      <c r="F189" s="144"/>
      <c r="G189" s="168"/>
      <c r="H189" s="20">
        <v>1</v>
      </c>
      <c r="I189" s="45">
        <f>'Hao phí vật tư'!K614</f>
        <v>1.4112</v>
      </c>
      <c r="J189" s="166"/>
      <c r="K189" s="156">
        <f>ROUND(I189*J185,2)</f>
        <v>364795.2</v>
      </c>
      <c r="L189" s="55" t="str">
        <f>'Công trình'!X77</f>
        <v>HCM_2016_QD_3384_XD</v>
      </c>
      <c r="M189" s="166"/>
      <c r="N189" s="166"/>
      <c r="O189" s="156">
        <f>ROUND(I189*N185,2)</f>
        <v>0</v>
      </c>
      <c r="P189" s="156">
        <f>ROUND(I189*M185,2)</f>
        <v>364795.2</v>
      </c>
    </row>
    <row r="190" spans="1:16" ht="30" hidden="1" x14ac:dyDescent="0.25">
      <c r="A190" s="168"/>
      <c r="B190" s="133" t="str">
        <f>'Công trình'!B88</f>
        <v>AA.22310</v>
      </c>
      <c r="C190" s="34"/>
      <c r="D190" s="133" t="str">
        <f>'Công trình'!C88</f>
        <v>Đập đầu cọc trên cạn</v>
      </c>
      <c r="E190" s="144"/>
      <c r="F190" s="144"/>
      <c r="G190" s="168"/>
      <c r="H190" s="20">
        <v>1</v>
      </c>
      <c r="I190" s="45">
        <f>'Hao phí vật tư'!K730</f>
        <v>0.41760000000000003</v>
      </c>
      <c r="J190" s="166"/>
      <c r="K190" s="156">
        <f>ROUND(I190*J185,2)</f>
        <v>107949.6</v>
      </c>
      <c r="L190" s="55" t="str">
        <f>'Công trình'!X88</f>
        <v>HCM_2016_QD_3384_XD</v>
      </c>
      <c r="M190" s="166"/>
      <c r="N190" s="166"/>
      <c r="O190" s="156">
        <f>ROUND(I190*N185,2)</f>
        <v>0</v>
      </c>
      <c r="P190" s="156">
        <f>ROUND(I190*M185,2)</f>
        <v>107949.6</v>
      </c>
    </row>
    <row r="191" spans="1:16" ht="30" hidden="1" x14ac:dyDescent="0.25">
      <c r="A191" s="168"/>
      <c r="B191" s="133" t="str">
        <f>'Công trình'!B87</f>
        <v>AC.29331</v>
      </c>
      <c r="C191" s="34"/>
      <c r="D191" s="133" t="str">
        <f>'Công trình'!C87</f>
        <v>Nối cọc BTCT 30x30cm</v>
      </c>
      <c r="E191" s="144"/>
      <c r="F191" s="144"/>
      <c r="G191" s="168"/>
      <c r="H191" s="20">
        <v>1</v>
      </c>
      <c r="I191" s="45">
        <f>'Hao phí vật tư'!K722</f>
        <v>6.16</v>
      </c>
      <c r="J191" s="166"/>
      <c r="K191" s="156">
        <f>ROUND(I191*J185,2)</f>
        <v>1592360</v>
      </c>
      <c r="L191" s="55" t="str">
        <f>'Công trình'!X87</f>
        <v>HCM_2016_QD_3384_XD</v>
      </c>
      <c r="M191" s="166"/>
      <c r="N191" s="166"/>
      <c r="O191" s="156">
        <f>ROUND(I191*N185,2)</f>
        <v>0</v>
      </c>
      <c r="P191" s="156">
        <f>ROUND(I191*M185,2)</f>
        <v>1592360</v>
      </c>
    </row>
    <row r="192" spans="1:16" ht="30" hidden="1" x14ac:dyDescent="0.25">
      <c r="A192" s="168"/>
      <c r="B192" s="133" t="str">
        <f>'Công trình'!B98</f>
        <v>AD.11212</v>
      </c>
      <c r="C192" s="34"/>
      <c r="D192" s="133" t="str">
        <f>'Công trình'!C98</f>
        <v>Cấp phối đá 0x4</v>
      </c>
      <c r="E192" s="144"/>
      <c r="F192" s="144"/>
      <c r="G192" s="168"/>
      <c r="H192" s="20">
        <v>1</v>
      </c>
      <c r="I192" s="45">
        <f>'Hao phí vật tư'!K791</f>
        <v>2.34</v>
      </c>
      <c r="J192" s="166"/>
      <c r="K192" s="156">
        <f>ROUND(I192*J185,2)</f>
        <v>604890</v>
      </c>
      <c r="L192" s="55" t="str">
        <f>'Công trình'!X98</f>
        <v>HCM_2016_QD_3384_XD</v>
      </c>
      <c r="M192" s="166"/>
      <c r="N192" s="166"/>
      <c r="O192" s="156">
        <f>ROUND(I192*N185,2)</f>
        <v>0</v>
      </c>
      <c r="P192" s="156">
        <f>ROUND(I192*M185,2)</f>
        <v>604890</v>
      </c>
    </row>
    <row r="193" spans="1:16" ht="30" hidden="1" x14ac:dyDescent="0.25">
      <c r="A193" s="168"/>
      <c r="B193" s="133" t="str">
        <f>'Công trình'!B114</f>
        <v>AC.22522</v>
      </c>
      <c r="C193" s="34"/>
      <c r="D193" s="133" t="str">
        <f>'Công trình'!C114</f>
        <v>Đóng cọc thép hình H300 trên mặt đất, chiều dài cọc &gt;10m, đất cấp II, phần ngập đất</v>
      </c>
      <c r="E193" s="144"/>
      <c r="F193" s="144"/>
      <c r="G193" s="168"/>
      <c r="H193" s="20">
        <v>1</v>
      </c>
      <c r="I193" s="45">
        <f>'Hao phí vật tư'!K912</f>
        <v>12.768000000000001</v>
      </c>
      <c r="J193" s="166"/>
      <c r="K193" s="156">
        <f>ROUND(I193*J185,2)</f>
        <v>3300528</v>
      </c>
      <c r="L193" s="55" t="str">
        <f>'Công trình'!X114</f>
        <v>HCM_2016_QD_3384_XD</v>
      </c>
      <c r="M193" s="166"/>
      <c r="N193" s="166"/>
      <c r="O193" s="156">
        <f>ROUND(I193*N185,2)</f>
        <v>0</v>
      </c>
      <c r="P193" s="156">
        <f>ROUND(I193*M185,2)</f>
        <v>3300528</v>
      </c>
    </row>
    <row r="194" spans="1:16" ht="45" hidden="1" x14ac:dyDescent="0.25">
      <c r="A194" s="168"/>
      <c r="B194" s="133" t="str">
        <f>'Công trình'!B115</f>
        <v>AC.22522</v>
      </c>
      <c r="C194" s="34"/>
      <c r="D194" s="133" t="str">
        <f>'Công trình'!C115</f>
        <v>Đóng cọc thép hình H300 trên mặt đất, chiều dài cọc &gt;10m, đất cấp II, phần không ngập đất (NC, MTC * 0,75)</v>
      </c>
      <c r="E194" s="144"/>
      <c r="F194" s="144"/>
      <c r="G194" s="168"/>
      <c r="H194" s="20">
        <v>1</v>
      </c>
      <c r="I194" s="45">
        <f>'Hao phí vật tư'!K921</f>
        <v>5.2110000000000003</v>
      </c>
      <c r="J194" s="166"/>
      <c r="K194" s="156">
        <f>ROUND(I194*J185,2)</f>
        <v>1347043.5</v>
      </c>
      <c r="L194" s="55" t="str">
        <f>'Công trình'!X115</f>
        <v>HCM_2016_QD_3384_XD</v>
      </c>
      <c r="M194" s="166"/>
      <c r="N194" s="166"/>
      <c r="O194" s="156">
        <f>ROUND(I194*N185,2)</f>
        <v>0</v>
      </c>
      <c r="P194" s="156">
        <f>ROUND(I194*M185,2)</f>
        <v>1347043.5</v>
      </c>
    </row>
    <row r="195" spans="1:16" ht="30" hidden="1" x14ac:dyDescent="0.25">
      <c r="A195" s="168"/>
      <c r="B195" s="133" t="str">
        <f>'Công trình'!B125</f>
        <v>AC.22522</v>
      </c>
      <c r="C195" s="34"/>
      <c r="D195" s="133" t="str">
        <f>'Công trình'!C125</f>
        <v>Đóng cọc thép hình H300 trên mặt đất, chiều dài cọc &gt;10m, đất cấp II, phần ngập đất</v>
      </c>
      <c r="E195" s="144"/>
      <c r="F195" s="144"/>
      <c r="G195" s="168"/>
      <c r="H195" s="20">
        <v>1</v>
      </c>
      <c r="I195" s="45">
        <f>'Hao phí vật tư'!K984</f>
        <v>2.2848000000000002</v>
      </c>
      <c r="J195" s="166"/>
      <c r="K195" s="156">
        <f>ROUND(I195*J185,2)</f>
        <v>590620.80000000005</v>
      </c>
      <c r="L195" s="55" t="str">
        <f>'Công trình'!X125</f>
        <v>HCM_2016_QD_3384_XD</v>
      </c>
      <c r="M195" s="166"/>
      <c r="N195" s="166"/>
      <c r="O195" s="156">
        <f>ROUND(I195*N185,2)</f>
        <v>0</v>
      </c>
      <c r="P195" s="156">
        <f>ROUND(I195*M185,2)</f>
        <v>590620.80000000005</v>
      </c>
    </row>
    <row r="196" spans="1:16" ht="45" hidden="1" x14ac:dyDescent="0.25">
      <c r="A196" s="168"/>
      <c r="B196" s="133" t="str">
        <f>'Công trình'!B126</f>
        <v>AC.22522</v>
      </c>
      <c r="C196" s="34"/>
      <c r="D196" s="133" t="str">
        <f>'Công trình'!C126</f>
        <v>Đóng cọc thép hình H300 trên mặt đất, chiều dài cọc &gt;10m, đất cấp II, phần không ngập đất (NC, MTC * 0,75)</v>
      </c>
      <c r="E196" s="144"/>
      <c r="F196" s="144"/>
      <c r="G196" s="168"/>
      <c r="H196" s="20">
        <v>1</v>
      </c>
      <c r="I196" s="45">
        <f>'Hao phí vật tư'!K993</f>
        <v>0.81059999999999999</v>
      </c>
      <c r="J196" s="166"/>
      <c r="K196" s="156">
        <f>ROUND(I196*J185,2)</f>
        <v>209540.1</v>
      </c>
      <c r="L196" s="55" t="str">
        <f>'Công trình'!X126</f>
        <v>HCM_2016_QD_3384_XD</v>
      </c>
      <c r="M196" s="166"/>
      <c r="N196" s="166"/>
      <c r="O196" s="156">
        <f>ROUND(I196*N185,2)</f>
        <v>0</v>
      </c>
      <c r="P196" s="156">
        <f>ROUND(I196*M185,2)</f>
        <v>209540.1</v>
      </c>
    </row>
    <row r="197" spans="1:16" ht="30" hidden="1" x14ac:dyDescent="0.25">
      <c r="A197" s="168"/>
      <c r="B197" s="133" t="str">
        <f>'Công trình'!B131</f>
        <v>AC.22112</v>
      </c>
      <c r="C197" s="34"/>
      <c r="D197" s="133" t="str">
        <f>'Công trình'!C131</f>
        <v>Đóng cừ Larsen IV trên mặt đất chiều dài cọc &lt;=12m đất cấp II, ngập đất 15,5m</v>
      </c>
      <c r="E197" s="144"/>
      <c r="F197" s="144"/>
      <c r="G197" s="168"/>
      <c r="H197" s="20">
        <v>1</v>
      </c>
      <c r="I197" s="45">
        <f>'Hao phí vật tư'!K1012</f>
        <v>291.51900000000001</v>
      </c>
      <c r="J197" s="166"/>
      <c r="K197" s="156">
        <f>ROUND(I197*J185,2)</f>
        <v>75357661.5</v>
      </c>
      <c r="L197" s="55" t="str">
        <f>'Công trình'!X131</f>
        <v>HCM_2016_QD_3384_XD</v>
      </c>
      <c r="M197" s="166"/>
      <c r="N197" s="166"/>
      <c r="O197" s="156">
        <f>ROUND(I197*N185,2)</f>
        <v>0</v>
      </c>
      <c r="P197" s="156">
        <f>ROUND(I197*M185,2)</f>
        <v>75357661.5</v>
      </c>
    </row>
    <row r="198" spans="1:16" ht="45" hidden="1" x14ac:dyDescent="0.25">
      <c r="A198" s="168"/>
      <c r="B198" s="133" t="str">
        <f>'Công trình'!B132</f>
        <v>AC.22112</v>
      </c>
      <c r="C198" s="34"/>
      <c r="D198" s="133" t="str">
        <f>'Công trình'!C132</f>
        <v>Đóng cừ Larsen IV trên mặt đất chiều dài cọc &lt;=12m đất cấp II, không ngập đất (NC, MTC * 0,75)</v>
      </c>
      <c r="E198" s="144"/>
      <c r="F198" s="144"/>
      <c r="G198" s="168"/>
      <c r="H198" s="20">
        <v>1</v>
      </c>
      <c r="I198" s="45">
        <f>'Hao phí vật tư'!K1021</f>
        <v>72.879800000000003</v>
      </c>
      <c r="J198" s="166"/>
      <c r="K198" s="156">
        <f>ROUND(I198*J185,2)</f>
        <v>18839428.300000001</v>
      </c>
      <c r="L198" s="55" t="str">
        <f>'Công trình'!X132</f>
        <v>HCM_2016_QD_3384_XD</v>
      </c>
      <c r="M198" s="166"/>
      <c r="N198" s="166"/>
      <c r="O198" s="156">
        <f>ROUND(I198*N185,2)</f>
        <v>0</v>
      </c>
      <c r="P198" s="156">
        <f>ROUND(I198*M185,2)</f>
        <v>18839428.300000001</v>
      </c>
    </row>
    <row r="199" spans="1:16" ht="30" hidden="1" x14ac:dyDescent="0.25">
      <c r="A199" s="168"/>
      <c r="B199" s="133" t="str">
        <f>'Công trình'!B142</f>
        <v>AC.22522</v>
      </c>
      <c r="C199" s="34"/>
      <c r="D199" s="133" t="str">
        <f>'Công trình'!C142</f>
        <v>Đóng cọc thép hình H300 trên mặt đất, chiều dài cọc &gt;10m, đất cấp II, phần ngập đất</v>
      </c>
      <c r="E199" s="144"/>
      <c r="F199" s="144"/>
      <c r="G199" s="168"/>
      <c r="H199" s="20">
        <v>1</v>
      </c>
      <c r="I199" s="45">
        <f>'Hao phí vật tư'!K1088</f>
        <v>18.143999999999998</v>
      </c>
      <c r="J199" s="166"/>
      <c r="K199" s="156">
        <f>ROUND(I199*J185,2)</f>
        <v>4690224</v>
      </c>
      <c r="L199" s="55" t="str">
        <f>'Công trình'!X142</f>
        <v>HCM_2016_QD_3384_XD</v>
      </c>
      <c r="M199" s="166"/>
      <c r="N199" s="166"/>
      <c r="O199" s="156">
        <f>ROUND(I199*N185,2)</f>
        <v>0</v>
      </c>
      <c r="P199" s="156">
        <f>ROUND(I199*M185,2)</f>
        <v>4690224</v>
      </c>
    </row>
    <row r="200" spans="1:16" ht="45" hidden="1" x14ac:dyDescent="0.25">
      <c r="A200" s="168"/>
      <c r="B200" s="133" t="str">
        <f>'Công trình'!B143</f>
        <v>AC.22522</v>
      </c>
      <c r="C200" s="34"/>
      <c r="D200" s="133" t="str">
        <f>'Công trình'!C143</f>
        <v>Đóng cọc thép hình H300 trên mặt đất, chiều dài cọc &gt;10m, đất cấp II, phần không ngập đất (NC, MTC * 0,75)</v>
      </c>
      <c r="E200" s="144"/>
      <c r="F200" s="144"/>
      <c r="G200" s="168"/>
      <c r="H200" s="20">
        <v>1</v>
      </c>
      <c r="I200" s="45">
        <f>'Hao phí vật tư'!K1097</f>
        <v>5.2110000000000003</v>
      </c>
      <c r="J200" s="166"/>
      <c r="K200" s="156">
        <f>ROUND(I200*J185,2)</f>
        <v>1347043.5</v>
      </c>
      <c r="L200" s="55" t="str">
        <f>'Công trình'!X143</f>
        <v>HCM_2016_QD_3384_XD</v>
      </c>
      <c r="M200" s="166"/>
      <c r="N200" s="166"/>
      <c r="O200" s="156">
        <f>ROUND(I200*N185,2)</f>
        <v>0</v>
      </c>
      <c r="P200" s="156">
        <f>ROUND(I200*M185,2)</f>
        <v>1347043.5</v>
      </c>
    </row>
    <row r="201" spans="1:16" ht="30" hidden="1" x14ac:dyDescent="0.25">
      <c r="A201" s="168"/>
      <c r="B201" s="133" t="str">
        <f>'Công trình'!B146</f>
        <v>AC.23110</v>
      </c>
      <c r="C201" s="34"/>
      <c r="D201" s="133" t="str">
        <f>'Công trình'!C146</f>
        <v>Nhổ cọc thép hình làm tường chắn đất, sàn thao tác trên cạn</v>
      </c>
      <c r="E201" s="144"/>
      <c r="F201" s="144"/>
      <c r="G201" s="168"/>
      <c r="H201" s="20">
        <v>1</v>
      </c>
      <c r="I201" s="45">
        <f>'Hao phí vật tư'!K1107</f>
        <v>9.5760000000000005</v>
      </c>
      <c r="J201" s="166"/>
      <c r="K201" s="156">
        <f>ROUND(I201*J185,2)</f>
        <v>2475396</v>
      </c>
      <c r="L201" s="55" t="str">
        <f>'Công trình'!X146</f>
        <v>HCM_2016_QD_3384_XD</v>
      </c>
      <c r="M201" s="166"/>
      <c r="N201" s="166"/>
      <c r="O201" s="156">
        <f>ROUND(I201*N185,2)</f>
        <v>0</v>
      </c>
      <c r="P201" s="156">
        <f>ROUND(I201*M185,2)</f>
        <v>2475396</v>
      </c>
    </row>
    <row r="202" spans="1:16" ht="30" hidden="1" x14ac:dyDescent="0.25">
      <c r="A202" s="168"/>
      <c r="B202" s="133" t="str">
        <f>'Công trình'!B118</f>
        <v>AC.23110</v>
      </c>
      <c r="C202" s="34"/>
      <c r="D202" s="133" t="str">
        <f>'Công trình'!C118</f>
        <v>Nhổ cọc thép hình làm tường chắn đất, sàn thao tác trên cạn</v>
      </c>
      <c r="E202" s="144"/>
      <c r="F202" s="144"/>
      <c r="G202" s="168"/>
      <c r="H202" s="20">
        <v>1</v>
      </c>
      <c r="I202" s="45">
        <f>'Hao phí vật tư'!K931</f>
        <v>7.4480000000000004</v>
      </c>
      <c r="J202" s="166"/>
      <c r="K202" s="156">
        <f>ROUND(I202*J185,2)</f>
        <v>1925308</v>
      </c>
      <c r="L202" s="55" t="str">
        <f>'Công trình'!X118</f>
        <v>HCM_2016_QD_3384_XD</v>
      </c>
      <c r="M202" s="166"/>
      <c r="N202" s="166"/>
      <c r="O202" s="156">
        <f>ROUND(I202*N185,2)</f>
        <v>0</v>
      </c>
      <c r="P202" s="156">
        <f>ROUND(I202*M185,2)</f>
        <v>1925308</v>
      </c>
    </row>
    <row r="203" spans="1:16" ht="30" hidden="1" x14ac:dyDescent="0.25">
      <c r="A203" s="168"/>
      <c r="B203" s="133" t="str">
        <f>'Công trình'!B129</f>
        <v>AC.23110</v>
      </c>
      <c r="C203" s="34"/>
      <c r="D203" s="133" t="str">
        <f>'Công trình'!C129</f>
        <v>Nhổ cọc thép hình làm tường chắn đất, sàn thao tác trên cạn</v>
      </c>
      <c r="E203" s="144"/>
      <c r="F203" s="144"/>
      <c r="G203" s="168"/>
      <c r="H203" s="20">
        <v>1</v>
      </c>
      <c r="I203" s="45">
        <f>'Hao phí vật tư'!K1003</f>
        <v>1.2767999999999999</v>
      </c>
      <c r="J203" s="166"/>
      <c r="K203" s="156">
        <f>ROUND(I203*J185,2)</f>
        <v>330052.8</v>
      </c>
      <c r="L203" s="55" t="str">
        <f>'Công trình'!X129</f>
        <v>HCM_2016_QD_3384_XD</v>
      </c>
      <c r="M203" s="166"/>
      <c r="N203" s="166"/>
      <c r="O203" s="156">
        <f>ROUND(I203*N185,2)</f>
        <v>0</v>
      </c>
      <c r="P203" s="156">
        <f>ROUND(I203*M185,2)</f>
        <v>330052.8</v>
      </c>
    </row>
    <row r="204" spans="1:16" ht="45" hidden="1" x14ac:dyDescent="0.25">
      <c r="A204" s="168"/>
      <c r="B204" s="133" t="str">
        <f>'Công trình'!B162</f>
        <v>AC.22522</v>
      </c>
      <c r="C204" s="34"/>
      <c r="D204" s="133" t="str">
        <f>'Công trình'!C162</f>
        <v>Đóng cọc thép hình I350x150, dài 14m đóng ngập đất 11m trên mặt đất, đất cấp II, phần ngập đất</v>
      </c>
      <c r="E204" s="144"/>
      <c r="F204" s="144"/>
      <c r="G204" s="168"/>
      <c r="H204" s="20">
        <v>1</v>
      </c>
      <c r="I204" s="45">
        <f>'Hao phí vật tư'!K1234</f>
        <v>20.697600000000001</v>
      </c>
      <c r="J204" s="166"/>
      <c r="K204" s="156">
        <f>ROUND(I204*J185,2)</f>
        <v>5350329.5999999996</v>
      </c>
      <c r="L204" s="55" t="str">
        <f>'Công trình'!X162</f>
        <v>HCM_2016_QD_3384_XD</v>
      </c>
      <c r="M204" s="166"/>
      <c r="N204" s="166"/>
      <c r="O204" s="156">
        <f>ROUND(I204*N185,2)</f>
        <v>0</v>
      </c>
      <c r="P204" s="156">
        <f>ROUND(I204*M185,2)</f>
        <v>5350329.5999999996</v>
      </c>
    </row>
    <row r="205" spans="1:16" ht="45" hidden="1" x14ac:dyDescent="0.25">
      <c r="A205" s="168"/>
      <c r="B205" s="133" t="str">
        <f>'Công trình'!B163</f>
        <v>AC.22522</v>
      </c>
      <c r="C205" s="34"/>
      <c r="D205" s="133" t="str">
        <f>'Công trình'!C163</f>
        <v>Đóng cọc thép hình I350x150, dài 14m đóng không ngập đất 3m, đất cấp II, phần không ngập đất (NC, MTC * 0,75)</v>
      </c>
      <c r="E205" s="144"/>
      <c r="F205" s="144"/>
      <c r="G205" s="168"/>
      <c r="H205" s="20">
        <v>1</v>
      </c>
      <c r="I205" s="45">
        <f>'Hao phí vật tư'!K1243</f>
        <v>4.8635999999999999</v>
      </c>
      <c r="J205" s="166"/>
      <c r="K205" s="156">
        <f>ROUND(I205*J185,2)</f>
        <v>1257240.6000000001</v>
      </c>
      <c r="L205" s="55" t="str">
        <f>'Công trình'!X163</f>
        <v>HCM_2016_QD_3384_XD</v>
      </c>
      <c r="M205" s="166"/>
      <c r="N205" s="166"/>
      <c r="O205" s="156">
        <f>ROUND(I205*N185,2)</f>
        <v>0</v>
      </c>
      <c r="P205" s="156">
        <f>ROUND(I205*M185,2)</f>
        <v>1257240.6000000001</v>
      </c>
    </row>
    <row r="206" spans="1:16" ht="30" hidden="1" x14ac:dyDescent="0.25">
      <c r="A206" s="168"/>
      <c r="B206" s="133" t="str">
        <f>'Công trình'!B166</f>
        <v>AC.23110</v>
      </c>
      <c r="C206" s="34"/>
      <c r="D206" s="133" t="str">
        <f>'Công trình'!C166</f>
        <v>Nhổ cọc thép hình làm tường chắn đất, sàn thao tác trên cạn</v>
      </c>
      <c r="E206" s="144"/>
      <c r="F206" s="144"/>
      <c r="G206" s="168"/>
      <c r="H206" s="20">
        <v>1</v>
      </c>
      <c r="I206" s="45">
        <f>'Hao phí vật tư'!K1253</f>
        <v>10.427199999999999</v>
      </c>
      <c r="J206" s="166"/>
      <c r="K206" s="156">
        <f>ROUND(I206*J185,2)</f>
        <v>2695431.2</v>
      </c>
      <c r="L206" s="55" t="str">
        <f>'Công trình'!X166</f>
        <v>HCM_2016_QD_3384_XD</v>
      </c>
      <c r="M206" s="166"/>
      <c r="N206" s="166"/>
      <c r="O206" s="156">
        <f>ROUND(I206*N185,2)</f>
        <v>0</v>
      </c>
      <c r="P206" s="156">
        <f>ROUND(I206*M185,2)</f>
        <v>2695431.2</v>
      </c>
    </row>
    <row r="207" spans="1:16" ht="30" hidden="1" x14ac:dyDescent="0.25">
      <c r="A207" s="168"/>
      <c r="B207" s="133" t="str">
        <f>'Công trình'!B169</f>
        <v>AG.42141</v>
      </c>
      <c r="C207" s="34"/>
      <c r="D207" s="133" t="str">
        <f>'Công trình'!C169</f>
        <v>Lắp các loại cấu kiện BT đúc sẵn bằng thủ công trọng lượng &gt;250kg, vữa XM mác 100</v>
      </c>
      <c r="E207" s="144"/>
      <c r="F207" s="144"/>
      <c r="G207" s="168"/>
      <c r="H207" s="20">
        <v>1</v>
      </c>
      <c r="I207" s="45">
        <f>'Hao phí vật tư'!K1286</f>
        <v>51.85</v>
      </c>
      <c r="J207" s="166"/>
      <c r="K207" s="156">
        <f>ROUND(I207*J185,2)</f>
        <v>13403225</v>
      </c>
      <c r="L207" s="55" t="str">
        <f>'Công trình'!X169</f>
        <v>HCM_2016_QD_3384_XD</v>
      </c>
      <c r="M207" s="166"/>
      <c r="N207" s="166"/>
      <c r="O207" s="156">
        <f>ROUND(I207*N185,2)</f>
        <v>0</v>
      </c>
      <c r="P207" s="156">
        <f>ROUND(I207*M185,2)</f>
        <v>13403225</v>
      </c>
    </row>
    <row r="208" spans="1:16" ht="30" hidden="1" x14ac:dyDescent="0.25">
      <c r="A208" s="168"/>
      <c r="B208" s="133" t="str">
        <f>'Công trình'!B213</f>
        <v>AL.25121</v>
      </c>
      <c r="C208" s="34"/>
      <c r="D208" s="133" t="str">
        <f>'Công trình'!C213</f>
        <v>Lắp đặt khe co giãn dầm liên tục</v>
      </c>
      <c r="E208" s="144"/>
      <c r="F208" s="144"/>
      <c r="G208" s="168"/>
      <c r="H208" s="20">
        <v>1</v>
      </c>
      <c r="I208" s="45">
        <f>'Hao phí vật tư'!K1620</f>
        <v>14.4</v>
      </c>
      <c r="J208" s="166"/>
      <c r="K208" s="156">
        <f>ROUND(I208*J185,2)</f>
        <v>3722400</v>
      </c>
      <c r="L208" s="55" t="str">
        <f>'Công trình'!X213</f>
        <v>HCM_2016_QD_3384_XD</v>
      </c>
      <c r="M208" s="166"/>
      <c r="N208" s="166"/>
      <c r="O208" s="156">
        <f>ROUND(I208*N185,2)</f>
        <v>0</v>
      </c>
      <c r="P208" s="156">
        <f>ROUND(I208*M185,2)</f>
        <v>3722400</v>
      </c>
    </row>
    <row r="209" spans="1:16" ht="30" hidden="1" x14ac:dyDescent="0.25">
      <c r="A209" s="168"/>
      <c r="B209" s="133" t="str">
        <f>'Công trình'!B235</f>
        <v>AA.22310</v>
      </c>
      <c r="C209" s="34"/>
      <c r="D209" s="133" t="str">
        <f>'Công trình'!C235</f>
        <v>Đập đầu cọc trên cạn</v>
      </c>
      <c r="E209" s="144"/>
      <c r="F209" s="144"/>
      <c r="G209" s="168"/>
      <c r="H209" s="20">
        <v>1</v>
      </c>
      <c r="I209" s="45">
        <f>'Hao phí vật tư'!K1796</f>
        <v>1.0584</v>
      </c>
      <c r="J209" s="166"/>
      <c r="K209" s="156">
        <f>ROUND(I209*J185,2)</f>
        <v>273596.40000000002</v>
      </c>
      <c r="L209" s="55" t="str">
        <f>'Công trình'!X235</f>
        <v>HCM_2016_QD_3384_XD</v>
      </c>
      <c r="M209" s="166"/>
      <c r="N209" s="166"/>
      <c r="O209" s="156">
        <f>ROUND(I209*N185,2)</f>
        <v>0</v>
      </c>
      <c r="P209" s="156">
        <f>ROUND(I209*M185,2)</f>
        <v>273596.40000000002</v>
      </c>
    </row>
    <row r="210" spans="1:16" ht="30" hidden="1" x14ac:dyDescent="0.25">
      <c r="A210" s="168"/>
      <c r="B210" s="133" t="str">
        <f>'Công trình'!B234</f>
        <v>AC.29341</v>
      </c>
      <c r="C210" s="34"/>
      <c r="D210" s="133" t="str">
        <f>'Công trình'!C234</f>
        <v>Nối cọc BTCT 35x35cm</v>
      </c>
      <c r="E210" s="144"/>
      <c r="F210" s="144"/>
      <c r="G210" s="168"/>
      <c r="H210" s="20">
        <v>1</v>
      </c>
      <c r="I210" s="45">
        <f>'Hao phí vật tư'!K1788</f>
        <v>24.3</v>
      </c>
      <c r="J210" s="166"/>
      <c r="K210" s="156">
        <f>ROUND(I210*J185,2)</f>
        <v>6281550</v>
      </c>
      <c r="L210" s="55" t="str">
        <f>'Công trình'!X234</f>
        <v>HCM_2016_QD_3384_XD</v>
      </c>
      <c r="M210" s="166"/>
      <c r="N210" s="166"/>
      <c r="O210" s="156">
        <f>ROUND(I210*N185,2)</f>
        <v>0</v>
      </c>
      <c r="P210" s="156">
        <f>ROUND(I210*M185,2)</f>
        <v>6281550</v>
      </c>
    </row>
    <row r="211" spans="1:16" ht="30" hidden="1" x14ac:dyDescent="0.25">
      <c r="A211" s="168"/>
      <c r="B211" s="133" t="str">
        <f>'Công trình'!B241</f>
        <v>AD.11222</v>
      </c>
      <c r="C211" s="34"/>
      <c r="D211" s="133" t="str">
        <f>'Công trình'!C241</f>
        <v>Làm móng lớp trên cấp phối đá dăm, đường làm mới</v>
      </c>
      <c r="E211" s="144"/>
      <c r="F211" s="144"/>
      <c r="G211" s="168"/>
      <c r="H211" s="20">
        <v>1</v>
      </c>
      <c r="I211" s="45">
        <f>'Hao phí vật tư'!K1825</f>
        <v>4.7098000000000004</v>
      </c>
      <c r="J211" s="166"/>
      <c r="K211" s="156">
        <f>ROUND(I211*J185,2)</f>
        <v>1217483.3</v>
      </c>
      <c r="L211" s="55" t="str">
        <f>'Công trình'!X241</f>
        <v>HCM_2016_QD_3384_XD</v>
      </c>
      <c r="M211" s="166"/>
      <c r="N211" s="166"/>
      <c r="O211" s="156">
        <f>ROUND(I211*N185,2)</f>
        <v>0</v>
      </c>
      <c r="P211" s="156">
        <f>ROUND(I211*M185,2)</f>
        <v>1217483.3</v>
      </c>
    </row>
    <row r="212" spans="1:16" ht="30" hidden="1" x14ac:dyDescent="0.25">
      <c r="A212" s="168"/>
      <c r="B212" s="133" t="str">
        <f>'Công trình'!B275</f>
        <v>AD.34130</v>
      </c>
      <c r="C212" s="34"/>
      <c r="D212" s="133" t="str">
        <f>'Công trình'!C275</f>
        <v>Lắp đặt dải phân cách bằng tôn lượn sóng</v>
      </c>
      <c r="E212" s="144"/>
      <c r="F212" s="144"/>
      <c r="G212" s="168"/>
      <c r="H212" s="20">
        <v>1</v>
      </c>
      <c r="I212" s="45">
        <f>'Hao phí vật tư'!K2091</f>
        <v>5.07</v>
      </c>
      <c r="J212" s="166"/>
      <c r="K212" s="156">
        <f>ROUND(I212*J185,2)</f>
        <v>1310595</v>
      </c>
      <c r="L212" s="55" t="str">
        <f>'Công trình'!X275</f>
        <v>HCM_2016_QD_3384_XD</v>
      </c>
      <c r="M212" s="166"/>
      <c r="N212" s="166"/>
      <c r="O212" s="156">
        <f>ROUND(I212*N185,2)</f>
        <v>0</v>
      </c>
      <c r="P212" s="156">
        <f>ROUND(I212*M185,2)</f>
        <v>1310595</v>
      </c>
    </row>
    <row r="213" spans="1:16" ht="30" hidden="1" x14ac:dyDescent="0.25">
      <c r="A213" s="168"/>
      <c r="B213" s="133" t="str">
        <f>'Công trình'!B252</f>
        <v>AG.42111</v>
      </c>
      <c r="C213" s="34"/>
      <c r="D213" s="133" t="str">
        <f>'Công trình'!C252</f>
        <v>Lắp các loại cấu kiện BT đúc sẵn bằng thủ công trọng lượng &lt;=50kg, vữa XM mác 100</v>
      </c>
      <c r="E213" s="144"/>
      <c r="F213" s="144"/>
      <c r="G213" s="168"/>
      <c r="H213" s="20">
        <v>1</v>
      </c>
      <c r="I213" s="45">
        <f>'Hao phí vật tư'!K1927</f>
        <v>1045.2</v>
      </c>
      <c r="J213" s="166"/>
      <c r="K213" s="156">
        <f>ROUND(I213*J185,2)</f>
        <v>270184200</v>
      </c>
      <c r="L213" s="55" t="str">
        <f>'Công trình'!X252</f>
        <v>HCM_2016_QD_3384_XD</v>
      </c>
      <c r="M213" s="166"/>
      <c r="N213" s="166"/>
      <c r="O213" s="156">
        <f>ROUND(I213*N185,2)</f>
        <v>0</v>
      </c>
      <c r="P213" s="156">
        <f>ROUND(I213*M185,2)</f>
        <v>270184200</v>
      </c>
    </row>
    <row r="214" spans="1:16" ht="30" hidden="1" x14ac:dyDescent="0.25">
      <c r="A214" s="168"/>
      <c r="B214" s="133" t="str">
        <f>'Công trình'!B303</f>
        <v>AG.42111</v>
      </c>
      <c r="C214" s="34"/>
      <c r="D214" s="133" t="str">
        <f>'Công trình'!C303</f>
        <v>Lắp các loại cấu kiện BT đúc sẵn bằng thủ công trọng lượng &lt;=50kg, vữa XM mác 100</v>
      </c>
      <c r="E214" s="144"/>
      <c r="F214" s="144"/>
      <c r="G214" s="168"/>
      <c r="H214" s="20">
        <v>1</v>
      </c>
      <c r="I214" s="45">
        <f>'Hao phí vật tư'!K2278</f>
        <v>6</v>
      </c>
      <c r="J214" s="166"/>
      <c r="K214" s="156">
        <f>ROUND(I214*J185,2)</f>
        <v>1551000</v>
      </c>
      <c r="L214" s="55" t="str">
        <f>'Công trình'!X303</f>
        <v>HCM_2016_QD_3384_XD</v>
      </c>
      <c r="M214" s="166"/>
      <c r="N214" s="166"/>
      <c r="O214" s="156">
        <f>ROUND(I214*N185,2)</f>
        <v>0</v>
      </c>
      <c r="P214" s="156">
        <f>ROUND(I214*M185,2)</f>
        <v>1551000</v>
      </c>
    </row>
    <row r="215" spans="1:16" ht="30" hidden="1" x14ac:dyDescent="0.25">
      <c r="A215" s="168"/>
      <c r="B215" s="133" t="str">
        <f>'Công trình'!B178</f>
        <v>AL.25112</v>
      </c>
      <c r="C215" s="34"/>
      <c r="D215" s="133" t="str">
        <f>'Công trình'!C178</f>
        <v>Gối cao su (56x20.3x5)cm</v>
      </c>
      <c r="E215" s="144"/>
      <c r="F215" s="144"/>
      <c r="G215" s="168"/>
      <c r="H215" s="20">
        <v>1</v>
      </c>
      <c r="I215" s="45">
        <f>'Hao phí vật tư'!K1350</f>
        <v>42</v>
      </c>
      <c r="J215" s="166"/>
      <c r="K215" s="156">
        <f>ROUND(I215*J185,2)</f>
        <v>10857000</v>
      </c>
      <c r="L215" s="55" t="str">
        <f>'Công trình'!X178</f>
        <v>HCM_2016_QD_3384_XD</v>
      </c>
      <c r="M215" s="166"/>
      <c r="N215" s="166"/>
      <c r="O215" s="156">
        <f>ROUND(I215*N185,2)</f>
        <v>0</v>
      </c>
      <c r="P215" s="156">
        <f>ROUND(I215*M185,2)</f>
        <v>10857000</v>
      </c>
    </row>
    <row r="216" spans="1:16" ht="30" hidden="1" x14ac:dyDescent="0.25">
      <c r="A216" s="168"/>
      <c r="B216" s="133" t="str">
        <f>'Công trình'!B188</f>
        <v>AL.25112</v>
      </c>
      <c r="C216" s="34"/>
      <c r="D216" s="133" t="str">
        <f>'Công trình'!C188</f>
        <v>Gối cao su (56x20.3x5)cm</v>
      </c>
      <c r="E216" s="144"/>
      <c r="F216" s="144"/>
      <c r="G216" s="168"/>
      <c r="H216" s="20">
        <v>1</v>
      </c>
      <c r="I216" s="45">
        <f>'Hao phí vật tư'!K1441</f>
        <v>84</v>
      </c>
      <c r="J216" s="166"/>
      <c r="K216" s="156">
        <f>ROUND(I216*J185,2)</f>
        <v>21714000</v>
      </c>
      <c r="L216" s="55" t="str">
        <f>'Công trình'!X188</f>
        <v>HCM_2016_QD_3384_XD</v>
      </c>
      <c r="M216" s="166"/>
      <c r="N216" s="166"/>
      <c r="O216" s="156">
        <f>ROUND(I216*N185,2)</f>
        <v>0</v>
      </c>
      <c r="P216" s="156">
        <f>ROUND(I216*M185,2)</f>
        <v>21714000</v>
      </c>
    </row>
    <row r="217" spans="1:16" ht="30" hidden="1" x14ac:dyDescent="0.25">
      <c r="A217" s="168"/>
      <c r="B217" s="133" t="str">
        <f>'Công trình'!B93</f>
        <v>AD.11212</v>
      </c>
      <c r="C217" s="34"/>
      <c r="D217" s="133" t="str">
        <f>'Công trình'!C93</f>
        <v>Cấp phối đá 0x4</v>
      </c>
      <c r="E217" s="144"/>
      <c r="F217" s="144"/>
      <c r="G217" s="168"/>
      <c r="H217" s="20">
        <v>1</v>
      </c>
      <c r="I217" s="45">
        <f>'Hao phí vật tư'!K757</f>
        <v>2.73</v>
      </c>
      <c r="J217" s="166"/>
      <c r="K217" s="156">
        <f>ROUND(I217*J185,2)</f>
        <v>705705</v>
      </c>
      <c r="L217" s="55" t="str">
        <f>'Công trình'!X93</f>
        <v>HCM_2016_QD_3384_XD</v>
      </c>
      <c r="M217" s="166"/>
      <c r="N217" s="166"/>
      <c r="O217" s="156">
        <f>ROUND(I217*N185,2)</f>
        <v>0</v>
      </c>
      <c r="P217" s="156">
        <f>ROUND(I217*M185,2)</f>
        <v>705705</v>
      </c>
    </row>
    <row r="218" spans="1:16" ht="30" hidden="1" x14ac:dyDescent="0.25">
      <c r="A218" s="168"/>
      <c r="B218" s="133" t="str">
        <f>'Công trình'!B135</f>
        <v>AC.23210</v>
      </c>
      <c r="C218" s="34"/>
      <c r="D218" s="133" t="str">
        <f>'Công trình'!C135</f>
        <v>Nhổ cọc cừ Larsen 3, larsen 4 trên cạn bằng búa rung, cần cẩu 25T</v>
      </c>
      <c r="E218" s="144"/>
      <c r="F218" s="144"/>
      <c r="G218" s="168"/>
      <c r="H218" s="20">
        <v>1</v>
      </c>
      <c r="I218" s="45">
        <f>'Hao phí vật tư'!K1031</f>
        <v>227.79900000000001</v>
      </c>
      <c r="J218" s="166"/>
      <c r="K218" s="156">
        <f>ROUND(I218*J185,2)</f>
        <v>58886041.5</v>
      </c>
      <c r="L218" s="55" t="str">
        <f>'Công trình'!X135</f>
        <v>HCM_2016_QD_3384_XD</v>
      </c>
      <c r="M218" s="166"/>
      <c r="N218" s="166"/>
      <c r="O218" s="156">
        <f>ROUND(I218*N185,2)</f>
        <v>0</v>
      </c>
      <c r="P218" s="156">
        <f>ROUND(I218*M185,2)</f>
        <v>58886041.5</v>
      </c>
    </row>
    <row r="219" spans="1:16" x14ac:dyDescent="0.25">
      <c r="A219" s="168">
        <v>8</v>
      </c>
      <c r="B219" s="84" t="s">
        <v>181</v>
      </c>
      <c r="C219" s="34">
        <v>552</v>
      </c>
      <c r="D219" s="144" t="s">
        <v>456</v>
      </c>
      <c r="E219" s="144" t="s">
        <v>939</v>
      </c>
      <c r="F219" s="144" t="s">
        <v>939</v>
      </c>
      <c r="G219" s="168" t="s">
        <v>450</v>
      </c>
      <c r="H219" s="34"/>
      <c r="I219" s="60">
        <f>SUM(I220:I220)</f>
        <v>314.94420000000002</v>
      </c>
      <c r="J219" s="166">
        <v>242954</v>
      </c>
      <c r="K219" s="166">
        <f>ROUND(I219*J219,0)</f>
        <v>76516953</v>
      </c>
      <c r="L219" s="69">
        <v>1</v>
      </c>
      <c r="M219" s="166">
        <v>242954</v>
      </c>
      <c r="N219" s="166">
        <f>M219-J219</f>
        <v>0</v>
      </c>
      <c r="O219" s="166">
        <f>ROUND(I219*N219,0)</f>
        <v>0</v>
      </c>
      <c r="P219" s="166">
        <f>ROUND(I219*M219,0)</f>
        <v>76516953</v>
      </c>
    </row>
    <row r="220" spans="1:16" ht="30" hidden="1" x14ac:dyDescent="0.25">
      <c r="A220" s="168"/>
      <c r="B220" s="133" t="str">
        <f>'Công trình'!B262</f>
        <v>AI.21152</v>
      </c>
      <c r="C220" s="34"/>
      <c r="D220" s="133" t="str">
        <f>'Công trình'!C262</f>
        <v>Sản xuất kết cấu thép lan can cầu đường bộ</v>
      </c>
      <c r="E220" s="144"/>
      <c r="F220" s="144"/>
      <c r="G220" s="168"/>
      <c r="H220" s="20">
        <v>1</v>
      </c>
      <c r="I220" s="45">
        <f>'Hao phí vật tư'!K2000</f>
        <v>314.94420000000002</v>
      </c>
      <c r="J220" s="166"/>
      <c r="K220" s="156">
        <f>ROUND(I220*J219,2)</f>
        <v>76516953.170000002</v>
      </c>
      <c r="L220" s="55" t="str">
        <f>'Công trình'!X262</f>
        <v>HCM_2016_QD_3384_XD</v>
      </c>
      <c r="M220" s="166"/>
      <c r="N220" s="166"/>
      <c r="O220" s="156">
        <f>ROUND(I220*N219,2)</f>
        <v>0</v>
      </c>
      <c r="P220" s="156">
        <f>ROUND(I220*M219,2)</f>
        <v>76516953.170000002</v>
      </c>
    </row>
    <row r="221" spans="1:16" x14ac:dyDescent="0.25">
      <c r="A221" s="168">
        <v>9</v>
      </c>
      <c r="B221" s="84" t="s">
        <v>126</v>
      </c>
      <c r="C221" s="34">
        <v>553</v>
      </c>
      <c r="D221" s="144" t="s">
        <v>930</v>
      </c>
      <c r="E221" s="144" t="s">
        <v>939</v>
      </c>
      <c r="F221" s="144" t="s">
        <v>939</v>
      </c>
      <c r="G221" s="168" t="s">
        <v>450</v>
      </c>
      <c r="H221" s="34"/>
      <c r="I221" s="60">
        <f>SUM(I222:I229)</f>
        <v>287.94079999999997</v>
      </c>
      <c r="J221" s="166">
        <v>251269</v>
      </c>
      <c r="K221" s="166">
        <f>ROUND(I221*J221,0)</f>
        <v>72350597</v>
      </c>
      <c r="L221" s="69">
        <v>1</v>
      </c>
      <c r="M221" s="166">
        <v>251269</v>
      </c>
      <c r="N221" s="166">
        <f>M221-J221</f>
        <v>0</v>
      </c>
      <c r="O221" s="166">
        <f>ROUND(I221*N221,0)</f>
        <v>0</v>
      </c>
      <c r="P221" s="166">
        <f>ROUND(I221*M221,0)</f>
        <v>72350597</v>
      </c>
    </row>
    <row r="222" spans="1:16" ht="30" hidden="1" x14ac:dyDescent="0.25">
      <c r="A222" s="168"/>
      <c r="B222" s="133" t="str">
        <f>'Công trình'!B39</f>
        <v>AI.13111</v>
      </c>
      <c r="C222" s="34"/>
      <c r="D222" s="133" t="str">
        <f>'Công trình'!C39</f>
        <v>Sản xuất cấu kiện thép đặt sẵn trong bê tông, khối lượng &lt;=10kg/cấu kiện</v>
      </c>
      <c r="E222" s="144"/>
      <c r="F222" s="144"/>
      <c r="G222" s="168"/>
      <c r="H222" s="20">
        <v>1</v>
      </c>
      <c r="I222" s="45">
        <f>'Hao phí vật tư'!K299</f>
        <v>0.36299999999999999</v>
      </c>
      <c r="J222" s="166"/>
      <c r="K222" s="156">
        <f>ROUND(I222*J221,2)</f>
        <v>91210.65</v>
      </c>
      <c r="L222" s="55" t="str">
        <f>'Công trình'!X39</f>
        <v>HCM_2016_QD_3384_XD</v>
      </c>
      <c r="M222" s="166"/>
      <c r="N222" s="166"/>
      <c r="O222" s="156">
        <f>ROUND(I222*N221,2)</f>
        <v>0</v>
      </c>
      <c r="P222" s="156">
        <f>ROUND(I222*M221,2)</f>
        <v>91210.65</v>
      </c>
    </row>
    <row r="223" spans="1:16" ht="30" hidden="1" x14ac:dyDescent="0.25">
      <c r="A223" s="168"/>
      <c r="B223" s="133" t="str">
        <f>'Công trình'!B72</f>
        <v>AI.13111</v>
      </c>
      <c r="C223" s="34"/>
      <c r="D223" s="133" t="str">
        <f>'Công trình'!C72</f>
        <v>Sản xuất cấu kiện thép đặt sẵn trong bê tông, khối lượng &lt;=10kg/cấu kiện</v>
      </c>
      <c r="E223" s="144"/>
      <c r="F223" s="144"/>
      <c r="G223" s="168"/>
      <c r="H223" s="20">
        <v>1</v>
      </c>
      <c r="I223" s="45">
        <f>'Hao phí vật tư'!K555</f>
        <v>37.859499999999997</v>
      </c>
      <c r="J223" s="166"/>
      <c r="K223" s="156">
        <f>ROUND(I223*J221,2)</f>
        <v>9512918.7100000009</v>
      </c>
      <c r="L223" s="55" t="str">
        <f>'Công trình'!X72</f>
        <v>HCM_2016_QD_3384_XD</v>
      </c>
      <c r="M223" s="166"/>
      <c r="N223" s="166"/>
      <c r="O223" s="156">
        <f>ROUND(I223*N221,2)</f>
        <v>0</v>
      </c>
      <c r="P223" s="156">
        <f>ROUND(I223*M221,2)</f>
        <v>9512918.7100000009</v>
      </c>
    </row>
    <row r="224" spans="1:16" ht="30" hidden="1" x14ac:dyDescent="0.25">
      <c r="A224" s="168"/>
      <c r="B224" s="133" t="str">
        <f>'Công trình'!B74</f>
        <v>AI.52211</v>
      </c>
      <c r="C224" s="34"/>
      <c r="D224" s="133" t="str">
        <f>'Công trình'!C74</f>
        <v>Sản xuất kết cấu thép hộp nối cọc</v>
      </c>
      <c r="E224" s="144"/>
      <c r="F224" s="144"/>
      <c r="G224" s="168"/>
      <c r="H224" s="20">
        <v>1</v>
      </c>
      <c r="I224" s="45">
        <f>'Hao phí vật tư'!K582</f>
        <v>68.876499999999993</v>
      </c>
      <c r="J224" s="166"/>
      <c r="K224" s="156">
        <f>ROUND(I224*J221,2)</f>
        <v>17306529.280000001</v>
      </c>
      <c r="L224" s="55" t="str">
        <f>'Công trình'!X74</f>
        <v>HCM_2016_QD_3384_XD</v>
      </c>
      <c r="M224" s="166"/>
      <c r="N224" s="166"/>
      <c r="O224" s="156">
        <f>ROUND(I224*N221,2)</f>
        <v>0</v>
      </c>
      <c r="P224" s="156">
        <f>ROUND(I224*M221,2)</f>
        <v>17306529.280000001</v>
      </c>
    </row>
    <row r="225" spans="1:16" ht="30" hidden="1" x14ac:dyDescent="0.25">
      <c r="A225" s="168"/>
      <c r="B225" s="133" t="str">
        <f>'Công trình'!B83</f>
        <v>AI.13111</v>
      </c>
      <c r="C225" s="34"/>
      <c r="D225" s="133" t="str">
        <f>'Công trình'!C83</f>
        <v>Sản xuất cấu kiện thép đặt sẵn trong bê tông, khối lượng &lt;=10kg/cấu kiện</v>
      </c>
      <c r="E225" s="144"/>
      <c r="F225" s="144"/>
      <c r="G225" s="168"/>
      <c r="H225" s="20">
        <v>1</v>
      </c>
      <c r="I225" s="45">
        <f>'Hao phí vật tư'!K671</f>
        <v>17.879300000000001</v>
      </c>
      <c r="J225" s="166"/>
      <c r="K225" s="156">
        <f>ROUND(I225*J221,2)</f>
        <v>4492513.83</v>
      </c>
      <c r="L225" s="55" t="str">
        <f>'Công trình'!X83</f>
        <v>HCM_2016_QD_3384_XD</v>
      </c>
      <c r="M225" s="166"/>
      <c r="N225" s="166"/>
      <c r="O225" s="156">
        <f>ROUND(I225*N221,2)</f>
        <v>0</v>
      </c>
      <c r="P225" s="156">
        <f>ROUND(I225*M221,2)</f>
        <v>4492513.83</v>
      </c>
    </row>
    <row r="226" spans="1:16" ht="30" hidden="1" x14ac:dyDescent="0.25">
      <c r="A226" s="168"/>
      <c r="B226" s="133" t="str">
        <f>'Công trình'!B85</f>
        <v>AI.52211</v>
      </c>
      <c r="C226" s="34"/>
      <c r="D226" s="133" t="str">
        <f>'Công trình'!C85</f>
        <v>Sản xuất kết cấu thép hộp nối cọc</v>
      </c>
      <c r="E226" s="144"/>
      <c r="F226" s="144"/>
      <c r="G226" s="168"/>
      <c r="H226" s="20">
        <v>1</v>
      </c>
      <c r="I226" s="45">
        <f>'Hao phí vật tư'!K698</f>
        <v>29.9574</v>
      </c>
      <c r="J226" s="166"/>
      <c r="K226" s="156">
        <f>ROUND(I226*J221,2)</f>
        <v>7527365.9400000004</v>
      </c>
      <c r="L226" s="55" t="str">
        <f>'Công trình'!X85</f>
        <v>HCM_2016_QD_3384_XD</v>
      </c>
      <c r="M226" s="166"/>
      <c r="N226" s="166"/>
      <c r="O226" s="156">
        <f>ROUND(I226*N221,2)</f>
        <v>0</v>
      </c>
      <c r="P226" s="156">
        <f>ROUND(I226*M221,2)</f>
        <v>7527365.9400000004</v>
      </c>
    </row>
    <row r="227" spans="1:16" ht="30" hidden="1" x14ac:dyDescent="0.25">
      <c r="A227" s="168"/>
      <c r="B227" s="133" t="str">
        <f>'Công trình'!B229</f>
        <v>AI.13111</v>
      </c>
      <c r="C227" s="34"/>
      <c r="D227" s="133" t="str">
        <f>'Công trình'!C229</f>
        <v>Sản xuất cấu kiện thép đặt sẵn trong bê tông, khối lượng &lt;=10kg/cấu kiện</v>
      </c>
      <c r="E227" s="144"/>
      <c r="F227" s="144"/>
      <c r="G227" s="168"/>
      <c r="H227" s="20">
        <v>1</v>
      </c>
      <c r="I227" s="45">
        <f>'Hao phí vật tư'!K1731</f>
        <v>34.5929</v>
      </c>
      <c r="J227" s="166"/>
      <c r="K227" s="156">
        <f>ROUND(I227*J221,2)</f>
        <v>8692123.3900000006</v>
      </c>
      <c r="L227" s="55" t="str">
        <f>'Công trình'!X229</f>
        <v>HCM_2016_QD_3384_XD</v>
      </c>
      <c r="M227" s="166"/>
      <c r="N227" s="166"/>
      <c r="O227" s="156">
        <f>ROUND(I227*N221,2)</f>
        <v>0</v>
      </c>
      <c r="P227" s="156">
        <f>ROUND(I227*M221,2)</f>
        <v>8692123.3900000006</v>
      </c>
    </row>
    <row r="228" spans="1:16" ht="30" hidden="1" x14ac:dyDescent="0.25">
      <c r="A228" s="168"/>
      <c r="B228" s="133" t="str">
        <f>'Công trình'!B231</f>
        <v>AI.52211</v>
      </c>
      <c r="C228" s="34"/>
      <c r="D228" s="133" t="str">
        <f>'Công trình'!C231</f>
        <v>Thép hình hộp nối cọc</v>
      </c>
      <c r="E228" s="144"/>
      <c r="F228" s="144"/>
      <c r="G228" s="168"/>
      <c r="H228" s="20">
        <v>1</v>
      </c>
      <c r="I228" s="45">
        <f>'Hao phí vật tư'!K1758</f>
        <v>64.572199999999995</v>
      </c>
      <c r="J228" s="166"/>
      <c r="K228" s="156">
        <f>ROUND(I228*J221,2)</f>
        <v>16224992.119999999</v>
      </c>
      <c r="L228" s="55" t="str">
        <f>'Công trình'!X231</f>
        <v>HCM_2016_QD_3384_XD</v>
      </c>
      <c r="M228" s="166"/>
      <c r="N228" s="166"/>
      <c r="O228" s="156">
        <f>ROUND(I228*N221,2)</f>
        <v>0</v>
      </c>
      <c r="P228" s="156">
        <f>ROUND(I228*M221,2)</f>
        <v>16224992.119999999</v>
      </c>
    </row>
    <row r="229" spans="1:16" ht="45" hidden="1" x14ac:dyDescent="0.25">
      <c r="A229" s="168"/>
      <c r="B229" s="133" t="str">
        <f>'Công trình'!B193</f>
        <v>TT</v>
      </c>
      <c r="C229" s="34"/>
      <c r="D229" s="133" t="str">
        <f>'Công trình'!C193</f>
        <v xml:space="preserve">Lắp dựng dầm cầu I DƯL bản  (TT theo MHĐM ĐQ.30010 Quyết định số 2204/QĐ-BGTVT ngày 29/07/2013) </v>
      </c>
      <c r="E229" s="144"/>
      <c r="F229" s="144"/>
      <c r="G229" s="168"/>
      <c r="H229" s="20">
        <v>1</v>
      </c>
      <c r="I229" s="45">
        <f>'Hao phí vật tư'!K1484</f>
        <v>33.840000000000003</v>
      </c>
      <c r="J229" s="166"/>
      <c r="K229" s="156">
        <f>ROUND(I229*J221,2)</f>
        <v>8502942.9600000009</v>
      </c>
      <c r="L229" s="55">
        <f>'Công trình'!X193</f>
        <v>0</v>
      </c>
      <c r="M229" s="166"/>
      <c r="N229" s="166"/>
      <c r="O229" s="156">
        <f>ROUND(I229*N221,2)</f>
        <v>0</v>
      </c>
      <c r="P229" s="156">
        <f>ROUND(I229*M221,2)</f>
        <v>8502942.9600000009</v>
      </c>
    </row>
    <row r="230" spans="1:16" x14ac:dyDescent="0.25">
      <c r="A230" s="168">
        <v>10</v>
      </c>
      <c r="B230" s="84" t="s">
        <v>192</v>
      </c>
      <c r="C230" s="34">
        <v>556</v>
      </c>
      <c r="D230" s="144" t="s">
        <v>930</v>
      </c>
      <c r="E230" s="144" t="s">
        <v>907</v>
      </c>
      <c r="F230" s="144" t="s">
        <v>907</v>
      </c>
      <c r="G230" s="168" t="s">
        <v>450</v>
      </c>
      <c r="H230" s="34"/>
      <c r="I230" s="60">
        <f>SUM(I231:I231)</f>
        <v>144.001</v>
      </c>
      <c r="J230" s="166">
        <v>281548</v>
      </c>
      <c r="K230" s="166">
        <f>ROUND(I230*J230,0)</f>
        <v>40543194</v>
      </c>
      <c r="L230" s="69">
        <v>1</v>
      </c>
      <c r="M230" s="166">
        <v>281548</v>
      </c>
      <c r="N230" s="166">
        <f>M230-J230</f>
        <v>0</v>
      </c>
      <c r="O230" s="166">
        <f>ROUND(I230*N230,0)</f>
        <v>0</v>
      </c>
      <c r="P230" s="166">
        <f>ROUND(I230*M230,0)</f>
        <v>40543194</v>
      </c>
    </row>
    <row r="231" spans="1:16" ht="30" hidden="1" x14ac:dyDescent="0.25">
      <c r="A231" s="57"/>
      <c r="B231" s="12" t="str">
        <f>'Công trình'!B154</f>
        <v>AB.36120</v>
      </c>
      <c r="C231" s="89"/>
      <c r="D231" s="12" t="str">
        <f>'Công trình'!C154</f>
        <v>Xói hút bùn trong khung vây phòng nước, các trụ dưới nước</v>
      </c>
      <c r="E231" s="24"/>
      <c r="F231" s="24"/>
      <c r="G231" s="57"/>
      <c r="H231" s="79">
        <v>1</v>
      </c>
      <c r="I231" s="103">
        <f>'Hao phí vật tư'!K1171</f>
        <v>144.001</v>
      </c>
      <c r="J231" s="51"/>
      <c r="K231" s="38">
        <f>ROUND(I231*J230,2)</f>
        <v>40543193.549999997</v>
      </c>
      <c r="L231" s="116" t="str">
        <f>'Công trình'!X154</f>
        <v>HCM_2016_QD_3384_XD</v>
      </c>
      <c r="M231" s="51"/>
      <c r="N231" s="51"/>
      <c r="O231" s="38">
        <f>ROUND(I231*N230,2)</f>
        <v>0</v>
      </c>
      <c r="P231" s="38">
        <f>ROUND(I231*M230,2)</f>
        <v>40543193.549999997</v>
      </c>
    </row>
    <row r="232" spans="1:16" ht="18" customHeight="1" x14ac:dyDescent="0.25">
      <c r="A232" s="40"/>
      <c r="B232" s="5"/>
      <c r="C232" s="157"/>
      <c r="D232" s="5" t="s">
        <v>1170</v>
      </c>
      <c r="E232" s="86"/>
      <c r="F232" s="86"/>
      <c r="G232" s="40"/>
      <c r="H232" s="86"/>
      <c r="I232" s="99"/>
      <c r="J232" s="33"/>
      <c r="K232" s="33">
        <f>ROUND(SUMIF(C6:C231,"&gt;0",K6:K231),0)</f>
        <v>4138282625</v>
      </c>
      <c r="L232" s="13"/>
      <c r="M232" s="33"/>
      <c r="N232" s="33"/>
      <c r="O232" s="33">
        <f>ROUND(SUMIF(C6:C231,"&gt;0",O6:O231),0)</f>
        <v>0</v>
      </c>
      <c r="P232" s="33">
        <f>ROUND(SUMIF(C6:C231,"&gt;0",P6:P231),0)</f>
        <v>4138282625</v>
      </c>
    </row>
    <row r="233" spans="1:16" ht="16.5" customHeight="1" x14ac:dyDescent="0.25">
      <c r="A233" s="2"/>
      <c r="B233" s="146"/>
      <c r="C233" s="36"/>
      <c r="D233" s="146"/>
      <c r="E233" s="146"/>
      <c r="F233" s="146"/>
      <c r="G233" s="2"/>
      <c r="H233" s="146"/>
      <c r="I233" s="36"/>
      <c r="J233" s="36"/>
      <c r="K233" s="36"/>
      <c r="L233" s="70"/>
      <c r="M233" s="36"/>
      <c r="N233" s="36"/>
      <c r="O233" s="146"/>
      <c r="P233" s="36"/>
    </row>
    <row r="235" spans="1:16" ht="22.5" customHeight="1" x14ac:dyDescent="0.25">
      <c r="A235" s="310" t="s">
        <v>356</v>
      </c>
      <c r="B235" s="310"/>
      <c r="C235" s="310"/>
      <c r="D235" s="310"/>
      <c r="E235" s="310"/>
      <c r="F235" s="310"/>
      <c r="G235" s="310"/>
      <c r="H235" s="310"/>
      <c r="I235" s="310"/>
      <c r="J235" s="310"/>
      <c r="K235" s="310"/>
      <c r="L235" s="310"/>
      <c r="M235" s="310"/>
      <c r="N235" s="310"/>
      <c r="O235" s="310"/>
      <c r="P235" s="36"/>
    </row>
    <row r="236" spans="1:16" ht="19.5" customHeight="1" x14ac:dyDescent="0.25">
      <c r="A236" s="309" t="s">
        <v>421</v>
      </c>
      <c r="B236" s="309"/>
      <c r="C236" s="309"/>
      <c r="D236" s="309"/>
      <c r="E236" s="309"/>
      <c r="F236" s="309"/>
      <c r="G236" s="309"/>
      <c r="H236" s="309"/>
      <c r="I236" s="309"/>
      <c r="J236" s="309"/>
      <c r="K236" s="309"/>
      <c r="L236" s="309"/>
      <c r="M236" s="309"/>
      <c r="N236" s="309"/>
      <c r="O236" s="309"/>
      <c r="P236" s="36"/>
    </row>
    <row r="237" spans="1:16" ht="18" customHeight="1" x14ac:dyDescent="0.25">
      <c r="A237" s="311" t="s">
        <v>594</v>
      </c>
      <c r="B237" s="311"/>
      <c r="C237" s="311"/>
      <c r="D237" s="311"/>
      <c r="E237" s="311"/>
      <c r="F237" s="311"/>
      <c r="G237" s="311"/>
      <c r="H237" s="311"/>
      <c r="I237" s="311"/>
      <c r="J237" s="311"/>
      <c r="K237" s="311"/>
      <c r="L237" s="311"/>
      <c r="M237" s="311"/>
      <c r="N237" s="311"/>
      <c r="O237" s="311"/>
      <c r="P237" s="36"/>
    </row>
    <row r="238" spans="1:16" ht="16.5" customHeight="1" x14ac:dyDescent="0.25">
      <c r="A238" s="2"/>
      <c r="B238" s="146"/>
      <c r="C238" s="36"/>
      <c r="D238" s="146"/>
      <c r="E238" s="146"/>
      <c r="F238" s="146"/>
      <c r="G238" s="2"/>
      <c r="H238" s="146"/>
      <c r="I238" s="36"/>
      <c r="J238" s="36"/>
      <c r="K238" s="36"/>
      <c r="L238" s="70"/>
      <c r="M238" s="36"/>
      <c r="N238" s="313" t="s">
        <v>919</v>
      </c>
      <c r="O238" s="313"/>
      <c r="P238" s="313"/>
    </row>
    <row r="239" spans="1:16" ht="18.75" customHeight="1" x14ac:dyDescent="0.25">
      <c r="A239" s="140" t="s">
        <v>761</v>
      </c>
      <c r="B239" s="83" t="s">
        <v>178</v>
      </c>
      <c r="C239" s="140" t="s">
        <v>993</v>
      </c>
      <c r="D239" s="140" t="s">
        <v>850</v>
      </c>
      <c r="E239" s="140" t="s">
        <v>1111</v>
      </c>
      <c r="F239" s="140" t="s">
        <v>760</v>
      </c>
      <c r="G239" s="140" t="s">
        <v>971</v>
      </c>
      <c r="H239" s="140" t="s">
        <v>639</v>
      </c>
      <c r="I239" s="164" t="s">
        <v>1192</v>
      </c>
      <c r="J239" s="92" t="s">
        <v>944</v>
      </c>
      <c r="K239" s="92" t="s">
        <v>1015</v>
      </c>
      <c r="L239" s="140" t="s">
        <v>1006</v>
      </c>
      <c r="M239" s="92" t="s">
        <v>239</v>
      </c>
      <c r="N239" s="92" t="s">
        <v>401</v>
      </c>
      <c r="O239" s="92" t="s">
        <v>144</v>
      </c>
      <c r="P239" s="67" t="s">
        <v>563</v>
      </c>
    </row>
    <row r="240" spans="1:16" x14ac:dyDescent="0.25">
      <c r="A240" s="65">
        <v>1</v>
      </c>
      <c r="B240" s="154" t="s">
        <v>126</v>
      </c>
      <c r="C240" s="94">
        <v>835</v>
      </c>
      <c r="D240" s="31" t="s">
        <v>930</v>
      </c>
      <c r="E240" s="31" t="s">
        <v>939</v>
      </c>
      <c r="F240" s="31" t="s">
        <v>939</v>
      </c>
      <c r="G240" s="65" t="s">
        <v>450</v>
      </c>
      <c r="H240" s="94"/>
      <c r="I240" s="126">
        <f>SUM(I241:I247)</f>
        <v>1988.5118000000002</v>
      </c>
      <c r="J240" s="54">
        <v>251269</v>
      </c>
      <c r="K240" s="54">
        <f>ROUND(I240*J240,0)</f>
        <v>499651371</v>
      </c>
      <c r="L240" s="135">
        <v>1</v>
      </c>
      <c r="M240" s="54">
        <v>251269</v>
      </c>
      <c r="N240" s="54">
        <f>M240-J240</f>
        <v>0</v>
      </c>
      <c r="O240" s="54">
        <f>ROUND(I240*N240,0)</f>
        <v>0</v>
      </c>
      <c r="P240" s="54">
        <f>ROUND(I240*M240,0)</f>
        <v>499651371</v>
      </c>
    </row>
    <row r="241" spans="1:16" ht="30" hidden="1" x14ac:dyDescent="0.25">
      <c r="A241" s="168"/>
      <c r="B241" s="133" t="str">
        <f>'Công trình'!B322</f>
        <v>AI.65411</v>
      </c>
      <c r="C241" s="34"/>
      <c r="D241" s="133" t="str">
        <f>'Công trình'!C322</f>
        <v>Lắp đặt kết cấu thép khe van, khe phai</v>
      </c>
      <c r="E241" s="144"/>
      <c r="F241" s="144"/>
      <c r="G241" s="168"/>
      <c r="H241" s="20">
        <v>1</v>
      </c>
      <c r="I241" s="45">
        <f>'Hao phí vật tư'!K2413</f>
        <v>58.341500000000003</v>
      </c>
      <c r="J241" s="166"/>
      <c r="K241" s="156">
        <f>ROUND(I241*J240,2)</f>
        <v>14659410.359999999</v>
      </c>
      <c r="L241" s="55" t="str">
        <f>'Công trình'!X322</f>
        <v>HCM_2016_QD_3384_XD</v>
      </c>
      <c r="M241" s="166"/>
      <c r="N241" s="166"/>
      <c r="O241" s="156">
        <f>ROUND(I241*N240,2)</f>
        <v>0</v>
      </c>
      <c r="P241" s="156">
        <f>ROUND(I241*M240,2)</f>
        <v>14659410.359999999</v>
      </c>
    </row>
    <row r="242" spans="1:16" ht="30" hidden="1" x14ac:dyDescent="0.25">
      <c r="A242" s="168"/>
      <c r="B242" s="133" t="str">
        <f>'Công trình'!B316</f>
        <v>AI.52211</v>
      </c>
      <c r="C242" s="34"/>
      <c r="D242" s="133" t="str">
        <f>'Công trình'!C316</f>
        <v>Sản xuất kết cấu thép khe phai - thép CT3</v>
      </c>
      <c r="E242" s="144"/>
      <c r="F242" s="144"/>
      <c r="G242" s="168"/>
      <c r="H242" s="20">
        <v>1</v>
      </c>
      <c r="I242" s="45">
        <f>'Hao phí vật tư'!K2314</f>
        <v>17.463000000000001</v>
      </c>
      <c r="J242" s="166"/>
      <c r="K242" s="156">
        <f>ROUND(I242*J240,2)</f>
        <v>4387910.55</v>
      </c>
      <c r="L242" s="55" t="str">
        <f>'Công trình'!X316</f>
        <v>HCM_2016_QD_3384_XD</v>
      </c>
      <c r="M242" s="166"/>
      <c r="N242" s="166"/>
      <c r="O242" s="156">
        <f>ROUND(I242*N240,2)</f>
        <v>0</v>
      </c>
      <c r="P242" s="156">
        <f>ROUND(I242*M240,2)</f>
        <v>4387910.55</v>
      </c>
    </row>
    <row r="243" spans="1:16" ht="30" hidden="1" x14ac:dyDescent="0.25">
      <c r="A243" s="168"/>
      <c r="B243" s="133" t="str">
        <f>'Công trình'!B317</f>
        <v>AI.52211</v>
      </c>
      <c r="C243" s="34"/>
      <c r="D243" s="133" t="str">
        <f>'Công trình'!C317</f>
        <v>Sản xuất kết cấu thép khe phai - thép SUS304</v>
      </c>
      <c r="E243" s="144"/>
      <c r="F243" s="144"/>
      <c r="G243" s="168"/>
      <c r="H243" s="20">
        <v>1</v>
      </c>
      <c r="I243" s="45">
        <f>'Hao phí vật tư'!K2329</f>
        <v>23.869700000000002</v>
      </c>
      <c r="J243" s="166"/>
      <c r="K243" s="156">
        <f>ROUND(I243*J240,2)</f>
        <v>5997715.6500000004</v>
      </c>
      <c r="L243" s="55" t="str">
        <f>'Công trình'!X317</f>
        <v>HCM_2016_QD_3384_XD</v>
      </c>
      <c r="M243" s="166"/>
      <c r="N243" s="166"/>
      <c r="O243" s="156">
        <f>ROUND(I243*N240,2)</f>
        <v>0</v>
      </c>
      <c r="P243" s="156">
        <f>ROUND(I243*M240,2)</f>
        <v>5997715.6500000004</v>
      </c>
    </row>
    <row r="244" spans="1:16" ht="30" hidden="1" x14ac:dyDescent="0.25">
      <c r="A244" s="168"/>
      <c r="B244" s="133" t="str">
        <f>'Công trình'!B318</f>
        <v>AI.52211</v>
      </c>
      <c r="C244" s="34"/>
      <c r="D244" s="133" t="str">
        <f>'Công trình'!C318</f>
        <v>Sản xuất kết cấu thép khe cửa - thép CT3</v>
      </c>
      <c r="E244" s="144"/>
      <c r="F244" s="144"/>
      <c r="G244" s="168"/>
      <c r="H244" s="20">
        <v>1</v>
      </c>
      <c r="I244" s="45">
        <f>'Hao phí vật tư'!K2345</f>
        <v>17.656500000000001</v>
      </c>
      <c r="J244" s="166"/>
      <c r="K244" s="156">
        <f>ROUND(I244*J240,2)</f>
        <v>4436531.0999999996</v>
      </c>
      <c r="L244" s="55" t="str">
        <f>'Công trình'!X318</f>
        <v>HCM_2016_QD_3384_XD</v>
      </c>
      <c r="M244" s="166"/>
      <c r="N244" s="166"/>
      <c r="O244" s="156">
        <f>ROUND(I244*N240,2)</f>
        <v>0</v>
      </c>
      <c r="P244" s="156">
        <f>ROUND(I244*M240,2)</f>
        <v>4436531.0999999996</v>
      </c>
    </row>
    <row r="245" spans="1:16" ht="30" hidden="1" x14ac:dyDescent="0.25">
      <c r="A245" s="168"/>
      <c r="B245" s="133" t="str">
        <f>'Công trình'!B319</f>
        <v>AI.52211</v>
      </c>
      <c r="C245" s="34"/>
      <c r="D245" s="133" t="str">
        <f>'Công trình'!C319</f>
        <v>Sản xuất kết cấu thép khe cửa- thép SUS304</v>
      </c>
      <c r="E245" s="144"/>
      <c r="F245" s="144"/>
      <c r="G245" s="168"/>
      <c r="H245" s="20">
        <v>1</v>
      </c>
      <c r="I245" s="45">
        <f>'Hao phí vật tư'!K2360</f>
        <v>28.189699999999998</v>
      </c>
      <c r="J245" s="166"/>
      <c r="K245" s="156">
        <f>ROUND(I245*J240,2)</f>
        <v>7083197.7300000004</v>
      </c>
      <c r="L245" s="55" t="str">
        <f>'Công trình'!X319</f>
        <v>HCM_2016_QD_3384_XD</v>
      </c>
      <c r="M245" s="166"/>
      <c r="N245" s="166"/>
      <c r="O245" s="156">
        <f>ROUND(I245*N240,2)</f>
        <v>0</v>
      </c>
      <c r="P245" s="156">
        <f>ROUND(I245*M240,2)</f>
        <v>7083197.7300000004</v>
      </c>
    </row>
    <row r="246" spans="1:16" ht="30" hidden="1" x14ac:dyDescent="0.25">
      <c r="A246" s="168"/>
      <c r="B246" s="133" t="str">
        <f>'Công trình'!B320</f>
        <v>CV.0102</v>
      </c>
      <c r="C246" s="34"/>
      <c r="D246" s="133" t="str">
        <f>'Công trình'!C320</f>
        <v>Sản xuất cửa van bằng thép không gỉ, chiều rộng cống (B) &lt;= 8m</v>
      </c>
      <c r="E246" s="144"/>
      <c r="F246" s="144"/>
      <c r="G246" s="168"/>
      <c r="H246" s="20">
        <v>1</v>
      </c>
      <c r="I246" s="45">
        <f>'Hao phí vật tư'!K2374</f>
        <v>1567.1110000000001</v>
      </c>
      <c r="J246" s="166"/>
      <c r="K246" s="156">
        <f>ROUND(I246*J240,2)</f>
        <v>393766413.86000001</v>
      </c>
      <c r="L246" s="55" t="str">
        <f>'Công trình'!X320</f>
        <v>TL_2013_QD_1751</v>
      </c>
      <c r="M246" s="166"/>
      <c r="N246" s="166"/>
      <c r="O246" s="156">
        <f>ROUND(I246*N240,2)</f>
        <v>0</v>
      </c>
      <c r="P246" s="156">
        <f>ROUND(I246*M240,2)</f>
        <v>393766413.86000001</v>
      </c>
    </row>
    <row r="247" spans="1:16" ht="30" hidden="1" x14ac:dyDescent="0.25">
      <c r="A247" s="57"/>
      <c r="B247" s="12" t="str">
        <f>'Công trình'!B321</f>
        <v>CV.0202</v>
      </c>
      <c r="C247" s="89"/>
      <c r="D247" s="12" t="str">
        <f>'Công trình'!C321</f>
        <v>Lắp đặt cửa van bằng thép không gỉ, chiều rộng cống (B) &lt;= 8m</v>
      </c>
      <c r="E247" s="24"/>
      <c r="F247" s="24"/>
      <c r="G247" s="57"/>
      <c r="H247" s="79">
        <v>1</v>
      </c>
      <c r="I247" s="103">
        <f>'Hao phí vật tư'!K2395</f>
        <v>275.88040000000001</v>
      </c>
      <c r="J247" s="51"/>
      <c r="K247" s="38">
        <f>ROUND(I247*J240,2)</f>
        <v>69320192.230000004</v>
      </c>
      <c r="L247" s="116" t="str">
        <f>'Công trình'!X321</f>
        <v>TL_2013_QD_1751</v>
      </c>
      <c r="M247" s="51"/>
      <c r="N247" s="51"/>
      <c r="O247" s="38">
        <f>ROUND(I247*N240,2)</f>
        <v>0</v>
      </c>
      <c r="P247" s="38">
        <f>ROUND(I247*M240,2)</f>
        <v>69320192.230000004</v>
      </c>
    </row>
    <row r="248" spans="1:16" ht="18" customHeight="1" x14ac:dyDescent="0.25">
      <c r="A248" s="40"/>
      <c r="B248" s="5"/>
      <c r="C248" s="157"/>
      <c r="D248" s="5" t="s">
        <v>1170</v>
      </c>
      <c r="E248" s="86"/>
      <c r="F248" s="86"/>
      <c r="G248" s="40"/>
      <c r="H248" s="86"/>
      <c r="I248" s="99"/>
      <c r="J248" s="33"/>
      <c r="K248" s="33">
        <f>ROUND(SUMIF(C240:C247,"&gt;0",K240:K247),0)</f>
        <v>499651371</v>
      </c>
      <c r="L248" s="13"/>
      <c r="M248" s="33"/>
      <c r="N248" s="33"/>
      <c r="O248" s="33">
        <f>ROUND(SUMIF(C240:C247,"&gt;0",O240:O247),0)</f>
        <v>0</v>
      </c>
      <c r="P248" s="33">
        <f>ROUND(SUMIF(C240:C247,"&gt;0",P240:P247),0)</f>
        <v>499651371</v>
      </c>
    </row>
    <row r="249" spans="1:16" ht="16.5" customHeight="1" x14ac:dyDescent="0.25">
      <c r="A249" s="2"/>
      <c r="B249" s="146"/>
      <c r="C249" s="36"/>
      <c r="D249" s="146"/>
      <c r="E249" s="146"/>
      <c r="F249" s="146"/>
      <c r="G249" s="2"/>
      <c r="H249" s="146"/>
      <c r="I249" s="36"/>
      <c r="J249" s="36"/>
      <c r="K249" s="36"/>
      <c r="L249" s="70"/>
      <c r="M249" s="36"/>
      <c r="N249" s="36"/>
      <c r="O249" s="146"/>
      <c r="P249" s="36"/>
    </row>
  </sheetData>
  <mergeCells count="8">
    <mergeCell ref="A237:O237"/>
    <mergeCell ref="N238:P238"/>
    <mergeCell ref="A1:O1"/>
    <mergeCell ref="A2:O2"/>
    <mergeCell ref="A3:O3"/>
    <mergeCell ref="N4:P4"/>
    <mergeCell ref="A235:O235"/>
    <mergeCell ref="A236:O236"/>
  </mergeCells>
  <pageMargins left="0.7" right="0.7" top="0.75" bottom="0.75" header="0.3" footer="0.3"/>
  <pageSetup paperSize="9"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Q536"/>
  <sheetViews>
    <sheetView showZeros="0" workbookViewId="0">
      <selection sqref="A1:P1"/>
    </sheetView>
  </sheetViews>
  <sheetFormatPr defaultColWidth="9.140625" defaultRowHeight="15" x14ac:dyDescent="0.25"/>
  <cols>
    <col min="1" max="1" width="7.140625" style="143" customWidth="1"/>
    <col min="2" max="2" width="11.85546875" style="143" customWidth="1"/>
    <col min="3" max="3" width="11.140625" style="143" hidden="1" customWidth="1"/>
    <col min="4" max="4" width="45.42578125" style="143" customWidth="1"/>
    <col min="5" max="5" width="9.140625" style="143" customWidth="1"/>
    <col min="6" max="6" width="9" style="143" hidden="1" customWidth="1"/>
    <col min="7" max="7" width="13.42578125" style="143" customWidth="1"/>
    <col min="8" max="8" width="14.140625" style="143" customWidth="1"/>
    <col min="9" max="9" width="19.140625" style="143" hidden="1" customWidth="1"/>
    <col min="10" max="10" width="15" style="143" hidden="1" customWidth="1"/>
    <col min="11" max="11" width="14.85546875" style="143" customWidth="1"/>
    <col min="12" max="12" width="25" style="143" hidden="1" customWidth="1"/>
    <col min="13" max="13" width="14.5703125" style="143" customWidth="1"/>
    <col min="14" max="14" width="14" style="143" customWidth="1"/>
    <col min="15" max="15" width="13.28515625" style="143" customWidth="1"/>
    <col min="16" max="16" width="14.42578125" style="143" customWidth="1"/>
    <col min="17" max="17" width="14.42578125" style="143" hidden="1" customWidth="1"/>
    <col min="18" max="16384" width="9.140625" style="143"/>
  </cols>
  <sheetData>
    <row r="1" spans="1:17" ht="22.5" customHeight="1" x14ac:dyDescent="0.25">
      <c r="A1" s="310" t="s">
        <v>12</v>
      </c>
      <c r="B1" s="310"/>
      <c r="C1" s="310"/>
      <c r="D1" s="310"/>
      <c r="E1" s="310"/>
      <c r="F1" s="310"/>
      <c r="G1" s="310"/>
      <c r="H1" s="310"/>
      <c r="I1" s="310"/>
      <c r="J1" s="310"/>
      <c r="K1" s="310"/>
      <c r="L1" s="310"/>
      <c r="M1" s="310"/>
      <c r="N1" s="310"/>
      <c r="O1" s="310"/>
      <c r="P1" s="310"/>
      <c r="Q1" s="36"/>
    </row>
    <row r="2" spans="1:17" ht="19.5" customHeight="1" x14ac:dyDescent="0.25">
      <c r="A2" s="309" t="s">
        <v>421</v>
      </c>
      <c r="B2" s="309"/>
      <c r="C2" s="309"/>
      <c r="D2" s="309"/>
      <c r="E2" s="309"/>
      <c r="F2" s="309"/>
      <c r="G2" s="309"/>
      <c r="H2" s="309"/>
      <c r="I2" s="309"/>
      <c r="J2" s="309"/>
      <c r="K2" s="309"/>
      <c r="L2" s="309"/>
      <c r="M2" s="309"/>
      <c r="N2" s="309"/>
      <c r="O2" s="309"/>
      <c r="P2" s="309"/>
      <c r="Q2" s="36"/>
    </row>
    <row r="3" spans="1:17" ht="18" customHeight="1" x14ac:dyDescent="0.25">
      <c r="A3" s="311" t="s">
        <v>663</v>
      </c>
      <c r="B3" s="311"/>
      <c r="C3" s="311"/>
      <c r="D3" s="311"/>
      <c r="E3" s="311"/>
      <c r="F3" s="311"/>
      <c r="G3" s="311"/>
      <c r="H3" s="311"/>
      <c r="I3" s="311"/>
      <c r="J3" s="311"/>
      <c r="K3" s="311"/>
      <c r="L3" s="311"/>
      <c r="M3" s="311"/>
      <c r="N3" s="311"/>
      <c r="O3" s="311"/>
      <c r="P3" s="311"/>
      <c r="Q3" s="36"/>
    </row>
    <row r="4" spans="1:17" ht="16.5" customHeight="1" x14ac:dyDescent="0.25">
      <c r="A4" s="2"/>
      <c r="B4" s="146"/>
      <c r="C4" s="36"/>
      <c r="D4" s="146"/>
      <c r="E4" s="2"/>
      <c r="F4" s="146"/>
      <c r="G4" s="36"/>
      <c r="H4" s="36"/>
      <c r="I4" s="36"/>
      <c r="J4" s="36"/>
      <c r="K4" s="146"/>
      <c r="L4" s="36"/>
      <c r="M4" s="36"/>
      <c r="N4" s="36"/>
      <c r="O4" s="313" t="s">
        <v>919</v>
      </c>
      <c r="P4" s="313"/>
      <c r="Q4" s="313"/>
    </row>
    <row r="5" spans="1:17" ht="18.75" customHeight="1" x14ac:dyDescent="0.25">
      <c r="A5" s="105" t="s">
        <v>761</v>
      </c>
      <c r="B5" s="50" t="s">
        <v>178</v>
      </c>
      <c r="C5" s="140" t="s">
        <v>993</v>
      </c>
      <c r="D5" s="105" t="s">
        <v>850</v>
      </c>
      <c r="E5" s="105" t="s">
        <v>971</v>
      </c>
      <c r="F5" s="140" t="s">
        <v>639</v>
      </c>
      <c r="G5" s="134" t="s">
        <v>1192</v>
      </c>
      <c r="H5" s="67" t="s">
        <v>944</v>
      </c>
      <c r="I5" s="92" t="s">
        <v>1015</v>
      </c>
      <c r="J5" s="141" t="s">
        <v>1006</v>
      </c>
      <c r="K5" s="67" t="s">
        <v>731</v>
      </c>
      <c r="L5" s="92" t="s">
        <v>125</v>
      </c>
      <c r="M5" s="67" t="s">
        <v>893</v>
      </c>
      <c r="N5" s="67" t="s">
        <v>239</v>
      </c>
      <c r="O5" s="67" t="s">
        <v>401</v>
      </c>
      <c r="P5" s="67" t="s">
        <v>144</v>
      </c>
      <c r="Q5" s="67" t="s">
        <v>563</v>
      </c>
    </row>
    <row r="6" spans="1:17" x14ac:dyDescent="0.25">
      <c r="A6" s="65">
        <v>1</v>
      </c>
      <c r="B6" s="154" t="s">
        <v>684</v>
      </c>
      <c r="C6" s="94">
        <v>714</v>
      </c>
      <c r="D6" s="31" t="s">
        <v>1100</v>
      </c>
      <c r="E6" s="65" t="s">
        <v>76</v>
      </c>
      <c r="F6" s="94"/>
      <c r="G6" s="126">
        <f>SUM(G7:G80)</f>
        <v>1509.1160000000002</v>
      </c>
      <c r="H6" s="54">
        <v>338020</v>
      </c>
      <c r="I6" s="54">
        <f>ROUND(G6*H6,0)</f>
        <v>510111390</v>
      </c>
      <c r="J6" s="94">
        <v>1</v>
      </c>
      <c r="K6" s="54">
        <f>'Tổng hợp VL,NC,M'!I1197</f>
        <v>338020</v>
      </c>
      <c r="L6" s="54">
        <f>ROUND(G6*K6,0)</f>
        <v>510111390</v>
      </c>
      <c r="M6" s="54"/>
      <c r="N6" s="54">
        <f>K6+M6</f>
        <v>338020</v>
      </c>
      <c r="O6" s="54">
        <f>N6-H6</f>
        <v>0</v>
      </c>
      <c r="P6" s="54">
        <f>ROUND(G6*O6,0)</f>
        <v>0</v>
      </c>
      <c r="Q6" s="54">
        <f>ROUND(G6*N6,0)</f>
        <v>510111390</v>
      </c>
    </row>
    <row r="7" spans="1:17" ht="30" hidden="1" x14ac:dyDescent="0.25">
      <c r="A7" s="168"/>
      <c r="B7" s="133" t="str">
        <f>'Công trình'!B11</f>
        <v>AF.61120</v>
      </c>
      <c r="C7" s="34"/>
      <c r="D7" s="133" t="str">
        <f>'Công trình'!C11</f>
        <v>Sản xuất, lắp dựng cốt thép móng đường kính &lt;=18mm</v>
      </c>
      <c r="E7" s="168"/>
      <c r="F7" s="20">
        <v>1</v>
      </c>
      <c r="G7" s="45">
        <f>'Hao phí vật tư'!L70</f>
        <v>10.131399999999999</v>
      </c>
      <c r="H7" s="166"/>
      <c r="I7" s="156">
        <f>ROUND(G7*H6,2)</f>
        <v>3424615.83</v>
      </c>
      <c r="J7" s="20" t="str">
        <f>'Công trình'!X11</f>
        <v>HCM_2016_QD_3384_XD</v>
      </c>
      <c r="K7" s="166"/>
      <c r="L7" s="156">
        <f>ROUND(G7*K6,2)</f>
        <v>3424615.83</v>
      </c>
      <c r="M7" s="166"/>
      <c r="N7" s="166"/>
      <c r="O7" s="166"/>
      <c r="P7" s="156">
        <f>ROUND(G7*O6,2)</f>
        <v>0</v>
      </c>
      <c r="Q7" s="156">
        <f>ROUND(G7*N6,2)</f>
        <v>3424615.83</v>
      </c>
    </row>
    <row r="8" spans="1:17" ht="30" hidden="1" x14ac:dyDescent="0.25">
      <c r="A8" s="168"/>
      <c r="B8" s="133" t="str">
        <f>'Công trình'!B12</f>
        <v>AF.61130</v>
      </c>
      <c r="C8" s="34"/>
      <c r="D8" s="133" t="str">
        <f>'Công trình'!C12</f>
        <v>Sản xuất, lắp dựng cốt thép móng đường kính &gt;18mm</v>
      </c>
      <c r="E8" s="168"/>
      <c r="F8" s="20">
        <v>1</v>
      </c>
      <c r="G8" s="45">
        <f>'Hao phí vật tư'!L80</f>
        <v>3.3340000000000001</v>
      </c>
      <c r="H8" s="166"/>
      <c r="I8" s="156">
        <f>ROUND(G8*H6,2)</f>
        <v>1126958.68</v>
      </c>
      <c r="J8" s="20" t="str">
        <f>'Công trình'!X12</f>
        <v>HCM_2016_QD_3384_XD</v>
      </c>
      <c r="K8" s="166"/>
      <c r="L8" s="156">
        <f>ROUND(G8*K6,2)</f>
        <v>1126958.68</v>
      </c>
      <c r="M8" s="166"/>
      <c r="N8" s="166"/>
      <c r="O8" s="166"/>
      <c r="P8" s="156">
        <f>ROUND(G8*O6,2)</f>
        <v>0</v>
      </c>
      <c r="Q8" s="156">
        <f>ROUND(G8*N6,2)</f>
        <v>1126958.68</v>
      </c>
    </row>
    <row r="9" spans="1:17" ht="30" hidden="1" x14ac:dyDescent="0.25">
      <c r="A9" s="168"/>
      <c r="B9" s="133" t="str">
        <f>'Công trình'!B13</f>
        <v>AF.61321</v>
      </c>
      <c r="C9" s="34"/>
      <c r="D9" s="133" t="str">
        <f>'Công trình'!C13</f>
        <v>Sản xuất, lắp dựng cốt thép tường đường kính &lt;=18mm, chiều cao &lt;=4m</v>
      </c>
      <c r="E9" s="168"/>
      <c r="F9" s="20">
        <v>1</v>
      </c>
      <c r="G9" s="45">
        <f>'Hao phí vật tư'!L90</f>
        <v>8.5404</v>
      </c>
      <c r="H9" s="166"/>
      <c r="I9" s="156">
        <f>ROUND(G9*H6,2)</f>
        <v>2886826.01</v>
      </c>
      <c r="J9" s="20" t="str">
        <f>'Công trình'!X13</f>
        <v>HCM_2016_QD_3384_XD</v>
      </c>
      <c r="K9" s="166"/>
      <c r="L9" s="156">
        <f>ROUND(G9*K6,2)</f>
        <v>2886826.01</v>
      </c>
      <c r="M9" s="166"/>
      <c r="N9" s="166"/>
      <c r="O9" s="166"/>
      <c r="P9" s="156">
        <f>ROUND(G9*O6,2)</f>
        <v>0</v>
      </c>
      <c r="Q9" s="156">
        <f>ROUND(G9*N6,2)</f>
        <v>2886826.01</v>
      </c>
    </row>
    <row r="10" spans="1:17" ht="30" hidden="1" x14ac:dyDescent="0.25">
      <c r="A10" s="168"/>
      <c r="B10" s="133" t="str">
        <f>'Công trình'!B14</f>
        <v>AF.61331</v>
      </c>
      <c r="C10" s="34"/>
      <c r="D10" s="133" t="str">
        <f>'Công trình'!C14</f>
        <v>Sản xuất, lắp dựng cốt thép tường đường kính &gt;18mm, chiều cao &lt;=4m</v>
      </c>
      <c r="E10" s="168"/>
      <c r="F10" s="20">
        <v>1</v>
      </c>
      <c r="G10" s="45">
        <f>'Hao phí vật tư'!L100</f>
        <v>3.7490000000000001</v>
      </c>
      <c r="H10" s="166"/>
      <c r="I10" s="156">
        <f>ROUND(G10*H6,2)</f>
        <v>1267236.98</v>
      </c>
      <c r="J10" s="20" t="str">
        <f>'Công trình'!X14</f>
        <v>HCM_2016_QD_3384_XD</v>
      </c>
      <c r="K10" s="166"/>
      <c r="L10" s="156">
        <f>ROUND(G10*K6,2)</f>
        <v>1267236.98</v>
      </c>
      <c r="M10" s="166"/>
      <c r="N10" s="166"/>
      <c r="O10" s="166"/>
      <c r="P10" s="156">
        <f>ROUND(G10*O6,2)</f>
        <v>0</v>
      </c>
      <c r="Q10" s="156">
        <f>ROUND(G10*N6,2)</f>
        <v>1267236.98</v>
      </c>
    </row>
    <row r="11" spans="1:17" ht="30" hidden="1" x14ac:dyDescent="0.25">
      <c r="A11" s="168"/>
      <c r="B11" s="133" t="str">
        <f>'Công trình'!B16</f>
        <v>AF.82111</v>
      </c>
      <c r="C11" s="34"/>
      <c r="D11" s="133" t="str">
        <f>'Công trình'!C16</f>
        <v>Sản xuất, lắp dựng tháo dỡ ván khuôn thép tường, chiều cao &lt;=16m</v>
      </c>
      <c r="E11" s="168"/>
      <c r="F11" s="20">
        <v>1</v>
      </c>
      <c r="G11" s="45">
        <f>'Hao phí vật tư'!L119</f>
        <v>5.3688000000000002</v>
      </c>
      <c r="H11" s="166"/>
      <c r="I11" s="156">
        <f>ROUND(G11*H6,2)</f>
        <v>1814761.78</v>
      </c>
      <c r="J11" s="20" t="str">
        <f>'Công trình'!X16</f>
        <v>HCM_2016_QD_3384_XD</v>
      </c>
      <c r="K11" s="166"/>
      <c r="L11" s="156">
        <f>ROUND(G11*K6,2)</f>
        <v>1814761.78</v>
      </c>
      <c r="M11" s="166"/>
      <c r="N11" s="166"/>
      <c r="O11" s="166"/>
      <c r="P11" s="156">
        <f>ROUND(G11*O6,2)</f>
        <v>0</v>
      </c>
      <c r="Q11" s="156">
        <f>ROUND(G11*N6,2)</f>
        <v>1814761.78</v>
      </c>
    </row>
    <row r="12" spans="1:17" ht="30" hidden="1" x14ac:dyDescent="0.25">
      <c r="A12" s="168"/>
      <c r="B12" s="133" t="str">
        <f>'Công trình'!B19</f>
        <v>AF.82111</v>
      </c>
      <c r="C12" s="34"/>
      <c r="D12" s="133" t="str">
        <f>'Công trình'!C19</f>
        <v>Sản xuất, lắp dựng tháo dỡ ván khuôn thép dầm, giằng, chiều cao &lt;=16m</v>
      </c>
      <c r="E12" s="168"/>
      <c r="F12" s="20">
        <v>1</v>
      </c>
      <c r="G12" s="45">
        <f>'Hao phí vật tư'!L145</f>
        <v>4.8887</v>
      </c>
      <c r="H12" s="166"/>
      <c r="I12" s="156">
        <f>ROUND(G12*H6,2)</f>
        <v>1652478.37</v>
      </c>
      <c r="J12" s="20" t="str">
        <f>'Công trình'!X19</f>
        <v>HCM_2016_QD_3384_XD</v>
      </c>
      <c r="K12" s="166"/>
      <c r="L12" s="156">
        <f>ROUND(G12*K6,2)</f>
        <v>1652478.37</v>
      </c>
      <c r="M12" s="166"/>
      <c r="N12" s="166"/>
      <c r="O12" s="166"/>
      <c r="P12" s="156">
        <f>ROUND(G12*O6,2)</f>
        <v>0</v>
      </c>
      <c r="Q12" s="156">
        <f>ROUND(G12*N6,2)</f>
        <v>1652478.37</v>
      </c>
    </row>
    <row r="13" spans="1:17" ht="30" hidden="1" x14ac:dyDescent="0.25">
      <c r="A13" s="168"/>
      <c r="B13" s="133" t="str">
        <f>'Công trình'!B22</f>
        <v>AF.61521</v>
      </c>
      <c r="C13" s="34"/>
      <c r="D13" s="133" t="str">
        <f>'Công trình'!C22</f>
        <v>Sản xuất, lắp dựng cốt thép xà dầm, giằng đường kính &lt;=18mm, chiều cao &lt;=4m</v>
      </c>
      <c r="E13" s="168"/>
      <c r="F13" s="20">
        <v>1</v>
      </c>
      <c r="G13" s="45">
        <f>'Hao phí vật tư'!L164</f>
        <v>2.4470999999999998</v>
      </c>
      <c r="H13" s="166"/>
      <c r="I13" s="156">
        <f>ROUND(G13*H6,2)</f>
        <v>827168.74</v>
      </c>
      <c r="J13" s="20" t="str">
        <f>'Công trình'!X22</f>
        <v>HCM_2016_QD_3384_XD</v>
      </c>
      <c r="K13" s="166"/>
      <c r="L13" s="156">
        <f>ROUND(G13*K6,2)</f>
        <v>827168.74</v>
      </c>
      <c r="M13" s="166"/>
      <c r="N13" s="166"/>
      <c r="O13" s="166"/>
      <c r="P13" s="156">
        <f>ROUND(G13*O6,2)</f>
        <v>0</v>
      </c>
      <c r="Q13" s="156">
        <f>ROUND(G13*N6,2)</f>
        <v>827168.74</v>
      </c>
    </row>
    <row r="14" spans="1:17" ht="30" hidden="1" x14ac:dyDescent="0.25">
      <c r="A14" s="168"/>
      <c r="B14" s="133" t="str">
        <f>'Công trình'!B31</f>
        <v>AF.82111</v>
      </c>
      <c r="C14" s="34"/>
      <c r="D14" s="133" t="str">
        <f>'Công trình'!C31</f>
        <v>Sản xuất, lắp dựng tháo dỡ ván khuôn thép tường, chiều cao &lt;=16m</v>
      </c>
      <c r="E14" s="168"/>
      <c r="F14" s="20">
        <v>1</v>
      </c>
      <c r="G14" s="45">
        <f>'Hao phí vật tư'!L225</f>
        <v>1.7454000000000001</v>
      </c>
      <c r="H14" s="166"/>
      <c r="I14" s="156">
        <f>ROUND(G14*H6,2)</f>
        <v>589980.11</v>
      </c>
      <c r="J14" s="20" t="str">
        <f>'Công trình'!X31</f>
        <v>HCM_2016_QD_3384_XD</v>
      </c>
      <c r="K14" s="166"/>
      <c r="L14" s="156">
        <f>ROUND(G14*K6,2)</f>
        <v>589980.11</v>
      </c>
      <c r="M14" s="166"/>
      <c r="N14" s="166"/>
      <c r="O14" s="166"/>
      <c r="P14" s="156">
        <f>ROUND(G14*O6,2)</f>
        <v>0</v>
      </c>
      <c r="Q14" s="156">
        <f>ROUND(G14*N6,2)</f>
        <v>589980.11</v>
      </c>
    </row>
    <row r="15" spans="1:17" ht="30" hidden="1" x14ac:dyDescent="0.25">
      <c r="A15" s="168"/>
      <c r="B15" s="133" t="str">
        <f>'Công trình'!B33</f>
        <v>AF.61321</v>
      </c>
      <c r="C15" s="34"/>
      <c r="D15" s="133" t="str">
        <f>'Công trình'!C33</f>
        <v>Sản xuất, lắp dựng cốt thép tường đường kính &lt;=18mm, chiều cao &lt;=4m</v>
      </c>
      <c r="E15" s="168"/>
      <c r="F15" s="20">
        <v>1</v>
      </c>
      <c r="G15" s="45">
        <f>'Hao phí vật tư'!L244</f>
        <v>0.9466</v>
      </c>
      <c r="H15" s="166"/>
      <c r="I15" s="156">
        <f>ROUND(G15*H6,2)</f>
        <v>319969.73</v>
      </c>
      <c r="J15" s="20" t="str">
        <f>'Công trình'!X33</f>
        <v>HCM_2016_QD_3384_XD</v>
      </c>
      <c r="K15" s="166"/>
      <c r="L15" s="156">
        <f>ROUND(G15*K6,2)</f>
        <v>319969.73</v>
      </c>
      <c r="M15" s="166"/>
      <c r="N15" s="166"/>
      <c r="O15" s="166"/>
      <c r="P15" s="156">
        <f>ROUND(G15*O6,2)</f>
        <v>0</v>
      </c>
      <c r="Q15" s="156">
        <f>ROUND(G15*N6,2)</f>
        <v>319969.73</v>
      </c>
    </row>
    <row r="16" spans="1:17" ht="30" hidden="1" x14ac:dyDescent="0.25">
      <c r="A16" s="168"/>
      <c r="B16" s="133" t="str">
        <f>'Công trình'!B39</f>
        <v>AI.13111</v>
      </c>
      <c r="C16" s="34"/>
      <c r="D16" s="133" t="str">
        <f>'Công trình'!C39</f>
        <v>Sản xuất cấu kiện thép đặt sẵn trong bê tông, khối lượng &lt;=10kg/cấu kiện</v>
      </c>
      <c r="E16" s="168"/>
      <c r="F16" s="20">
        <v>1</v>
      </c>
      <c r="G16" s="45">
        <f>'Hao phí vật tư'!L302</f>
        <v>3.3599999999999998E-2</v>
      </c>
      <c r="H16" s="166"/>
      <c r="I16" s="156">
        <f>ROUND(G16*H6,2)</f>
        <v>11357.47</v>
      </c>
      <c r="J16" s="20" t="str">
        <f>'Công trình'!X39</f>
        <v>HCM_2016_QD_3384_XD</v>
      </c>
      <c r="K16" s="166"/>
      <c r="L16" s="156">
        <f>ROUND(G16*K6,2)</f>
        <v>11357.47</v>
      </c>
      <c r="M16" s="166"/>
      <c r="N16" s="166"/>
      <c r="O16" s="166"/>
      <c r="P16" s="156">
        <f>ROUND(G16*O6,2)</f>
        <v>0</v>
      </c>
      <c r="Q16" s="156">
        <f>ROUND(G16*N6,2)</f>
        <v>11357.47</v>
      </c>
    </row>
    <row r="17" spans="1:17" ht="30" hidden="1" x14ac:dyDescent="0.25">
      <c r="A17" s="168"/>
      <c r="B17" s="133" t="str">
        <f>'Công trình'!B59</f>
        <v>AF.82111</v>
      </c>
      <c r="C17" s="34"/>
      <c r="D17" s="133" t="str">
        <f>'Công trình'!C59</f>
        <v>Sản xuất, lắp dựng tháo dỡ ván khuôn thép dầm, giằng, chiều cao &lt;=16m</v>
      </c>
      <c r="E17" s="168"/>
      <c r="F17" s="20">
        <v>1</v>
      </c>
      <c r="G17" s="45">
        <f>'Hao phí vật tư'!L451</f>
        <v>3.4581</v>
      </c>
      <c r="H17" s="166"/>
      <c r="I17" s="156">
        <f>ROUND(G17*H6,2)</f>
        <v>1168906.96</v>
      </c>
      <c r="J17" s="20" t="str">
        <f>'Công trình'!X59</f>
        <v>HCM_2016_QD_3384_XD</v>
      </c>
      <c r="K17" s="166"/>
      <c r="L17" s="156">
        <f>ROUND(G17*K6,2)</f>
        <v>1168906.96</v>
      </c>
      <c r="M17" s="166"/>
      <c r="N17" s="166"/>
      <c r="O17" s="166"/>
      <c r="P17" s="156">
        <f>ROUND(G17*O6,2)</f>
        <v>0</v>
      </c>
      <c r="Q17" s="156">
        <f>ROUND(G17*N6,2)</f>
        <v>1168906.96</v>
      </c>
    </row>
    <row r="18" spans="1:17" ht="30" hidden="1" x14ac:dyDescent="0.25">
      <c r="A18" s="168"/>
      <c r="B18" s="133" t="str">
        <f>'Công trình'!B61</f>
        <v>AF.61521</v>
      </c>
      <c r="C18" s="34"/>
      <c r="D18" s="133" t="str">
        <f>'Công trình'!C61</f>
        <v>Sản xuất, lắp dựng cốt thép xà dầm, giằng đường kính &lt;=18mm, chiều cao &lt;=4m</v>
      </c>
      <c r="E18" s="168"/>
      <c r="F18" s="20">
        <v>1</v>
      </c>
      <c r="G18" s="45">
        <f>'Hao phí vật tư'!L470</f>
        <v>2.0733999999999999</v>
      </c>
      <c r="H18" s="166"/>
      <c r="I18" s="156">
        <f>ROUND(G18*H6,2)</f>
        <v>700850.67</v>
      </c>
      <c r="J18" s="20" t="str">
        <f>'Công trình'!X61</f>
        <v>HCM_2016_QD_3384_XD</v>
      </c>
      <c r="K18" s="166"/>
      <c r="L18" s="156">
        <f>ROUND(G18*K6,2)</f>
        <v>700850.67</v>
      </c>
      <c r="M18" s="166"/>
      <c r="N18" s="166"/>
      <c r="O18" s="166"/>
      <c r="P18" s="156">
        <f>ROUND(G18*O6,2)</f>
        <v>0</v>
      </c>
      <c r="Q18" s="156">
        <f>ROUND(G18*N6,2)</f>
        <v>700850.67</v>
      </c>
    </row>
    <row r="19" spans="1:17" ht="30" hidden="1" x14ac:dyDescent="0.25">
      <c r="A19" s="168"/>
      <c r="B19" s="133" t="str">
        <f>'Công trình'!B70</f>
        <v>AG.13121</v>
      </c>
      <c r="C19" s="34"/>
      <c r="D19" s="133" t="str">
        <f>'Công trình'!C70</f>
        <v>Sản xuất, lắp dựng cốt thép BT đúc sẵn cọc, đường kính &lt;=18mm</v>
      </c>
      <c r="E19" s="168"/>
      <c r="F19" s="20">
        <v>1</v>
      </c>
      <c r="G19" s="45">
        <f>'Hao phí vật tư'!L534</f>
        <v>0.47610000000000002</v>
      </c>
      <c r="H19" s="166"/>
      <c r="I19" s="156">
        <f>ROUND(G19*H6,2)</f>
        <v>160931.32</v>
      </c>
      <c r="J19" s="20" t="str">
        <f>'Công trình'!X70</f>
        <v>HCM_2016_QD_3384_XD</v>
      </c>
      <c r="K19" s="166"/>
      <c r="L19" s="156">
        <f>ROUND(G19*K6,2)</f>
        <v>160931.32</v>
      </c>
      <c r="M19" s="166"/>
      <c r="N19" s="166"/>
      <c r="O19" s="166"/>
      <c r="P19" s="156">
        <f>ROUND(G19*O6,2)</f>
        <v>0</v>
      </c>
      <c r="Q19" s="156">
        <f>ROUND(G19*N6,2)</f>
        <v>160931.32</v>
      </c>
    </row>
    <row r="20" spans="1:17" ht="30" hidden="1" x14ac:dyDescent="0.25">
      <c r="A20" s="168"/>
      <c r="B20" s="133" t="str">
        <f>'Công trình'!B71</f>
        <v>AG.13131</v>
      </c>
      <c r="C20" s="34"/>
      <c r="D20" s="133" t="str">
        <f>'Công trình'!C71</f>
        <v>Sản xuất, lắp dựng cốt thép BT đúc sẵn cọc, đường kính &gt;18mm</v>
      </c>
      <c r="E20" s="168"/>
      <c r="F20" s="20">
        <v>1</v>
      </c>
      <c r="G20" s="45">
        <f>'Hao phí vật tư'!L544</f>
        <v>13.726000000000001</v>
      </c>
      <c r="H20" s="166"/>
      <c r="I20" s="156">
        <f>ROUND(G20*H6,2)</f>
        <v>4639662.5199999996</v>
      </c>
      <c r="J20" s="20" t="str">
        <f>'Công trình'!X71</f>
        <v>HCM_2016_QD_3384_XD</v>
      </c>
      <c r="K20" s="166"/>
      <c r="L20" s="156">
        <f>ROUND(G20*K6,2)</f>
        <v>4639662.5199999996</v>
      </c>
      <c r="M20" s="166"/>
      <c r="N20" s="166"/>
      <c r="O20" s="166"/>
      <c r="P20" s="156">
        <f>ROUND(G20*O6,2)</f>
        <v>0</v>
      </c>
      <c r="Q20" s="156">
        <f>ROUND(G20*N6,2)</f>
        <v>4639662.5199999996</v>
      </c>
    </row>
    <row r="21" spans="1:17" ht="30" hidden="1" x14ac:dyDescent="0.25">
      <c r="A21" s="168"/>
      <c r="B21" s="133" t="str">
        <f>'Công trình'!B72</f>
        <v>AI.13111</v>
      </c>
      <c r="C21" s="34"/>
      <c r="D21" s="133" t="str">
        <f>'Công trình'!C72</f>
        <v>Sản xuất cấu kiện thép đặt sẵn trong bê tông, khối lượng &lt;=10kg/cấu kiện</v>
      </c>
      <c r="E21" s="168"/>
      <c r="F21" s="20">
        <v>1</v>
      </c>
      <c r="G21" s="45">
        <f>'Hao phí vật tư'!L558</f>
        <v>3.5038999999999998</v>
      </c>
      <c r="H21" s="166"/>
      <c r="I21" s="156">
        <f>ROUND(G21*H6,2)</f>
        <v>1184388.28</v>
      </c>
      <c r="J21" s="20" t="str">
        <f>'Công trình'!X72</f>
        <v>HCM_2016_QD_3384_XD</v>
      </c>
      <c r="K21" s="166"/>
      <c r="L21" s="156">
        <f>ROUND(G21*K6,2)</f>
        <v>1184388.28</v>
      </c>
      <c r="M21" s="166"/>
      <c r="N21" s="166"/>
      <c r="O21" s="166"/>
      <c r="P21" s="156">
        <f>ROUND(G21*O6,2)</f>
        <v>0</v>
      </c>
      <c r="Q21" s="156">
        <f>ROUND(G21*N6,2)</f>
        <v>1184388.28</v>
      </c>
    </row>
    <row r="22" spans="1:17" ht="30" hidden="1" x14ac:dyDescent="0.25">
      <c r="A22" s="168"/>
      <c r="B22" s="133" t="str">
        <f>'Công trình'!B76</f>
        <v>AC.29341</v>
      </c>
      <c r="C22" s="34"/>
      <c r="D22" s="133" t="str">
        <f>'Công trình'!C76</f>
        <v>Nối cọc BTCT 35x35cm</v>
      </c>
      <c r="E22" s="168"/>
      <c r="F22" s="20">
        <v>1</v>
      </c>
      <c r="G22" s="45">
        <f>'Hao phí vật tư'!L608</f>
        <v>5.76</v>
      </c>
      <c r="H22" s="166"/>
      <c r="I22" s="156">
        <f>ROUND(G22*H6,2)</f>
        <v>1946995.2</v>
      </c>
      <c r="J22" s="20" t="str">
        <f>'Công trình'!X76</f>
        <v>HCM_2016_QD_3384_XD</v>
      </c>
      <c r="K22" s="166"/>
      <c r="L22" s="156">
        <f>ROUND(G22*K6,2)</f>
        <v>1946995.2</v>
      </c>
      <c r="M22" s="166"/>
      <c r="N22" s="166"/>
      <c r="O22" s="166"/>
      <c r="P22" s="156">
        <f>ROUND(G22*O6,2)</f>
        <v>0</v>
      </c>
      <c r="Q22" s="156">
        <f>ROUND(G22*N6,2)</f>
        <v>1946995.2</v>
      </c>
    </row>
    <row r="23" spans="1:17" ht="30" hidden="1" x14ac:dyDescent="0.25">
      <c r="A23" s="168"/>
      <c r="B23" s="133" t="str">
        <f>'Công trình'!B74</f>
        <v>AI.52211</v>
      </c>
      <c r="C23" s="34"/>
      <c r="D23" s="133" t="str">
        <f>'Công trình'!C74</f>
        <v>Sản xuất kết cấu thép hộp nối cọc</v>
      </c>
      <c r="E23" s="168"/>
      <c r="F23" s="20">
        <v>1</v>
      </c>
      <c r="G23" s="45">
        <f>'Hao phí vật tư'!L585</f>
        <v>10.957000000000001</v>
      </c>
      <c r="H23" s="166"/>
      <c r="I23" s="156">
        <f>ROUND(G23*H6,2)</f>
        <v>3703685.14</v>
      </c>
      <c r="J23" s="20" t="str">
        <f>'Công trình'!X74</f>
        <v>HCM_2016_QD_3384_XD</v>
      </c>
      <c r="K23" s="166"/>
      <c r="L23" s="156">
        <f>ROUND(G23*K6,2)</f>
        <v>3703685.14</v>
      </c>
      <c r="M23" s="166"/>
      <c r="N23" s="166"/>
      <c r="O23" s="166"/>
      <c r="P23" s="156">
        <f>ROUND(G23*O6,2)</f>
        <v>0</v>
      </c>
      <c r="Q23" s="156">
        <f>ROUND(G23*N6,2)</f>
        <v>3703685.14</v>
      </c>
    </row>
    <row r="24" spans="1:17" ht="30" hidden="1" x14ac:dyDescent="0.25">
      <c r="A24" s="168"/>
      <c r="B24" s="133" t="str">
        <f>'Công trình'!B77</f>
        <v>AA.22310</v>
      </c>
      <c r="C24" s="34"/>
      <c r="D24" s="133" t="str">
        <f>'Công trình'!C77</f>
        <v>Đập đầu cọc trên cạn</v>
      </c>
      <c r="E24" s="168"/>
      <c r="F24" s="20">
        <v>1</v>
      </c>
      <c r="G24" s="45">
        <f>'Hao phí vật tư'!L616</f>
        <v>0.45079999999999998</v>
      </c>
      <c r="H24" s="166"/>
      <c r="I24" s="156">
        <f>ROUND(G24*H6,2)</f>
        <v>152379.42000000001</v>
      </c>
      <c r="J24" s="20" t="str">
        <f>'Công trình'!X77</f>
        <v>HCM_2016_QD_3384_XD</v>
      </c>
      <c r="K24" s="166"/>
      <c r="L24" s="156">
        <f>ROUND(G24*K6,2)</f>
        <v>152379.42000000001</v>
      </c>
      <c r="M24" s="166"/>
      <c r="N24" s="166"/>
      <c r="O24" s="166"/>
      <c r="P24" s="156">
        <f>ROUND(G24*O6,2)</f>
        <v>0</v>
      </c>
      <c r="Q24" s="156">
        <f>ROUND(G24*N6,2)</f>
        <v>152379.42000000001</v>
      </c>
    </row>
    <row r="25" spans="1:17" ht="30" hidden="1" x14ac:dyDescent="0.25">
      <c r="A25" s="168"/>
      <c r="B25" s="133" t="str">
        <f>'Công trình'!B81</f>
        <v>AG.13121</v>
      </c>
      <c r="C25" s="34"/>
      <c r="D25" s="133" t="str">
        <f>'Công trình'!C81</f>
        <v>Sản xuất, lắp dựng cốt thép BT đúc sẵn cọc, đường kính &lt;=18mm</v>
      </c>
      <c r="E25" s="168"/>
      <c r="F25" s="20">
        <v>1</v>
      </c>
      <c r="G25" s="45">
        <f>'Hao phí vật tư'!L650</f>
        <v>0.25900000000000001</v>
      </c>
      <c r="H25" s="166"/>
      <c r="I25" s="156">
        <f>ROUND(G25*H6,2)</f>
        <v>87547.18</v>
      </c>
      <c r="J25" s="20" t="str">
        <f>'Công trình'!X81</f>
        <v>HCM_2016_QD_3384_XD</v>
      </c>
      <c r="K25" s="166"/>
      <c r="L25" s="156">
        <f>ROUND(G25*K6,2)</f>
        <v>87547.18</v>
      </c>
      <c r="M25" s="166"/>
      <c r="N25" s="166"/>
      <c r="O25" s="166"/>
      <c r="P25" s="156">
        <f>ROUND(G25*O6,2)</f>
        <v>0</v>
      </c>
      <c r="Q25" s="156">
        <f>ROUND(G25*N6,2)</f>
        <v>87547.18</v>
      </c>
    </row>
    <row r="26" spans="1:17" ht="30" hidden="1" x14ac:dyDescent="0.25">
      <c r="A26" s="168"/>
      <c r="B26" s="133" t="str">
        <f>'Công trình'!B82</f>
        <v>AG.13131</v>
      </c>
      <c r="C26" s="34"/>
      <c r="D26" s="133" t="str">
        <f>'Công trình'!C82</f>
        <v>Sản xuất, lắp dựng cốt thép BT đúc sẵn cọc, đường kính &gt;18mm</v>
      </c>
      <c r="E26" s="168"/>
      <c r="F26" s="20">
        <v>1</v>
      </c>
      <c r="G26" s="45">
        <f>'Hao phí vật tư'!L660</f>
        <v>7.2563000000000004</v>
      </c>
      <c r="H26" s="166"/>
      <c r="I26" s="156">
        <f>ROUND(G26*H6,2)</f>
        <v>2452774.5299999998</v>
      </c>
      <c r="J26" s="20" t="str">
        <f>'Công trình'!X82</f>
        <v>HCM_2016_QD_3384_XD</v>
      </c>
      <c r="K26" s="166"/>
      <c r="L26" s="156">
        <f>ROUND(G26*K6,2)</f>
        <v>2452774.5299999998</v>
      </c>
      <c r="M26" s="166"/>
      <c r="N26" s="166"/>
      <c r="O26" s="166"/>
      <c r="P26" s="156">
        <f>ROUND(G26*O6,2)</f>
        <v>0</v>
      </c>
      <c r="Q26" s="156">
        <f>ROUND(G26*N6,2)</f>
        <v>2452774.5299999998</v>
      </c>
    </row>
    <row r="27" spans="1:17" ht="30" hidden="1" x14ac:dyDescent="0.25">
      <c r="A27" s="168"/>
      <c r="B27" s="133" t="str">
        <f>'Công trình'!B83</f>
        <v>AI.13111</v>
      </c>
      <c r="C27" s="34"/>
      <c r="D27" s="133" t="str">
        <f>'Công trình'!C83</f>
        <v>Sản xuất cấu kiện thép đặt sẵn trong bê tông, khối lượng &lt;=10kg/cấu kiện</v>
      </c>
      <c r="E27" s="168"/>
      <c r="F27" s="20">
        <v>1</v>
      </c>
      <c r="G27" s="45">
        <f>'Hao phí vật tư'!L674</f>
        <v>1.6547000000000001</v>
      </c>
      <c r="H27" s="166"/>
      <c r="I27" s="156">
        <f>ROUND(G27*H6,2)</f>
        <v>559321.68999999994</v>
      </c>
      <c r="J27" s="20" t="str">
        <f>'Công trình'!X83</f>
        <v>HCM_2016_QD_3384_XD</v>
      </c>
      <c r="K27" s="166"/>
      <c r="L27" s="156">
        <f>ROUND(G27*K6,2)</f>
        <v>559321.68999999994</v>
      </c>
      <c r="M27" s="166"/>
      <c r="N27" s="166"/>
      <c r="O27" s="166"/>
      <c r="P27" s="156">
        <f>ROUND(G27*O6,2)</f>
        <v>0</v>
      </c>
      <c r="Q27" s="156">
        <f>ROUND(G27*N6,2)</f>
        <v>559321.68999999994</v>
      </c>
    </row>
    <row r="28" spans="1:17" ht="30" hidden="1" x14ac:dyDescent="0.25">
      <c r="A28" s="168"/>
      <c r="B28" s="133" t="str">
        <f>'Công trình'!B85</f>
        <v>AI.52211</v>
      </c>
      <c r="C28" s="34"/>
      <c r="D28" s="133" t="str">
        <f>'Công trình'!C85</f>
        <v>Sản xuất kết cấu thép hộp nối cọc</v>
      </c>
      <c r="E28" s="168"/>
      <c r="F28" s="20">
        <v>1</v>
      </c>
      <c r="G28" s="45">
        <f>'Hao phí vật tư'!L701</f>
        <v>4.7656999999999998</v>
      </c>
      <c r="H28" s="166"/>
      <c r="I28" s="156">
        <f>ROUND(G28*H6,2)</f>
        <v>1610901.91</v>
      </c>
      <c r="J28" s="20" t="str">
        <f>'Công trình'!X85</f>
        <v>HCM_2016_QD_3384_XD</v>
      </c>
      <c r="K28" s="166"/>
      <c r="L28" s="156">
        <f>ROUND(G28*K6,2)</f>
        <v>1610901.91</v>
      </c>
      <c r="M28" s="166"/>
      <c r="N28" s="166"/>
      <c r="O28" s="166"/>
      <c r="P28" s="156">
        <f>ROUND(G28*O6,2)</f>
        <v>0</v>
      </c>
      <c r="Q28" s="156">
        <f>ROUND(G28*N6,2)</f>
        <v>1610901.91</v>
      </c>
    </row>
    <row r="29" spans="1:17" ht="30" hidden="1" x14ac:dyDescent="0.25">
      <c r="A29" s="168"/>
      <c r="B29" s="133" t="str">
        <f>'Công trình'!B88</f>
        <v>AA.22310</v>
      </c>
      <c r="C29" s="34"/>
      <c r="D29" s="133" t="str">
        <f>'Công trình'!C88</f>
        <v>Đập đầu cọc trên cạn</v>
      </c>
      <c r="E29" s="168"/>
      <c r="F29" s="20">
        <v>1</v>
      </c>
      <c r="G29" s="45">
        <f>'Hao phí vật tư'!L732</f>
        <v>0.13339999999999999</v>
      </c>
      <c r="H29" s="166"/>
      <c r="I29" s="156">
        <f>ROUND(G29*H6,2)</f>
        <v>45091.87</v>
      </c>
      <c r="J29" s="20" t="str">
        <f>'Công trình'!X88</f>
        <v>HCM_2016_QD_3384_XD</v>
      </c>
      <c r="K29" s="166"/>
      <c r="L29" s="156">
        <f>ROUND(G29*K6,2)</f>
        <v>45091.87</v>
      </c>
      <c r="M29" s="166"/>
      <c r="N29" s="166"/>
      <c r="O29" s="166"/>
      <c r="P29" s="156">
        <f>ROUND(G29*O6,2)</f>
        <v>0</v>
      </c>
      <c r="Q29" s="156">
        <f>ROUND(G29*N6,2)</f>
        <v>45091.87</v>
      </c>
    </row>
    <row r="30" spans="1:17" ht="30" hidden="1" x14ac:dyDescent="0.25">
      <c r="A30" s="168"/>
      <c r="B30" s="133" t="str">
        <f>'Công trình'!B87</f>
        <v>AC.29331</v>
      </c>
      <c r="C30" s="34"/>
      <c r="D30" s="133" t="str">
        <f>'Công trình'!C87</f>
        <v>Nối cọc BTCT 30x30cm</v>
      </c>
      <c r="E30" s="168"/>
      <c r="F30" s="20">
        <v>1</v>
      </c>
      <c r="G30" s="45">
        <f>'Hao phí vật tư'!L724</f>
        <v>1.2</v>
      </c>
      <c r="H30" s="166"/>
      <c r="I30" s="156">
        <f>ROUND(G30*H6,2)</f>
        <v>405624</v>
      </c>
      <c r="J30" s="20" t="str">
        <f>'Công trình'!X87</f>
        <v>HCM_2016_QD_3384_XD</v>
      </c>
      <c r="K30" s="166"/>
      <c r="L30" s="156">
        <f>ROUND(G30*K6,2)</f>
        <v>405624</v>
      </c>
      <c r="M30" s="166"/>
      <c r="N30" s="166"/>
      <c r="O30" s="166"/>
      <c r="P30" s="156">
        <f>ROUND(G30*O6,2)</f>
        <v>0</v>
      </c>
      <c r="Q30" s="156">
        <f>ROUND(G30*N6,2)</f>
        <v>405624</v>
      </c>
    </row>
    <row r="31" spans="1:17" ht="30" hidden="1" x14ac:dyDescent="0.25">
      <c r="A31" s="168"/>
      <c r="B31" s="133" t="str">
        <f>'Công trình'!B109</f>
        <v>AI.11912</v>
      </c>
      <c r="C31" s="34"/>
      <c r="D31" s="133" t="str">
        <f>'Công trình'!C109</f>
        <v>Sản xuất hệ sàn đạo, sàn thao tác</v>
      </c>
      <c r="E31" s="168"/>
      <c r="F31" s="20">
        <v>1</v>
      </c>
      <c r="G31" s="45">
        <f>'Hao phí vật tư'!L876</f>
        <v>11.6205</v>
      </c>
      <c r="H31" s="166"/>
      <c r="I31" s="156">
        <f>ROUND(G31*H6,2)</f>
        <v>3927961.41</v>
      </c>
      <c r="J31" s="20" t="str">
        <f>'Công trình'!X109</f>
        <v>HCM_2016_QD_3384_XD</v>
      </c>
      <c r="K31" s="166"/>
      <c r="L31" s="156">
        <f>ROUND(G31*K6,2)</f>
        <v>3927961.41</v>
      </c>
      <c r="M31" s="166"/>
      <c r="N31" s="166"/>
      <c r="O31" s="166"/>
      <c r="P31" s="156">
        <f>ROUND(G31*O6,2)</f>
        <v>0</v>
      </c>
      <c r="Q31" s="156">
        <f>ROUND(G31*N6,2)</f>
        <v>3927961.41</v>
      </c>
    </row>
    <row r="32" spans="1:17" ht="30" hidden="1" x14ac:dyDescent="0.25">
      <c r="A32" s="168"/>
      <c r="B32" s="133" t="str">
        <f>'Công trình'!B104</f>
        <v>AI.11131</v>
      </c>
      <c r="C32" s="34"/>
      <c r="D32" s="133" t="str">
        <f>'Công trình'!C104</f>
        <v>Sản xuất cọc dẫn bằng thép hình</v>
      </c>
      <c r="E32" s="168"/>
      <c r="F32" s="20">
        <v>1</v>
      </c>
      <c r="G32" s="45">
        <f>'Hao phí vật tư'!L840</f>
        <v>2.6844999999999999</v>
      </c>
      <c r="H32" s="166"/>
      <c r="I32" s="156">
        <f>ROUND(G32*H6,2)</f>
        <v>907414.69</v>
      </c>
      <c r="J32" s="20" t="str">
        <f>'Công trình'!X104</f>
        <v>HCM_2016_QD_3384_XD</v>
      </c>
      <c r="K32" s="166"/>
      <c r="L32" s="156">
        <f>ROUND(G32*K6,2)</f>
        <v>907414.69</v>
      </c>
      <c r="M32" s="166"/>
      <c r="N32" s="166"/>
      <c r="O32" s="166"/>
      <c r="P32" s="156">
        <f>ROUND(G32*O6,2)</f>
        <v>0</v>
      </c>
      <c r="Q32" s="156">
        <f>ROUND(G32*N6,2)</f>
        <v>907414.69</v>
      </c>
    </row>
    <row r="33" spans="1:17" ht="30" hidden="1" x14ac:dyDescent="0.25">
      <c r="A33" s="168"/>
      <c r="B33" s="133" t="str">
        <f>'Công trình'!B120</f>
        <v>AI.11912</v>
      </c>
      <c r="C33" s="34"/>
      <c r="D33" s="133" t="str">
        <f>'Công trình'!C120</f>
        <v>Sản xuất hệ sàn đạo, sàn thao tác</v>
      </c>
      <c r="E33" s="168"/>
      <c r="F33" s="20">
        <v>1</v>
      </c>
      <c r="G33" s="45">
        <f>'Hao phí vật tư'!L948</f>
        <v>23.9453</v>
      </c>
      <c r="H33" s="166"/>
      <c r="I33" s="156">
        <f>ROUND(G33*H6,2)</f>
        <v>8093990.3099999996</v>
      </c>
      <c r="J33" s="20" t="str">
        <f>'Công trình'!X120</f>
        <v>HCM_2016_QD_3384_XD</v>
      </c>
      <c r="K33" s="166"/>
      <c r="L33" s="156">
        <f>ROUND(G33*K6,2)</f>
        <v>8093990.3099999996</v>
      </c>
      <c r="M33" s="166"/>
      <c r="N33" s="166"/>
      <c r="O33" s="166"/>
      <c r="P33" s="156">
        <f>ROUND(G33*O6,2)</f>
        <v>0</v>
      </c>
      <c r="Q33" s="156">
        <f>ROUND(G33*N6,2)</f>
        <v>8093990.3099999996</v>
      </c>
    </row>
    <row r="34" spans="1:17" ht="30" hidden="1" x14ac:dyDescent="0.25">
      <c r="A34" s="168"/>
      <c r="B34" s="133" t="str">
        <f>'Công trình'!B112</f>
        <v>AI.63311</v>
      </c>
      <c r="C34" s="34"/>
      <c r="D34" s="133" t="str">
        <f>'Công trình'!C112</f>
        <v>Lắp dựng kết cấu thép hệ khung dàn, sàn đạo trên cạn</v>
      </c>
      <c r="E34" s="168"/>
      <c r="F34" s="20">
        <v>1</v>
      </c>
      <c r="G34" s="45">
        <f>'Hao phí vật tư'!L894</f>
        <v>37.893000000000001</v>
      </c>
      <c r="H34" s="166"/>
      <c r="I34" s="156">
        <f>ROUND(G34*H6,2)</f>
        <v>12808591.859999999</v>
      </c>
      <c r="J34" s="20" t="str">
        <f>'Công trình'!X112</f>
        <v>HCM_2016_QD_3384_XD</v>
      </c>
      <c r="K34" s="166"/>
      <c r="L34" s="156">
        <f>ROUND(G34*K6,2)</f>
        <v>12808591.859999999</v>
      </c>
      <c r="M34" s="166"/>
      <c r="N34" s="166"/>
      <c r="O34" s="166"/>
      <c r="P34" s="156">
        <f>ROUND(G34*O6,2)</f>
        <v>0</v>
      </c>
      <c r="Q34" s="156">
        <f>ROUND(G34*N6,2)</f>
        <v>12808591.859999999</v>
      </c>
    </row>
    <row r="35" spans="1:17" ht="30" hidden="1" x14ac:dyDescent="0.25">
      <c r="A35" s="168"/>
      <c r="B35" s="133" t="str">
        <f>'Công trình'!B113</f>
        <v>AI.63311</v>
      </c>
      <c r="C35" s="34"/>
      <c r="D35" s="133" t="str">
        <f>'Công trình'!C113</f>
        <v>Tháo dỡ kết cấu thép hệ khung dàn, sàn đạo trên cạn (60% Đg)</v>
      </c>
      <c r="E35" s="168"/>
      <c r="F35" s="20">
        <v>1</v>
      </c>
      <c r="G35" s="45">
        <f>'Hao phí vật tư'!L905</f>
        <v>22.735800000000001</v>
      </c>
      <c r="H35" s="166"/>
      <c r="I35" s="156">
        <f>ROUND(G35*H6,2)</f>
        <v>7685155.1200000001</v>
      </c>
      <c r="J35" s="20" t="str">
        <f>'Công trình'!X113</f>
        <v>HCM_2016_QD_3384_XD</v>
      </c>
      <c r="K35" s="166"/>
      <c r="L35" s="156">
        <f>ROUND(G35*K6,2)</f>
        <v>7685155.1200000001</v>
      </c>
      <c r="M35" s="166"/>
      <c r="N35" s="166"/>
      <c r="O35" s="166"/>
      <c r="P35" s="156">
        <f>ROUND(G35*O6,2)</f>
        <v>0</v>
      </c>
      <c r="Q35" s="156">
        <f>ROUND(G35*N6,2)</f>
        <v>7685155.1200000001</v>
      </c>
    </row>
    <row r="36" spans="1:17" ht="30" hidden="1" x14ac:dyDescent="0.25">
      <c r="A36" s="168"/>
      <c r="B36" s="133" t="str">
        <f>'Công trình'!B123</f>
        <v>AI.63311</v>
      </c>
      <c r="C36" s="34"/>
      <c r="D36" s="133" t="str">
        <f>'Công trình'!C123</f>
        <v>Lắp dựng kết cấu thép hệ khung dàn, sàn đạo trên cạn</v>
      </c>
      <c r="E36" s="168"/>
      <c r="F36" s="20">
        <v>1</v>
      </c>
      <c r="G36" s="45">
        <f>'Hao phí vật tư'!L966</f>
        <v>15.6165</v>
      </c>
      <c r="H36" s="166"/>
      <c r="I36" s="156">
        <f>ROUND(G36*H6,2)</f>
        <v>5278689.33</v>
      </c>
      <c r="J36" s="20" t="str">
        <f>'Công trình'!X123</f>
        <v>HCM_2016_QD_3384_XD</v>
      </c>
      <c r="K36" s="166"/>
      <c r="L36" s="156">
        <f>ROUND(G36*K6,2)</f>
        <v>5278689.33</v>
      </c>
      <c r="M36" s="166"/>
      <c r="N36" s="166"/>
      <c r="O36" s="166"/>
      <c r="P36" s="156">
        <f>ROUND(G36*O6,2)</f>
        <v>0</v>
      </c>
      <c r="Q36" s="156">
        <f>ROUND(G36*N6,2)</f>
        <v>5278689.33</v>
      </c>
    </row>
    <row r="37" spans="1:17" ht="30" hidden="1" x14ac:dyDescent="0.25">
      <c r="A37" s="168"/>
      <c r="B37" s="133" t="str">
        <f>'Công trình'!B124</f>
        <v>AI.63311</v>
      </c>
      <c r="C37" s="34"/>
      <c r="D37" s="133" t="str">
        <f>'Công trình'!C124</f>
        <v>Tháo dỡ kết cấu thép hệ khung dàn, sàn đạo trên cạn (60% Đg)</v>
      </c>
      <c r="E37" s="168"/>
      <c r="F37" s="20">
        <v>1</v>
      </c>
      <c r="G37" s="45">
        <f>'Hao phí vật tư'!L977</f>
        <v>9.3698999999999995</v>
      </c>
      <c r="H37" s="166"/>
      <c r="I37" s="156">
        <f>ROUND(G37*H6,2)</f>
        <v>3167213.6</v>
      </c>
      <c r="J37" s="20" t="str">
        <f>'Công trình'!X124</f>
        <v>HCM_2016_QD_3384_XD</v>
      </c>
      <c r="K37" s="166"/>
      <c r="L37" s="156">
        <f>ROUND(G37*K6,2)</f>
        <v>3167213.6</v>
      </c>
      <c r="M37" s="166"/>
      <c r="N37" s="166"/>
      <c r="O37" s="166"/>
      <c r="P37" s="156">
        <f>ROUND(G37*O6,2)</f>
        <v>0</v>
      </c>
      <c r="Q37" s="156">
        <f>ROUND(G37*N6,2)</f>
        <v>3167213.6</v>
      </c>
    </row>
    <row r="38" spans="1:17" ht="30" hidden="1" x14ac:dyDescent="0.25">
      <c r="A38" s="168"/>
      <c r="B38" s="133" t="str">
        <f>'Công trình'!B136</f>
        <v>AI.11912</v>
      </c>
      <c r="C38" s="34"/>
      <c r="D38" s="133" t="str">
        <f>'Công trình'!C136</f>
        <v>Sản xuất hệ sàn đạo, sàn thao tác</v>
      </c>
      <c r="E38" s="168"/>
      <c r="F38" s="20">
        <v>1</v>
      </c>
      <c r="G38" s="45">
        <f>'Hao phí vật tư'!L1049</f>
        <v>379.16140000000001</v>
      </c>
      <c r="H38" s="166"/>
      <c r="I38" s="156">
        <f>ROUND(G38*H6,2)</f>
        <v>128164136.43000001</v>
      </c>
      <c r="J38" s="20" t="str">
        <f>'Công trình'!X136</f>
        <v>HCM_2016_QD_3384_XD</v>
      </c>
      <c r="K38" s="166"/>
      <c r="L38" s="156">
        <f>ROUND(G38*K6,2)</f>
        <v>128164136.43000001</v>
      </c>
      <c r="M38" s="166"/>
      <c r="N38" s="166"/>
      <c r="O38" s="166"/>
      <c r="P38" s="156">
        <f>ROUND(G38*O6,2)</f>
        <v>0</v>
      </c>
      <c r="Q38" s="156">
        <f>ROUND(G38*N6,2)</f>
        <v>128164136.43000001</v>
      </c>
    </row>
    <row r="39" spans="1:17" ht="30" hidden="1" x14ac:dyDescent="0.25">
      <c r="A39" s="168"/>
      <c r="B39" s="133" t="str">
        <f>'Công trình'!B139</f>
        <v>AI.63311</v>
      </c>
      <c r="C39" s="34"/>
      <c r="D39" s="133" t="str">
        <f>'Công trình'!C139</f>
        <v>Lắp dựng kết cấu thép hệ khung dàn, sàn đạo trên cạn</v>
      </c>
      <c r="E39" s="168"/>
      <c r="F39" s="20">
        <v>1</v>
      </c>
      <c r="G39" s="45">
        <f>'Hao phí vật tư'!L1067</f>
        <v>247.2792</v>
      </c>
      <c r="H39" s="166"/>
      <c r="I39" s="156">
        <f>ROUND(G39*H6,2)</f>
        <v>83585315.180000007</v>
      </c>
      <c r="J39" s="20" t="str">
        <f>'Công trình'!X139</f>
        <v>HCM_2016_QD_3384_XD</v>
      </c>
      <c r="K39" s="166"/>
      <c r="L39" s="156">
        <f>ROUND(G39*K6,2)</f>
        <v>83585315.180000007</v>
      </c>
      <c r="M39" s="166"/>
      <c r="N39" s="166"/>
      <c r="O39" s="166"/>
      <c r="P39" s="156">
        <f>ROUND(G39*O6,2)</f>
        <v>0</v>
      </c>
      <c r="Q39" s="156">
        <f>ROUND(G39*N6,2)</f>
        <v>83585315.180000007</v>
      </c>
    </row>
    <row r="40" spans="1:17" ht="30" hidden="1" x14ac:dyDescent="0.25">
      <c r="A40" s="168"/>
      <c r="B40" s="133" t="str">
        <f>'Công trình'!B140</f>
        <v>AI.63311</v>
      </c>
      <c r="C40" s="34"/>
      <c r="D40" s="133" t="str">
        <f>'Công trình'!C140</f>
        <v>Tháo dỡ kết cấu thép hệ khung dàn, sàn đạo trên cạn (60% Đg)</v>
      </c>
      <c r="E40" s="168"/>
      <c r="F40" s="20">
        <v>1</v>
      </c>
      <c r="G40" s="45">
        <f>'Hao phí vật tư'!L1078</f>
        <v>148.36750000000001</v>
      </c>
      <c r="H40" s="166"/>
      <c r="I40" s="156">
        <f>ROUND(G40*H6,2)</f>
        <v>50151182.350000001</v>
      </c>
      <c r="J40" s="20" t="str">
        <f>'Công trình'!X140</f>
        <v>HCM_2016_QD_3384_XD</v>
      </c>
      <c r="K40" s="166"/>
      <c r="L40" s="156">
        <f>ROUND(G40*K6,2)</f>
        <v>50151182.350000001</v>
      </c>
      <c r="M40" s="166"/>
      <c r="N40" s="166"/>
      <c r="O40" s="166"/>
      <c r="P40" s="156">
        <f>ROUND(G40*O6,2)</f>
        <v>0</v>
      </c>
      <c r="Q40" s="156">
        <f>ROUND(G40*N6,2)</f>
        <v>50151182.350000001</v>
      </c>
    </row>
    <row r="41" spans="1:17" ht="30" hidden="1" x14ac:dyDescent="0.25">
      <c r="A41" s="168"/>
      <c r="B41" s="133" t="str">
        <f>'Công trình'!B147</f>
        <v>AI.11411</v>
      </c>
      <c r="C41" s="34"/>
      <c r="D41" s="133" t="str">
        <f>'Công trình'!C147</f>
        <v>Sản xuất thang sắt</v>
      </c>
      <c r="E41" s="168"/>
      <c r="F41" s="20">
        <v>1</v>
      </c>
      <c r="G41" s="45">
        <f>'Hao phí vật tư'!L1122</f>
        <v>0.45569999999999999</v>
      </c>
      <c r="H41" s="166"/>
      <c r="I41" s="156">
        <f>ROUND(G41*H6,2)</f>
        <v>154035.71</v>
      </c>
      <c r="J41" s="20" t="str">
        <f>'Công trình'!X147</f>
        <v>HCM_2016_QD_3384_XD</v>
      </c>
      <c r="K41" s="166"/>
      <c r="L41" s="156">
        <f>ROUND(G41*K6,2)</f>
        <v>154035.71</v>
      </c>
      <c r="M41" s="166"/>
      <c r="N41" s="166"/>
      <c r="O41" s="166"/>
      <c r="P41" s="156">
        <f>ROUND(G41*O6,2)</f>
        <v>0</v>
      </c>
      <c r="Q41" s="156">
        <f>ROUND(G41*N6,2)</f>
        <v>154035.71</v>
      </c>
    </row>
    <row r="42" spans="1:17" ht="30" hidden="1" x14ac:dyDescent="0.25">
      <c r="A42" s="168"/>
      <c r="B42" s="133" t="str">
        <f>'Công trình'!B148</f>
        <v>AI.61171</v>
      </c>
      <c r="C42" s="34"/>
      <c r="D42" s="133" t="str">
        <f>'Công trình'!C148</f>
        <v>Lắp sàn thang sắt</v>
      </c>
      <c r="E42" s="168"/>
      <c r="F42" s="20">
        <v>1</v>
      </c>
      <c r="G42" s="45">
        <f>'Hao phí vật tư'!L1131</f>
        <v>0.2223</v>
      </c>
      <c r="H42" s="166"/>
      <c r="I42" s="156">
        <f>ROUND(G42*H6,2)</f>
        <v>75141.850000000006</v>
      </c>
      <c r="J42" s="20" t="str">
        <f>'Công trình'!X148</f>
        <v>HCM_2016_QD_3384_XD</v>
      </c>
      <c r="K42" s="166"/>
      <c r="L42" s="156">
        <f>ROUND(G42*K6,2)</f>
        <v>75141.850000000006</v>
      </c>
      <c r="M42" s="166"/>
      <c r="N42" s="166"/>
      <c r="O42" s="166"/>
      <c r="P42" s="156">
        <f>ROUND(G42*O6,2)</f>
        <v>0</v>
      </c>
      <c r="Q42" s="156">
        <f>ROUND(G42*N6,2)</f>
        <v>75141.850000000006</v>
      </c>
    </row>
    <row r="43" spans="1:17" ht="30" hidden="1" x14ac:dyDescent="0.25">
      <c r="A43" s="168"/>
      <c r="B43" s="133" t="str">
        <f>'Công trình'!B160</f>
        <v>AI.63311</v>
      </c>
      <c r="C43" s="34"/>
      <c r="D43" s="133" t="str">
        <f>'Công trình'!C160</f>
        <v>Lắp dựng kết cấu thép hệ khung dàn, sàn đạo trên cạn</v>
      </c>
      <c r="E43" s="168"/>
      <c r="F43" s="20">
        <v>1</v>
      </c>
      <c r="G43" s="45">
        <f>'Hao phí vật tư'!L1216</f>
        <v>120.5547</v>
      </c>
      <c r="H43" s="166"/>
      <c r="I43" s="156">
        <f>ROUND(G43*H6,2)</f>
        <v>40749899.689999998</v>
      </c>
      <c r="J43" s="20" t="str">
        <f>'Công trình'!X160</f>
        <v>HCM_2016_QD_3384_XD</v>
      </c>
      <c r="K43" s="166"/>
      <c r="L43" s="156">
        <f>ROUND(G43*K6,2)</f>
        <v>40749899.689999998</v>
      </c>
      <c r="M43" s="166"/>
      <c r="N43" s="166"/>
      <c r="O43" s="166"/>
      <c r="P43" s="156">
        <f>ROUND(G43*O6,2)</f>
        <v>0</v>
      </c>
      <c r="Q43" s="156">
        <f>ROUND(G43*N6,2)</f>
        <v>40749899.689999998</v>
      </c>
    </row>
    <row r="44" spans="1:17" ht="30" hidden="1" x14ac:dyDescent="0.25">
      <c r="A44" s="168"/>
      <c r="B44" s="133" t="str">
        <f>'Công trình'!B161</f>
        <v>AI.63311</v>
      </c>
      <c r="C44" s="34"/>
      <c r="D44" s="133" t="str">
        <f>'Công trình'!C161</f>
        <v>Tháo dỡ kết cấu thép hệ khung dàn, sàn đạo trên cạn (60% Đg)</v>
      </c>
      <c r="E44" s="168"/>
      <c r="F44" s="20">
        <v>1</v>
      </c>
      <c r="G44" s="45">
        <f>'Hao phí vật tư'!L1227</f>
        <v>72.332800000000006</v>
      </c>
      <c r="H44" s="166"/>
      <c r="I44" s="156">
        <f>ROUND(G44*H6,2)</f>
        <v>24449933.059999999</v>
      </c>
      <c r="J44" s="20" t="str">
        <f>'Công trình'!X161</f>
        <v>HCM_2016_QD_3384_XD</v>
      </c>
      <c r="K44" s="166"/>
      <c r="L44" s="156">
        <f>ROUND(G44*K6,2)</f>
        <v>24449933.059999999</v>
      </c>
      <c r="M44" s="166"/>
      <c r="N44" s="166"/>
      <c r="O44" s="166"/>
      <c r="P44" s="156">
        <f>ROUND(G44*O6,2)</f>
        <v>0</v>
      </c>
      <c r="Q44" s="156">
        <f>ROUND(G44*N6,2)</f>
        <v>24449933.059999999</v>
      </c>
    </row>
    <row r="45" spans="1:17" ht="30" hidden="1" x14ac:dyDescent="0.25">
      <c r="A45" s="168"/>
      <c r="B45" s="133" t="str">
        <f>'Công trình'!B157</f>
        <v>AI.11912</v>
      </c>
      <c r="C45" s="34"/>
      <c r="D45" s="133" t="str">
        <f>'Công trình'!C157</f>
        <v>Sản xuất cầu công tác</v>
      </c>
      <c r="E45" s="168"/>
      <c r="F45" s="20">
        <v>1</v>
      </c>
      <c r="G45" s="45">
        <f>'Hao phí vật tư'!L1198</f>
        <v>184.85050000000001</v>
      </c>
      <c r="H45" s="166"/>
      <c r="I45" s="156">
        <f>ROUND(G45*H6,2)</f>
        <v>62483166.009999998</v>
      </c>
      <c r="J45" s="20" t="str">
        <f>'Công trình'!X157</f>
        <v>HCM_2016_QD_3384_XD</v>
      </c>
      <c r="K45" s="166"/>
      <c r="L45" s="156">
        <f>ROUND(G45*K6,2)</f>
        <v>62483166.009999998</v>
      </c>
      <c r="M45" s="166"/>
      <c r="N45" s="166"/>
      <c r="O45" s="166"/>
      <c r="P45" s="156">
        <f>ROUND(G45*O6,2)</f>
        <v>0</v>
      </c>
      <c r="Q45" s="156">
        <f>ROUND(G45*N6,2)</f>
        <v>62483166.009999998</v>
      </c>
    </row>
    <row r="46" spans="1:17" ht="30" hidden="1" x14ac:dyDescent="0.25">
      <c r="A46" s="168"/>
      <c r="B46" s="133" t="str">
        <f>'Công trình'!B168</f>
        <v>AG.32211</v>
      </c>
      <c r="C46" s="34"/>
      <c r="D46" s="133" t="str">
        <f>'Công trình'!C168</f>
        <v>Sản xuất, lắp dựng tháo dỡ ván khuôn kim loại các loại cấu kiện khác</v>
      </c>
      <c r="E46" s="168"/>
      <c r="F46" s="20">
        <v>1</v>
      </c>
      <c r="G46" s="45">
        <f>'Hao phí vật tư'!L1277</f>
        <v>0.21890000000000001</v>
      </c>
      <c r="H46" s="166"/>
      <c r="I46" s="156">
        <f>ROUND(G46*H6,2)</f>
        <v>73992.58</v>
      </c>
      <c r="J46" s="20" t="str">
        <f>'Công trình'!X168</f>
        <v>HCM_2016_QD_3384_XD</v>
      </c>
      <c r="K46" s="166"/>
      <c r="L46" s="156">
        <f>ROUND(G46*K6,2)</f>
        <v>73992.58</v>
      </c>
      <c r="M46" s="166"/>
      <c r="N46" s="166"/>
      <c r="O46" s="166"/>
      <c r="P46" s="156">
        <f>ROUND(G46*O6,2)</f>
        <v>0</v>
      </c>
      <c r="Q46" s="156">
        <f>ROUND(G46*N6,2)</f>
        <v>73992.58</v>
      </c>
    </row>
    <row r="47" spans="1:17" ht="30" hidden="1" x14ac:dyDescent="0.25">
      <c r="A47" s="168"/>
      <c r="B47" s="133" t="str">
        <f>'Công trình'!B181</f>
        <v>AF.65120</v>
      </c>
      <c r="C47" s="34"/>
      <c r="D47" s="133" t="str">
        <f>'Công trình'!C181</f>
        <v>Sản xuất, lắp dựng cốt thép móng, mố, trụ, mũ mố, mũ trụ cầu trên cạn đường kính &lt;=18mm</v>
      </c>
      <c r="E47" s="168"/>
      <c r="F47" s="20">
        <v>1</v>
      </c>
      <c r="G47" s="45">
        <f>'Hao phí vật tư'!L1383</f>
        <v>6.8495999999999997</v>
      </c>
      <c r="H47" s="166"/>
      <c r="I47" s="156">
        <f>ROUND(G47*H6,2)</f>
        <v>2315301.79</v>
      </c>
      <c r="J47" s="20" t="str">
        <f>'Công trình'!X181</f>
        <v>HCM_2016_QD_3384_XD</v>
      </c>
      <c r="K47" s="166"/>
      <c r="L47" s="156">
        <f>ROUND(G47*K6,2)</f>
        <v>2315301.79</v>
      </c>
      <c r="M47" s="166"/>
      <c r="N47" s="166"/>
      <c r="O47" s="166"/>
      <c r="P47" s="156">
        <f>ROUND(G47*O6,2)</f>
        <v>0</v>
      </c>
      <c r="Q47" s="156">
        <f>ROUND(G47*N6,2)</f>
        <v>2315301.79</v>
      </c>
    </row>
    <row r="48" spans="1:17" ht="30" hidden="1" x14ac:dyDescent="0.25">
      <c r="A48" s="168"/>
      <c r="B48" s="133" t="str">
        <f>'Công trình'!B182</f>
        <v>AF.65130</v>
      </c>
      <c r="C48" s="34"/>
      <c r="D48" s="133" t="str">
        <f>'Công trình'!C182</f>
        <v>Sản xuất, lắp dựng cốt thép móng, mố, trụ, mũ mố, mũ trụ cầu trên cạn đường kính &gt;18mm</v>
      </c>
      <c r="E48" s="168"/>
      <c r="F48" s="20">
        <v>1</v>
      </c>
      <c r="G48" s="45">
        <f>'Hao phí vật tư'!L1394</f>
        <v>8.2096999999999998</v>
      </c>
      <c r="H48" s="166"/>
      <c r="I48" s="156">
        <f>ROUND(G48*H6,2)</f>
        <v>2775042.79</v>
      </c>
      <c r="J48" s="20" t="str">
        <f>'Công trình'!X182</f>
        <v>HCM_2016_QD_3384_XD</v>
      </c>
      <c r="K48" s="166"/>
      <c r="L48" s="156">
        <f>ROUND(G48*K6,2)</f>
        <v>2775042.79</v>
      </c>
      <c r="M48" s="166"/>
      <c r="N48" s="166"/>
      <c r="O48" s="166"/>
      <c r="P48" s="156">
        <f>ROUND(G48*O6,2)</f>
        <v>0</v>
      </c>
      <c r="Q48" s="156">
        <f>ROUND(G48*N6,2)</f>
        <v>2775042.79</v>
      </c>
    </row>
    <row r="49" spans="1:17" ht="30" hidden="1" x14ac:dyDescent="0.25">
      <c r="A49" s="168"/>
      <c r="B49" s="133" t="str">
        <f>'Công trình'!B184</f>
        <v>AF.61120</v>
      </c>
      <c r="C49" s="34"/>
      <c r="D49" s="133" t="str">
        <f>'Công trình'!C184</f>
        <v>Sản xuất, lắp dựng cốt thép bản dẫn đường kính &lt;=18mm</v>
      </c>
      <c r="E49" s="168"/>
      <c r="F49" s="20">
        <v>1</v>
      </c>
      <c r="G49" s="45">
        <f>'Hao phí vật tư'!L1412</f>
        <v>1.1141000000000001</v>
      </c>
      <c r="H49" s="166"/>
      <c r="I49" s="156">
        <f>ROUND(G49*H6,2)</f>
        <v>376588.08</v>
      </c>
      <c r="J49" s="20" t="str">
        <f>'Công trình'!X184</f>
        <v>HCM_2016_QD_3384_XD</v>
      </c>
      <c r="K49" s="166"/>
      <c r="L49" s="156">
        <f>ROUND(G49*K6,2)</f>
        <v>376588.08</v>
      </c>
      <c r="M49" s="166"/>
      <c r="N49" s="166"/>
      <c r="O49" s="166"/>
      <c r="P49" s="156">
        <f>ROUND(G49*O6,2)</f>
        <v>0</v>
      </c>
      <c r="Q49" s="156">
        <f>ROUND(G49*N6,2)</f>
        <v>376588.08</v>
      </c>
    </row>
    <row r="50" spans="1:17" ht="30" hidden="1" x14ac:dyDescent="0.25">
      <c r="A50" s="168"/>
      <c r="B50" s="133" t="str">
        <f>'Công trình'!B190</f>
        <v>AF.65120</v>
      </c>
      <c r="C50" s="34"/>
      <c r="D50" s="133" t="str">
        <f>'Công trình'!C190</f>
        <v>Sản xuất, lắp dựng cốt thép móng, mố, trụ, mũ mố, mũ trụ cầu trên cạn đường kính &lt;=18mm</v>
      </c>
      <c r="E50" s="168"/>
      <c r="F50" s="20">
        <v>1</v>
      </c>
      <c r="G50" s="45">
        <f>'Hao phí vật tư'!L1467</f>
        <v>0.79169999999999996</v>
      </c>
      <c r="H50" s="166"/>
      <c r="I50" s="156">
        <f>ROUND(G50*H6,2)</f>
        <v>267610.43</v>
      </c>
      <c r="J50" s="20" t="str">
        <f>'Công trình'!X190</f>
        <v>HCM_2016_QD_3384_XD</v>
      </c>
      <c r="K50" s="166"/>
      <c r="L50" s="156">
        <f>ROUND(G50*K6,2)</f>
        <v>267610.43</v>
      </c>
      <c r="M50" s="166"/>
      <c r="N50" s="166"/>
      <c r="O50" s="166"/>
      <c r="P50" s="156">
        <f>ROUND(G50*O6,2)</f>
        <v>0</v>
      </c>
      <c r="Q50" s="156">
        <f>ROUND(G50*N6,2)</f>
        <v>267610.43</v>
      </c>
    </row>
    <row r="51" spans="1:17" ht="30" hidden="1" x14ac:dyDescent="0.25">
      <c r="A51" s="168"/>
      <c r="B51" s="133" t="str">
        <f>'Công trình'!B191</f>
        <v>AF.65130</v>
      </c>
      <c r="C51" s="34"/>
      <c r="D51" s="133" t="str">
        <f>'Công trình'!C191</f>
        <v>Sản xuất, lắp dựng cốt thép móng, mố, trụ, mũ mố, mũ trụ cầu trên cạn đường kính &gt;18mm</v>
      </c>
      <c r="E51" s="168"/>
      <c r="F51" s="20">
        <v>1</v>
      </c>
      <c r="G51" s="45">
        <f>'Hao phí vật tư'!L1478</f>
        <v>3.2713999999999999</v>
      </c>
      <c r="H51" s="166"/>
      <c r="I51" s="156">
        <f>ROUND(G51*H6,2)</f>
        <v>1105798.6299999999</v>
      </c>
      <c r="J51" s="20" t="str">
        <f>'Công trình'!X191</f>
        <v>HCM_2016_QD_3384_XD</v>
      </c>
      <c r="K51" s="166"/>
      <c r="L51" s="156">
        <f>ROUND(G51*K6,2)</f>
        <v>1105798.6299999999</v>
      </c>
      <c r="M51" s="166"/>
      <c r="N51" s="166"/>
      <c r="O51" s="166"/>
      <c r="P51" s="156">
        <f>ROUND(G51*O6,2)</f>
        <v>0</v>
      </c>
      <c r="Q51" s="156">
        <f>ROUND(G51*N6,2)</f>
        <v>1105798.6299999999</v>
      </c>
    </row>
    <row r="52" spans="1:17" ht="30" hidden="1" x14ac:dyDescent="0.25">
      <c r="A52" s="168"/>
      <c r="B52" s="133" t="str">
        <f>'Công trình'!B200</f>
        <v>AF.82111</v>
      </c>
      <c r="C52" s="34"/>
      <c r="D52" s="133" t="str">
        <f>'Công trình'!C200</f>
        <v>Sản xuất, lắp dựng tháo dỡ ván khuôn thép, cây chống gỗ dầm ngang, chiều cao &lt;=16m</v>
      </c>
      <c r="E52" s="168"/>
      <c r="F52" s="20">
        <v>1</v>
      </c>
      <c r="G52" s="45">
        <f>'Hao phí vật tư'!L1548</f>
        <v>0.58050000000000002</v>
      </c>
      <c r="H52" s="166"/>
      <c r="I52" s="156">
        <f>ROUND(G52*H6,2)</f>
        <v>196220.61</v>
      </c>
      <c r="J52" s="20" t="str">
        <f>'Công trình'!X200</f>
        <v>HCM_2016_QD_3384_XD</v>
      </c>
      <c r="K52" s="166"/>
      <c r="L52" s="156">
        <f>ROUND(G52*K6,2)</f>
        <v>196220.61</v>
      </c>
      <c r="M52" s="166"/>
      <c r="N52" s="166"/>
      <c r="O52" s="166"/>
      <c r="P52" s="156">
        <f>ROUND(G52*O6,2)</f>
        <v>0</v>
      </c>
      <c r="Q52" s="156">
        <f>ROUND(G52*N6,2)</f>
        <v>196220.61</v>
      </c>
    </row>
    <row r="53" spans="1:17" ht="30" hidden="1" x14ac:dyDescent="0.25">
      <c r="A53" s="168"/>
      <c r="B53" s="133" t="str">
        <f>'Công trình'!B204</f>
        <v>AF.61721</v>
      </c>
      <c r="C53" s="34"/>
      <c r="D53" s="133" t="str">
        <f>'Công trình'!C204</f>
        <v>Sản xuất, lắp dựng cốt thép mặt cầu đường kính &gt;10mm, chiều cao &lt;=16m</v>
      </c>
      <c r="E53" s="168"/>
      <c r="F53" s="20">
        <v>1</v>
      </c>
      <c r="G53" s="45">
        <f>'Hao phí vật tư'!L1581</f>
        <v>11.6022</v>
      </c>
      <c r="H53" s="166"/>
      <c r="I53" s="156">
        <f>ROUND(G53*H6,2)</f>
        <v>3921775.64</v>
      </c>
      <c r="J53" s="20" t="str">
        <f>'Công trình'!X204</f>
        <v>HCM_2016_QD_3384_XD</v>
      </c>
      <c r="K53" s="166"/>
      <c r="L53" s="156">
        <f>ROUND(G53*K6,2)</f>
        <v>3921775.64</v>
      </c>
      <c r="M53" s="166"/>
      <c r="N53" s="166"/>
      <c r="O53" s="166"/>
      <c r="P53" s="156">
        <f>ROUND(G53*O6,2)</f>
        <v>0</v>
      </c>
      <c r="Q53" s="156">
        <f>ROUND(G53*N6,2)</f>
        <v>3921775.64</v>
      </c>
    </row>
    <row r="54" spans="1:17" ht="30" hidden="1" x14ac:dyDescent="0.25">
      <c r="A54" s="168"/>
      <c r="B54" s="133" t="str">
        <f>'Công trình'!B208</f>
        <v>AF.65420</v>
      </c>
      <c r="C54" s="34"/>
      <c r="D54" s="133" t="str">
        <f>'Công trình'!C208</f>
        <v>Công tác sản xuất lắp dựng cốt thép bê tông tại chỗ, cốt thép dầm cầu trên cạn, D ≤18mm</v>
      </c>
      <c r="E54" s="168"/>
      <c r="F54" s="20">
        <v>1</v>
      </c>
      <c r="G54" s="45">
        <f>'Hao phí vật tư'!L1603</f>
        <v>0.19520000000000001</v>
      </c>
      <c r="H54" s="166"/>
      <c r="I54" s="156">
        <f>ROUND(G54*H6,2)</f>
        <v>65981.5</v>
      </c>
      <c r="J54" s="20" t="str">
        <f>'Công trình'!X208</f>
        <v>HCM_2016_QD_3384_XD</v>
      </c>
      <c r="K54" s="166"/>
      <c r="L54" s="156">
        <f>ROUND(G54*K6,2)</f>
        <v>65981.5</v>
      </c>
      <c r="M54" s="166"/>
      <c r="N54" s="166"/>
      <c r="O54" s="166"/>
      <c r="P54" s="156">
        <f>ROUND(G54*O6,2)</f>
        <v>0</v>
      </c>
      <c r="Q54" s="156">
        <f>ROUND(G54*N6,2)</f>
        <v>65981.5</v>
      </c>
    </row>
    <row r="55" spans="1:17" ht="30" hidden="1" x14ac:dyDescent="0.25">
      <c r="A55" s="168"/>
      <c r="B55" s="133" t="str">
        <f>'Công trình'!B210</f>
        <v>AF.65430</v>
      </c>
      <c r="C55" s="34"/>
      <c r="D55" s="133" t="str">
        <f>'Công trình'!C210</f>
        <v>Công tác sản xuất lắp dựng cốt thép bê tông tại chỗ, cốt thép dầm cầu trên cạn, D &gt;18mm</v>
      </c>
      <c r="E55" s="168"/>
      <c r="F55" s="20">
        <v>1</v>
      </c>
      <c r="G55" s="45">
        <f>'Hao phí vật tư'!L1614</f>
        <v>0.36799999999999999</v>
      </c>
      <c r="H55" s="166"/>
      <c r="I55" s="156">
        <f>ROUND(G55*H6,2)</f>
        <v>124391.36</v>
      </c>
      <c r="J55" s="20" t="str">
        <f>'Công trình'!X210</f>
        <v>HCM_2016_QD_3384_XD</v>
      </c>
      <c r="K55" s="166"/>
      <c r="L55" s="156">
        <f>ROUND(G55*K6,2)</f>
        <v>124391.36</v>
      </c>
      <c r="M55" s="166"/>
      <c r="N55" s="166"/>
      <c r="O55" s="166"/>
      <c r="P55" s="156">
        <f>ROUND(G55*O6,2)</f>
        <v>0</v>
      </c>
      <c r="Q55" s="156">
        <f>ROUND(G55*N6,2)</f>
        <v>124391.36</v>
      </c>
    </row>
    <row r="56" spans="1:17" ht="30" hidden="1" x14ac:dyDescent="0.25">
      <c r="A56" s="168"/>
      <c r="B56" s="133" t="str">
        <f>'Công trình'!B218</f>
        <v>AF.61120</v>
      </c>
      <c r="C56" s="34"/>
      <c r="D56" s="133" t="str">
        <f>'Công trình'!C218</f>
        <v>Sản xuất, lắp dựng cốt thép móng đường kính &lt;=18mm</v>
      </c>
      <c r="E56" s="168"/>
      <c r="F56" s="20">
        <v>1</v>
      </c>
      <c r="G56" s="45">
        <f>'Hao phí vật tư'!L1652</f>
        <v>0.34820000000000001</v>
      </c>
      <c r="H56" s="166"/>
      <c r="I56" s="156">
        <f>ROUND(G56*H6,2)</f>
        <v>117698.56</v>
      </c>
      <c r="J56" s="20" t="str">
        <f>'Công trình'!X218</f>
        <v>HCM_2016_QD_3384_XD</v>
      </c>
      <c r="K56" s="166"/>
      <c r="L56" s="156">
        <f>ROUND(G56*K6,2)</f>
        <v>117698.56</v>
      </c>
      <c r="M56" s="166"/>
      <c r="N56" s="166"/>
      <c r="O56" s="166"/>
      <c r="P56" s="156">
        <f>ROUND(G56*O6,2)</f>
        <v>0</v>
      </c>
      <c r="Q56" s="156">
        <f>ROUND(G56*N6,2)</f>
        <v>117698.56</v>
      </c>
    </row>
    <row r="57" spans="1:17" ht="30" hidden="1" x14ac:dyDescent="0.25">
      <c r="A57" s="168"/>
      <c r="B57" s="133" t="str">
        <f>'Công trình'!B221</f>
        <v>AF.61120</v>
      </c>
      <c r="C57" s="34"/>
      <c r="D57" s="133" t="str">
        <f>'Công trình'!C221</f>
        <v>Sản xuất, lắp dựng cốt thép đường kính &lt;=18mm</v>
      </c>
      <c r="E57" s="168"/>
      <c r="F57" s="20">
        <v>1</v>
      </c>
      <c r="G57" s="45">
        <f>'Hao phí vật tư'!L1670</f>
        <v>1.9853000000000001</v>
      </c>
      <c r="H57" s="166"/>
      <c r="I57" s="156">
        <f>ROUND(G57*H6,2)</f>
        <v>671071.11</v>
      </c>
      <c r="J57" s="20" t="str">
        <f>'Công trình'!X221</f>
        <v>HCM_2016_QD_3384_XD</v>
      </c>
      <c r="K57" s="166"/>
      <c r="L57" s="156">
        <f>ROUND(G57*K6,2)</f>
        <v>671071.11</v>
      </c>
      <c r="M57" s="166"/>
      <c r="N57" s="166"/>
      <c r="O57" s="166"/>
      <c r="P57" s="156">
        <f>ROUND(G57*O6,2)</f>
        <v>0</v>
      </c>
      <c r="Q57" s="156">
        <f>ROUND(G57*N6,2)</f>
        <v>671071.11</v>
      </c>
    </row>
    <row r="58" spans="1:17" ht="30" hidden="1" x14ac:dyDescent="0.25">
      <c r="A58" s="168"/>
      <c r="B58" s="133" t="str">
        <f>'Công trình'!B227</f>
        <v>AG.13121</v>
      </c>
      <c r="C58" s="34"/>
      <c r="D58" s="133" t="str">
        <f>'Công trình'!C227</f>
        <v>Sản xuất, lắp dựng cốt thép BT đúc sẵn cọc, đường kính &lt;=18mm</v>
      </c>
      <c r="E58" s="168"/>
      <c r="F58" s="20">
        <v>1</v>
      </c>
      <c r="G58" s="45">
        <f>'Hao phí vật tư'!L1710</f>
        <v>0.48570000000000002</v>
      </c>
      <c r="H58" s="166"/>
      <c r="I58" s="156">
        <f>ROUND(G58*H6,2)</f>
        <v>164176.31</v>
      </c>
      <c r="J58" s="20" t="str">
        <f>'Công trình'!X227</f>
        <v>HCM_2016_QD_3384_XD</v>
      </c>
      <c r="K58" s="166"/>
      <c r="L58" s="156">
        <f>ROUND(G58*K6,2)</f>
        <v>164176.31</v>
      </c>
      <c r="M58" s="166"/>
      <c r="N58" s="166"/>
      <c r="O58" s="166"/>
      <c r="P58" s="156">
        <f>ROUND(G58*O6,2)</f>
        <v>0</v>
      </c>
      <c r="Q58" s="156">
        <f>ROUND(G58*N6,2)</f>
        <v>164176.31</v>
      </c>
    </row>
    <row r="59" spans="1:17" ht="30" hidden="1" x14ac:dyDescent="0.25">
      <c r="A59" s="168"/>
      <c r="B59" s="133" t="str">
        <f>'Công trình'!B228</f>
        <v>AG.13131</v>
      </c>
      <c r="C59" s="34"/>
      <c r="D59" s="133" t="str">
        <f>'Công trình'!C228</f>
        <v>Sản xuất, lắp dựng cốt thép BT đúc sẵn cọc, đường kính &gt;18mm</v>
      </c>
      <c r="E59" s="168"/>
      <c r="F59" s="20">
        <v>1</v>
      </c>
      <c r="G59" s="45">
        <f>'Hao phí vật tư'!L1720</f>
        <v>14.549799999999999</v>
      </c>
      <c r="H59" s="166"/>
      <c r="I59" s="156">
        <f>ROUND(G59*H6,2)</f>
        <v>4918123.4000000004</v>
      </c>
      <c r="J59" s="20" t="str">
        <f>'Công trình'!X228</f>
        <v>HCM_2016_QD_3384_XD</v>
      </c>
      <c r="K59" s="166"/>
      <c r="L59" s="156">
        <f>ROUND(G59*K6,2)</f>
        <v>4918123.4000000004</v>
      </c>
      <c r="M59" s="166"/>
      <c r="N59" s="166"/>
      <c r="O59" s="166"/>
      <c r="P59" s="156">
        <f>ROUND(G59*O6,2)</f>
        <v>0</v>
      </c>
      <c r="Q59" s="156">
        <f>ROUND(G59*N6,2)</f>
        <v>4918123.4000000004</v>
      </c>
    </row>
    <row r="60" spans="1:17" ht="30" hidden="1" x14ac:dyDescent="0.25">
      <c r="A60" s="168"/>
      <c r="B60" s="133" t="str">
        <f>'Công trình'!B229</f>
        <v>AI.13111</v>
      </c>
      <c r="C60" s="34"/>
      <c r="D60" s="133" t="str">
        <f>'Công trình'!C229</f>
        <v>Sản xuất cấu kiện thép đặt sẵn trong bê tông, khối lượng &lt;=10kg/cấu kiện</v>
      </c>
      <c r="E60" s="168"/>
      <c r="F60" s="20">
        <v>1</v>
      </c>
      <c r="G60" s="45">
        <f>'Hao phí vật tư'!L1734</f>
        <v>3.2016</v>
      </c>
      <c r="H60" s="166"/>
      <c r="I60" s="156">
        <f>ROUND(G60*H6,2)</f>
        <v>1082204.83</v>
      </c>
      <c r="J60" s="20" t="str">
        <f>'Công trình'!X229</f>
        <v>HCM_2016_QD_3384_XD</v>
      </c>
      <c r="K60" s="166"/>
      <c r="L60" s="156">
        <f>ROUND(G60*K6,2)</f>
        <v>1082204.83</v>
      </c>
      <c r="M60" s="166"/>
      <c r="N60" s="166"/>
      <c r="O60" s="166"/>
      <c r="P60" s="156">
        <f>ROUND(G60*O6,2)</f>
        <v>0</v>
      </c>
      <c r="Q60" s="156">
        <f>ROUND(G60*N6,2)</f>
        <v>1082204.83</v>
      </c>
    </row>
    <row r="61" spans="1:17" ht="30" hidden="1" x14ac:dyDescent="0.25">
      <c r="A61" s="168"/>
      <c r="B61" s="133" t="str">
        <f>'Công trình'!B231</f>
        <v>AI.52211</v>
      </c>
      <c r="C61" s="34"/>
      <c r="D61" s="133" t="str">
        <f>'Công trình'!C231</f>
        <v>Thép hình hộp nối cọc</v>
      </c>
      <c r="E61" s="168"/>
      <c r="F61" s="20">
        <v>1</v>
      </c>
      <c r="G61" s="45">
        <f>'Hao phí vật tư'!L1761</f>
        <v>10.2723</v>
      </c>
      <c r="H61" s="166"/>
      <c r="I61" s="156">
        <f>ROUND(G61*H6,2)</f>
        <v>3472242.85</v>
      </c>
      <c r="J61" s="20" t="str">
        <f>'Công trình'!X231</f>
        <v>HCM_2016_QD_3384_XD</v>
      </c>
      <c r="K61" s="166"/>
      <c r="L61" s="156">
        <f>ROUND(G61*K6,2)</f>
        <v>3472242.85</v>
      </c>
      <c r="M61" s="166"/>
      <c r="N61" s="166"/>
      <c r="O61" s="166"/>
      <c r="P61" s="156">
        <f>ROUND(G61*O6,2)</f>
        <v>0</v>
      </c>
      <c r="Q61" s="156">
        <f>ROUND(G61*N6,2)</f>
        <v>3472242.85</v>
      </c>
    </row>
    <row r="62" spans="1:17" ht="30" hidden="1" x14ac:dyDescent="0.25">
      <c r="A62" s="168"/>
      <c r="B62" s="133" t="str">
        <f>'Công trình'!B235</f>
        <v>AA.22310</v>
      </c>
      <c r="C62" s="34"/>
      <c r="D62" s="133" t="str">
        <f>'Công trình'!C235</f>
        <v>Đập đầu cọc trên cạn</v>
      </c>
      <c r="E62" s="168"/>
      <c r="F62" s="20">
        <v>1</v>
      </c>
      <c r="G62" s="45">
        <f>'Hao phí vật tư'!L1798</f>
        <v>0.33810000000000001</v>
      </c>
      <c r="H62" s="166"/>
      <c r="I62" s="156">
        <f>ROUND(G62*H6,2)</f>
        <v>114284.56</v>
      </c>
      <c r="J62" s="20" t="str">
        <f>'Công trình'!X235</f>
        <v>HCM_2016_QD_3384_XD</v>
      </c>
      <c r="K62" s="166"/>
      <c r="L62" s="156">
        <f>ROUND(G62*K6,2)</f>
        <v>114284.56</v>
      </c>
      <c r="M62" s="166"/>
      <c r="N62" s="166"/>
      <c r="O62" s="166"/>
      <c r="P62" s="156">
        <f>ROUND(G62*O6,2)</f>
        <v>0</v>
      </c>
      <c r="Q62" s="156">
        <f>ROUND(G62*N6,2)</f>
        <v>114284.56</v>
      </c>
    </row>
    <row r="63" spans="1:17" ht="30" hidden="1" x14ac:dyDescent="0.25">
      <c r="A63" s="168"/>
      <c r="B63" s="133" t="str">
        <f>'Công trình'!B234</f>
        <v>AC.29341</v>
      </c>
      <c r="C63" s="34"/>
      <c r="D63" s="133" t="str">
        <f>'Công trình'!C234</f>
        <v>Nối cọc BTCT 35x35cm</v>
      </c>
      <c r="E63" s="168"/>
      <c r="F63" s="20">
        <v>1</v>
      </c>
      <c r="G63" s="45">
        <f>'Hao phí vật tư'!L1790</f>
        <v>5.4</v>
      </c>
      <c r="H63" s="166"/>
      <c r="I63" s="156">
        <f>ROUND(G63*H6,2)</f>
        <v>1825308</v>
      </c>
      <c r="J63" s="20" t="str">
        <f>'Công trình'!X234</f>
        <v>HCM_2016_QD_3384_XD</v>
      </c>
      <c r="K63" s="166"/>
      <c r="L63" s="156">
        <f>ROUND(G63*K6,2)</f>
        <v>1825308</v>
      </c>
      <c r="M63" s="166"/>
      <c r="N63" s="166"/>
      <c r="O63" s="166"/>
      <c r="P63" s="156">
        <f>ROUND(G63*O6,2)</f>
        <v>0</v>
      </c>
      <c r="Q63" s="156">
        <f>ROUND(G63*N6,2)</f>
        <v>1825308</v>
      </c>
    </row>
    <row r="64" spans="1:17" ht="30" hidden="1" x14ac:dyDescent="0.25">
      <c r="A64" s="168"/>
      <c r="B64" s="133" t="str">
        <f>'Công trình'!B249</f>
        <v>AF.82111</v>
      </c>
      <c r="C64" s="34"/>
      <c r="D64" s="133" t="str">
        <f>'Công trình'!C249</f>
        <v>Sản xuất, lắp dựng tháo dỡ ván khuôn thép, cây chống gỗ dầm, giằng, chiều cao &lt;=16m</v>
      </c>
      <c r="E64" s="168"/>
      <c r="F64" s="20">
        <v>1</v>
      </c>
      <c r="G64" s="45">
        <f>'Hao phí vật tư'!L1896</f>
        <v>1.0704</v>
      </c>
      <c r="H64" s="166"/>
      <c r="I64" s="156">
        <f>ROUND(G64*H6,2)</f>
        <v>361816.61</v>
      </c>
      <c r="J64" s="20" t="str">
        <f>'Công trình'!X249</f>
        <v>HCM_2016_QD_3384_XD</v>
      </c>
      <c r="K64" s="166"/>
      <c r="L64" s="156">
        <f>ROUND(G64*K6,2)</f>
        <v>361816.61</v>
      </c>
      <c r="M64" s="166"/>
      <c r="N64" s="166"/>
      <c r="O64" s="166"/>
      <c r="P64" s="156">
        <f>ROUND(G64*O6,2)</f>
        <v>0</v>
      </c>
      <c r="Q64" s="156">
        <f>ROUND(G64*N6,2)</f>
        <v>361816.61</v>
      </c>
    </row>
    <row r="65" spans="1:17" ht="30" hidden="1" x14ac:dyDescent="0.25">
      <c r="A65" s="168"/>
      <c r="B65" s="133" t="str">
        <f>'Công trình'!B256</f>
        <v>AF.82111</v>
      </c>
      <c r="C65" s="34"/>
      <c r="D65" s="133" t="str">
        <f>'Công trình'!C256</f>
        <v>Sản xuất, lắp dựng tháo dỡ ván khuôn thép lan can</v>
      </c>
      <c r="E65" s="168"/>
      <c r="F65" s="20">
        <v>1</v>
      </c>
      <c r="G65" s="45">
        <f>'Hao phí vật tư'!L1957</f>
        <v>2.2947000000000002</v>
      </c>
      <c r="H65" s="166"/>
      <c r="I65" s="156">
        <f>ROUND(G65*H6,2)</f>
        <v>775654.49</v>
      </c>
      <c r="J65" s="20" t="str">
        <f>'Công trình'!X256</f>
        <v>HCM_2016_QD_3384_XD</v>
      </c>
      <c r="K65" s="166"/>
      <c r="L65" s="156">
        <f>ROUND(G65*K6,2)</f>
        <v>775654.49</v>
      </c>
      <c r="M65" s="166"/>
      <c r="N65" s="166"/>
      <c r="O65" s="166"/>
      <c r="P65" s="156">
        <f>ROUND(G65*O6,2)</f>
        <v>0</v>
      </c>
      <c r="Q65" s="156">
        <f>ROUND(G65*N6,2)</f>
        <v>775654.49</v>
      </c>
    </row>
    <row r="66" spans="1:17" ht="30" hidden="1" x14ac:dyDescent="0.25">
      <c r="A66" s="168"/>
      <c r="B66" s="133" t="str">
        <f>'Công trình'!B258</f>
        <v>AF.61120</v>
      </c>
      <c r="C66" s="34"/>
      <c r="D66" s="133" t="str">
        <f>'Công trình'!C258</f>
        <v>Sản xuất, lắp dựng cốt thép đường kính &lt;=18mm</v>
      </c>
      <c r="E66" s="168"/>
      <c r="F66" s="20">
        <v>1</v>
      </c>
      <c r="G66" s="45">
        <f>'Hao phí vật tư'!L1976</f>
        <v>0.71299999999999997</v>
      </c>
      <c r="H66" s="166"/>
      <c r="I66" s="156">
        <f>ROUND(G66*H6,2)</f>
        <v>241008.26</v>
      </c>
      <c r="J66" s="20" t="str">
        <f>'Công trình'!X258</f>
        <v>HCM_2016_QD_3384_XD</v>
      </c>
      <c r="K66" s="166"/>
      <c r="L66" s="156">
        <f>ROUND(G66*K6,2)</f>
        <v>241008.26</v>
      </c>
      <c r="M66" s="166"/>
      <c r="N66" s="166"/>
      <c r="O66" s="166"/>
      <c r="P66" s="156">
        <f>ROUND(G66*O6,2)</f>
        <v>0</v>
      </c>
      <c r="Q66" s="156">
        <f>ROUND(G66*N6,2)</f>
        <v>241008.26</v>
      </c>
    </row>
    <row r="67" spans="1:17" ht="30" hidden="1" x14ac:dyDescent="0.25">
      <c r="A67" s="168"/>
      <c r="B67" s="133" t="str">
        <f>'Công trình'!B263</f>
        <v>AI.63211</v>
      </c>
      <c r="C67" s="34"/>
      <c r="D67" s="133" t="str">
        <f>'Công trình'!C263</f>
        <v>Lắp dựng lan can sắt, vữa XM mác 75</v>
      </c>
      <c r="E67" s="168"/>
      <c r="F67" s="20">
        <v>1</v>
      </c>
      <c r="G67" s="45">
        <f>'Hao phí vật tư'!L2016</f>
        <v>10.53</v>
      </c>
      <c r="H67" s="166"/>
      <c r="I67" s="156">
        <f>ROUND(G67*H6,2)</f>
        <v>3559350.6</v>
      </c>
      <c r="J67" s="20" t="str">
        <f>'Công trình'!X263</f>
        <v>HCM_2016_QD_3384_XD</v>
      </c>
      <c r="K67" s="166"/>
      <c r="L67" s="156">
        <f>ROUND(G67*K6,2)</f>
        <v>3559350.6</v>
      </c>
      <c r="M67" s="166"/>
      <c r="N67" s="166"/>
      <c r="O67" s="166"/>
      <c r="P67" s="156">
        <f>ROUND(G67*O6,2)</f>
        <v>0</v>
      </c>
      <c r="Q67" s="156">
        <f>ROUND(G67*N6,2)</f>
        <v>3559350.6</v>
      </c>
    </row>
    <row r="68" spans="1:17" ht="30" hidden="1" x14ac:dyDescent="0.25">
      <c r="A68" s="168"/>
      <c r="B68" s="133" t="str">
        <f>'Công trình'!B268</f>
        <v>BB.14211</v>
      </c>
      <c r="C68" s="34"/>
      <c r="D68" s="133" t="str">
        <f>'Công trình'!C268</f>
        <v>Ống thép Þ120 dày 2 mm</v>
      </c>
      <c r="E68" s="168"/>
      <c r="F68" s="20">
        <v>1</v>
      </c>
      <c r="G68" s="45">
        <f>'Hao phí vật tư'!L2049</f>
        <v>0.39050000000000001</v>
      </c>
      <c r="H68" s="166"/>
      <c r="I68" s="156">
        <f>ROUND(G68*H6,2)</f>
        <v>131996.81</v>
      </c>
      <c r="J68" s="20" t="str">
        <f>'Công trình'!X268</f>
        <v>HCM_2016_QD_3384_LD</v>
      </c>
      <c r="K68" s="166"/>
      <c r="L68" s="156">
        <f>ROUND(G68*K6,2)</f>
        <v>131996.81</v>
      </c>
      <c r="M68" s="166"/>
      <c r="N68" s="166"/>
      <c r="O68" s="166"/>
      <c r="P68" s="156">
        <f>ROUND(G68*O6,2)</f>
        <v>0</v>
      </c>
      <c r="Q68" s="156">
        <f>ROUND(G68*N6,2)</f>
        <v>131996.81</v>
      </c>
    </row>
    <row r="69" spans="1:17" ht="30" hidden="1" x14ac:dyDescent="0.25">
      <c r="A69" s="168"/>
      <c r="B69" s="133" t="str">
        <f>'Công trình'!B179</f>
        <v>AF.87211</v>
      </c>
      <c r="C69" s="34"/>
      <c r="D69" s="133" t="str">
        <f>'Công trình'!C179</f>
        <v>Sản xuất, lắp dựng, tháo dỡ ván khuôn mố, trụ cầu trên cạn</v>
      </c>
      <c r="E69" s="168"/>
      <c r="F69" s="20">
        <v>1</v>
      </c>
      <c r="G69" s="45">
        <f>'Hao phí vật tư'!L1363</f>
        <v>6.9278000000000004</v>
      </c>
      <c r="H69" s="166"/>
      <c r="I69" s="156">
        <f>ROUND(G69*H6,2)</f>
        <v>2341734.96</v>
      </c>
      <c r="J69" s="20" t="str">
        <f>'Công trình'!X179</f>
        <v>HCM_2016_QD_3384_XD</v>
      </c>
      <c r="K69" s="166"/>
      <c r="L69" s="156">
        <f>ROUND(G69*K6,2)</f>
        <v>2341734.96</v>
      </c>
      <c r="M69" s="166"/>
      <c r="N69" s="166"/>
      <c r="O69" s="166"/>
      <c r="P69" s="156">
        <f>ROUND(G69*O6,2)</f>
        <v>0</v>
      </c>
      <c r="Q69" s="156">
        <f>ROUND(G69*N6,2)</f>
        <v>2341734.96</v>
      </c>
    </row>
    <row r="70" spans="1:17" ht="30" hidden="1" x14ac:dyDescent="0.25">
      <c r="A70" s="168"/>
      <c r="B70" s="133" t="str">
        <f>'Công trình'!B189</f>
        <v>AF.87211</v>
      </c>
      <c r="C70" s="34"/>
      <c r="D70" s="133" t="str">
        <f>'Công trình'!C189</f>
        <v>Sản xuất, lắp dựng, tháo dỡ ván khuôn mố, trụ cầu trên cạn</v>
      </c>
      <c r="E70" s="168"/>
      <c r="F70" s="20">
        <v>1</v>
      </c>
      <c r="G70" s="45">
        <f>'Hao phí vật tư'!L1454</f>
        <v>1.9850000000000001</v>
      </c>
      <c r="H70" s="166"/>
      <c r="I70" s="156">
        <f>ROUND(G70*H6,2)</f>
        <v>670969.69999999995</v>
      </c>
      <c r="J70" s="20" t="str">
        <f>'Công trình'!X189</f>
        <v>HCM_2016_QD_3384_XD</v>
      </c>
      <c r="K70" s="166"/>
      <c r="L70" s="156">
        <f>ROUND(G70*K6,2)</f>
        <v>670969.69999999995</v>
      </c>
      <c r="M70" s="166"/>
      <c r="N70" s="166"/>
      <c r="O70" s="166"/>
      <c r="P70" s="156">
        <f>ROUND(G70*O6,2)</f>
        <v>0</v>
      </c>
      <c r="Q70" s="156">
        <f>ROUND(G70*N6,2)</f>
        <v>670969.69999999995</v>
      </c>
    </row>
    <row r="71" spans="1:17" ht="30" hidden="1" x14ac:dyDescent="0.25">
      <c r="A71" s="168"/>
      <c r="B71" s="133" t="str">
        <f>'Công trình'!B201</f>
        <v>AF.82311</v>
      </c>
      <c r="C71" s="34"/>
      <c r="D71" s="133" t="str">
        <f>'Công trình'!C201</f>
        <v>Sản xuất, lắp dựng tháo dỡ ván khuôn thép, cây chống gỗ mặt cầu, chiều cao &lt;=16m</v>
      </c>
      <c r="E71" s="168"/>
      <c r="F71" s="20">
        <v>1</v>
      </c>
      <c r="G71" s="45">
        <f>'Hao phí vật tư'!L1561</f>
        <v>3.7907999999999999</v>
      </c>
      <c r="H71" s="166"/>
      <c r="I71" s="156">
        <f>ROUND(G71*H6,2)</f>
        <v>1281366.22</v>
      </c>
      <c r="J71" s="20" t="str">
        <f>'Công trình'!X201</f>
        <v>HCM_2016_QD_3384_XD</v>
      </c>
      <c r="K71" s="166"/>
      <c r="L71" s="156">
        <f>ROUND(G71*K6,2)</f>
        <v>1281366.22</v>
      </c>
      <c r="M71" s="166"/>
      <c r="N71" s="166"/>
      <c r="O71" s="166"/>
      <c r="P71" s="156">
        <f>ROUND(G71*O6,2)</f>
        <v>0</v>
      </c>
      <c r="Q71" s="156">
        <f>ROUND(G71*N6,2)</f>
        <v>1281366.22</v>
      </c>
    </row>
    <row r="72" spans="1:17" ht="30" hidden="1" x14ac:dyDescent="0.25">
      <c r="A72" s="168"/>
      <c r="B72" s="133" t="str">
        <f>'Công trình'!B230</f>
        <v>AG.32321</v>
      </c>
      <c r="C72" s="34"/>
      <c r="D72" s="133" t="str">
        <f>'Công trình'!C230</f>
        <v>Sản xuất, lắp dựng, tháo dỡ ván khuôn thép bê tông đúc sẵn cọc, cột</v>
      </c>
      <c r="E72" s="168"/>
      <c r="F72" s="20">
        <v>1</v>
      </c>
      <c r="G72" s="45">
        <f>'Hao phí vật tư'!L1746</f>
        <v>1.9726999999999999</v>
      </c>
      <c r="H72" s="166"/>
      <c r="I72" s="156">
        <f>ROUND(G72*H6,2)</f>
        <v>666812.05000000005</v>
      </c>
      <c r="J72" s="20" t="str">
        <f>'Công trình'!X230</f>
        <v>HCM_2016_QD_3384_XD</v>
      </c>
      <c r="K72" s="166"/>
      <c r="L72" s="156">
        <f>ROUND(G72*K6,2)</f>
        <v>666812.05000000005</v>
      </c>
      <c r="M72" s="166"/>
      <c r="N72" s="166"/>
      <c r="O72" s="166"/>
      <c r="P72" s="156">
        <f>ROUND(G72*O6,2)</f>
        <v>0</v>
      </c>
      <c r="Q72" s="156">
        <f>ROUND(G72*N6,2)</f>
        <v>666812.05000000005</v>
      </c>
    </row>
    <row r="73" spans="1:17" ht="30" hidden="1" x14ac:dyDescent="0.25">
      <c r="A73" s="168"/>
      <c r="B73" s="133" t="str">
        <f>'Công trình'!B56</f>
        <v>AG.32511</v>
      </c>
      <c r="C73" s="34"/>
      <c r="D73" s="133" t="str">
        <f>'Công trình'!C56</f>
        <v>Sản xuất, lắp dựng, tháo dỡ ván khuôn thép bê tông đúc sẵn tấm tự chèn</v>
      </c>
      <c r="E73" s="168"/>
      <c r="F73" s="20">
        <v>1</v>
      </c>
      <c r="G73" s="45">
        <f>'Hao phí vật tư'!L416</f>
        <v>4.2870999999999997</v>
      </c>
      <c r="H73" s="166"/>
      <c r="I73" s="156">
        <f>ROUND(G73*H6,2)</f>
        <v>1449125.54</v>
      </c>
      <c r="J73" s="20" t="str">
        <f>'Công trình'!X56</f>
        <v>HCM_2016_QD_3384_XD</v>
      </c>
      <c r="K73" s="166"/>
      <c r="L73" s="156">
        <f>ROUND(G73*K6,2)</f>
        <v>1449125.54</v>
      </c>
      <c r="M73" s="166"/>
      <c r="N73" s="166"/>
      <c r="O73" s="166"/>
      <c r="P73" s="156">
        <f>ROUND(G73*O6,2)</f>
        <v>0</v>
      </c>
      <c r="Q73" s="156">
        <f>ROUND(G73*N6,2)</f>
        <v>1449125.54</v>
      </c>
    </row>
    <row r="74" spans="1:17" ht="30" hidden="1" x14ac:dyDescent="0.25">
      <c r="A74" s="168"/>
      <c r="B74" s="133" t="str">
        <f>'Công trình'!B251</f>
        <v>AG.32511</v>
      </c>
      <c r="C74" s="34"/>
      <c r="D74" s="133" t="str">
        <f>'Công trình'!C251</f>
        <v>Sản xuất, lắp dựng, tháo dỡ ván khuôn thép bê tông đúc sẵn nắp đan, tấm chớp</v>
      </c>
      <c r="E74" s="168"/>
      <c r="F74" s="20">
        <v>1</v>
      </c>
      <c r="G74" s="45">
        <f>'Hao phí vật tư'!L1918</f>
        <v>5.4767000000000001</v>
      </c>
      <c r="H74" s="166"/>
      <c r="I74" s="156">
        <f>ROUND(G74*H6,2)</f>
        <v>1851234.13</v>
      </c>
      <c r="J74" s="20" t="str">
        <f>'Công trình'!X251</f>
        <v>HCM_2016_QD_3384_XD</v>
      </c>
      <c r="K74" s="166"/>
      <c r="L74" s="156">
        <f>ROUND(G74*K6,2)</f>
        <v>1851234.13</v>
      </c>
      <c r="M74" s="166"/>
      <c r="N74" s="166"/>
      <c r="O74" s="166"/>
      <c r="P74" s="156">
        <f>ROUND(G74*O6,2)</f>
        <v>0</v>
      </c>
      <c r="Q74" s="156">
        <f>ROUND(G74*N6,2)</f>
        <v>1851234.13</v>
      </c>
    </row>
    <row r="75" spans="1:17" ht="30" hidden="1" x14ac:dyDescent="0.25">
      <c r="A75" s="168"/>
      <c r="B75" s="133" t="str">
        <f>'Công trình'!B262</f>
        <v>AI.21152</v>
      </c>
      <c r="C75" s="34"/>
      <c r="D75" s="133" t="str">
        <f>'Công trình'!C262</f>
        <v>Sản xuất kết cấu thép lan can cầu đường bộ</v>
      </c>
      <c r="E75" s="168"/>
      <c r="F75" s="20">
        <v>1</v>
      </c>
      <c r="G75" s="45">
        <f>'Hao phí vật tư'!L2002</f>
        <v>21.328099999999999</v>
      </c>
      <c r="H75" s="166"/>
      <c r="I75" s="156">
        <f>ROUND(G75*H6,2)</f>
        <v>7209324.3600000003</v>
      </c>
      <c r="J75" s="20" t="str">
        <f>'Công trình'!X262</f>
        <v>HCM_2016_QD_3384_XD</v>
      </c>
      <c r="K75" s="166"/>
      <c r="L75" s="156">
        <f>ROUND(G75*K6,2)</f>
        <v>7209324.3600000003</v>
      </c>
      <c r="M75" s="166"/>
      <c r="N75" s="166"/>
      <c r="O75" s="166"/>
      <c r="P75" s="156">
        <f>ROUND(G75*O6,2)</f>
        <v>0</v>
      </c>
      <c r="Q75" s="156">
        <f>ROUND(G75*N6,2)</f>
        <v>7209324.3600000003</v>
      </c>
    </row>
    <row r="76" spans="1:17" ht="30" hidden="1" x14ac:dyDescent="0.25">
      <c r="A76" s="168"/>
      <c r="B76" s="133" t="str">
        <f>'Công trình'!B73</f>
        <v>AG.32321</v>
      </c>
      <c r="C76" s="34"/>
      <c r="D76" s="133" t="str">
        <f>'Công trình'!C73</f>
        <v>Sản xuất, lắp dựng, tháo dỡ ván khuôn thép bê tông đúc sẵn cọc</v>
      </c>
      <c r="E76" s="168"/>
      <c r="F76" s="20">
        <v>1</v>
      </c>
      <c r="G76" s="45">
        <f>'Hao phí vật tư'!L570</f>
        <v>1.8233999999999999</v>
      </c>
      <c r="H76" s="166"/>
      <c r="I76" s="156">
        <f>ROUND(G76*H6,2)</f>
        <v>616345.67000000004</v>
      </c>
      <c r="J76" s="20" t="str">
        <f>'Công trình'!X73</f>
        <v>HCM_2016_QD_3384_XD</v>
      </c>
      <c r="K76" s="166"/>
      <c r="L76" s="156">
        <f>ROUND(G76*K6,2)</f>
        <v>616345.67000000004</v>
      </c>
      <c r="M76" s="166"/>
      <c r="N76" s="166"/>
      <c r="O76" s="166"/>
      <c r="P76" s="156">
        <f>ROUND(G76*O6,2)</f>
        <v>0</v>
      </c>
      <c r="Q76" s="156">
        <f>ROUND(G76*N6,2)</f>
        <v>616345.67000000004</v>
      </c>
    </row>
    <row r="77" spans="1:17" ht="30" hidden="1" x14ac:dyDescent="0.25">
      <c r="A77" s="168"/>
      <c r="B77" s="133" t="str">
        <f>'Công trình'!B84</f>
        <v>AG.32321</v>
      </c>
      <c r="C77" s="34"/>
      <c r="D77" s="133" t="str">
        <f>'Công trình'!C84</f>
        <v>Sản xuất, lắp dựng, tháo dỡ ván khuôn thép bê tông đúc sẵn cọc</v>
      </c>
      <c r="E77" s="168"/>
      <c r="F77" s="20">
        <v>1</v>
      </c>
      <c r="G77" s="45">
        <f>'Hao phí vật tư'!L686</f>
        <v>0.82509999999999994</v>
      </c>
      <c r="H77" s="166"/>
      <c r="I77" s="156">
        <f>ROUND(G77*H6,2)</f>
        <v>278900.3</v>
      </c>
      <c r="J77" s="20" t="str">
        <f>'Công trình'!X84</f>
        <v>HCM_2016_QD_3384_XD</v>
      </c>
      <c r="K77" s="166"/>
      <c r="L77" s="156">
        <f>ROUND(G77*K6,2)</f>
        <v>278900.3</v>
      </c>
      <c r="M77" s="166"/>
      <c r="N77" s="166"/>
      <c r="O77" s="166"/>
      <c r="P77" s="156">
        <f>ROUND(G77*O6,2)</f>
        <v>0</v>
      </c>
      <c r="Q77" s="156">
        <f>ROUND(G77*N6,2)</f>
        <v>278900.3</v>
      </c>
    </row>
    <row r="78" spans="1:17" ht="30" hidden="1" x14ac:dyDescent="0.25">
      <c r="A78" s="168"/>
      <c r="B78" s="133" t="str">
        <f>'Công trình'!B24</f>
        <v>AF.61130</v>
      </c>
      <c r="C78" s="34"/>
      <c r="D78" s="133" t="str">
        <f>'Công trình'!C24</f>
        <v>Neo dầm mang cống bằng thép D32 SUS304</v>
      </c>
      <c r="E78" s="168"/>
      <c r="F78" s="20">
        <v>1</v>
      </c>
      <c r="G78" s="45">
        <f>'Hao phí vật tư'!L174</f>
        <v>0.78839999999999999</v>
      </c>
      <c r="H78" s="166"/>
      <c r="I78" s="156">
        <f>ROUND(G78*H6,2)</f>
        <v>266494.96999999997</v>
      </c>
      <c r="J78" s="20" t="str">
        <f>'Công trình'!X24</f>
        <v>HCM_2016_QD_3384_XD</v>
      </c>
      <c r="K78" s="166"/>
      <c r="L78" s="156">
        <f>ROUND(G78*K6,2)</f>
        <v>266494.96999999997</v>
      </c>
      <c r="M78" s="166"/>
      <c r="N78" s="166"/>
      <c r="O78" s="166"/>
      <c r="P78" s="156">
        <f>ROUND(G78*O6,2)</f>
        <v>0</v>
      </c>
      <c r="Q78" s="156">
        <f>ROUND(G78*N6,2)</f>
        <v>266494.96999999997</v>
      </c>
    </row>
    <row r="79" spans="1:17" ht="45" hidden="1" x14ac:dyDescent="0.25">
      <c r="A79" s="168"/>
      <c r="B79" s="133" t="str">
        <f>'Công trình'!B35</f>
        <v>AF.82111</v>
      </c>
      <c r="C79" s="34"/>
      <c r="D79" s="133" t="str">
        <f>'Công trình'!C35</f>
        <v>Sản xuất, lắp dựng tháo dỡ ván khuôn thép, cây chống gỗ tường, cột vuông (chữ nhật), xà dầm, giằng, chiều cao &lt;=16m</v>
      </c>
      <c r="E79" s="168"/>
      <c r="F79" s="20">
        <v>1</v>
      </c>
      <c r="G79" s="45">
        <f>'Hao phí vật tư'!L269</f>
        <v>0.87239999999999995</v>
      </c>
      <c r="H79" s="166"/>
      <c r="I79" s="156">
        <f>ROUND(G79*H6,2)</f>
        <v>294888.65000000002</v>
      </c>
      <c r="J79" s="20" t="str">
        <f>'Công trình'!X35</f>
        <v>HCM_2016_QD_3384_XD</v>
      </c>
      <c r="K79" s="166"/>
      <c r="L79" s="156">
        <f>ROUND(G79*K6,2)</f>
        <v>294888.65000000002</v>
      </c>
      <c r="M79" s="166"/>
      <c r="N79" s="166"/>
      <c r="O79" s="166"/>
      <c r="P79" s="156">
        <f>ROUND(G79*O6,2)</f>
        <v>0</v>
      </c>
      <c r="Q79" s="156">
        <f>ROUND(G79*N6,2)</f>
        <v>294888.65000000002</v>
      </c>
    </row>
    <row r="80" spans="1:17" ht="30" hidden="1" x14ac:dyDescent="0.25">
      <c r="A80" s="168"/>
      <c r="B80" s="133" t="str">
        <f>'Công trình'!B37</f>
        <v>AF.61521</v>
      </c>
      <c r="C80" s="34"/>
      <c r="D80" s="133" t="str">
        <f>'Công trình'!C37</f>
        <v>Sản xuất, lắp dựng cốt thép xà dầm, giằng đường kính &lt;=18mm, chiều cao &lt;=4m</v>
      </c>
      <c r="E80" s="168"/>
      <c r="F80" s="20">
        <v>1</v>
      </c>
      <c r="G80" s="45">
        <f>'Hao phí vật tư'!L288</f>
        <v>0.30859999999999999</v>
      </c>
      <c r="H80" s="166"/>
      <c r="I80" s="156">
        <f>ROUND(G80*H6,2)</f>
        <v>104312.97</v>
      </c>
      <c r="J80" s="20" t="str">
        <f>'Công trình'!X37</f>
        <v>HCM_2016_QD_3384_XD</v>
      </c>
      <c r="K80" s="166"/>
      <c r="L80" s="156">
        <f>ROUND(G80*K6,2)</f>
        <v>104312.97</v>
      </c>
      <c r="M80" s="166"/>
      <c r="N80" s="166"/>
      <c r="O80" s="166"/>
      <c r="P80" s="156">
        <f>ROUND(G80*O6,2)</f>
        <v>0</v>
      </c>
      <c r="Q80" s="156">
        <f>ROUND(G80*N6,2)</f>
        <v>104312.97</v>
      </c>
    </row>
    <row r="81" spans="1:17" ht="30" x14ac:dyDescent="0.25">
      <c r="A81" s="168">
        <v>2</v>
      </c>
      <c r="B81" s="84" t="s">
        <v>638</v>
      </c>
      <c r="C81" s="34">
        <v>715</v>
      </c>
      <c r="D81" s="144" t="s">
        <v>1001</v>
      </c>
      <c r="E81" s="168" t="s">
        <v>76</v>
      </c>
      <c r="F81" s="34"/>
      <c r="G81" s="60">
        <f>SUM(G82:G84)</f>
        <v>1.4035</v>
      </c>
      <c r="H81" s="166">
        <v>250903</v>
      </c>
      <c r="I81" s="166">
        <f>ROUND(G81*H81,0)</f>
        <v>352142</v>
      </c>
      <c r="J81" s="34">
        <v>1</v>
      </c>
      <c r="K81" s="166">
        <f>'Tổng hợp VL,NC,M'!I1277</f>
        <v>250903</v>
      </c>
      <c r="L81" s="166">
        <f>ROUND(G81*K81,0)</f>
        <v>352142</v>
      </c>
      <c r="M81" s="166"/>
      <c r="N81" s="166">
        <f>K81+M81</f>
        <v>250903</v>
      </c>
      <c r="O81" s="166">
        <f>N81-H81</f>
        <v>0</v>
      </c>
      <c r="P81" s="166">
        <f>ROUND(G81*O81,0)</f>
        <v>0</v>
      </c>
      <c r="Q81" s="166">
        <f>ROUND(G81*N81,0)</f>
        <v>352142</v>
      </c>
    </row>
    <row r="82" spans="1:17" ht="30" hidden="1" x14ac:dyDescent="0.25">
      <c r="A82" s="168"/>
      <c r="B82" s="133" t="str">
        <f>'Công trình'!B77</f>
        <v>AA.22310</v>
      </c>
      <c r="C82" s="34"/>
      <c r="D82" s="133" t="str">
        <f>'Công trình'!C77</f>
        <v>Đập đầu cọc trên cạn</v>
      </c>
      <c r="E82" s="168"/>
      <c r="F82" s="20">
        <v>1</v>
      </c>
      <c r="G82" s="45">
        <f>'Hao phí vật tư'!L618</f>
        <v>0.68600000000000005</v>
      </c>
      <c r="H82" s="166"/>
      <c r="I82" s="156">
        <f>ROUND(G82*H81,2)</f>
        <v>172119.46</v>
      </c>
      <c r="J82" s="20" t="str">
        <f>'Công trình'!X77</f>
        <v>HCM_2016_QD_3384_XD</v>
      </c>
      <c r="K82" s="166"/>
      <c r="L82" s="156">
        <f>ROUND(G82*K81,2)</f>
        <v>172119.46</v>
      </c>
      <c r="M82" s="166"/>
      <c r="N82" s="166"/>
      <c r="O82" s="166"/>
      <c r="P82" s="156">
        <f>ROUND(G82*O81,2)</f>
        <v>0</v>
      </c>
      <c r="Q82" s="156">
        <f>ROUND(G82*N81,2)</f>
        <v>172119.46</v>
      </c>
    </row>
    <row r="83" spans="1:17" ht="30" hidden="1" x14ac:dyDescent="0.25">
      <c r="A83" s="168"/>
      <c r="B83" s="133" t="str">
        <f>'Công trình'!B88</f>
        <v>AA.22310</v>
      </c>
      <c r="C83" s="34"/>
      <c r="D83" s="133" t="str">
        <f>'Công trình'!C88</f>
        <v>Đập đầu cọc trên cạn</v>
      </c>
      <c r="E83" s="168"/>
      <c r="F83" s="20">
        <v>1</v>
      </c>
      <c r="G83" s="45">
        <f>'Hao phí vật tư'!L734</f>
        <v>0.20300000000000001</v>
      </c>
      <c r="H83" s="166"/>
      <c r="I83" s="156">
        <f>ROUND(G83*H81,2)</f>
        <v>50933.31</v>
      </c>
      <c r="J83" s="20" t="str">
        <f>'Công trình'!X88</f>
        <v>HCM_2016_QD_3384_XD</v>
      </c>
      <c r="K83" s="166"/>
      <c r="L83" s="156">
        <f>ROUND(G83*K81,2)</f>
        <v>50933.31</v>
      </c>
      <c r="M83" s="166"/>
      <c r="N83" s="166"/>
      <c r="O83" s="166"/>
      <c r="P83" s="156">
        <f>ROUND(G83*O81,2)</f>
        <v>0</v>
      </c>
      <c r="Q83" s="156">
        <f>ROUND(G83*N81,2)</f>
        <v>50933.31</v>
      </c>
    </row>
    <row r="84" spans="1:17" ht="30" hidden="1" x14ac:dyDescent="0.25">
      <c r="A84" s="168"/>
      <c r="B84" s="133" t="str">
        <f>'Công trình'!B235</f>
        <v>AA.22310</v>
      </c>
      <c r="C84" s="34"/>
      <c r="D84" s="133" t="str">
        <f>'Công trình'!C235</f>
        <v>Đập đầu cọc trên cạn</v>
      </c>
      <c r="E84" s="168"/>
      <c r="F84" s="20">
        <v>1</v>
      </c>
      <c r="G84" s="45">
        <f>'Hao phí vật tư'!L1800</f>
        <v>0.51449999999999996</v>
      </c>
      <c r="H84" s="166"/>
      <c r="I84" s="156">
        <f>ROUND(G84*H81,2)</f>
        <v>129089.59</v>
      </c>
      <c r="J84" s="20" t="str">
        <f>'Công trình'!X235</f>
        <v>HCM_2016_QD_3384_XD</v>
      </c>
      <c r="K84" s="166"/>
      <c r="L84" s="156">
        <f>ROUND(G84*K81,2)</f>
        <v>129089.59</v>
      </c>
      <c r="M84" s="166"/>
      <c r="N84" s="166"/>
      <c r="O84" s="166"/>
      <c r="P84" s="156">
        <f>ROUND(G84*O81,2)</f>
        <v>0</v>
      </c>
      <c r="Q84" s="156">
        <f>ROUND(G84*N81,2)</f>
        <v>129089.59</v>
      </c>
    </row>
    <row r="85" spans="1:17" ht="30" x14ac:dyDescent="0.25">
      <c r="A85" s="168">
        <v>3</v>
      </c>
      <c r="B85" s="84" t="s">
        <v>149</v>
      </c>
      <c r="C85" s="34">
        <v>716</v>
      </c>
      <c r="D85" s="144" t="s">
        <v>292</v>
      </c>
      <c r="E85" s="168" t="s">
        <v>76</v>
      </c>
      <c r="F85" s="34"/>
      <c r="G85" s="60">
        <f>SUM(G86:G93)</f>
        <v>33.952800000000003</v>
      </c>
      <c r="H85" s="166">
        <v>1569808</v>
      </c>
      <c r="I85" s="166">
        <f>ROUND(G85*H85,0)</f>
        <v>53299377</v>
      </c>
      <c r="J85" s="34">
        <v>1</v>
      </c>
      <c r="K85" s="166">
        <f>'Tổng hợp VL,NC,M'!I1281</f>
        <v>1569808</v>
      </c>
      <c r="L85" s="166">
        <f>ROUND(G85*K85,0)</f>
        <v>53299377</v>
      </c>
      <c r="M85" s="166"/>
      <c r="N85" s="166">
        <f>K85+M85</f>
        <v>1569808</v>
      </c>
      <c r="O85" s="166">
        <f>N85-H85</f>
        <v>0</v>
      </c>
      <c r="P85" s="166">
        <f>ROUND(G85*O85,0)</f>
        <v>0</v>
      </c>
      <c r="Q85" s="166">
        <f>ROUND(G85*N85,0)</f>
        <v>53299377</v>
      </c>
    </row>
    <row r="86" spans="1:17" ht="30" hidden="1" x14ac:dyDescent="0.25">
      <c r="A86" s="168"/>
      <c r="B86" s="133" t="str">
        <f>'Công trình'!B114</f>
        <v>AC.22522</v>
      </c>
      <c r="C86" s="34"/>
      <c r="D86" s="133" t="str">
        <f>'Công trình'!C114</f>
        <v>Đóng cọc thép hình H300 trên mặt đất, chiều dài cọc &gt;10m, đất cấp II, phần ngập đất</v>
      </c>
      <c r="E86" s="168"/>
      <c r="F86" s="20">
        <v>1</v>
      </c>
      <c r="G86" s="45">
        <f>'Hao phí vật tư'!L914</f>
        <v>6.3840000000000003</v>
      </c>
      <c r="H86" s="166"/>
      <c r="I86" s="156">
        <f>ROUND(G86*H85,2)</f>
        <v>10021654.27</v>
      </c>
      <c r="J86" s="20" t="str">
        <f>'Công trình'!X114</f>
        <v>HCM_2016_QD_3384_XD</v>
      </c>
      <c r="K86" s="166"/>
      <c r="L86" s="156">
        <f>ROUND(G86*K85,2)</f>
        <v>10021654.27</v>
      </c>
      <c r="M86" s="166"/>
      <c r="N86" s="166"/>
      <c r="O86" s="166"/>
      <c r="P86" s="156">
        <f>ROUND(G86*O85,2)</f>
        <v>0</v>
      </c>
      <c r="Q86" s="156">
        <f>ROUND(G86*N85,2)</f>
        <v>10021654.27</v>
      </c>
    </row>
    <row r="87" spans="1:17" ht="45" hidden="1" x14ac:dyDescent="0.25">
      <c r="A87" s="168"/>
      <c r="B87" s="133" t="str">
        <f>'Công trình'!B115</f>
        <v>AC.22522</v>
      </c>
      <c r="C87" s="34"/>
      <c r="D87" s="133" t="str">
        <f>'Công trình'!C115</f>
        <v>Đóng cọc thép hình H300 trên mặt đất, chiều dài cọc &gt;10m, đất cấp II, phần không ngập đất (NC, MTC * 0,75)</v>
      </c>
      <c r="E87" s="168"/>
      <c r="F87" s="20">
        <v>1</v>
      </c>
      <c r="G87" s="45">
        <f>'Hao phí vật tư'!L923</f>
        <v>2.2679999999999998</v>
      </c>
      <c r="H87" s="166"/>
      <c r="I87" s="156">
        <f>ROUND(G87*H85,2)</f>
        <v>3560324.54</v>
      </c>
      <c r="J87" s="20" t="str">
        <f>'Công trình'!X115</f>
        <v>HCM_2016_QD_3384_XD</v>
      </c>
      <c r="K87" s="166"/>
      <c r="L87" s="156">
        <f>ROUND(G87*K85,2)</f>
        <v>3560324.54</v>
      </c>
      <c r="M87" s="166"/>
      <c r="N87" s="166"/>
      <c r="O87" s="166"/>
      <c r="P87" s="156">
        <f>ROUND(G87*O85,2)</f>
        <v>0</v>
      </c>
      <c r="Q87" s="156">
        <f>ROUND(G87*N85,2)</f>
        <v>3560324.54</v>
      </c>
    </row>
    <row r="88" spans="1:17" ht="30" hidden="1" x14ac:dyDescent="0.25">
      <c r="A88" s="168"/>
      <c r="B88" s="133" t="str">
        <f>'Công trình'!B125</f>
        <v>AC.22522</v>
      </c>
      <c r="C88" s="34"/>
      <c r="D88" s="133" t="str">
        <f>'Công trình'!C125</f>
        <v>Đóng cọc thép hình H300 trên mặt đất, chiều dài cọc &gt;10m, đất cấp II, phần ngập đất</v>
      </c>
      <c r="E88" s="168"/>
      <c r="F88" s="20">
        <v>1</v>
      </c>
      <c r="G88" s="45">
        <f>'Hao phí vật tư'!L986</f>
        <v>1.1424000000000001</v>
      </c>
      <c r="H88" s="166"/>
      <c r="I88" s="156">
        <f>ROUND(G88*H85,2)</f>
        <v>1793348.66</v>
      </c>
      <c r="J88" s="20" t="str">
        <f>'Công trình'!X125</f>
        <v>HCM_2016_QD_3384_XD</v>
      </c>
      <c r="K88" s="166"/>
      <c r="L88" s="156">
        <f>ROUND(G88*K85,2)</f>
        <v>1793348.66</v>
      </c>
      <c r="M88" s="166"/>
      <c r="N88" s="166"/>
      <c r="O88" s="166"/>
      <c r="P88" s="156">
        <f>ROUND(G88*O85,2)</f>
        <v>0</v>
      </c>
      <c r="Q88" s="156">
        <f>ROUND(G88*N85,2)</f>
        <v>1793348.66</v>
      </c>
    </row>
    <row r="89" spans="1:17" ht="45" hidden="1" x14ac:dyDescent="0.25">
      <c r="A89" s="168"/>
      <c r="B89" s="133" t="str">
        <f>'Công trình'!B126</f>
        <v>AC.22522</v>
      </c>
      <c r="C89" s="34"/>
      <c r="D89" s="133" t="str">
        <f>'Công trình'!C126</f>
        <v>Đóng cọc thép hình H300 trên mặt đất, chiều dài cọc &gt;10m, đất cấp II, phần không ngập đất (NC, MTC * 0,75)</v>
      </c>
      <c r="E89" s="168"/>
      <c r="F89" s="20">
        <v>1</v>
      </c>
      <c r="G89" s="45">
        <f>'Hao phí vật tư'!L995</f>
        <v>0.3528</v>
      </c>
      <c r="H89" s="166"/>
      <c r="I89" s="156">
        <f>ROUND(G89*H85,2)</f>
        <v>553828.26</v>
      </c>
      <c r="J89" s="20" t="str">
        <f>'Công trình'!X126</f>
        <v>HCM_2016_QD_3384_XD</v>
      </c>
      <c r="K89" s="166"/>
      <c r="L89" s="156">
        <f>ROUND(G89*K85,2)</f>
        <v>553828.26</v>
      </c>
      <c r="M89" s="166"/>
      <c r="N89" s="166"/>
      <c r="O89" s="166"/>
      <c r="P89" s="156">
        <f>ROUND(G89*O85,2)</f>
        <v>0</v>
      </c>
      <c r="Q89" s="156">
        <f>ROUND(G89*N85,2)</f>
        <v>553828.26</v>
      </c>
    </row>
    <row r="90" spans="1:17" ht="30" hidden="1" x14ac:dyDescent="0.25">
      <c r="A90" s="168"/>
      <c r="B90" s="133" t="str">
        <f>'Công trình'!B142</f>
        <v>AC.22522</v>
      </c>
      <c r="C90" s="34"/>
      <c r="D90" s="133" t="str">
        <f>'Công trình'!C142</f>
        <v>Đóng cọc thép hình H300 trên mặt đất, chiều dài cọc &gt;10m, đất cấp II, phần ngập đất</v>
      </c>
      <c r="E90" s="168"/>
      <c r="F90" s="20">
        <v>1</v>
      </c>
      <c r="G90" s="45">
        <f>'Hao phí vật tư'!L1090</f>
        <v>9.0719999999999992</v>
      </c>
      <c r="H90" s="166"/>
      <c r="I90" s="156">
        <f>ROUND(G90*H85,2)</f>
        <v>14241298.18</v>
      </c>
      <c r="J90" s="20" t="str">
        <f>'Công trình'!X142</f>
        <v>HCM_2016_QD_3384_XD</v>
      </c>
      <c r="K90" s="166"/>
      <c r="L90" s="156">
        <f>ROUND(G90*K85,2)</f>
        <v>14241298.18</v>
      </c>
      <c r="M90" s="166"/>
      <c r="N90" s="166"/>
      <c r="O90" s="166"/>
      <c r="P90" s="156">
        <f>ROUND(G90*O85,2)</f>
        <v>0</v>
      </c>
      <c r="Q90" s="156">
        <f>ROUND(G90*N85,2)</f>
        <v>14241298.18</v>
      </c>
    </row>
    <row r="91" spans="1:17" ht="45" hidden="1" x14ac:dyDescent="0.25">
      <c r="A91" s="168"/>
      <c r="B91" s="133" t="str">
        <f>'Công trình'!B143</f>
        <v>AC.22522</v>
      </c>
      <c r="C91" s="34"/>
      <c r="D91" s="133" t="str">
        <f>'Công trình'!C143</f>
        <v>Đóng cọc thép hình H300 trên mặt đất, chiều dài cọc &gt;10m, đất cấp II, phần không ngập đất (NC, MTC * 0,75)</v>
      </c>
      <c r="E91" s="168"/>
      <c r="F91" s="20">
        <v>1</v>
      </c>
      <c r="G91" s="45">
        <f>'Hao phí vật tư'!L1099</f>
        <v>2.2679999999999998</v>
      </c>
      <c r="H91" s="166"/>
      <c r="I91" s="156">
        <f>ROUND(G91*H85,2)</f>
        <v>3560324.54</v>
      </c>
      <c r="J91" s="20" t="str">
        <f>'Công trình'!X143</f>
        <v>HCM_2016_QD_3384_XD</v>
      </c>
      <c r="K91" s="166"/>
      <c r="L91" s="156">
        <f>ROUND(G91*K85,2)</f>
        <v>3560324.54</v>
      </c>
      <c r="M91" s="166"/>
      <c r="N91" s="166"/>
      <c r="O91" s="166"/>
      <c r="P91" s="156">
        <f>ROUND(G91*O85,2)</f>
        <v>0</v>
      </c>
      <c r="Q91" s="156">
        <f>ROUND(G91*N85,2)</f>
        <v>3560324.54</v>
      </c>
    </row>
    <row r="92" spans="1:17" ht="30" hidden="1" x14ac:dyDescent="0.25">
      <c r="A92" s="168"/>
      <c r="B92" s="133" t="str">
        <f>'Công trình'!B162</f>
        <v>AC.22522</v>
      </c>
      <c r="C92" s="34"/>
      <c r="D92" s="133" t="str">
        <f>'Công trình'!C162</f>
        <v>Đóng cọc thép hình I350x150, dài 14m đóng ngập đất 11m trên mặt đất, đất cấp II, phần ngập đất</v>
      </c>
      <c r="E92" s="168"/>
      <c r="F92" s="20">
        <v>1</v>
      </c>
      <c r="G92" s="45">
        <f>'Hao phí vật tư'!L1236</f>
        <v>10.348800000000001</v>
      </c>
      <c r="H92" s="166"/>
      <c r="I92" s="156">
        <f>ROUND(G92*H85,2)</f>
        <v>16245629.029999999</v>
      </c>
      <c r="J92" s="20" t="str">
        <f>'Công trình'!X162</f>
        <v>HCM_2016_QD_3384_XD</v>
      </c>
      <c r="K92" s="166"/>
      <c r="L92" s="156">
        <f>ROUND(G92*K85,2)</f>
        <v>16245629.029999999</v>
      </c>
      <c r="M92" s="166"/>
      <c r="N92" s="166"/>
      <c r="O92" s="166"/>
      <c r="P92" s="156">
        <f>ROUND(G92*O85,2)</f>
        <v>0</v>
      </c>
      <c r="Q92" s="156">
        <f>ROUND(G92*N85,2)</f>
        <v>16245629.029999999</v>
      </c>
    </row>
    <row r="93" spans="1:17" ht="45" hidden="1" x14ac:dyDescent="0.25">
      <c r="A93" s="168"/>
      <c r="B93" s="133" t="str">
        <f>'Công trình'!B163</f>
        <v>AC.22522</v>
      </c>
      <c r="C93" s="34"/>
      <c r="D93" s="133" t="str">
        <f>'Công trình'!C163</f>
        <v>Đóng cọc thép hình I350x150, dài 14m đóng không ngập đất 3m, đất cấp II, phần không ngập đất (NC, MTC * 0,75)</v>
      </c>
      <c r="E93" s="168"/>
      <c r="F93" s="20">
        <v>1</v>
      </c>
      <c r="G93" s="45">
        <f>'Hao phí vật tư'!L1245</f>
        <v>2.1168</v>
      </c>
      <c r="H93" s="166"/>
      <c r="I93" s="156">
        <f>ROUND(G93*H85,2)</f>
        <v>3322969.57</v>
      </c>
      <c r="J93" s="20" t="str">
        <f>'Công trình'!X163</f>
        <v>HCM_2016_QD_3384_XD</v>
      </c>
      <c r="K93" s="166"/>
      <c r="L93" s="156">
        <f>ROUND(G93*K85,2)</f>
        <v>3322969.57</v>
      </c>
      <c r="M93" s="166"/>
      <c r="N93" s="166"/>
      <c r="O93" s="166"/>
      <c r="P93" s="156">
        <f>ROUND(G93*O85,2)</f>
        <v>0</v>
      </c>
      <c r="Q93" s="156">
        <f>ROUND(G93*N85,2)</f>
        <v>3322969.57</v>
      </c>
    </row>
    <row r="94" spans="1:17" ht="30" x14ac:dyDescent="0.25">
      <c r="A94" s="168">
        <v>4</v>
      </c>
      <c r="B94" s="84" t="s">
        <v>93</v>
      </c>
      <c r="C94" s="34">
        <v>717</v>
      </c>
      <c r="D94" s="144" t="s">
        <v>469</v>
      </c>
      <c r="E94" s="168" t="s">
        <v>76</v>
      </c>
      <c r="F94" s="34"/>
      <c r="G94" s="60">
        <f>SUM(G95:G97)</f>
        <v>25.934200000000001</v>
      </c>
      <c r="H94" s="166">
        <v>1968708</v>
      </c>
      <c r="I94" s="166">
        <f>ROUND(G94*H94,0)</f>
        <v>51056867</v>
      </c>
      <c r="J94" s="34">
        <v>1</v>
      </c>
      <c r="K94" s="166">
        <f>'Tổng hợp VL,NC,M'!I1290</f>
        <v>1968708</v>
      </c>
      <c r="L94" s="166">
        <f>ROUND(G94*K94,0)</f>
        <v>51056867</v>
      </c>
      <c r="M94" s="166"/>
      <c r="N94" s="166">
        <f>K94+M94</f>
        <v>1968708</v>
      </c>
      <c r="O94" s="166">
        <f>N94-H94</f>
        <v>0</v>
      </c>
      <c r="P94" s="166">
        <f>ROUND(G94*O94,0)</f>
        <v>0</v>
      </c>
      <c r="Q94" s="166">
        <f>ROUND(G94*N94,0)</f>
        <v>51056867</v>
      </c>
    </row>
    <row r="95" spans="1:17" ht="30" hidden="1" x14ac:dyDescent="0.25">
      <c r="A95" s="168"/>
      <c r="B95" s="133" t="str">
        <f>'Công trình'!B232</f>
        <v>AC.14114</v>
      </c>
      <c r="C95" s="34"/>
      <c r="D95" s="133" t="str">
        <f>'Công trình'!C232</f>
        <v>Đóng cọc BTCT 35x35 chiều dài &lt;=24m trên mặt đất, trọng lượng đầu búa 1,8T, đất cấp I</v>
      </c>
      <c r="E95" s="168"/>
      <c r="F95" s="20">
        <v>1</v>
      </c>
      <c r="G95" s="45">
        <f>'Hao phí vật tư'!L1771</f>
        <v>7.2240000000000002</v>
      </c>
      <c r="H95" s="166"/>
      <c r="I95" s="156">
        <f>ROUND(G95*H94,2)</f>
        <v>14221946.59</v>
      </c>
      <c r="J95" s="20" t="str">
        <f>'Công trình'!X232</f>
        <v>HCM_2016_QD_3384_XD</v>
      </c>
      <c r="K95" s="166"/>
      <c r="L95" s="156">
        <f>ROUND(G95*K94,2)</f>
        <v>14221946.59</v>
      </c>
      <c r="M95" s="166"/>
      <c r="N95" s="166"/>
      <c r="O95" s="166"/>
      <c r="P95" s="156">
        <f>ROUND(G95*O94,2)</f>
        <v>0</v>
      </c>
      <c r="Q95" s="156">
        <f>ROUND(G95*N94,2)</f>
        <v>14221946.59</v>
      </c>
    </row>
    <row r="96" spans="1:17" ht="45" hidden="1" x14ac:dyDescent="0.25">
      <c r="A96" s="168"/>
      <c r="B96" s="133" t="str">
        <f>'Công trình'!B233</f>
        <v>AC.14114</v>
      </c>
      <c r="C96" s="34"/>
      <c r="D96" s="133" t="str">
        <f>'Công trình'!C233</f>
        <v>Đóng cọc xiên BTCT 35x35 chiều dài &lt;=24m trên mặt đất, trọng lượng đầu búa 1,8T, đất cấp I (HS NC, MTC x 1,22)</v>
      </c>
      <c r="E96" s="168"/>
      <c r="F96" s="20">
        <v>1</v>
      </c>
      <c r="G96" s="45">
        <f>'Hao phí vật tư'!L1780</f>
        <v>17.6266</v>
      </c>
      <c r="H96" s="166"/>
      <c r="I96" s="156">
        <f>ROUND(G96*H94,2)</f>
        <v>34701628.43</v>
      </c>
      <c r="J96" s="20" t="str">
        <f>'Công trình'!X233</f>
        <v>HCM_2016_QD_3384_XD</v>
      </c>
      <c r="K96" s="166"/>
      <c r="L96" s="156">
        <f>ROUND(G96*K94,2)</f>
        <v>34701628.43</v>
      </c>
      <c r="M96" s="166"/>
      <c r="N96" s="166"/>
      <c r="O96" s="166"/>
      <c r="P96" s="156">
        <f>ROUND(G96*O94,2)</f>
        <v>0</v>
      </c>
      <c r="Q96" s="156">
        <f>ROUND(G96*N94,2)</f>
        <v>34701628.43</v>
      </c>
    </row>
    <row r="97" spans="1:17" ht="30" hidden="1" x14ac:dyDescent="0.25">
      <c r="A97" s="168"/>
      <c r="B97" s="133" t="str">
        <f>'Công trình'!B236</f>
        <v>AC.14114</v>
      </c>
      <c r="C97" s="34"/>
      <c r="D97" s="133" t="str">
        <f>'Công trình'!C236</f>
        <v>Đóng cọc âm chiều dài &lt;=24m trên mặt đất, trọng lượng đầu búa 1,8T, đất cấp I</v>
      </c>
      <c r="E97" s="168"/>
      <c r="F97" s="20">
        <v>1</v>
      </c>
      <c r="G97" s="45">
        <f>'Hao phí vật tư'!L1809</f>
        <v>1.0835999999999999</v>
      </c>
      <c r="H97" s="166"/>
      <c r="I97" s="156">
        <f>ROUND(G97*H94,2)</f>
        <v>2133291.9900000002</v>
      </c>
      <c r="J97" s="20" t="str">
        <f>'Công trình'!X236</f>
        <v>HCM_2016_QD_3384_XD</v>
      </c>
      <c r="K97" s="166"/>
      <c r="L97" s="156">
        <f>ROUND(G97*K94,2)</f>
        <v>2133291.9900000002</v>
      </c>
      <c r="M97" s="166"/>
      <c r="N97" s="166"/>
      <c r="O97" s="166"/>
      <c r="P97" s="156">
        <f>ROUND(G97*O94,2)</f>
        <v>0</v>
      </c>
      <c r="Q97" s="156">
        <f>ROUND(G97*N94,2)</f>
        <v>2133291.9900000002</v>
      </c>
    </row>
    <row r="98" spans="1:17" ht="30" x14ac:dyDescent="0.25">
      <c r="A98" s="168">
        <v>5</v>
      </c>
      <c r="B98" s="84" t="s">
        <v>397</v>
      </c>
      <c r="C98" s="34">
        <v>719</v>
      </c>
      <c r="D98" s="144" t="s">
        <v>884</v>
      </c>
      <c r="E98" s="168" t="s">
        <v>76</v>
      </c>
      <c r="F98" s="34"/>
      <c r="G98" s="60">
        <f>SUM(G99:G100)</f>
        <v>122.16319999999999</v>
      </c>
      <c r="H98" s="166">
        <v>2959884</v>
      </c>
      <c r="I98" s="166">
        <f>ROUND(G98*H98,0)</f>
        <v>361588901</v>
      </c>
      <c r="J98" s="34">
        <v>1</v>
      </c>
      <c r="K98" s="166">
        <f>'Tổng hợp VL,NC,M'!I1294</f>
        <v>2959884</v>
      </c>
      <c r="L98" s="166">
        <f>ROUND(G98*K98,0)</f>
        <v>361588901</v>
      </c>
      <c r="M98" s="166"/>
      <c r="N98" s="166">
        <f>K98+M98</f>
        <v>2959884</v>
      </c>
      <c r="O98" s="166">
        <f>N98-H98</f>
        <v>0</v>
      </c>
      <c r="P98" s="166">
        <f>ROUND(G98*O98,0)</f>
        <v>0</v>
      </c>
      <c r="Q98" s="166">
        <f>ROUND(G98*N98,0)</f>
        <v>361588901</v>
      </c>
    </row>
    <row r="99" spans="1:17" ht="30" hidden="1" x14ac:dyDescent="0.25">
      <c r="A99" s="168"/>
      <c r="B99" s="133" t="str">
        <f>'Công trình'!B131</f>
        <v>AC.22112</v>
      </c>
      <c r="C99" s="34"/>
      <c r="D99" s="133" t="str">
        <f>'Công trình'!C131</f>
        <v>Đóng cừ Larsen IV trên mặt đất chiều dài cọc &lt;=12m đất cấp II, ngập đất 15,5m</v>
      </c>
      <c r="E99" s="168"/>
      <c r="F99" s="20">
        <v>1</v>
      </c>
      <c r="G99" s="45">
        <f>'Hao phí vật tư'!L1014</f>
        <v>97.730599999999995</v>
      </c>
      <c r="H99" s="166"/>
      <c r="I99" s="156">
        <f>ROUND(G99*H98,2)</f>
        <v>289271239.25</v>
      </c>
      <c r="J99" s="20" t="str">
        <f>'Công trình'!X131</f>
        <v>HCM_2016_QD_3384_XD</v>
      </c>
      <c r="K99" s="166"/>
      <c r="L99" s="156">
        <f>ROUND(G99*K98,2)</f>
        <v>289271239.25</v>
      </c>
      <c r="M99" s="166"/>
      <c r="N99" s="166"/>
      <c r="O99" s="166"/>
      <c r="P99" s="156">
        <f>ROUND(G99*O98,2)</f>
        <v>0</v>
      </c>
      <c r="Q99" s="156">
        <f>ROUND(G99*N98,2)</f>
        <v>289271239.25</v>
      </c>
    </row>
    <row r="100" spans="1:17" ht="45" hidden="1" x14ac:dyDescent="0.25">
      <c r="A100" s="168"/>
      <c r="B100" s="133" t="str">
        <f>'Công trình'!B132</f>
        <v>AC.22112</v>
      </c>
      <c r="C100" s="34"/>
      <c r="D100" s="133" t="str">
        <f>'Công trình'!C132</f>
        <v>Đóng cừ Larsen IV trên mặt đất chiều dài cọc &lt;=12m đất cấp II, không ngập đất (NC, MTC * 0,75)</v>
      </c>
      <c r="E100" s="168"/>
      <c r="F100" s="20">
        <v>1</v>
      </c>
      <c r="G100" s="45">
        <f>'Hao phí vật tư'!L1023</f>
        <v>24.432600000000001</v>
      </c>
      <c r="H100" s="166"/>
      <c r="I100" s="156">
        <f>ROUND(G100*H98,2)</f>
        <v>72317661.819999993</v>
      </c>
      <c r="J100" s="20" t="str">
        <f>'Công trình'!X132</f>
        <v>HCM_2016_QD_3384_XD</v>
      </c>
      <c r="K100" s="166"/>
      <c r="L100" s="156">
        <f>ROUND(G100*K98,2)</f>
        <v>72317661.819999993</v>
      </c>
      <c r="M100" s="166"/>
      <c r="N100" s="166"/>
      <c r="O100" s="166"/>
      <c r="P100" s="156">
        <f>ROUND(G100*O98,2)</f>
        <v>0</v>
      </c>
      <c r="Q100" s="156">
        <f>ROUND(G100*N98,2)</f>
        <v>72317661.819999993</v>
      </c>
    </row>
    <row r="101" spans="1:17" ht="30" x14ac:dyDescent="0.25">
      <c r="A101" s="168">
        <v>6</v>
      </c>
      <c r="B101" s="84" t="s">
        <v>1016</v>
      </c>
      <c r="C101" s="34">
        <v>722</v>
      </c>
      <c r="D101" s="144" t="s">
        <v>182</v>
      </c>
      <c r="E101" s="168" t="s">
        <v>76</v>
      </c>
      <c r="F101" s="34"/>
      <c r="G101" s="60">
        <f>SUM(G102:G104)</f>
        <v>23.82</v>
      </c>
      <c r="H101" s="166">
        <v>5164778</v>
      </c>
      <c r="I101" s="166">
        <f>ROUND(G101*H101,0)</f>
        <v>123025012</v>
      </c>
      <c r="J101" s="34">
        <v>1</v>
      </c>
      <c r="K101" s="166">
        <f>'Tổng hợp VL,NC,M'!I1297</f>
        <v>5164778</v>
      </c>
      <c r="L101" s="166">
        <f>ROUND(G101*K101,0)</f>
        <v>123025012</v>
      </c>
      <c r="M101" s="166"/>
      <c r="N101" s="166">
        <f>K101+M101</f>
        <v>5164778</v>
      </c>
      <c r="O101" s="166">
        <f>N101-H101</f>
        <v>0</v>
      </c>
      <c r="P101" s="166">
        <f>ROUND(G101*O101,0)</f>
        <v>0</v>
      </c>
      <c r="Q101" s="166">
        <f>ROUND(G101*N101,0)</f>
        <v>123025012</v>
      </c>
    </row>
    <row r="102" spans="1:17" ht="30" hidden="1" x14ac:dyDescent="0.25">
      <c r="A102" s="168"/>
      <c r="B102" s="133" t="str">
        <f>'Công trình'!B86</f>
        <v>AC.17111</v>
      </c>
      <c r="C102" s="34"/>
      <c r="D102" s="133" t="str">
        <f>'Công trình'!C86</f>
        <v>Đóng cọc BTCT 30x30 chiều dài &lt;=24m trên mặt nước bằng tàu đóng cọc búa 1,8T</v>
      </c>
      <c r="E102" s="168"/>
      <c r="F102" s="20">
        <v>1</v>
      </c>
      <c r="G102" s="45">
        <f>'Hao phí vật tư'!L713</f>
        <v>6.2784000000000004</v>
      </c>
      <c r="H102" s="166"/>
      <c r="I102" s="156">
        <f>ROUND(G102*H101,2)</f>
        <v>32426542.199999999</v>
      </c>
      <c r="J102" s="20" t="str">
        <f>'Công trình'!X86</f>
        <v>HCM_2016_QD_3384_XD</v>
      </c>
      <c r="K102" s="166"/>
      <c r="L102" s="156">
        <f>ROUND(G102*K101,2)</f>
        <v>32426542.199999999</v>
      </c>
      <c r="M102" s="166"/>
      <c r="N102" s="166"/>
      <c r="O102" s="166"/>
      <c r="P102" s="156">
        <f>ROUND(G102*O101,2)</f>
        <v>0</v>
      </c>
      <c r="Q102" s="156">
        <f>ROUND(G102*N101,2)</f>
        <v>32426542.199999999</v>
      </c>
    </row>
    <row r="103" spans="1:17" ht="30" hidden="1" x14ac:dyDescent="0.25">
      <c r="A103" s="168"/>
      <c r="B103" s="133" t="str">
        <f>'Công trình'!B75</f>
        <v>AC.17112</v>
      </c>
      <c r="C103" s="34"/>
      <c r="D103" s="133" t="str">
        <f>'Công trình'!C75</f>
        <v>Đóng cọc BTCT 35x35 chiều dài &lt;=24m trên mặt nước bằng tàu đóng cọc búa 1,8T</v>
      </c>
      <c r="E103" s="168"/>
      <c r="F103" s="20">
        <v>1</v>
      </c>
      <c r="G103" s="45">
        <f>'Hao phí vật tư'!L597</f>
        <v>12.441599999999999</v>
      </c>
      <c r="H103" s="166"/>
      <c r="I103" s="156">
        <f>ROUND(G103*H101,2)</f>
        <v>64258101.960000001</v>
      </c>
      <c r="J103" s="20" t="str">
        <f>'Công trình'!X75</f>
        <v>HCM_2016_QD_3384_XD</v>
      </c>
      <c r="K103" s="166"/>
      <c r="L103" s="156">
        <f>ROUND(G103*K101,2)</f>
        <v>64258101.960000001</v>
      </c>
      <c r="M103" s="166"/>
      <c r="N103" s="166"/>
      <c r="O103" s="166"/>
      <c r="P103" s="156">
        <f>ROUND(G103*O101,2)</f>
        <v>0</v>
      </c>
      <c r="Q103" s="156">
        <f>ROUND(G103*N101,2)</f>
        <v>64258101.960000001</v>
      </c>
    </row>
    <row r="104" spans="1:17" ht="30" hidden="1" x14ac:dyDescent="0.25">
      <c r="A104" s="168"/>
      <c r="B104" s="133" t="str">
        <f>'Công trình'!B107</f>
        <v>AC.17112</v>
      </c>
      <c r="C104" s="34"/>
      <c r="D104" s="133" t="str">
        <f>'Công trình'!C107</f>
        <v>Đóng cọc âm BTCT 35x35 chiều dài &lt;=24m trên mặt nước bằng tàu đóng cọc búa 1,8T</v>
      </c>
      <c r="E104" s="168"/>
      <c r="F104" s="20">
        <v>1</v>
      </c>
      <c r="G104" s="45">
        <f>'Hao phí vật tư'!L860</f>
        <v>5.0999999999999996</v>
      </c>
      <c r="H104" s="166"/>
      <c r="I104" s="156">
        <f>ROUND(G104*H101,2)</f>
        <v>26340367.800000001</v>
      </c>
      <c r="J104" s="20" t="str">
        <f>'Công trình'!X107</f>
        <v>HCM_2016_QD_3384_XD</v>
      </c>
      <c r="K104" s="166"/>
      <c r="L104" s="156">
        <f>ROUND(G104*K101,2)</f>
        <v>26340367.800000001</v>
      </c>
      <c r="M104" s="166"/>
      <c r="N104" s="166"/>
      <c r="O104" s="166"/>
      <c r="P104" s="156">
        <f>ROUND(G104*O101,2)</f>
        <v>0</v>
      </c>
      <c r="Q104" s="156">
        <f>ROUND(G104*N101,2)</f>
        <v>26340367.800000001</v>
      </c>
    </row>
    <row r="105" spans="1:17" x14ac:dyDescent="0.25">
      <c r="A105" s="168">
        <v>7</v>
      </c>
      <c r="B105" s="84" t="s">
        <v>749</v>
      </c>
      <c r="C105" s="34">
        <v>720</v>
      </c>
      <c r="D105" s="144" t="s">
        <v>526</v>
      </c>
      <c r="E105" s="168" t="s">
        <v>76</v>
      </c>
      <c r="F105" s="34"/>
      <c r="G105" s="60">
        <f>SUM(G106:G106)</f>
        <v>71.047799999999995</v>
      </c>
      <c r="H105" s="166">
        <v>1283977</v>
      </c>
      <c r="I105" s="166">
        <f>ROUND(G105*H105,0)</f>
        <v>91223741</v>
      </c>
      <c r="J105" s="34">
        <v>1</v>
      </c>
      <c r="K105" s="166">
        <f>'Tổng hợp VL,NC,M'!I1301</f>
        <v>1283977</v>
      </c>
      <c r="L105" s="166">
        <f>ROUND(G105*K105,0)</f>
        <v>91223741</v>
      </c>
      <c r="M105" s="166"/>
      <c r="N105" s="166">
        <f>K105+M105</f>
        <v>1283977</v>
      </c>
      <c r="O105" s="166">
        <f>N105-H105</f>
        <v>0</v>
      </c>
      <c r="P105" s="166">
        <f>ROUND(G105*O105,0)</f>
        <v>0</v>
      </c>
      <c r="Q105" s="166">
        <f>ROUND(G105*N105,0)</f>
        <v>91223741</v>
      </c>
    </row>
    <row r="106" spans="1:17" ht="30" hidden="1" x14ac:dyDescent="0.25">
      <c r="A106" s="168"/>
      <c r="B106" s="133" t="str">
        <f>'Công trình'!B135</f>
        <v>AC.23210</v>
      </c>
      <c r="C106" s="34"/>
      <c r="D106" s="133" t="str">
        <f>'Công trình'!C135</f>
        <v>Nhổ cọc cừ Larsen 3, larsen 4 trên cạn bằng búa rung, cần cẩu 25T</v>
      </c>
      <c r="E106" s="168"/>
      <c r="F106" s="20">
        <v>1</v>
      </c>
      <c r="G106" s="45">
        <f>'Hao phí vật tư'!L1034</f>
        <v>71.047799999999995</v>
      </c>
      <c r="H106" s="166"/>
      <c r="I106" s="156">
        <f>ROUND(G106*H105,2)</f>
        <v>91223741.099999994</v>
      </c>
      <c r="J106" s="20" t="str">
        <f>'Công trình'!X135</f>
        <v>HCM_2016_QD_3384_XD</v>
      </c>
      <c r="K106" s="166"/>
      <c r="L106" s="156">
        <f>ROUND(G106*K105,2)</f>
        <v>91223741.099999994</v>
      </c>
      <c r="M106" s="166"/>
      <c r="N106" s="166"/>
      <c r="O106" s="166"/>
      <c r="P106" s="156">
        <f>ROUND(G106*O105,2)</f>
        <v>0</v>
      </c>
      <c r="Q106" s="156">
        <f>ROUND(G106*N105,2)</f>
        <v>91223741.099999994</v>
      </c>
    </row>
    <row r="107" spans="1:17" x14ac:dyDescent="0.25">
      <c r="A107" s="168">
        <v>8</v>
      </c>
      <c r="B107" s="84" t="s">
        <v>694</v>
      </c>
      <c r="C107" s="34">
        <v>721</v>
      </c>
      <c r="D107" s="144" t="s">
        <v>1013</v>
      </c>
      <c r="E107" s="168" t="s">
        <v>76</v>
      </c>
      <c r="F107" s="34"/>
      <c r="G107" s="60">
        <f>SUM(G108:G108)</f>
        <v>47.142000000000003</v>
      </c>
      <c r="H107" s="166">
        <v>729251</v>
      </c>
      <c r="I107" s="166">
        <f>ROUND(G107*H107,0)</f>
        <v>34378351</v>
      </c>
      <c r="J107" s="34">
        <v>1</v>
      </c>
      <c r="K107" s="166">
        <f>'Tổng hợp VL,NC,M'!I1303</f>
        <v>729251</v>
      </c>
      <c r="L107" s="166">
        <f>ROUND(G107*K107,0)</f>
        <v>34378351</v>
      </c>
      <c r="M107" s="166"/>
      <c r="N107" s="166">
        <f>K107+M107</f>
        <v>729251</v>
      </c>
      <c r="O107" s="166">
        <f>N107-H107</f>
        <v>0</v>
      </c>
      <c r="P107" s="166">
        <f>ROUND(G107*O107,0)</f>
        <v>0</v>
      </c>
      <c r="Q107" s="166">
        <f>ROUND(G107*N107,0)</f>
        <v>34378351</v>
      </c>
    </row>
    <row r="108" spans="1:17" ht="45" hidden="1" x14ac:dyDescent="0.25">
      <c r="A108" s="168"/>
      <c r="B108" s="133" t="str">
        <f>'Công trình'!B26</f>
        <v>AC.12412</v>
      </c>
      <c r="C108" s="34"/>
      <c r="D108" s="133" t="str">
        <f>'Công trình'!C26</f>
        <v>Đóng cọc cừ máng bê tông dự ứng lực trên cạn bằng búa rung kết hợp tách mũi nước áp lực SW600A, chiều cao máng cọc 60-84cm, L=18M</v>
      </c>
      <c r="E108" s="168"/>
      <c r="F108" s="20">
        <v>1</v>
      </c>
      <c r="G108" s="45">
        <f>'Hao phí vật tư'!L190</f>
        <v>47.142000000000003</v>
      </c>
      <c r="H108" s="166"/>
      <c r="I108" s="156">
        <f>ROUND(G108*H107,2)</f>
        <v>34378350.640000001</v>
      </c>
      <c r="J108" s="20" t="str">
        <f>'Công trình'!X26</f>
        <v>HCM_2016_QD_3384_XD</v>
      </c>
      <c r="K108" s="166"/>
      <c r="L108" s="156">
        <f>ROUND(G108*K107,2)</f>
        <v>34378350.640000001</v>
      </c>
      <c r="M108" s="166"/>
      <c r="N108" s="166"/>
      <c r="O108" s="166"/>
      <c r="P108" s="156">
        <f>ROUND(G108*O107,2)</f>
        <v>0</v>
      </c>
      <c r="Q108" s="156">
        <f>ROUND(G108*N107,2)</f>
        <v>34378350.640000001</v>
      </c>
    </row>
    <row r="109" spans="1:17" x14ac:dyDescent="0.25">
      <c r="A109" s="168">
        <v>9</v>
      </c>
      <c r="B109" s="84" t="s">
        <v>765</v>
      </c>
      <c r="C109" s="34">
        <v>723</v>
      </c>
      <c r="D109" s="144" t="s">
        <v>650</v>
      </c>
      <c r="E109" s="168" t="s">
        <v>76</v>
      </c>
      <c r="F109" s="34"/>
      <c r="G109" s="60">
        <f>SUM(G110:G110)</f>
        <v>0.2717</v>
      </c>
      <c r="H109" s="166">
        <v>1549525</v>
      </c>
      <c r="I109" s="166">
        <f>ROUND(G109*H109,0)</f>
        <v>421006</v>
      </c>
      <c r="J109" s="34">
        <v>1</v>
      </c>
      <c r="K109" s="166">
        <f>'Tổng hợp VL,NC,M'!I1305</f>
        <v>1549525</v>
      </c>
      <c r="L109" s="166">
        <f>ROUND(G109*K109,0)</f>
        <v>421006</v>
      </c>
      <c r="M109" s="166"/>
      <c r="N109" s="166">
        <f>K109+M109</f>
        <v>1549525</v>
      </c>
      <c r="O109" s="166">
        <f>N109-H109</f>
        <v>0</v>
      </c>
      <c r="P109" s="166">
        <f>ROUND(G109*O109,0)</f>
        <v>0</v>
      </c>
      <c r="Q109" s="166">
        <f>ROUND(G109*N109,0)</f>
        <v>421006</v>
      </c>
    </row>
    <row r="110" spans="1:17" ht="30" hidden="1" x14ac:dyDescent="0.25">
      <c r="A110" s="168"/>
      <c r="B110" s="133" t="str">
        <f>'Công trình'!B154</f>
        <v>AB.36120</v>
      </c>
      <c r="C110" s="34"/>
      <c r="D110" s="133" t="str">
        <f>'Công trình'!C154</f>
        <v>Xói hút bùn trong khung vây phòng nước, các trụ dưới nước</v>
      </c>
      <c r="E110" s="168"/>
      <c r="F110" s="20">
        <v>1</v>
      </c>
      <c r="G110" s="45">
        <f>'Hao phí vật tư'!L1175</f>
        <v>0.2717</v>
      </c>
      <c r="H110" s="166"/>
      <c r="I110" s="156">
        <f>ROUND(G110*H109,2)</f>
        <v>421005.94</v>
      </c>
      <c r="J110" s="20" t="str">
        <f>'Công trình'!X154</f>
        <v>HCM_2016_QD_3384_XD</v>
      </c>
      <c r="K110" s="166"/>
      <c r="L110" s="156">
        <f>ROUND(G110*K109,2)</f>
        <v>421005.94</v>
      </c>
      <c r="M110" s="166"/>
      <c r="N110" s="166"/>
      <c r="O110" s="166"/>
      <c r="P110" s="156">
        <f>ROUND(G110*O109,2)</f>
        <v>0</v>
      </c>
      <c r="Q110" s="156">
        <f>ROUND(G110*N109,2)</f>
        <v>421005.94</v>
      </c>
    </row>
    <row r="111" spans="1:17" x14ac:dyDescent="0.25">
      <c r="A111" s="168">
        <v>10</v>
      </c>
      <c r="B111" s="84" t="s">
        <v>1160</v>
      </c>
      <c r="C111" s="34">
        <v>724</v>
      </c>
      <c r="D111" s="144" t="s">
        <v>1125</v>
      </c>
      <c r="E111" s="168" t="s">
        <v>76</v>
      </c>
      <c r="F111" s="34"/>
      <c r="G111" s="60">
        <f>SUM(G112:G112)</f>
        <v>17.660499999999999</v>
      </c>
      <c r="H111" s="166">
        <v>6407835</v>
      </c>
      <c r="I111" s="166">
        <f>ROUND(G111*H111,0)</f>
        <v>113165570</v>
      </c>
      <c r="J111" s="34">
        <v>1</v>
      </c>
      <c r="K111" s="166">
        <f>'Tổng hợp VL,NC,M'!I1309</f>
        <v>6407835</v>
      </c>
      <c r="L111" s="166">
        <f>ROUND(G111*K111,0)</f>
        <v>113165570</v>
      </c>
      <c r="M111" s="166"/>
      <c r="N111" s="166">
        <f>K111+M111</f>
        <v>6407835</v>
      </c>
      <c r="O111" s="166">
        <f>N111-H111</f>
        <v>0</v>
      </c>
      <c r="P111" s="166">
        <f>ROUND(G111*O111,0)</f>
        <v>0</v>
      </c>
      <c r="Q111" s="166">
        <f>ROUND(G111*N111,0)</f>
        <v>113165570</v>
      </c>
    </row>
    <row r="112" spans="1:17" ht="30" hidden="1" x14ac:dyDescent="0.25">
      <c r="A112" s="168"/>
      <c r="B112" s="133" t="str">
        <f>'Công trình'!B154</f>
        <v>AB.36120</v>
      </c>
      <c r="C112" s="34"/>
      <c r="D112" s="133" t="str">
        <f>'Công trình'!C154</f>
        <v>Xói hút bùn trong khung vây phòng nước, các trụ dưới nước</v>
      </c>
      <c r="E112" s="168"/>
      <c r="F112" s="20">
        <v>1</v>
      </c>
      <c r="G112" s="45">
        <f>'Hao phí vật tư'!L1173</f>
        <v>17.660499999999999</v>
      </c>
      <c r="H112" s="166"/>
      <c r="I112" s="156">
        <f>ROUND(G112*H111,2)</f>
        <v>113165570.02</v>
      </c>
      <c r="J112" s="20" t="str">
        <f>'Công trình'!X154</f>
        <v>HCM_2016_QD_3384_XD</v>
      </c>
      <c r="K112" s="166"/>
      <c r="L112" s="156">
        <f>ROUND(G112*K111,2)</f>
        <v>113165570.02</v>
      </c>
      <c r="M112" s="166"/>
      <c r="N112" s="166"/>
      <c r="O112" s="166"/>
      <c r="P112" s="156">
        <f>ROUND(G112*O111,2)</f>
        <v>0</v>
      </c>
      <c r="Q112" s="156">
        <f>ROUND(G112*N111,2)</f>
        <v>113165570.02</v>
      </c>
    </row>
    <row r="113" spans="1:17" x14ac:dyDescent="0.25">
      <c r="A113" s="168">
        <v>11</v>
      </c>
      <c r="B113" s="84" t="s">
        <v>1130</v>
      </c>
      <c r="C113" s="34">
        <v>725</v>
      </c>
      <c r="D113" s="144" t="s">
        <v>605</v>
      </c>
      <c r="E113" s="168" t="s">
        <v>76</v>
      </c>
      <c r="F113" s="34"/>
      <c r="G113" s="60">
        <f>SUM(G114:G119)</f>
        <v>5.7507000000000001</v>
      </c>
      <c r="H113" s="166">
        <v>1878687</v>
      </c>
      <c r="I113" s="166">
        <f>ROUND(G113*H113,0)</f>
        <v>10803765</v>
      </c>
      <c r="J113" s="34">
        <v>1</v>
      </c>
      <c r="K113" s="166">
        <f>'Tổng hợp VL,NC,M'!I1311</f>
        <v>1878687</v>
      </c>
      <c r="L113" s="166">
        <f>ROUND(G113*K113,0)</f>
        <v>10803765</v>
      </c>
      <c r="M113" s="166"/>
      <c r="N113" s="166">
        <f>K113+M113</f>
        <v>1878687</v>
      </c>
      <c r="O113" s="166">
        <f>N113-H113</f>
        <v>0</v>
      </c>
      <c r="P113" s="166">
        <f>ROUND(G113*O113,0)</f>
        <v>0</v>
      </c>
      <c r="Q113" s="166">
        <f>ROUND(G113*N113,0)</f>
        <v>10803765</v>
      </c>
    </row>
    <row r="114" spans="1:17" ht="30" hidden="1" x14ac:dyDescent="0.25">
      <c r="A114" s="168"/>
      <c r="B114" s="133" t="str">
        <f>'Công trình'!B77</f>
        <v>AA.22310</v>
      </c>
      <c r="C114" s="34"/>
      <c r="D114" s="133" t="str">
        <f>'Công trình'!C77</f>
        <v>Đập đầu cọc trên cạn</v>
      </c>
      <c r="E114" s="168"/>
      <c r="F114" s="20">
        <v>1</v>
      </c>
      <c r="G114" s="45">
        <f>'Hao phí vật tư'!L617</f>
        <v>0.21759999999999999</v>
      </c>
      <c r="H114" s="166"/>
      <c r="I114" s="156">
        <f>ROUND(G114*H113,2)</f>
        <v>408802.29</v>
      </c>
      <c r="J114" s="20" t="str">
        <f>'Công trình'!X77</f>
        <v>HCM_2016_QD_3384_XD</v>
      </c>
      <c r="K114" s="166"/>
      <c r="L114" s="156">
        <f>ROUND(G114*K113,2)</f>
        <v>408802.29</v>
      </c>
      <c r="M114" s="166"/>
      <c r="N114" s="166"/>
      <c r="O114" s="166"/>
      <c r="P114" s="156">
        <f>ROUND(G114*O113,2)</f>
        <v>0</v>
      </c>
      <c r="Q114" s="156">
        <f>ROUND(G114*N113,2)</f>
        <v>408802.29</v>
      </c>
    </row>
    <row r="115" spans="1:17" ht="30" hidden="1" x14ac:dyDescent="0.25">
      <c r="A115" s="168"/>
      <c r="B115" s="133" t="str">
        <f>'Công trình'!B88</f>
        <v>AA.22310</v>
      </c>
      <c r="C115" s="34"/>
      <c r="D115" s="133" t="str">
        <f>'Công trình'!C88</f>
        <v>Đập đầu cọc trên cạn</v>
      </c>
      <c r="E115" s="168"/>
      <c r="F115" s="20">
        <v>1</v>
      </c>
      <c r="G115" s="45">
        <f>'Hao phí vật tư'!L733</f>
        <v>6.4399999999999999E-2</v>
      </c>
      <c r="H115" s="166"/>
      <c r="I115" s="156">
        <f>ROUND(G115*H113,2)</f>
        <v>120987.44</v>
      </c>
      <c r="J115" s="20" t="str">
        <f>'Công trình'!X88</f>
        <v>HCM_2016_QD_3384_XD</v>
      </c>
      <c r="K115" s="166"/>
      <c r="L115" s="156">
        <f>ROUND(G115*K113,2)</f>
        <v>120987.44</v>
      </c>
      <c r="M115" s="166"/>
      <c r="N115" s="166"/>
      <c r="O115" s="166"/>
      <c r="P115" s="156">
        <f>ROUND(G115*O113,2)</f>
        <v>0</v>
      </c>
      <c r="Q115" s="156">
        <f>ROUND(G115*N113,2)</f>
        <v>120987.44</v>
      </c>
    </row>
    <row r="116" spans="1:17" ht="30" hidden="1" x14ac:dyDescent="0.25">
      <c r="A116" s="168"/>
      <c r="B116" s="133" t="str">
        <f>'Công trình'!B104</f>
        <v>AI.11131</v>
      </c>
      <c r="C116" s="34"/>
      <c r="D116" s="133" t="str">
        <f>'Công trình'!C104</f>
        <v>Sản xuất cọc dẫn bằng thép hình</v>
      </c>
      <c r="E116" s="168"/>
      <c r="F116" s="20">
        <v>1</v>
      </c>
      <c r="G116" s="45">
        <f>'Hao phí vật tư'!L838</f>
        <v>0.71589999999999998</v>
      </c>
      <c r="H116" s="166"/>
      <c r="I116" s="156">
        <f>ROUND(G116*H113,2)</f>
        <v>1344952.02</v>
      </c>
      <c r="J116" s="20" t="str">
        <f>'Công trình'!X104</f>
        <v>HCM_2016_QD_3384_XD</v>
      </c>
      <c r="K116" s="166"/>
      <c r="L116" s="156">
        <f>ROUND(G116*K113,2)</f>
        <v>1344952.02</v>
      </c>
      <c r="M116" s="166"/>
      <c r="N116" s="166"/>
      <c r="O116" s="166"/>
      <c r="P116" s="156">
        <f>ROUND(G116*O113,2)</f>
        <v>0</v>
      </c>
      <c r="Q116" s="156">
        <f>ROUND(G116*N113,2)</f>
        <v>1344952.02</v>
      </c>
    </row>
    <row r="117" spans="1:17" ht="30" hidden="1" x14ac:dyDescent="0.25">
      <c r="A117" s="168"/>
      <c r="B117" s="133" t="str">
        <f>'Công trình'!B174</f>
        <v>AF.14115</v>
      </c>
      <c r="C117" s="34"/>
      <c r="D117" s="133" t="str">
        <f>'Công trình'!C174</f>
        <v>Bê tông móng, mố trụ cầu trên cạn đá 1x2, vữa BT mác 300</v>
      </c>
      <c r="E117" s="168"/>
      <c r="F117" s="20">
        <v>1</v>
      </c>
      <c r="G117" s="45">
        <f>'Hao phí vật tư'!L1306</f>
        <v>4.4311999999999996</v>
      </c>
      <c r="H117" s="166"/>
      <c r="I117" s="156">
        <f>ROUND(G117*H113,2)</f>
        <v>8324837.8300000001</v>
      </c>
      <c r="J117" s="20" t="str">
        <f>'Công trình'!X174</f>
        <v>HCM_2016_QD_3384_XD</v>
      </c>
      <c r="K117" s="166"/>
      <c r="L117" s="156">
        <f>ROUND(G117*K113,2)</f>
        <v>8324837.8300000001</v>
      </c>
      <c r="M117" s="166"/>
      <c r="N117" s="166"/>
      <c r="O117" s="166"/>
      <c r="P117" s="156">
        <f>ROUND(G117*O113,2)</f>
        <v>0</v>
      </c>
      <c r="Q117" s="156">
        <f>ROUND(G117*N113,2)</f>
        <v>8324837.8300000001</v>
      </c>
    </row>
    <row r="118" spans="1:17" ht="30" hidden="1" x14ac:dyDescent="0.25">
      <c r="A118" s="168"/>
      <c r="B118" s="133" t="str">
        <f>'Công trình'!B186</f>
        <v>AF.14115</v>
      </c>
      <c r="C118" s="34"/>
      <c r="D118" s="133" t="str">
        <f>'Công trình'!C186</f>
        <v>Bê tông móng, mố trụ cầu trên cạn đá 1x2, vữa BT mác 300</v>
      </c>
      <c r="E118" s="168"/>
      <c r="F118" s="20">
        <v>1</v>
      </c>
      <c r="G118" s="45">
        <f>'Hao phí vật tư'!L1423</f>
        <v>0.15840000000000001</v>
      </c>
      <c r="H118" s="166"/>
      <c r="I118" s="156">
        <f>ROUND(G118*H113,2)</f>
        <v>297584.02</v>
      </c>
      <c r="J118" s="20" t="str">
        <f>'Công trình'!X186</f>
        <v>HCM_2016_QD_3384_XD</v>
      </c>
      <c r="K118" s="166"/>
      <c r="L118" s="156">
        <f>ROUND(G118*K113,2)</f>
        <v>297584.02</v>
      </c>
      <c r="M118" s="166"/>
      <c r="N118" s="166"/>
      <c r="O118" s="166"/>
      <c r="P118" s="156">
        <f>ROUND(G118*O113,2)</f>
        <v>0</v>
      </c>
      <c r="Q118" s="156">
        <f>ROUND(G118*N113,2)</f>
        <v>297584.02</v>
      </c>
    </row>
    <row r="119" spans="1:17" ht="30" hidden="1" x14ac:dyDescent="0.25">
      <c r="A119" s="168"/>
      <c r="B119" s="133" t="str">
        <f>'Công trình'!B235</f>
        <v>AA.22310</v>
      </c>
      <c r="C119" s="34"/>
      <c r="D119" s="133" t="str">
        <f>'Công trình'!C235</f>
        <v>Đập đầu cọc trên cạn</v>
      </c>
      <c r="E119" s="168"/>
      <c r="F119" s="20">
        <v>1</v>
      </c>
      <c r="G119" s="45">
        <f>'Hao phí vật tư'!L1799</f>
        <v>0.16320000000000001</v>
      </c>
      <c r="H119" s="166"/>
      <c r="I119" s="156">
        <f>ROUND(G119*H113,2)</f>
        <v>306601.71999999997</v>
      </c>
      <c r="J119" s="20" t="str">
        <f>'Công trình'!X235</f>
        <v>HCM_2016_QD_3384_XD</v>
      </c>
      <c r="K119" s="166"/>
      <c r="L119" s="156">
        <f>ROUND(G119*K113,2)</f>
        <v>306601.71999999997</v>
      </c>
      <c r="M119" s="166"/>
      <c r="N119" s="166"/>
      <c r="O119" s="166"/>
      <c r="P119" s="156">
        <f>ROUND(G119*O113,2)</f>
        <v>0</v>
      </c>
      <c r="Q119" s="156">
        <f>ROUND(G119*N113,2)</f>
        <v>306601.71999999997</v>
      </c>
    </row>
    <row r="120" spans="1:17" x14ac:dyDescent="0.25">
      <c r="A120" s="168">
        <v>12</v>
      </c>
      <c r="B120" s="84" t="s">
        <v>218</v>
      </c>
      <c r="C120" s="34">
        <v>728</v>
      </c>
      <c r="D120" s="144" t="s">
        <v>1073</v>
      </c>
      <c r="E120" s="168" t="s">
        <v>76</v>
      </c>
      <c r="F120" s="34"/>
      <c r="G120" s="60">
        <f>SUM(G121:G134)</f>
        <v>63.218699999999998</v>
      </c>
      <c r="H120" s="166">
        <v>2394521</v>
      </c>
      <c r="I120" s="166">
        <f>ROUND(G120*H120,0)</f>
        <v>151378505</v>
      </c>
      <c r="J120" s="34">
        <v>1</v>
      </c>
      <c r="K120" s="166">
        <f>'Tổng hợp VL,NC,M'!I1322</f>
        <v>2394521</v>
      </c>
      <c r="L120" s="166">
        <f>ROUND(G120*K120,0)</f>
        <v>151378505</v>
      </c>
      <c r="M120" s="166"/>
      <c r="N120" s="166">
        <f>K120+M120</f>
        <v>2394521</v>
      </c>
      <c r="O120" s="166">
        <f>N120-H120</f>
        <v>0</v>
      </c>
      <c r="P120" s="166">
        <f>ROUND(G120*O120,0)</f>
        <v>0</v>
      </c>
      <c r="Q120" s="166">
        <f>ROUND(G120*N120,0)</f>
        <v>151378505</v>
      </c>
    </row>
    <row r="121" spans="1:17" ht="30" hidden="1" x14ac:dyDescent="0.25">
      <c r="A121" s="168"/>
      <c r="B121" s="133" t="str">
        <f>'Công trình'!B112</f>
        <v>AI.63311</v>
      </c>
      <c r="C121" s="34"/>
      <c r="D121" s="133" t="str">
        <f>'Công trình'!C112</f>
        <v>Lắp dựng kết cấu thép hệ khung dàn, sàn đạo trên cạn</v>
      </c>
      <c r="E121" s="168"/>
      <c r="F121" s="20">
        <v>1</v>
      </c>
      <c r="G121" s="45">
        <f>'Hao phí vật tư'!L895</f>
        <v>3.4104000000000001</v>
      </c>
      <c r="H121" s="166"/>
      <c r="I121" s="156">
        <f>ROUND(G121*H120,2)</f>
        <v>8166274.4199999999</v>
      </c>
      <c r="J121" s="20" t="str">
        <f>'Công trình'!X112</f>
        <v>HCM_2016_QD_3384_XD</v>
      </c>
      <c r="K121" s="166"/>
      <c r="L121" s="156">
        <f>ROUND(G121*K120,2)</f>
        <v>8166274.4199999999</v>
      </c>
      <c r="M121" s="166"/>
      <c r="N121" s="166"/>
      <c r="O121" s="166"/>
      <c r="P121" s="156">
        <f>ROUND(G121*O120,2)</f>
        <v>0</v>
      </c>
      <c r="Q121" s="156">
        <f>ROUND(G121*N120,2)</f>
        <v>8166274.4199999999</v>
      </c>
    </row>
    <row r="122" spans="1:17" ht="30" hidden="1" x14ac:dyDescent="0.25">
      <c r="A122" s="168"/>
      <c r="B122" s="133" t="str">
        <f>'Công trình'!B113</f>
        <v>AI.63311</v>
      </c>
      <c r="C122" s="34"/>
      <c r="D122" s="133" t="str">
        <f>'Công trình'!C113</f>
        <v>Tháo dỡ kết cấu thép hệ khung dàn, sàn đạo trên cạn (60% Đg)</v>
      </c>
      <c r="E122" s="168"/>
      <c r="F122" s="20">
        <v>1</v>
      </c>
      <c r="G122" s="45">
        <f>'Hao phí vật tư'!L906</f>
        <v>2.0461999999999998</v>
      </c>
      <c r="H122" s="166"/>
      <c r="I122" s="156">
        <f>ROUND(G122*H120,2)</f>
        <v>4899668.87</v>
      </c>
      <c r="J122" s="20" t="str">
        <f>'Công trình'!X113</f>
        <v>HCM_2016_QD_3384_XD</v>
      </c>
      <c r="K122" s="166"/>
      <c r="L122" s="156">
        <f>ROUND(G122*K120,2)</f>
        <v>4899668.87</v>
      </c>
      <c r="M122" s="166"/>
      <c r="N122" s="166"/>
      <c r="O122" s="166"/>
      <c r="P122" s="156">
        <f>ROUND(G122*O120,2)</f>
        <v>0</v>
      </c>
      <c r="Q122" s="156">
        <f>ROUND(G122*N120,2)</f>
        <v>4899668.87</v>
      </c>
    </row>
    <row r="123" spans="1:17" ht="30" hidden="1" x14ac:dyDescent="0.25">
      <c r="A123" s="168"/>
      <c r="B123" s="133" t="str">
        <f>'Công trình'!B123</f>
        <v>AI.63311</v>
      </c>
      <c r="C123" s="34"/>
      <c r="D123" s="133" t="str">
        <f>'Công trình'!C123</f>
        <v>Lắp dựng kết cấu thép hệ khung dàn, sàn đạo trên cạn</v>
      </c>
      <c r="E123" s="168"/>
      <c r="F123" s="20">
        <v>1</v>
      </c>
      <c r="G123" s="45">
        <f>'Hao phí vật tư'!L967</f>
        <v>1.4055</v>
      </c>
      <c r="H123" s="166"/>
      <c r="I123" s="156">
        <f>ROUND(G123*H120,2)</f>
        <v>3365499.27</v>
      </c>
      <c r="J123" s="20" t="str">
        <f>'Công trình'!X123</f>
        <v>HCM_2016_QD_3384_XD</v>
      </c>
      <c r="K123" s="166"/>
      <c r="L123" s="156">
        <f>ROUND(G123*K120,2)</f>
        <v>3365499.27</v>
      </c>
      <c r="M123" s="166"/>
      <c r="N123" s="166"/>
      <c r="O123" s="166"/>
      <c r="P123" s="156">
        <f>ROUND(G123*O120,2)</f>
        <v>0</v>
      </c>
      <c r="Q123" s="156">
        <f>ROUND(G123*N120,2)</f>
        <v>3365499.27</v>
      </c>
    </row>
    <row r="124" spans="1:17" ht="30" hidden="1" x14ac:dyDescent="0.25">
      <c r="A124" s="168"/>
      <c r="B124" s="133" t="str">
        <f>'Công trình'!B124</f>
        <v>AI.63311</v>
      </c>
      <c r="C124" s="34"/>
      <c r="D124" s="133" t="str">
        <f>'Công trình'!C124</f>
        <v>Tháo dỡ kết cấu thép hệ khung dàn, sàn đạo trên cạn (60% Đg)</v>
      </c>
      <c r="E124" s="168"/>
      <c r="F124" s="20">
        <v>1</v>
      </c>
      <c r="G124" s="45">
        <f>'Hao phí vật tư'!L978</f>
        <v>0.84330000000000005</v>
      </c>
      <c r="H124" s="166"/>
      <c r="I124" s="156">
        <f>ROUND(G124*H120,2)</f>
        <v>2019299.56</v>
      </c>
      <c r="J124" s="20" t="str">
        <f>'Công trình'!X124</f>
        <v>HCM_2016_QD_3384_XD</v>
      </c>
      <c r="K124" s="166"/>
      <c r="L124" s="156">
        <f>ROUND(G124*K120,2)</f>
        <v>2019299.56</v>
      </c>
      <c r="M124" s="166"/>
      <c r="N124" s="166"/>
      <c r="O124" s="166"/>
      <c r="P124" s="156">
        <f>ROUND(G124*O120,2)</f>
        <v>0</v>
      </c>
      <c r="Q124" s="156">
        <f>ROUND(G124*N120,2)</f>
        <v>2019299.56</v>
      </c>
    </row>
    <row r="125" spans="1:17" ht="30" hidden="1" x14ac:dyDescent="0.25">
      <c r="A125" s="168"/>
      <c r="B125" s="133" t="str">
        <f>'Công trình'!B139</f>
        <v>AI.63311</v>
      </c>
      <c r="C125" s="34"/>
      <c r="D125" s="133" t="str">
        <f>'Công trình'!C139</f>
        <v>Lắp dựng kết cấu thép hệ khung dàn, sàn đạo trên cạn</v>
      </c>
      <c r="E125" s="168"/>
      <c r="F125" s="20">
        <v>1</v>
      </c>
      <c r="G125" s="45">
        <f>'Hao phí vật tư'!L1068</f>
        <v>22.255099999999999</v>
      </c>
      <c r="H125" s="166"/>
      <c r="I125" s="156">
        <f>ROUND(G125*H120,2)</f>
        <v>53290304.310000002</v>
      </c>
      <c r="J125" s="20" t="str">
        <f>'Công trình'!X139</f>
        <v>HCM_2016_QD_3384_XD</v>
      </c>
      <c r="K125" s="166"/>
      <c r="L125" s="156">
        <f>ROUND(G125*K120,2)</f>
        <v>53290304.310000002</v>
      </c>
      <c r="M125" s="166"/>
      <c r="N125" s="166"/>
      <c r="O125" s="166"/>
      <c r="P125" s="156">
        <f>ROUND(G125*O120,2)</f>
        <v>0</v>
      </c>
      <c r="Q125" s="156">
        <f>ROUND(G125*N120,2)</f>
        <v>53290304.310000002</v>
      </c>
    </row>
    <row r="126" spans="1:17" ht="30" hidden="1" x14ac:dyDescent="0.25">
      <c r="A126" s="168"/>
      <c r="B126" s="133" t="str">
        <f>'Công trình'!B140</f>
        <v>AI.63311</v>
      </c>
      <c r="C126" s="34"/>
      <c r="D126" s="133" t="str">
        <f>'Công trình'!C140</f>
        <v>Tháo dỡ kết cấu thép hệ khung dàn, sàn đạo trên cạn (60% Đg)</v>
      </c>
      <c r="E126" s="168"/>
      <c r="F126" s="20">
        <v>1</v>
      </c>
      <c r="G126" s="45">
        <f>'Hao phí vật tư'!L1079</f>
        <v>13.3531</v>
      </c>
      <c r="H126" s="166"/>
      <c r="I126" s="156">
        <f>ROUND(G126*H120,2)</f>
        <v>31974278.370000001</v>
      </c>
      <c r="J126" s="20" t="str">
        <f>'Công trình'!X140</f>
        <v>HCM_2016_QD_3384_XD</v>
      </c>
      <c r="K126" s="166"/>
      <c r="L126" s="156">
        <f>ROUND(G126*K120,2)</f>
        <v>31974278.370000001</v>
      </c>
      <c r="M126" s="166"/>
      <c r="N126" s="166"/>
      <c r="O126" s="166"/>
      <c r="P126" s="156">
        <f>ROUND(G126*O120,2)</f>
        <v>0</v>
      </c>
      <c r="Q126" s="156">
        <f>ROUND(G126*N120,2)</f>
        <v>31974278.370000001</v>
      </c>
    </row>
    <row r="127" spans="1:17" ht="30" hidden="1" x14ac:dyDescent="0.25">
      <c r="A127" s="168"/>
      <c r="B127" s="133" t="str">
        <f>'Công trình'!B160</f>
        <v>AI.63311</v>
      </c>
      <c r="C127" s="34"/>
      <c r="D127" s="133" t="str">
        <f>'Công trình'!C160</f>
        <v>Lắp dựng kết cấu thép hệ khung dàn, sàn đạo trên cạn</v>
      </c>
      <c r="E127" s="168"/>
      <c r="F127" s="20">
        <v>1</v>
      </c>
      <c r="G127" s="45">
        <f>'Hao phí vật tư'!L1217</f>
        <v>10.8499</v>
      </c>
      <c r="H127" s="166"/>
      <c r="I127" s="156">
        <f>ROUND(G127*H120,2)</f>
        <v>25980313.399999999</v>
      </c>
      <c r="J127" s="20" t="str">
        <f>'Công trình'!X160</f>
        <v>HCM_2016_QD_3384_XD</v>
      </c>
      <c r="K127" s="166"/>
      <c r="L127" s="156">
        <f>ROUND(G127*K120,2)</f>
        <v>25980313.399999999</v>
      </c>
      <c r="M127" s="166"/>
      <c r="N127" s="166"/>
      <c r="O127" s="166"/>
      <c r="P127" s="156">
        <f>ROUND(G127*O120,2)</f>
        <v>0</v>
      </c>
      <c r="Q127" s="156">
        <f>ROUND(G127*N120,2)</f>
        <v>25980313.399999999</v>
      </c>
    </row>
    <row r="128" spans="1:17" ht="30" hidden="1" x14ac:dyDescent="0.25">
      <c r="A128" s="168"/>
      <c r="B128" s="133" t="str">
        <f>'Công trình'!B161</f>
        <v>AI.63311</v>
      </c>
      <c r="C128" s="34"/>
      <c r="D128" s="133" t="str">
        <f>'Công trình'!C161</f>
        <v>Tháo dỡ kết cấu thép hệ khung dàn, sàn đạo trên cạn (60% Đg)</v>
      </c>
      <c r="E128" s="168"/>
      <c r="F128" s="20">
        <v>1</v>
      </c>
      <c r="G128" s="45">
        <f>'Hao phí vật tư'!L1228</f>
        <v>6.51</v>
      </c>
      <c r="H128" s="166"/>
      <c r="I128" s="156">
        <f>ROUND(G128*H120,2)</f>
        <v>15588331.710000001</v>
      </c>
      <c r="J128" s="20" t="str">
        <f>'Công trình'!X161</f>
        <v>HCM_2016_QD_3384_XD</v>
      </c>
      <c r="K128" s="166"/>
      <c r="L128" s="156">
        <f>ROUND(G128*K120,2)</f>
        <v>15588331.710000001</v>
      </c>
      <c r="M128" s="166"/>
      <c r="N128" s="166"/>
      <c r="O128" s="166"/>
      <c r="P128" s="156">
        <f>ROUND(G128*O120,2)</f>
        <v>0</v>
      </c>
      <c r="Q128" s="156">
        <f>ROUND(G128*N120,2)</f>
        <v>15588331.710000001</v>
      </c>
    </row>
    <row r="129" spans="1:17" ht="30" hidden="1" x14ac:dyDescent="0.25">
      <c r="A129" s="168"/>
      <c r="B129" s="133" t="str">
        <f>'Công trình'!B181</f>
        <v>AF.65120</v>
      </c>
      <c r="C129" s="34"/>
      <c r="D129" s="133" t="str">
        <f>'Công trình'!C181</f>
        <v>Sản xuất, lắp dựng cốt thép móng, mố, trụ, mũ mố, mũ trụ cầu trên cạn đường kính &lt;=18mm</v>
      </c>
      <c r="E129" s="168"/>
      <c r="F129" s="20">
        <v>1</v>
      </c>
      <c r="G129" s="45">
        <f>'Hao phí vật tư'!L1381</f>
        <v>0.38529999999999998</v>
      </c>
      <c r="H129" s="166"/>
      <c r="I129" s="156">
        <f>ROUND(G129*H120,2)</f>
        <v>922608.94</v>
      </c>
      <c r="J129" s="20" t="str">
        <f>'Công trình'!X181</f>
        <v>HCM_2016_QD_3384_XD</v>
      </c>
      <c r="K129" s="166"/>
      <c r="L129" s="156">
        <f>ROUND(G129*K120,2)</f>
        <v>922608.94</v>
      </c>
      <c r="M129" s="166"/>
      <c r="N129" s="166"/>
      <c r="O129" s="166"/>
      <c r="P129" s="156">
        <f>ROUND(G129*O120,2)</f>
        <v>0</v>
      </c>
      <c r="Q129" s="156">
        <f>ROUND(G129*N120,2)</f>
        <v>922608.94</v>
      </c>
    </row>
    <row r="130" spans="1:17" ht="30" hidden="1" x14ac:dyDescent="0.25">
      <c r="A130" s="168"/>
      <c r="B130" s="133" t="str">
        <f>'Công trình'!B182</f>
        <v>AF.65130</v>
      </c>
      <c r="C130" s="34"/>
      <c r="D130" s="133" t="str">
        <f>'Công trình'!C182</f>
        <v>Sản xuất, lắp dựng cốt thép móng, mố, trụ, mũ mố, mũ trụ cầu trên cạn đường kính &gt;18mm</v>
      </c>
      <c r="E130" s="168"/>
      <c r="F130" s="20">
        <v>1</v>
      </c>
      <c r="G130" s="45">
        <f>'Hao phí vật tư'!L1392</f>
        <v>0.37959999999999999</v>
      </c>
      <c r="H130" s="166"/>
      <c r="I130" s="156">
        <f>ROUND(G130*H120,2)</f>
        <v>908960.17</v>
      </c>
      <c r="J130" s="20" t="str">
        <f>'Công trình'!X182</f>
        <v>HCM_2016_QD_3384_XD</v>
      </c>
      <c r="K130" s="166"/>
      <c r="L130" s="156">
        <f>ROUND(G130*K120,2)</f>
        <v>908960.17</v>
      </c>
      <c r="M130" s="166"/>
      <c r="N130" s="166"/>
      <c r="O130" s="166"/>
      <c r="P130" s="156">
        <f>ROUND(G130*O120,2)</f>
        <v>0</v>
      </c>
      <c r="Q130" s="156">
        <f>ROUND(G130*N120,2)</f>
        <v>908960.17</v>
      </c>
    </row>
    <row r="131" spans="1:17" ht="30" hidden="1" x14ac:dyDescent="0.25">
      <c r="A131" s="168"/>
      <c r="B131" s="133" t="str">
        <f>'Công trình'!B190</f>
        <v>AF.65120</v>
      </c>
      <c r="C131" s="34"/>
      <c r="D131" s="133" t="str">
        <f>'Công trình'!C190</f>
        <v>Sản xuất, lắp dựng cốt thép móng, mố, trụ, mũ mố, mũ trụ cầu trên cạn đường kính &lt;=18mm</v>
      </c>
      <c r="E131" s="168"/>
      <c r="F131" s="20">
        <v>1</v>
      </c>
      <c r="G131" s="45">
        <f>'Hao phí vật tư'!L1465</f>
        <v>4.4499999999999998E-2</v>
      </c>
      <c r="H131" s="166"/>
      <c r="I131" s="156">
        <f>ROUND(G131*H120,2)</f>
        <v>106556.18</v>
      </c>
      <c r="J131" s="20" t="str">
        <f>'Công trình'!X190</f>
        <v>HCM_2016_QD_3384_XD</v>
      </c>
      <c r="K131" s="166"/>
      <c r="L131" s="156">
        <f>ROUND(G131*K120,2)</f>
        <v>106556.18</v>
      </c>
      <c r="M131" s="166"/>
      <c r="N131" s="166"/>
      <c r="O131" s="166"/>
      <c r="P131" s="156">
        <f>ROUND(G131*O120,2)</f>
        <v>0</v>
      </c>
      <c r="Q131" s="156">
        <f>ROUND(G131*N120,2)</f>
        <v>106556.18</v>
      </c>
    </row>
    <row r="132" spans="1:17" ht="30" hidden="1" x14ac:dyDescent="0.25">
      <c r="A132" s="168"/>
      <c r="B132" s="133" t="str">
        <f>'Công trình'!B191</f>
        <v>AF.65130</v>
      </c>
      <c r="C132" s="34"/>
      <c r="D132" s="133" t="str">
        <f>'Công trình'!C191</f>
        <v>Sản xuất, lắp dựng cốt thép móng, mố, trụ, mũ mố, mũ trụ cầu trên cạn đường kính &gt;18mm</v>
      </c>
      <c r="E132" s="168"/>
      <c r="F132" s="20">
        <v>1</v>
      </c>
      <c r="G132" s="45">
        <f>'Hao phí vật tư'!L1476</f>
        <v>0.15129999999999999</v>
      </c>
      <c r="H132" s="166"/>
      <c r="I132" s="156">
        <f>ROUND(G132*H120,2)</f>
        <v>362291.03</v>
      </c>
      <c r="J132" s="20" t="str">
        <f>'Công trình'!X191</f>
        <v>HCM_2016_QD_3384_XD</v>
      </c>
      <c r="K132" s="166"/>
      <c r="L132" s="156">
        <f>ROUND(G132*K120,2)</f>
        <v>362291.03</v>
      </c>
      <c r="M132" s="166"/>
      <c r="N132" s="166"/>
      <c r="O132" s="166"/>
      <c r="P132" s="156">
        <f>ROUND(G132*O120,2)</f>
        <v>0</v>
      </c>
      <c r="Q132" s="156">
        <f>ROUND(G132*N120,2)</f>
        <v>362291.03</v>
      </c>
    </row>
    <row r="133" spans="1:17" ht="30" hidden="1" x14ac:dyDescent="0.25">
      <c r="A133" s="168"/>
      <c r="B133" s="133" t="str">
        <f>'Công trình'!B179</f>
        <v>AF.87211</v>
      </c>
      <c r="C133" s="34"/>
      <c r="D133" s="133" t="str">
        <f>'Công trình'!C179</f>
        <v>Sản xuất, lắp dựng, tháo dỡ ván khuôn mố, trụ cầu trên cạn</v>
      </c>
      <c r="E133" s="168"/>
      <c r="F133" s="20">
        <v>1</v>
      </c>
      <c r="G133" s="45">
        <f>'Hao phí vật tư'!L1362</f>
        <v>1.2316</v>
      </c>
      <c r="H133" s="166"/>
      <c r="I133" s="156">
        <f>ROUND(G133*H120,2)</f>
        <v>2949092.06</v>
      </c>
      <c r="J133" s="20" t="str">
        <f>'Công trình'!X179</f>
        <v>HCM_2016_QD_3384_XD</v>
      </c>
      <c r="K133" s="166"/>
      <c r="L133" s="156">
        <f>ROUND(G133*K120,2)</f>
        <v>2949092.06</v>
      </c>
      <c r="M133" s="166"/>
      <c r="N133" s="166"/>
      <c r="O133" s="166"/>
      <c r="P133" s="156">
        <f>ROUND(G133*O120,2)</f>
        <v>0</v>
      </c>
      <c r="Q133" s="156">
        <f>ROUND(G133*N120,2)</f>
        <v>2949092.06</v>
      </c>
    </row>
    <row r="134" spans="1:17" ht="30" hidden="1" x14ac:dyDescent="0.25">
      <c r="A134" s="168"/>
      <c r="B134" s="133" t="str">
        <f>'Công trình'!B189</f>
        <v>AF.87211</v>
      </c>
      <c r="C134" s="34"/>
      <c r="D134" s="133" t="str">
        <f>'Công trình'!C189</f>
        <v>Sản xuất, lắp dựng, tháo dỡ ván khuôn mố, trụ cầu trên cạn</v>
      </c>
      <c r="E134" s="168"/>
      <c r="F134" s="20">
        <v>1</v>
      </c>
      <c r="G134" s="45">
        <f>'Hao phí vật tư'!L1453</f>
        <v>0.35289999999999999</v>
      </c>
      <c r="H134" s="166"/>
      <c r="I134" s="156">
        <f>ROUND(G134*H120,2)</f>
        <v>845026.46</v>
      </c>
      <c r="J134" s="20" t="str">
        <f>'Công trình'!X189</f>
        <v>HCM_2016_QD_3384_XD</v>
      </c>
      <c r="K134" s="166"/>
      <c r="L134" s="156">
        <f>ROUND(G134*K120,2)</f>
        <v>845026.46</v>
      </c>
      <c r="M134" s="166"/>
      <c r="N134" s="166"/>
      <c r="O134" s="166"/>
      <c r="P134" s="156">
        <f>ROUND(G134*O120,2)</f>
        <v>0</v>
      </c>
      <c r="Q134" s="156">
        <f>ROUND(G134*N120,2)</f>
        <v>845026.46</v>
      </c>
    </row>
    <row r="135" spans="1:17" x14ac:dyDescent="0.25">
      <c r="A135" s="168">
        <v>13</v>
      </c>
      <c r="B135" s="84" t="s">
        <v>175</v>
      </c>
      <c r="C135" s="34">
        <v>729</v>
      </c>
      <c r="D135" s="144" t="s">
        <v>271</v>
      </c>
      <c r="E135" s="168" t="s">
        <v>76</v>
      </c>
      <c r="F135" s="34"/>
      <c r="G135" s="60">
        <f>SUM(G136:G143)</f>
        <v>108.276</v>
      </c>
      <c r="H135" s="166">
        <v>2839829</v>
      </c>
      <c r="I135" s="166">
        <f>ROUND(G135*H135,0)</f>
        <v>307485325</v>
      </c>
      <c r="J135" s="34">
        <v>1</v>
      </c>
      <c r="K135" s="166">
        <f>'Tổng hợp VL,NC,M'!I1337</f>
        <v>2839829</v>
      </c>
      <c r="L135" s="166">
        <f>ROUND(G135*K135,0)</f>
        <v>307485325</v>
      </c>
      <c r="M135" s="166"/>
      <c r="N135" s="166">
        <f>K135+M135</f>
        <v>2839829</v>
      </c>
      <c r="O135" s="166">
        <f>N135-H135</f>
        <v>0</v>
      </c>
      <c r="P135" s="166">
        <f>ROUND(G135*O135,0)</f>
        <v>0</v>
      </c>
      <c r="Q135" s="166">
        <f>ROUND(G135*N135,0)</f>
        <v>307485325</v>
      </c>
    </row>
    <row r="136" spans="1:17" ht="30" hidden="1" x14ac:dyDescent="0.25">
      <c r="A136" s="168"/>
      <c r="B136" s="133" t="str">
        <f>'Công trình'!B86</f>
        <v>AC.17111</v>
      </c>
      <c r="C136" s="34"/>
      <c r="D136" s="133" t="str">
        <f>'Công trình'!C86</f>
        <v>Đóng cọc BTCT 30x30 chiều dài &lt;=24m trên mặt nước bằng tàu đóng cọc búa 1,8T</v>
      </c>
      <c r="E136" s="168"/>
      <c r="F136" s="20">
        <v>1</v>
      </c>
      <c r="G136" s="45">
        <f>'Hao phí vật tư'!L714</f>
        <v>6.2784000000000004</v>
      </c>
      <c r="H136" s="166"/>
      <c r="I136" s="156">
        <f>ROUND(G136*H135,2)</f>
        <v>17829582.390000001</v>
      </c>
      <c r="J136" s="20" t="str">
        <f>'Công trình'!X86</f>
        <v>HCM_2016_QD_3384_XD</v>
      </c>
      <c r="K136" s="166"/>
      <c r="L136" s="156">
        <f>ROUND(G136*K135,2)</f>
        <v>17829582.390000001</v>
      </c>
      <c r="M136" s="166"/>
      <c r="N136" s="166"/>
      <c r="O136" s="166"/>
      <c r="P136" s="156">
        <f>ROUND(G136*O135,2)</f>
        <v>0</v>
      </c>
      <c r="Q136" s="156">
        <f>ROUND(G136*N135,2)</f>
        <v>17829582.390000001</v>
      </c>
    </row>
    <row r="137" spans="1:17" ht="30" hidden="1" x14ac:dyDescent="0.25">
      <c r="A137" s="168"/>
      <c r="B137" s="133" t="str">
        <f>'Công trình'!B75</f>
        <v>AC.17112</v>
      </c>
      <c r="C137" s="34"/>
      <c r="D137" s="133" t="str">
        <f>'Công trình'!C75</f>
        <v>Đóng cọc BTCT 35x35 chiều dài &lt;=24m trên mặt nước bằng tàu đóng cọc búa 1,8T</v>
      </c>
      <c r="E137" s="168"/>
      <c r="F137" s="20">
        <v>1</v>
      </c>
      <c r="G137" s="45">
        <f>'Hao phí vật tư'!L598</f>
        <v>12.441599999999999</v>
      </c>
      <c r="H137" s="166"/>
      <c r="I137" s="156">
        <f>ROUND(G137*H135,2)</f>
        <v>35332016.490000002</v>
      </c>
      <c r="J137" s="20" t="str">
        <f>'Công trình'!X75</f>
        <v>HCM_2016_QD_3384_XD</v>
      </c>
      <c r="K137" s="166"/>
      <c r="L137" s="156">
        <f>ROUND(G137*K135,2)</f>
        <v>35332016.490000002</v>
      </c>
      <c r="M137" s="166"/>
      <c r="N137" s="166"/>
      <c r="O137" s="166"/>
      <c r="P137" s="156">
        <f>ROUND(G137*O135,2)</f>
        <v>0</v>
      </c>
      <c r="Q137" s="156">
        <f>ROUND(G137*N135,2)</f>
        <v>35332016.490000002</v>
      </c>
    </row>
    <row r="138" spans="1:17" ht="30" hidden="1" x14ac:dyDescent="0.25">
      <c r="A138" s="168"/>
      <c r="B138" s="133" t="str">
        <f>'Công trình'!B107</f>
        <v>AC.17112</v>
      </c>
      <c r="C138" s="34"/>
      <c r="D138" s="133" t="str">
        <f>'Công trình'!C107</f>
        <v>Đóng cọc âm BTCT 35x35 chiều dài &lt;=24m trên mặt nước bằng tàu đóng cọc búa 1,8T</v>
      </c>
      <c r="E138" s="168"/>
      <c r="F138" s="20">
        <v>1</v>
      </c>
      <c r="G138" s="45">
        <f>'Hao phí vật tư'!L861</f>
        <v>5.0999999999999996</v>
      </c>
      <c r="H138" s="166"/>
      <c r="I138" s="156">
        <f>ROUND(G138*H135,2)</f>
        <v>14483127.9</v>
      </c>
      <c r="J138" s="20" t="str">
        <f>'Công trình'!X107</f>
        <v>HCM_2016_QD_3384_XD</v>
      </c>
      <c r="K138" s="166"/>
      <c r="L138" s="156">
        <f>ROUND(G138*K135,2)</f>
        <v>14483127.9</v>
      </c>
      <c r="M138" s="166"/>
      <c r="N138" s="166"/>
      <c r="O138" s="166"/>
      <c r="P138" s="156">
        <f>ROUND(G138*O135,2)</f>
        <v>0</v>
      </c>
      <c r="Q138" s="156">
        <f>ROUND(G138*N135,2)</f>
        <v>14483127.9</v>
      </c>
    </row>
    <row r="139" spans="1:17" ht="30" hidden="1" x14ac:dyDescent="0.25">
      <c r="A139" s="168"/>
      <c r="B139" s="133" t="str">
        <f>'Công trình'!B146</f>
        <v>AC.23110</v>
      </c>
      <c r="C139" s="34"/>
      <c r="D139" s="133" t="str">
        <f>'Công trình'!C146</f>
        <v>Nhổ cọc thép hình làm tường chắn đất, sàn thao tác trên cạn</v>
      </c>
      <c r="E139" s="168"/>
      <c r="F139" s="20">
        <v>1</v>
      </c>
      <c r="G139" s="45">
        <f>'Hao phí vật tư'!L1109</f>
        <v>4.7880000000000003</v>
      </c>
      <c r="H139" s="166"/>
      <c r="I139" s="156">
        <f>ROUND(G139*H135,2)</f>
        <v>13597101.25</v>
      </c>
      <c r="J139" s="20" t="str">
        <f>'Công trình'!X146</f>
        <v>HCM_2016_QD_3384_XD</v>
      </c>
      <c r="K139" s="166"/>
      <c r="L139" s="156">
        <f>ROUND(G139*K135,2)</f>
        <v>13597101.25</v>
      </c>
      <c r="M139" s="166"/>
      <c r="N139" s="166"/>
      <c r="O139" s="166"/>
      <c r="P139" s="156">
        <f>ROUND(G139*O135,2)</f>
        <v>0</v>
      </c>
      <c r="Q139" s="156">
        <f>ROUND(G139*N135,2)</f>
        <v>13597101.25</v>
      </c>
    </row>
    <row r="140" spans="1:17" ht="30" hidden="1" x14ac:dyDescent="0.25">
      <c r="A140" s="168"/>
      <c r="B140" s="133" t="str">
        <f>'Công trình'!B118</f>
        <v>AC.23110</v>
      </c>
      <c r="C140" s="34"/>
      <c r="D140" s="133" t="str">
        <f>'Công trình'!C118</f>
        <v>Nhổ cọc thép hình làm tường chắn đất, sàn thao tác trên cạn</v>
      </c>
      <c r="E140" s="168"/>
      <c r="F140" s="20">
        <v>1</v>
      </c>
      <c r="G140" s="45">
        <f>'Hao phí vật tư'!L933</f>
        <v>3.7240000000000002</v>
      </c>
      <c r="H140" s="166"/>
      <c r="I140" s="156">
        <f>ROUND(G140*H135,2)</f>
        <v>10575523.199999999</v>
      </c>
      <c r="J140" s="20" t="str">
        <f>'Công trình'!X118</f>
        <v>HCM_2016_QD_3384_XD</v>
      </c>
      <c r="K140" s="166"/>
      <c r="L140" s="156">
        <f>ROUND(G140*K135,2)</f>
        <v>10575523.199999999</v>
      </c>
      <c r="M140" s="166"/>
      <c r="N140" s="166"/>
      <c r="O140" s="166"/>
      <c r="P140" s="156">
        <f>ROUND(G140*O135,2)</f>
        <v>0</v>
      </c>
      <c r="Q140" s="156">
        <f>ROUND(G140*N135,2)</f>
        <v>10575523.199999999</v>
      </c>
    </row>
    <row r="141" spans="1:17" ht="30" hidden="1" x14ac:dyDescent="0.25">
      <c r="A141" s="168"/>
      <c r="B141" s="133" t="str">
        <f>'Công trình'!B129</f>
        <v>AC.23110</v>
      </c>
      <c r="C141" s="34"/>
      <c r="D141" s="133" t="str">
        <f>'Công trình'!C129</f>
        <v>Nhổ cọc thép hình làm tường chắn đất, sàn thao tác trên cạn</v>
      </c>
      <c r="E141" s="168"/>
      <c r="F141" s="20">
        <v>1</v>
      </c>
      <c r="G141" s="45">
        <f>'Hao phí vật tư'!L1005</f>
        <v>0.63839999999999997</v>
      </c>
      <c r="H141" s="166"/>
      <c r="I141" s="156">
        <f>ROUND(G141*H135,2)</f>
        <v>1812946.83</v>
      </c>
      <c r="J141" s="20" t="str">
        <f>'Công trình'!X129</f>
        <v>HCM_2016_QD_3384_XD</v>
      </c>
      <c r="K141" s="166"/>
      <c r="L141" s="156">
        <f>ROUND(G141*K135,2)</f>
        <v>1812946.83</v>
      </c>
      <c r="M141" s="166"/>
      <c r="N141" s="166"/>
      <c r="O141" s="166"/>
      <c r="P141" s="156">
        <f>ROUND(G141*O135,2)</f>
        <v>0</v>
      </c>
      <c r="Q141" s="156">
        <f>ROUND(G141*N135,2)</f>
        <v>1812946.83</v>
      </c>
    </row>
    <row r="142" spans="1:17" ht="30" hidden="1" x14ac:dyDescent="0.25">
      <c r="A142" s="168"/>
      <c r="B142" s="133" t="str">
        <f>'Công trình'!B166</f>
        <v>AC.23110</v>
      </c>
      <c r="C142" s="34"/>
      <c r="D142" s="133" t="str">
        <f>'Công trình'!C166</f>
        <v>Nhổ cọc thép hình làm tường chắn đất, sàn thao tác trên cạn</v>
      </c>
      <c r="E142" s="168"/>
      <c r="F142" s="20">
        <v>1</v>
      </c>
      <c r="G142" s="45">
        <f>'Hao phí vật tư'!L1255</f>
        <v>5.2135999999999996</v>
      </c>
      <c r="H142" s="166"/>
      <c r="I142" s="156">
        <f>ROUND(G142*H135,2)</f>
        <v>14805732.470000001</v>
      </c>
      <c r="J142" s="20" t="str">
        <f>'Công trình'!X166</f>
        <v>HCM_2016_QD_3384_XD</v>
      </c>
      <c r="K142" s="166"/>
      <c r="L142" s="156">
        <f>ROUND(G142*K135,2)</f>
        <v>14805732.470000001</v>
      </c>
      <c r="M142" s="166"/>
      <c r="N142" s="166"/>
      <c r="O142" s="166"/>
      <c r="P142" s="156">
        <f>ROUND(G142*O135,2)</f>
        <v>0</v>
      </c>
      <c r="Q142" s="156">
        <f>ROUND(G142*N135,2)</f>
        <v>14805732.470000001</v>
      </c>
    </row>
    <row r="143" spans="1:17" ht="30" hidden="1" x14ac:dyDescent="0.25">
      <c r="A143" s="168"/>
      <c r="B143" s="133" t="str">
        <f>'Công trình'!B135</f>
        <v>AC.23210</v>
      </c>
      <c r="C143" s="34"/>
      <c r="D143" s="133" t="str">
        <f>'Công trình'!C135</f>
        <v>Nhổ cọc cừ Larsen 3, larsen 4 trên cạn bằng búa rung, cần cẩu 25T</v>
      </c>
      <c r="E143" s="168"/>
      <c r="F143" s="20">
        <v>1</v>
      </c>
      <c r="G143" s="45">
        <f>'Hao phí vật tư'!L1033</f>
        <v>70.091999999999999</v>
      </c>
      <c r="H143" s="166"/>
      <c r="I143" s="156">
        <f>ROUND(G143*H135,2)</f>
        <v>199049294.27000001</v>
      </c>
      <c r="J143" s="20" t="str">
        <f>'Công trình'!X135</f>
        <v>HCM_2016_QD_3384_XD</v>
      </c>
      <c r="K143" s="166"/>
      <c r="L143" s="156">
        <f>ROUND(G143*K135,2)</f>
        <v>199049294.27000001</v>
      </c>
      <c r="M143" s="166"/>
      <c r="N143" s="166"/>
      <c r="O143" s="166"/>
      <c r="P143" s="156">
        <f>ROUND(G143*O135,2)</f>
        <v>0</v>
      </c>
      <c r="Q143" s="156">
        <f>ROUND(G143*N135,2)</f>
        <v>199049294.27000001</v>
      </c>
    </row>
    <row r="144" spans="1:17" x14ac:dyDescent="0.25">
      <c r="A144" s="168">
        <v>14</v>
      </c>
      <c r="B144" s="84" t="s">
        <v>65</v>
      </c>
      <c r="C144" s="34">
        <v>730</v>
      </c>
      <c r="D144" s="144" t="s">
        <v>112</v>
      </c>
      <c r="E144" s="168" t="s">
        <v>76</v>
      </c>
      <c r="F144" s="34"/>
      <c r="G144" s="60">
        <f>SUM(G145:G145)</f>
        <v>47.142000000000003</v>
      </c>
      <c r="H144" s="166">
        <v>4288258</v>
      </c>
      <c r="I144" s="166">
        <f>ROUND(G144*H144,0)</f>
        <v>202157059</v>
      </c>
      <c r="J144" s="34">
        <v>1</v>
      </c>
      <c r="K144" s="166">
        <f>'Tổng hợp VL,NC,M'!I1346</f>
        <v>4288258</v>
      </c>
      <c r="L144" s="166">
        <f>ROUND(G144*K144,0)</f>
        <v>202157059</v>
      </c>
      <c r="M144" s="166"/>
      <c r="N144" s="166">
        <f>K144+M144</f>
        <v>4288258</v>
      </c>
      <c r="O144" s="166">
        <f>N144-H144</f>
        <v>0</v>
      </c>
      <c r="P144" s="166">
        <f>ROUND(G144*O144,0)</f>
        <v>0</v>
      </c>
      <c r="Q144" s="166">
        <f>ROUND(G144*N144,0)</f>
        <v>202157059</v>
      </c>
    </row>
    <row r="145" spans="1:17" ht="45" hidden="1" x14ac:dyDescent="0.25">
      <c r="A145" s="168"/>
      <c r="B145" s="133" t="str">
        <f>'Công trình'!B26</f>
        <v>AC.12412</v>
      </c>
      <c r="C145" s="34"/>
      <c r="D145" s="133" t="str">
        <f>'Công trình'!C26</f>
        <v>Đóng cọc cừ máng bê tông dự ứng lực trên cạn bằng búa rung kết hợp tách mũi nước áp lực SW600A, chiều cao máng cọc 60-84cm, L=18M</v>
      </c>
      <c r="E145" s="168"/>
      <c r="F145" s="20">
        <v>1</v>
      </c>
      <c r="G145" s="45">
        <f>'Hao phí vật tư'!L189</f>
        <v>47.142000000000003</v>
      </c>
      <c r="H145" s="166"/>
      <c r="I145" s="156">
        <f>ROUND(G145*H144,2)</f>
        <v>202157058.63999999</v>
      </c>
      <c r="J145" s="20" t="str">
        <f>'Công trình'!X26</f>
        <v>HCM_2016_QD_3384_XD</v>
      </c>
      <c r="K145" s="166"/>
      <c r="L145" s="156">
        <f>ROUND(G145*K144,2)</f>
        <v>202157058.63999999</v>
      </c>
      <c r="M145" s="166"/>
      <c r="N145" s="166"/>
      <c r="O145" s="166"/>
      <c r="P145" s="156">
        <f>ROUND(G145*O144,2)</f>
        <v>0</v>
      </c>
      <c r="Q145" s="156">
        <f>ROUND(G145*N144,2)</f>
        <v>202157058.63999999</v>
      </c>
    </row>
    <row r="146" spans="1:17" x14ac:dyDescent="0.25">
      <c r="A146" s="168">
        <v>15</v>
      </c>
      <c r="B146" s="84" t="s">
        <v>23</v>
      </c>
      <c r="C146" s="34">
        <v>731</v>
      </c>
      <c r="D146" s="144" t="s">
        <v>374</v>
      </c>
      <c r="E146" s="168" t="s">
        <v>76</v>
      </c>
      <c r="F146" s="34"/>
      <c r="G146" s="60">
        <f>SUM(G147:G147)</f>
        <v>4.5</v>
      </c>
      <c r="H146" s="166">
        <v>5722978</v>
      </c>
      <c r="I146" s="166">
        <f>ROUND(G146*H146,0)</f>
        <v>25753401</v>
      </c>
      <c r="J146" s="34">
        <v>1</v>
      </c>
      <c r="K146" s="166">
        <f>'Tổng hợp VL,NC,M'!I1348</f>
        <v>5722978</v>
      </c>
      <c r="L146" s="166">
        <f>ROUND(G146*K146,0)</f>
        <v>25753401</v>
      </c>
      <c r="M146" s="166"/>
      <c r="N146" s="166">
        <f>K146+M146</f>
        <v>5722978</v>
      </c>
      <c r="O146" s="166">
        <f>N146-H146</f>
        <v>0</v>
      </c>
      <c r="P146" s="166">
        <f>ROUND(G146*O146,0)</f>
        <v>0</v>
      </c>
      <c r="Q146" s="166">
        <f>ROUND(G146*N146,0)</f>
        <v>25753401</v>
      </c>
    </row>
    <row r="147" spans="1:17" ht="45" hidden="1" x14ac:dyDescent="0.25">
      <c r="A147" s="168"/>
      <c r="B147" s="133" t="str">
        <f>'Công trình'!B193</f>
        <v>TT</v>
      </c>
      <c r="C147" s="34"/>
      <c r="D147" s="133" t="str">
        <f>'Công trình'!C193</f>
        <v xml:space="preserve">Lắp dựng dầm cầu I DƯL bản  (TT theo MHĐM ĐQ.30010 Quyết định số 2204/QĐ-BGTVT ngày 29/07/2013) </v>
      </c>
      <c r="E147" s="168"/>
      <c r="F147" s="20">
        <v>1</v>
      </c>
      <c r="G147" s="45">
        <f>'Hao phí vật tư'!L1486</f>
        <v>4.5</v>
      </c>
      <c r="H147" s="166"/>
      <c r="I147" s="156">
        <f>ROUND(G147*H146,2)</f>
        <v>25753401</v>
      </c>
      <c r="J147" s="20">
        <f>'Công trình'!X193</f>
        <v>0</v>
      </c>
      <c r="K147" s="166"/>
      <c r="L147" s="156">
        <f>ROUND(G147*K146,2)</f>
        <v>25753401</v>
      </c>
      <c r="M147" s="166"/>
      <c r="N147" s="166"/>
      <c r="O147" s="166"/>
      <c r="P147" s="156">
        <f>ROUND(G147*O146,2)</f>
        <v>0</v>
      </c>
      <c r="Q147" s="156">
        <f>ROUND(G147*N146,2)</f>
        <v>25753401</v>
      </c>
    </row>
    <row r="148" spans="1:17" x14ac:dyDescent="0.25">
      <c r="A148" s="168">
        <v>16</v>
      </c>
      <c r="B148" s="84" t="s">
        <v>622</v>
      </c>
      <c r="C148" s="34">
        <v>733</v>
      </c>
      <c r="D148" s="144" t="s">
        <v>527</v>
      </c>
      <c r="E148" s="168" t="s">
        <v>76</v>
      </c>
      <c r="F148" s="34"/>
      <c r="G148" s="60">
        <f>SUM(G149:G153)</f>
        <v>35.223700000000001</v>
      </c>
      <c r="H148" s="166">
        <v>2160679</v>
      </c>
      <c r="I148" s="166">
        <f>ROUND(G148*H148,0)</f>
        <v>76107109</v>
      </c>
      <c r="J148" s="34">
        <v>1</v>
      </c>
      <c r="K148" s="166">
        <f>'Tổng hợp VL,NC,M'!I1350</f>
        <v>2160679</v>
      </c>
      <c r="L148" s="166">
        <f>ROUND(G148*K148,0)</f>
        <v>76107109</v>
      </c>
      <c r="M148" s="166"/>
      <c r="N148" s="166">
        <f>K148+M148</f>
        <v>2160679</v>
      </c>
      <c r="O148" s="166">
        <f>N148-H148</f>
        <v>0</v>
      </c>
      <c r="P148" s="166">
        <f>ROUND(G148*O148,0)</f>
        <v>0</v>
      </c>
      <c r="Q148" s="166">
        <f>ROUND(G148*N148,0)</f>
        <v>76107109</v>
      </c>
    </row>
    <row r="149" spans="1:17" ht="30" hidden="1" x14ac:dyDescent="0.25">
      <c r="A149" s="168"/>
      <c r="B149" s="133" t="str">
        <f>'Công trình'!B109</f>
        <v>AI.11912</v>
      </c>
      <c r="C149" s="34"/>
      <c r="D149" s="133" t="str">
        <f>'Công trình'!C109</f>
        <v>Sản xuất hệ sàn đạo, sàn thao tác</v>
      </c>
      <c r="E149" s="168"/>
      <c r="F149" s="20">
        <v>1</v>
      </c>
      <c r="G149" s="45">
        <f>'Hao phí vật tư'!L874</f>
        <v>0.68210000000000004</v>
      </c>
      <c r="H149" s="166"/>
      <c r="I149" s="156">
        <f>ROUND(G149*H148,2)</f>
        <v>1473799.15</v>
      </c>
      <c r="J149" s="20" t="str">
        <f>'Công trình'!X109</f>
        <v>HCM_2016_QD_3384_XD</v>
      </c>
      <c r="K149" s="166"/>
      <c r="L149" s="156">
        <f>ROUND(G149*K148,2)</f>
        <v>1473799.15</v>
      </c>
      <c r="M149" s="166"/>
      <c r="N149" s="166"/>
      <c r="O149" s="166"/>
      <c r="P149" s="156">
        <f>ROUND(G149*O148,2)</f>
        <v>0</v>
      </c>
      <c r="Q149" s="156">
        <f>ROUND(G149*N148,2)</f>
        <v>1473799.15</v>
      </c>
    </row>
    <row r="150" spans="1:17" ht="30" hidden="1" x14ac:dyDescent="0.25">
      <c r="A150" s="168"/>
      <c r="B150" s="133" t="str">
        <f>'Công trình'!B120</f>
        <v>AI.11912</v>
      </c>
      <c r="C150" s="34"/>
      <c r="D150" s="133" t="str">
        <f>'Công trình'!C120</f>
        <v>Sản xuất hệ sàn đạo, sàn thao tác</v>
      </c>
      <c r="E150" s="168"/>
      <c r="F150" s="20">
        <v>1</v>
      </c>
      <c r="G150" s="45">
        <f>'Hao phí vật tư'!L946</f>
        <v>1.4055</v>
      </c>
      <c r="H150" s="166"/>
      <c r="I150" s="156">
        <f>ROUND(G150*H148,2)</f>
        <v>3036834.33</v>
      </c>
      <c r="J150" s="20" t="str">
        <f>'Công trình'!X120</f>
        <v>HCM_2016_QD_3384_XD</v>
      </c>
      <c r="K150" s="166"/>
      <c r="L150" s="156">
        <f>ROUND(G150*K148,2)</f>
        <v>3036834.33</v>
      </c>
      <c r="M150" s="166"/>
      <c r="N150" s="166"/>
      <c r="O150" s="166"/>
      <c r="P150" s="156">
        <f>ROUND(G150*O148,2)</f>
        <v>0</v>
      </c>
      <c r="Q150" s="156">
        <f>ROUND(G150*N148,2)</f>
        <v>3036834.33</v>
      </c>
    </row>
    <row r="151" spans="1:17" ht="30" hidden="1" x14ac:dyDescent="0.25">
      <c r="A151" s="168"/>
      <c r="B151" s="133" t="str">
        <f>'Công trình'!B136</f>
        <v>AI.11912</v>
      </c>
      <c r="C151" s="34"/>
      <c r="D151" s="133" t="str">
        <f>'Công trình'!C136</f>
        <v>Sản xuất hệ sàn đạo, sàn thao tác</v>
      </c>
      <c r="E151" s="168"/>
      <c r="F151" s="20">
        <v>1</v>
      </c>
      <c r="G151" s="45">
        <f>'Hao phí vật tư'!L1047</f>
        <v>22.255099999999999</v>
      </c>
      <c r="H151" s="166"/>
      <c r="I151" s="156">
        <f>ROUND(G151*H148,2)</f>
        <v>48086127.210000001</v>
      </c>
      <c r="J151" s="20" t="str">
        <f>'Công trình'!X136</f>
        <v>HCM_2016_QD_3384_XD</v>
      </c>
      <c r="K151" s="166"/>
      <c r="L151" s="156">
        <f>ROUND(G151*K148,2)</f>
        <v>48086127.210000001</v>
      </c>
      <c r="M151" s="166"/>
      <c r="N151" s="166"/>
      <c r="O151" s="166"/>
      <c r="P151" s="156">
        <f>ROUND(G151*O148,2)</f>
        <v>0</v>
      </c>
      <c r="Q151" s="156">
        <f>ROUND(G151*N148,2)</f>
        <v>48086127.210000001</v>
      </c>
    </row>
    <row r="152" spans="1:17" ht="30" hidden="1" x14ac:dyDescent="0.25">
      <c r="A152" s="168"/>
      <c r="B152" s="133" t="str">
        <f>'Công trình'!B148</f>
        <v>AI.61171</v>
      </c>
      <c r="C152" s="34"/>
      <c r="D152" s="133" t="str">
        <f>'Công trình'!C148</f>
        <v>Lắp sàn thang sắt</v>
      </c>
      <c r="E152" s="168"/>
      <c r="F152" s="20">
        <v>1</v>
      </c>
      <c r="G152" s="45">
        <f>'Hao phí vật tư'!L1132</f>
        <v>3.1099999999999999E-2</v>
      </c>
      <c r="H152" s="166"/>
      <c r="I152" s="156">
        <f>ROUND(G152*H148,2)</f>
        <v>67197.119999999995</v>
      </c>
      <c r="J152" s="20" t="str">
        <f>'Công trình'!X148</f>
        <v>HCM_2016_QD_3384_XD</v>
      </c>
      <c r="K152" s="166"/>
      <c r="L152" s="156">
        <f>ROUND(G152*K148,2)</f>
        <v>67197.119999999995</v>
      </c>
      <c r="M152" s="166"/>
      <c r="N152" s="166"/>
      <c r="O152" s="166"/>
      <c r="P152" s="156">
        <f>ROUND(G152*O148,2)</f>
        <v>0</v>
      </c>
      <c r="Q152" s="156">
        <f>ROUND(G152*N148,2)</f>
        <v>67197.119999999995</v>
      </c>
    </row>
    <row r="153" spans="1:17" ht="30" hidden="1" x14ac:dyDescent="0.25">
      <c r="A153" s="168"/>
      <c r="B153" s="133" t="str">
        <f>'Công trình'!B157</f>
        <v>AI.11912</v>
      </c>
      <c r="C153" s="34"/>
      <c r="D153" s="133" t="str">
        <f>'Công trình'!C157</f>
        <v>Sản xuất cầu công tác</v>
      </c>
      <c r="E153" s="168"/>
      <c r="F153" s="20">
        <v>1</v>
      </c>
      <c r="G153" s="45">
        <f>'Hao phí vật tư'!L1196</f>
        <v>10.8499</v>
      </c>
      <c r="H153" s="166"/>
      <c r="I153" s="156">
        <f>ROUND(G153*H148,2)</f>
        <v>23443151.079999998</v>
      </c>
      <c r="J153" s="20" t="str">
        <f>'Công trình'!X157</f>
        <v>HCM_2016_QD_3384_XD</v>
      </c>
      <c r="K153" s="166"/>
      <c r="L153" s="156">
        <f>ROUND(G153*K148,2)</f>
        <v>23443151.079999998</v>
      </c>
      <c r="M153" s="166"/>
      <c r="N153" s="166"/>
      <c r="O153" s="166"/>
      <c r="P153" s="156">
        <f>ROUND(G153*O148,2)</f>
        <v>0</v>
      </c>
      <c r="Q153" s="156">
        <f>ROUND(G153*N148,2)</f>
        <v>23443151.079999998</v>
      </c>
    </row>
    <row r="154" spans="1:17" x14ac:dyDescent="0.25">
      <c r="A154" s="168">
        <v>17</v>
      </c>
      <c r="B154" s="84" t="s">
        <v>577</v>
      </c>
      <c r="C154" s="34">
        <v>734</v>
      </c>
      <c r="D154" s="144" t="s">
        <v>723</v>
      </c>
      <c r="E154" s="168" t="s">
        <v>76</v>
      </c>
      <c r="F154" s="34"/>
      <c r="G154" s="60">
        <f>SUM(G155:G157)</f>
        <v>7.3599999999999999E-2</v>
      </c>
      <c r="H154" s="166">
        <v>2433173</v>
      </c>
      <c r="I154" s="166">
        <f>ROUND(G154*H154,0)</f>
        <v>179082</v>
      </c>
      <c r="J154" s="34">
        <v>1</v>
      </c>
      <c r="K154" s="166">
        <f>'Tổng hợp VL,NC,M'!I1356</f>
        <v>2433173</v>
      </c>
      <c r="L154" s="166">
        <f>ROUND(G154*K154,0)</f>
        <v>179082</v>
      </c>
      <c r="M154" s="166"/>
      <c r="N154" s="166">
        <f>K154+M154</f>
        <v>2433173</v>
      </c>
      <c r="O154" s="166">
        <f>N154-H154</f>
        <v>0</v>
      </c>
      <c r="P154" s="166">
        <f>ROUND(G154*O154,0)</f>
        <v>0</v>
      </c>
      <c r="Q154" s="166">
        <f>ROUND(G154*N154,0)</f>
        <v>179082</v>
      </c>
    </row>
    <row r="155" spans="1:17" ht="30" hidden="1" x14ac:dyDescent="0.25">
      <c r="A155" s="168"/>
      <c r="B155" s="133" t="str">
        <f>'Công trình'!B206</f>
        <v>AF.65410</v>
      </c>
      <c r="C155" s="34"/>
      <c r="D155" s="133" t="str">
        <f>'Công trình'!C206</f>
        <v>Công tác sản xuất lắp dựng cốt thép bê tông tại chỗ, cốt thép dầm cầu trên cạn, D ≤10mm</v>
      </c>
      <c r="E155" s="168"/>
      <c r="F155" s="20">
        <v>1</v>
      </c>
      <c r="G155" s="45">
        <f>'Hao phí vật tư'!L1591</f>
        <v>0.04</v>
      </c>
      <c r="H155" s="166"/>
      <c r="I155" s="156">
        <f>ROUND(G155*H154,2)</f>
        <v>97326.92</v>
      </c>
      <c r="J155" s="20" t="str">
        <f>'Công trình'!X206</f>
        <v>HCM_2016_QD_3384_XD</v>
      </c>
      <c r="K155" s="166"/>
      <c r="L155" s="156">
        <f>ROUND(G155*K154,2)</f>
        <v>97326.92</v>
      </c>
      <c r="M155" s="166"/>
      <c r="N155" s="166"/>
      <c r="O155" s="166"/>
      <c r="P155" s="156">
        <f>ROUND(G155*O154,2)</f>
        <v>0</v>
      </c>
      <c r="Q155" s="156">
        <f>ROUND(G155*N154,2)</f>
        <v>97326.92</v>
      </c>
    </row>
    <row r="156" spans="1:17" ht="30" hidden="1" x14ac:dyDescent="0.25">
      <c r="A156" s="168"/>
      <c r="B156" s="133" t="str">
        <f>'Công trình'!B208</f>
        <v>AF.65420</v>
      </c>
      <c r="C156" s="34"/>
      <c r="D156" s="133" t="str">
        <f>'Công trình'!C208</f>
        <v>Công tác sản xuất lắp dựng cốt thép bê tông tại chỗ, cốt thép dầm cầu trên cạn, D ≤18mm</v>
      </c>
      <c r="E156" s="168"/>
      <c r="F156" s="20">
        <v>1</v>
      </c>
      <c r="G156" s="45">
        <f>'Hao phí vật tư'!L1601</f>
        <v>1.32E-2</v>
      </c>
      <c r="H156" s="166"/>
      <c r="I156" s="156">
        <f>ROUND(G156*H154,2)</f>
        <v>32117.88</v>
      </c>
      <c r="J156" s="20" t="str">
        <f>'Công trình'!X208</f>
        <v>HCM_2016_QD_3384_XD</v>
      </c>
      <c r="K156" s="166"/>
      <c r="L156" s="156">
        <f>ROUND(G156*K154,2)</f>
        <v>32117.88</v>
      </c>
      <c r="M156" s="166"/>
      <c r="N156" s="166"/>
      <c r="O156" s="166"/>
      <c r="P156" s="156">
        <f>ROUND(G156*O154,2)</f>
        <v>0</v>
      </c>
      <c r="Q156" s="156">
        <f>ROUND(G156*N154,2)</f>
        <v>32117.88</v>
      </c>
    </row>
    <row r="157" spans="1:17" ht="30" hidden="1" x14ac:dyDescent="0.25">
      <c r="A157" s="168"/>
      <c r="B157" s="133" t="str">
        <f>'Công trình'!B210</f>
        <v>AF.65430</v>
      </c>
      <c r="C157" s="34"/>
      <c r="D157" s="133" t="str">
        <f>'Công trình'!C210</f>
        <v>Công tác sản xuất lắp dựng cốt thép bê tông tại chỗ, cốt thép dầm cầu trên cạn, D &gt;18mm</v>
      </c>
      <c r="E157" s="168"/>
      <c r="F157" s="20">
        <v>1</v>
      </c>
      <c r="G157" s="45">
        <f>'Hao phí vật tư'!L1612</f>
        <v>2.0400000000000001E-2</v>
      </c>
      <c r="H157" s="166"/>
      <c r="I157" s="156">
        <f>ROUND(G157*H154,2)</f>
        <v>49636.73</v>
      </c>
      <c r="J157" s="20" t="str">
        <f>'Công trình'!X210</f>
        <v>HCM_2016_QD_3384_XD</v>
      </c>
      <c r="K157" s="166"/>
      <c r="L157" s="156">
        <f>ROUND(G157*K154,2)</f>
        <v>49636.73</v>
      </c>
      <c r="M157" s="166"/>
      <c r="N157" s="166"/>
      <c r="O157" s="166"/>
      <c r="P157" s="156">
        <f>ROUND(G157*O154,2)</f>
        <v>0</v>
      </c>
      <c r="Q157" s="156">
        <f>ROUND(G157*N154,2)</f>
        <v>49636.73</v>
      </c>
    </row>
    <row r="158" spans="1:17" x14ac:dyDescent="0.25">
      <c r="A158" s="168">
        <v>18</v>
      </c>
      <c r="B158" s="84" t="s">
        <v>35</v>
      </c>
      <c r="C158" s="34">
        <v>764</v>
      </c>
      <c r="D158" s="144" t="s">
        <v>436</v>
      </c>
      <c r="E158" s="168" t="s">
        <v>76</v>
      </c>
      <c r="F158" s="34"/>
      <c r="G158" s="60">
        <f>SUM(G159:G161)</f>
        <v>0.89159999999999995</v>
      </c>
      <c r="H158" s="166">
        <v>1610120</v>
      </c>
      <c r="I158" s="166">
        <f>ROUND(G158*H158,0)</f>
        <v>1435583</v>
      </c>
      <c r="J158" s="34">
        <v>1</v>
      </c>
      <c r="K158" s="166">
        <f>'Tổng hợp VL,NC,M'!I1360</f>
        <v>1610120</v>
      </c>
      <c r="L158" s="166">
        <f>ROUND(G158*K158,0)</f>
        <v>1435583</v>
      </c>
      <c r="M158" s="166"/>
      <c r="N158" s="166">
        <f>K158+M158</f>
        <v>1610120</v>
      </c>
      <c r="O158" s="166">
        <f>N158-H158</f>
        <v>0</v>
      </c>
      <c r="P158" s="166">
        <f>ROUND(G158*O158,0)</f>
        <v>0</v>
      </c>
      <c r="Q158" s="166">
        <f>ROUND(G158*N158,0)</f>
        <v>1435583</v>
      </c>
    </row>
    <row r="159" spans="1:17" ht="30" hidden="1" x14ac:dyDescent="0.25">
      <c r="A159" s="168"/>
      <c r="B159" s="133" t="str">
        <f>'Công trình'!B98</f>
        <v>AD.11212</v>
      </c>
      <c r="C159" s="34"/>
      <c r="D159" s="133" t="str">
        <f>'Công trình'!C98</f>
        <v>Cấp phối đá 0x4</v>
      </c>
      <c r="E159" s="168"/>
      <c r="F159" s="20">
        <v>1</v>
      </c>
      <c r="G159" s="45">
        <f>'Hao phí vật tư'!L795</f>
        <v>0.20399999999999999</v>
      </c>
      <c r="H159" s="166"/>
      <c r="I159" s="156">
        <f>ROUND(G159*H158,2)</f>
        <v>328464.48</v>
      </c>
      <c r="J159" s="20" t="str">
        <f>'Công trình'!X98</f>
        <v>HCM_2016_QD_3384_XD</v>
      </c>
      <c r="K159" s="166"/>
      <c r="L159" s="156">
        <f>ROUND(G159*K158,2)</f>
        <v>328464.48</v>
      </c>
      <c r="M159" s="166"/>
      <c r="N159" s="166"/>
      <c r="O159" s="166"/>
      <c r="P159" s="156">
        <f>ROUND(G159*O158,2)</f>
        <v>0</v>
      </c>
      <c r="Q159" s="156">
        <f>ROUND(G159*N158,2)</f>
        <v>328464.48</v>
      </c>
    </row>
    <row r="160" spans="1:17" ht="30" hidden="1" x14ac:dyDescent="0.25">
      <c r="A160" s="168"/>
      <c r="B160" s="133" t="str">
        <f>'Công trình'!B241</f>
        <v>AD.11222</v>
      </c>
      <c r="C160" s="34"/>
      <c r="D160" s="133" t="str">
        <f>'Công trình'!C241</f>
        <v>Làm móng lớp trên cấp phối đá dăm, đường làm mới</v>
      </c>
      <c r="E160" s="168"/>
      <c r="F160" s="20">
        <v>1</v>
      </c>
      <c r="G160" s="45">
        <f>'Hao phí vật tư'!L1831</f>
        <v>0.4496</v>
      </c>
      <c r="H160" s="166"/>
      <c r="I160" s="156">
        <f>ROUND(G160*H158,2)</f>
        <v>723909.95</v>
      </c>
      <c r="J160" s="20" t="str">
        <f>'Công trình'!X241</f>
        <v>HCM_2016_QD_3384_XD</v>
      </c>
      <c r="K160" s="166"/>
      <c r="L160" s="156">
        <f>ROUND(G160*K158,2)</f>
        <v>723909.95</v>
      </c>
      <c r="M160" s="166"/>
      <c r="N160" s="166"/>
      <c r="O160" s="166"/>
      <c r="P160" s="156">
        <f>ROUND(G160*O158,2)</f>
        <v>0</v>
      </c>
      <c r="Q160" s="156">
        <f>ROUND(G160*N158,2)</f>
        <v>723909.95</v>
      </c>
    </row>
    <row r="161" spans="1:17" ht="30" hidden="1" x14ac:dyDescent="0.25">
      <c r="A161" s="168"/>
      <c r="B161" s="133" t="str">
        <f>'Công trình'!B93</f>
        <v>AD.11212</v>
      </c>
      <c r="C161" s="34"/>
      <c r="D161" s="133" t="str">
        <f>'Công trình'!C93</f>
        <v>Cấp phối đá 0x4</v>
      </c>
      <c r="E161" s="168"/>
      <c r="F161" s="20">
        <v>1</v>
      </c>
      <c r="G161" s="45">
        <f>'Hao phí vật tư'!L761</f>
        <v>0.23799999999999999</v>
      </c>
      <c r="H161" s="166"/>
      <c r="I161" s="156">
        <f>ROUND(G161*H158,2)</f>
        <v>383208.56</v>
      </c>
      <c r="J161" s="20" t="str">
        <f>'Công trình'!X93</f>
        <v>HCM_2016_QD_3384_XD</v>
      </c>
      <c r="K161" s="166"/>
      <c r="L161" s="156">
        <f>ROUND(G161*K158,2)</f>
        <v>383208.56</v>
      </c>
      <c r="M161" s="166"/>
      <c r="N161" s="166"/>
      <c r="O161" s="166"/>
      <c r="P161" s="156">
        <f>ROUND(G161*O158,2)</f>
        <v>0</v>
      </c>
      <c r="Q161" s="156">
        <f>ROUND(G161*N158,2)</f>
        <v>383208.56</v>
      </c>
    </row>
    <row r="162" spans="1:17" x14ac:dyDescent="0.25">
      <c r="A162" s="168">
        <v>19</v>
      </c>
      <c r="B162" s="84" t="s">
        <v>385</v>
      </c>
      <c r="C162" s="34">
        <v>765</v>
      </c>
      <c r="D162" s="144" t="s">
        <v>1132</v>
      </c>
      <c r="E162" s="168" t="s">
        <v>76</v>
      </c>
      <c r="F162" s="34"/>
      <c r="G162" s="60">
        <f>SUM(G163:G166)</f>
        <v>13.9679</v>
      </c>
      <c r="H162" s="166">
        <v>1459416</v>
      </c>
      <c r="I162" s="166">
        <f>ROUND(G162*H162,0)</f>
        <v>20384977</v>
      </c>
      <c r="J162" s="34">
        <v>1</v>
      </c>
      <c r="K162" s="166">
        <f>'Tổng hợp VL,NC,M'!I1364</f>
        <v>1459416</v>
      </c>
      <c r="L162" s="166">
        <f>ROUND(G162*K162,0)</f>
        <v>20384977</v>
      </c>
      <c r="M162" s="166"/>
      <c r="N162" s="166">
        <f>K162+M162</f>
        <v>1459416</v>
      </c>
      <c r="O162" s="166">
        <f>N162-H162</f>
        <v>0</v>
      </c>
      <c r="P162" s="166">
        <f>ROUND(G162*O162,0)</f>
        <v>0</v>
      </c>
      <c r="Q162" s="166">
        <f>ROUND(G162*N162,0)</f>
        <v>20384977</v>
      </c>
    </row>
    <row r="163" spans="1:17" ht="30" hidden="1" x14ac:dyDescent="0.25">
      <c r="A163" s="168"/>
      <c r="B163" s="133" t="str">
        <f>'Công trình'!B91</f>
        <v>AB.62111</v>
      </c>
      <c r="C163" s="34"/>
      <c r="D163" s="133" t="str">
        <f>'Công trình'!C91</f>
        <v>San đầm đất mặt bằng bằng máy đầm 9T, độ chặt K=0,85</v>
      </c>
      <c r="E163" s="168"/>
      <c r="F163" s="20">
        <v>1</v>
      </c>
      <c r="G163" s="45">
        <f>'Hao phí vật tư'!L741</f>
        <v>1.8607</v>
      </c>
      <c r="H163" s="166"/>
      <c r="I163" s="156">
        <f>ROUND(G163*H162,2)</f>
        <v>2715535.35</v>
      </c>
      <c r="J163" s="20" t="str">
        <f>'Công trình'!X91</f>
        <v>HCM_2016_QD_3384_XD</v>
      </c>
      <c r="K163" s="166"/>
      <c r="L163" s="156">
        <f>ROUND(G163*K162,2)</f>
        <v>2715535.35</v>
      </c>
      <c r="M163" s="166"/>
      <c r="N163" s="166"/>
      <c r="O163" s="166"/>
      <c r="P163" s="156">
        <f>ROUND(G163*O162,2)</f>
        <v>0</v>
      </c>
      <c r="Q163" s="156">
        <f>ROUND(G163*N162,2)</f>
        <v>2715535.35</v>
      </c>
    </row>
    <row r="164" spans="1:17" ht="30" hidden="1" x14ac:dyDescent="0.25">
      <c r="A164" s="168"/>
      <c r="B164" s="133" t="str">
        <f>'Công trình'!B100</f>
        <v>AB.66112</v>
      </c>
      <c r="C164" s="34"/>
      <c r="D164" s="133" t="str">
        <f>'Công trình'!C100</f>
        <v>Đắp cát công trình bằng máy đầm 9T, độ chặt K=0,90</v>
      </c>
      <c r="E164" s="168"/>
      <c r="F164" s="20">
        <v>1</v>
      </c>
      <c r="G164" s="45">
        <f>'Hao phí vật tư'!L814</f>
        <v>1.0242</v>
      </c>
      <c r="H164" s="166"/>
      <c r="I164" s="156">
        <f>ROUND(G164*H162,2)</f>
        <v>1494733.87</v>
      </c>
      <c r="J164" s="20" t="str">
        <f>'Công trình'!X100</f>
        <v>HCM_2016_QD_3384_XD</v>
      </c>
      <c r="K164" s="166"/>
      <c r="L164" s="156">
        <f>ROUND(G164*K162,2)</f>
        <v>1494733.87</v>
      </c>
      <c r="M164" s="166"/>
      <c r="N164" s="166"/>
      <c r="O164" s="166"/>
      <c r="P164" s="156">
        <f>ROUND(G164*O162,2)</f>
        <v>0</v>
      </c>
      <c r="Q164" s="156">
        <f>ROUND(G164*N162,2)</f>
        <v>1494733.87</v>
      </c>
    </row>
    <row r="165" spans="1:17" ht="30" hidden="1" x14ac:dyDescent="0.25">
      <c r="A165" s="168"/>
      <c r="B165" s="133" t="str">
        <f>'Công trình'!B242</f>
        <v>AB.66114</v>
      </c>
      <c r="C165" s="34"/>
      <c r="D165" s="133" t="str">
        <f>'Công trình'!C242</f>
        <v>Đắp cát công trình bằng máy đầm 9T, độ chặt K=0,98</v>
      </c>
      <c r="E165" s="168"/>
      <c r="F165" s="20">
        <v>1</v>
      </c>
      <c r="G165" s="45">
        <f>'Hao phí vật tư'!L1840</f>
        <v>5.9958999999999998</v>
      </c>
      <c r="H165" s="166"/>
      <c r="I165" s="156">
        <f>ROUND(G165*H162,2)</f>
        <v>8750512.3900000006</v>
      </c>
      <c r="J165" s="20" t="str">
        <f>'Công trình'!X242</f>
        <v>HCM_2016_QD_3384_XD</v>
      </c>
      <c r="K165" s="166"/>
      <c r="L165" s="156">
        <f>ROUND(G165*K162,2)</f>
        <v>8750512.3900000006</v>
      </c>
      <c r="M165" s="166"/>
      <c r="N165" s="166"/>
      <c r="O165" s="166"/>
      <c r="P165" s="156">
        <f>ROUND(G165*O162,2)</f>
        <v>0</v>
      </c>
      <c r="Q165" s="156">
        <f>ROUND(G165*N162,2)</f>
        <v>8750512.3900000006</v>
      </c>
    </row>
    <row r="166" spans="1:17" ht="30" hidden="1" x14ac:dyDescent="0.25">
      <c r="A166" s="168"/>
      <c r="B166" s="133" t="str">
        <f>'Công trình'!B245</f>
        <v>AB.64112</v>
      </c>
      <c r="C166" s="34"/>
      <c r="D166" s="133" t="str">
        <f>'Công trình'!C245</f>
        <v>Đắp nền đường bằng máy đầm 9T, độ chặt K=0,90</v>
      </c>
      <c r="E166" s="168"/>
      <c r="F166" s="20">
        <v>1</v>
      </c>
      <c r="G166" s="45">
        <f>'Hao phí vật tư'!L1858</f>
        <v>5.0871000000000004</v>
      </c>
      <c r="H166" s="166"/>
      <c r="I166" s="156">
        <f>ROUND(G166*H162,2)</f>
        <v>7424195.1299999999</v>
      </c>
      <c r="J166" s="20" t="str">
        <f>'Công trình'!X245</f>
        <v>HCM_2016_QD_3384_XD</v>
      </c>
      <c r="K166" s="166"/>
      <c r="L166" s="156">
        <f>ROUND(G166*K162,2)</f>
        <v>7424195.1299999999</v>
      </c>
      <c r="M166" s="166"/>
      <c r="N166" s="166"/>
      <c r="O166" s="166"/>
      <c r="P166" s="156">
        <f>ROUND(G166*O162,2)</f>
        <v>0</v>
      </c>
      <c r="Q166" s="156">
        <f>ROUND(G166*N162,2)</f>
        <v>7424195.1299999999</v>
      </c>
    </row>
    <row r="167" spans="1:17" x14ac:dyDescent="0.25">
      <c r="A167" s="168">
        <v>20</v>
      </c>
      <c r="B167" s="84" t="s">
        <v>336</v>
      </c>
      <c r="C167" s="34">
        <v>766</v>
      </c>
      <c r="D167" s="144" t="s">
        <v>297</v>
      </c>
      <c r="E167" s="168" t="s">
        <v>76</v>
      </c>
      <c r="F167" s="34"/>
      <c r="G167" s="60">
        <f>SUM(G168:G170)</f>
        <v>0.49780000000000002</v>
      </c>
      <c r="H167" s="166">
        <v>1121307</v>
      </c>
      <c r="I167" s="166">
        <f>ROUND(G167*H167,0)</f>
        <v>558187</v>
      </c>
      <c r="J167" s="34">
        <v>1</v>
      </c>
      <c r="K167" s="166">
        <f>'Tổng hợp VL,NC,M'!I1369</f>
        <v>1121307</v>
      </c>
      <c r="L167" s="166">
        <f>ROUND(G167*K167,0)</f>
        <v>558187</v>
      </c>
      <c r="M167" s="166"/>
      <c r="N167" s="166">
        <f>K167+M167</f>
        <v>1121307</v>
      </c>
      <c r="O167" s="166">
        <f>N167-H167</f>
        <v>0</v>
      </c>
      <c r="P167" s="166">
        <f>ROUND(G167*O167,0)</f>
        <v>0</v>
      </c>
      <c r="Q167" s="166">
        <f>ROUND(G167*N167,0)</f>
        <v>558187</v>
      </c>
    </row>
    <row r="168" spans="1:17" ht="30" hidden="1" x14ac:dyDescent="0.25">
      <c r="A168" s="168"/>
      <c r="B168" s="133" t="str">
        <f>'Công trình'!B98</f>
        <v>AD.11212</v>
      </c>
      <c r="C168" s="34"/>
      <c r="D168" s="133" t="str">
        <f>'Công trình'!C98</f>
        <v>Cấp phối đá 0x4</v>
      </c>
      <c r="E168" s="168"/>
      <c r="F168" s="20">
        <v>1</v>
      </c>
      <c r="G168" s="45">
        <f>'Hao phí vật tư'!L793</f>
        <v>0.126</v>
      </c>
      <c r="H168" s="166"/>
      <c r="I168" s="156">
        <f>ROUND(G168*H167,2)</f>
        <v>141284.68</v>
      </c>
      <c r="J168" s="20" t="str">
        <f>'Công trình'!X98</f>
        <v>HCM_2016_QD_3384_XD</v>
      </c>
      <c r="K168" s="166"/>
      <c r="L168" s="156">
        <f>ROUND(G168*K167,2)</f>
        <v>141284.68</v>
      </c>
      <c r="M168" s="166"/>
      <c r="N168" s="166"/>
      <c r="O168" s="166"/>
      <c r="P168" s="156">
        <f>ROUND(G168*O167,2)</f>
        <v>0</v>
      </c>
      <c r="Q168" s="156">
        <f>ROUND(G168*N167,2)</f>
        <v>141284.68</v>
      </c>
    </row>
    <row r="169" spans="1:17" ht="30" hidden="1" x14ac:dyDescent="0.25">
      <c r="A169" s="168"/>
      <c r="B169" s="133" t="str">
        <f>'Công trình'!B241</f>
        <v>AD.11222</v>
      </c>
      <c r="C169" s="34"/>
      <c r="D169" s="133" t="str">
        <f>'Công trình'!C241</f>
        <v>Làm móng lớp trên cấp phối đá dăm, đường làm mới</v>
      </c>
      <c r="E169" s="168"/>
      <c r="F169" s="20">
        <v>1</v>
      </c>
      <c r="G169" s="45">
        <f>'Hao phí vật tư'!L1827</f>
        <v>0.2248</v>
      </c>
      <c r="H169" s="166"/>
      <c r="I169" s="156">
        <f>ROUND(G169*H167,2)</f>
        <v>252069.81</v>
      </c>
      <c r="J169" s="20" t="str">
        <f>'Công trình'!X241</f>
        <v>HCM_2016_QD_3384_XD</v>
      </c>
      <c r="K169" s="166"/>
      <c r="L169" s="156">
        <f>ROUND(G169*K167,2)</f>
        <v>252069.81</v>
      </c>
      <c r="M169" s="166"/>
      <c r="N169" s="166"/>
      <c r="O169" s="166"/>
      <c r="P169" s="156">
        <f>ROUND(G169*O167,2)</f>
        <v>0</v>
      </c>
      <c r="Q169" s="156">
        <f>ROUND(G169*N167,2)</f>
        <v>252069.81</v>
      </c>
    </row>
    <row r="170" spans="1:17" ht="30" hidden="1" x14ac:dyDescent="0.25">
      <c r="A170" s="168"/>
      <c r="B170" s="133" t="str">
        <f>'Công trình'!B93</f>
        <v>AD.11212</v>
      </c>
      <c r="C170" s="34"/>
      <c r="D170" s="133" t="str">
        <f>'Công trình'!C93</f>
        <v>Cấp phối đá 0x4</v>
      </c>
      <c r="E170" s="168"/>
      <c r="F170" s="20">
        <v>1</v>
      </c>
      <c r="G170" s="45">
        <f>'Hao phí vật tư'!L759</f>
        <v>0.14699999999999999</v>
      </c>
      <c r="H170" s="166"/>
      <c r="I170" s="156">
        <f>ROUND(G170*H167,2)</f>
        <v>164832.13</v>
      </c>
      <c r="J170" s="20" t="str">
        <f>'Công trình'!X93</f>
        <v>HCM_2016_QD_3384_XD</v>
      </c>
      <c r="K170" s="166"/>
      <c r="L170" s="156">
        <f>ROUND(G170*K167,2)</f>
        <v>164832.13</v>
      </c>
      <c r="M170" s="166"/>
      <c r="N170" s="166"/>
      <c r="O170" s="166"/>
      <c r="P170" s="156">
        <f>ROUND(G170*O167,2)</f>
        <v>0</v>
      </c>
      <c r="Q170" s="156">
        <f>ROUND(G170*N167,2)</f>
        <v>164832.13</v>
      </c>
    </row>
    <row r="171" spans="1:17" x14ac:dyDescent="0.25">
      <c r="A171" s="168">
        <v>21</v>
      </c>
      <c r="B171" s="84" t="s">
        <v>963</v>
      </c>
      <c r="C171" s="34">
        <v>736</v>
      </c>
      <c r="D171" s="144" t="s">
        <v>303</v>
      </c>
      <c r="E171" s="168" t="s">
        <v>76</v>
      </c>
      <c r="F171" s="34"/>
      <c r="G171" s="60">
        <f>SUM(G172:G172)</f>
        <v>47.142000000000003</v>
      </c>
      <c r="H171" s="166">
        <v>3781471</v>
      </c>
      <c r="I171" s="166">
        <f>ROUND(G171*H171,0)</f>
        <v>178266106</v>
      </c>
      <c r="J171" s="34">
        <v>1</v>
      </c>
      <c r="K171" s="166">
        <f>'Tổng hợp VL,NC,M'!I1373</f>
        <v>3781471</v>
      </c>
      <c r="L171" s="166">
        <f>ROUND(G171*K171,0)</f>
        <v>178266106</v>
      </c>
      <c r="M171" s="166"/>
      <c r="N171" s="166">
        <f>K171+M171</f>
        <v>3781471</v>
      </c>
      <c r="O171" s="166">
        <f>N171-H171</f>
        <v>0</v>
      </c>
      <c r="P171" s="166">
        <f>ROUND(G171*O171,0)</f>
        <v>0</v>
      </c>
      <c r="Q171" s="166">
        <f>ROUND(G171*N171,0)</f>
        <v>178266106</v>
      </c>
    </row>
    <row r="172" spans="1:17" ht="45" hidden="1" x14ac:dyDescent="0.25">
      <c r="A172" s="168"/>
      <c r="B172" s="133" t="str">
        <f>'Công trình'!B26</f>
        <v>AC.12412</v>
      </c>
      <c r="C172" s="34"/>
      <c r="D172" s="133" t="str">
        <f>'Công trình'!C26</f>
        <v>Đóng cọc cừ máng bê tông dự ứng lực trên cạn bằng búa rung kết hợp tách mũi nước áp lực SW600A, chiều cao máng cọc 60-84cm, L=18M</v>
      </c>
      <c r="E172" s="168"/>
      <c r="F172" s="20">
        <v>1</v>
      </c>
      <c r="G172" s="45">
        <f>'Hao phí vật tư'!L191</f>
        <v>47.142000000000003</v>
      </c>
      <c r="H172" s="166"/>
      <c r="I172" s="156">
        <f>ROUND(G172*H171,2)</f>
        <v>178266105.88</v>
      </c>
      <c r="J172" s="20" t="str">
        <f>'Công trình'!X26</f>
        <v>HCM_2016_QD_3384_XD</v>
      </c>
      <c r="K172" s="166"/>
      <c r="L172" s="156">
        <f>ROUND(G172*K171,2)</f>
        <v>178266105.88</v>
      </c>
      <c r="M172" s="166"/>
      <c r="N172" s="166"/>
      <c r="O172" s="166"/>
      <c r="P172" s="156">
        <f>ROUND(G172*O171,2)</f>
        <v>0</v>
      </c>
      <c r="Q172" s="156">
        <f>ROUND(G172*N171,2)</f>
        <v>178266105.88</v>
      </c>
    </row>
    <row r="173" spans="1:17" x14ac:dyDescent="0.25">
      <c r="A173" s="168">
        <v>22</v>
      </c>
      <c r="B173" s="84" t="s">
        <v>168</v>
      </c>
      <c r="C173" s="34">
        <v>561</v>
      </c>
      <c r="D173" s="144" t="s">
        <v>698</v>
      </c>
      <c r="E173" s="168" t="s">
        <v>76</v>
      </c>
      <c r="F173" s="34"/>
      <c r="G173" s="60">
        <f>SUM(G174:G174)</f>
        <v>17.660499999999999</v>
      </c>
      <c r="H173" s="166">
        <v>1344336</v>
      </c>
      <c r="I173" s="166">
        <f>ROUND(G173*H173,0)</f>
        <v>23741646</v>
      </c>
      <c r="J173" s="34">
        <v>1</v>
      </c>
      <c r="K173" s="166">
        <f>'Tổng hợp VL,NC,M'!I1375</f>
        <v>1344336</v>
      </c>
      <c r="L173" s="166">
        <f>ROUND(G173*K173,0)</f>
        <v>23741646</v>
      </c>
      <c r="M173" s="166"/>
      <c r="N173" s="166">
        <f>K173+M173</f>
        <v>1344336</v>
      </c>
      <c r="O173" s="166">
        <f>N173-H173</f>
        <v>0</v>
      </c>
      <c r="P173" s="166">
        <f>ROUND(G173*O173,0)</f>
        <v>0</v>
      </c>
      <c r="Q173" s="166">
        <f>ROUND(G173*N173,0)</f>
        <v>23741646</v>
      </c>
    </row>
    <row r="174" spans="1:17" ht="30" hidden="1" x14ac:dyDescent="0.25">
      <c r="A174" s="168"/>
      <c r="B174" s="133" t="str">
        <f>'Công trình'!B154</f>
        <v>AB.36120</v>
      </c>
      <c r="C174" s="34"/>
      <c r="D174" s="133" t="str">
        <f>'Công trình'!C154</f>
        <v>Xói hút bùn trong khung vây phòng nước, các trụ dưới nước</v>
      </c>
      <c r="E174" s="168"/>
      <c r="F174" s="20">
        <v>1</v>
      </c>
      <c r="G174" s="45">
        <f>'Hao phí vật tư'!L1174</f>
        <v>17.660499999999999</v>
      </c>
      <c r="H174" s="166"/>
      <c r="I174" s="156">
        <f>ROUND(G174*H173,2)</f>
        <v>23741645.93</v>
      </c>
      <c r="J174" s="20" t="str">
        <f>'Công trình'!X154</f>
        <v>HCM_2016_QD_3384_XD</v>
      </c>
      <c r="K174" s="166"/>
      <c r="L174" s="156">
        <f>ROUND(G174*K173,2)</f>
        <v>23741645.93</v>
      </c>
      <c r="M174" s="166"/>
      <c r="N174" s="166"/>
      <c r="O174" s="166"/>
      <c r="P174" s="156">
        <f>ROUND(G174*O173,2)</f>
        <v>0</v>
      </c>
      <c r="Q174" s="156">
        <f>ROUND(G174*N173,2)</f>
        <v>23741645.93</v>
      </c>
    </row>
    <row r="175" spans="1:17" x14ac:dyDescent="0.25">
      <c r="A175" s="168">
        <v>23</v>
      </c>
      <c r="B175" s="84" t="s">
        <v>1139</v>
      </c>
      <c r="C175" s="34">
        <v>712</v>
      </c>
      <c r="D175" s="144" t="s">
        <v>894</v>
      </c>
      <c r="E175" s="168" t="s">
        <v>76</v>
      </c>
      <c r="F175" s="34"/>
      <c r="G175" s="60">
        <f>SUM(G176:G176)</f>
        <v>17.660499999999999</v>
      </c>
      <c r="H175" s="166">
        <v>669062</v>
      </c>
      <c r="I175" s="166">
        <f>ROUND(G175*H175,0)</f>
        <v>11815969</v>
      </c>
      <c r="J175" s="34">
        <v>1</v>
      </c>
      <c r="K175" s="166">
        <f>'Tổng hợp VL,NC,M'!I1377</f>
        <v>669062</v>
      </c>
      <c r="L175" s="166">
        <f>ROUND(G175*K175,0)</f>
        <v>11815969</v>
      </c>
      <c r="M175" s="166"/>
      <c r="N175" s="166">
        <f>K175+M175</f>
        <v>669062</v>
      </c>
      <c r="O175" s="166">
        <f>N175-H175</f>
        <v>0</v>
      </c>
      <c r="P175" s="166">
        <f>ROUND(G175*O175,0)</f>
        <v>0</v>
      </c>
      <c r="Q175" s="166">
        <f>ROUND(G175*N175,0)</f>
        <v>11815969</v>
      </c>
    </row>
    <row r="176" spans="1:17" ht="30" hidden="1" x14ac:dyDescent="0.25">
      <c r="A176" s="168"/>
      <c r="B176" s="133" t="str">
        <f>'Công trình'!B154</f>
        <v>AB.36120</v>
      </c>
      <c r="C176" s="34"/>
      <c r="D176" s="133" t="str">
        <f>'Công trình'!C154</f>
        <v>Xói hút bùn trong khung vây phòng nước, các trụ dưới nước</v>
      </c>
      <c r="E176" s="168"/>
      <c r="F176" s="20">
        <v>1</v>
      </c>
      <c r="G176" s="45">
        <f>'Hao phí vật tư'!L1177</f>
        <v>17.660499999999999</v>
      </c>
      <c r="H176" s="166"/>
      <c r="I176" s="156">
        <f>ROUND(G176*H175,2)</f>
        <v>11815969.449999999</v>
      </c>
      <c r="J176" s="20" t="str">
        <f>'Công trình'!X154</f>
        <v>HCM_2016_QD_3384_XD</v>
      </c>
      <c r="K176" s="166"/>
      <c r="L176" s="156">
        <f>ROUND(G176*K175,2)</f>
        <v>11815969.449999999</v>
      </c>
      <c r="M176" s="166"/>
      <c r="N176" s="166"/>
      <c r="O176" s="166"/>
      <c r="P176" s="156">
        <f>ROUND(G176*O175,2)</f>
        <v>0</v>
      </c>
      <c r="Q176" s="156">
        <f>ROUND(G176*N175,2)</f>
        <v>11815969.449999999</v>
      </c>
    </row>
    <row r="177" spans="1:17" x14ac:dyDescent="0.25">
      <c r="A177" s="168">
        <v>24</v>
      </c>
      <c r="B177" s="84" t="s">
        <v>79</v>
      </c>
      <c r="C177" s="34">
        <v>703</v>
      </c>
      <c r="D177" s="144" t="s">
        <v>554</v>
      </c>
      <c r="E177" s="168" t="s">
        <v>76</v>
      </c>
      <c r="F177" s="34"/>
      <c r="G177" s="60">
        <f>SUM(G178:G183)</f>
        <v>57.088899999999995</v>
      </c>
      <c r="H177" s="166">
        <v>226876</v>
      </c>
      <c r="I177" s="166">
        <f>ROUND(G177*H177,0)</f>
        <v>12952101</v>
      </c>
      <c r="J177" s="34">
        <v>1</v>
      </c>
      <c r="K177" s="166">
        <f>'Tổng hợp VL,NC,M'!I1379</f>
        <v>226876</v>
      </c>
      <c r="L177" s="166">
        <f>ROUND(G177*K177,0)</f>
        <v>12952101</v>
      </c>
      <c r="M177" s="166"/>
      <c r="N177" s="166">
        <f>K177+M177</f>
        <v>226876</v>
      </c>
      <c r="O177" s="166">
        <f>N177-H177</f>
        <v>0</v>
      </c>
      <c r="P177" s="166">
        <f>ROUND(G177*O177,0)</f>
        <v>0</v>
      </c>
      <c r="Q177" s="166">
        <f>ROUND(G177*N177,0)</f>
        <v>12952101</v>
      </c>
    </row>
    <row r="178" spans="1:17" ht="30" hidden="1" x14ac:dyDescent="0.25">
      <c r="A178" s="168"/>
      <c r="B178" s="133" t="str">
        <f>'Công trình'!B109</f>
        <v>AI.11912</v>
      </c>
      <c r="C178" s="34"/>
      <c r="D178" s="133" t="str">
        <f>'Công trình'!C109</f>
        <v>Sản xuất hệ sàn đạo, sàn thao tác</v>
      </c>
      <c r="E178" s="168"/>
      <c r="F178" s="20">
        <v>1</v>
      </c>
      <c r="G178" s="45">
        <f>'Hao phí vật tư'!L875</f>
        <v>1.0105</v>
      </c>
      <c r="H178" s="166"/>
      <c r="I178" s="156">
        <f>ROUND(G178*H177,2)</f>
        <v>229258.2</v>
      </c>
      <c r="J178" s="20" t="str">
        <f>'Công trình'!X109</f>
        <v>HCM_2016_QD_3384_XD</v>
      </c>
      <c r="K178" s="166"/>
      <c r="L178" s="156">
        <f>ROUND(G178*K177,2)</f>
        <v>229258.2</v>
      </c>
      <c r="M178" s="166"/>
      <c r="N178" s="166"/>
      <c r="O178" s="166"/>
      <c r="P178" s="156">
        <f>ROUND(G178*O177,2)</f>
        <v>0</v>
      </c>
      <c r="Q178" s="156">
        <f>ROUND(G178*N177,2)</f>
        <v>229258.2</v>
      </c>
    </row>
    <row r="179" spans="1:17" ht="30" hidden="1" x14ac:dyDescent="0.25">
      <c r="A179" s="168"/>
      <c r="B179" s="133" t="str">
        <f>'Công trình'!B120</f>
        <v>AI.11912</v>
      </c>
      <c r="C179" s="34"/>
      <c r="D179" s="133" t="str">
        <f>'Công trình'!C120</f>
        <v>Sản xuất hệ sàn đạo, sàn thao tác</v>
      </c>
      <c r="E179" s="168"/>
      <c r="F179" s="20">
        <v>1</v>
      </c>
      <c r="G179" s="45">
        <f>'Hao phí vật tư'!L947</f>
        <v>2.0821999999999998</v>
      </c>
      <c r="H179" s="166"/>
      <c r="I179" s="156">
        <f>ROUND(G179*H177,2)</f>
        <v>472401.21</v>
      </c>
      <c r="J179" s="20" t="str">
        <f>'Công trình'!X120</f>
        <v>HCM_2016_QD_3384_XD</v>
      </c>
      <c r="K179" s="166"/>
      <c r="L179" s="156">
        <f>ROUND(G179*K177,2)</f>
        <v>472401.21</v>
      </c>
      <c r="M179" s="166"/>
      <c r="N179" s="166"/>
      <c r="O179" s="166"/>
      <c r="P179" s="156">
        <f>ROUND(G179*O177,2)</f>
        <v>0</v>
      </c>
      <c r="Q179" s="156">
        <f>ROUND(G179*N177,2)</f>
        <v>472401.21</v>
      </c>
    </row>
    <row r="180" spans="1:17" ht="30" hidden="1" x14ac:dyDescent="0.25">
      <c r="A180" s="168"/>
      <c r="B180" s="133" t="str">
        <f>'Công trình'!B136</f>
        <v>AI.11912</v>
      </c>
      <c r="C180" s="34"/>
      <c r="D180" s="133" t="str">
        <f>'Công trình'!C136</f>
        <v>Sản xuất hệ sàn đạo, sàn thao tác</v>
      </c>
      <c r="E180" s="168"/>
      <c r="F180" s="20">
        <v>1</v>
      </c>
      <c r="G180" s="45">
        <f>'Hao phí vật tư'!L1048</f>
        <v>32.970599999999997</v>
      </c>
      <c r="H180" s="166"/>
      <c r="I180" s="156">
        <f>ROUND(G180*H177,2)</f>
        <v>7480237.8499999996</v>
      </c>
      <c r="J180" s="20" t="str">
        <f>'Công trình'!X136</f>
        <v>HCM_2016_QD_3384_XD</v>
      </c>
      <c r="K180" s="166"/>
      <c r="L180" s="156">
        <f>ROUND(G180*K177,2)</f>
        <v>7480237.8499999996</v>
      </c>
      <c r="M180" s="166"/>
      <c r="N180" s="166"/>
      <c r="O180" s="166"/>
      <c r="P180" s="156">
        <f>ROUND(G180*O177,2)</f>
        <v>0</v>
      </c>
      <c r="Q180" s="156">
        <f>ROUND(G180*N177,2)</f>
        <v>7480237.8499999996</v>
      </c>
    </row>
    <row r="181" spans="1:17" ht="30" hidden="1" x14ac:dyDescent="0.25">
      <c r="A181" s="168"/>
      <c r="B181" s="133" t="str">
        <f>'Công trình'!B157</f>
        <v>AI.11912</v>
      </c>
      <c r="C181" s="34"/>
      <c r="D181" s="133" t="str">
        <f>'Công trình'!C157</f>
        <v>Sản xuất cầu công tác</v>
      </c>
      <c r="E181" s="168"/>
      <c r="F181" s="20">
        <v>1</v>
      </c>
      <c r="G181" s="45">
        <f>'Hao phí vật tư'!L1197</f>
        <v>16.074000000000002</v>
      </c>
      <c r="H181" s="166"/>
      <c r="I181" s="156">
        <f>ROUND(G181*H177,2)</f>
        <v>3646804.82</v>
      </c>
      <c r="J181" s="20" t="str">
        <f>'Công trình'!X157</f>
        <v>HCM_2016_QD_3384_XD</v>
      </c>
      <c r="K181" s="166"/>
      <c r="L181" s="156">
        <f>ROUND(G181*K177,2)</f>
        <v>3646804.82</v>
      </c>
      <c r="M181" s="166"/>
      <c r="N181" s="166"/>
      <c r="O181" s="166"/>
      <c r="P181" s="156">
        <f>ROUND(G181*O177,2)</f>
        <v>0</v>
      </c>
      <c r="Q181" s="156">
        <f>ROUND(G181*N177,2)</f>
        <v>3646804.82</v>
      </c>
    </row>
    <row r="182" spans="1:17" ht="30" hidden="1" x14ac:dyDescent="0.25">
      <c r="A182" s="168"/>
      <c r="B182" s="133" t="str">
        <f>'Công trình'!B179</f>
        <v>AF.87211</v>
      </c>
      <c r="C182" s="34"/>
      <c r="D182" s="133" t="str">
        <f>'Công trình'!C179</f>
        <v>Sản xuất, lắp dựng, tháo dỡ ván khuôn mố, trụ cầu trên cạn</v>
      </c>
      <c r="E182" s="168"/>
      <c r="F182" s="20">
        <v>1</v>
      </c>
      <c r="G182" s="45">
        <f>'Hao phí vật tư'!L1364</f>
        <v>3.8488000000000002</v>
      </c>
      <c r="H182" s="166"/>
      <c r="I182" s="156">
        <f>ROUND(G182*H177,2)</f>
        <v>873200.35</v>
      </c>
      <c r="J182" s="20" t="str">
        <f>'Công trình'!X179</f>
        <v>HCM_2016_QD_3384_XD</v>
      </c>
      <c r="K182" s="166"/>
      <c r="L182" s="156">
        <f>ROUND(G182*K177,2)</f>
        <v>873200.35</v>
      </c>
      <c r="M182" s="166"/>
      <c r="N182" s="166"/>
      <c r="O182" s="166"/>
      <c r="P182" s="156">
        <f>ROUND(G182*O177,2)</f>
        <v>0</v>
      </c>
      <c r="Q182" s="156">
        <f>ROUND(G182*N177,2)</f>
        <v>873200.35</v>
      </c>
    </row>
    <row r="183" spans="1:17" ht="30" hidden="1" x14ac:dyDescent="0.25">
      <c r="A183" s="168"/>
      <c r="B183" s="133" t="str">
        <f>'Công trình'!B189</f>
        <v>AF.87211</v>
      </c>
      <c r="C183" s="34"/>
      <c r="D183" s="133" t="str">
        <f>'Công trình'!C189</f>
        <v>Sản xuất, lắp dựng, tháo dỡ ván khuôn mố, trụ cầu trên cạn</v>
      </c>
      <c r="E183" s="168"/>
      <c r="F183" s="20">
        <v>1</v>
      </c>
      <c r="G183" s="45">
        <f>'Hao phí vật tư'!L1455</f>
        <v>1.1028</v>
      </c>
      <c r="H183" s="166"/>
      <c r="I183" s="156">
        <f>ROUND(G183*H177,2)</f>
        <v>250198.85</v>
      </c>
      <c r="J183" s="20" t="str">
        <f>'Công trình'!X189</f>
        <v>HCM_2016_QD_3384_XD</v>
      </c>
      <c r="K183" s="166"/>
      <c r="L183" s="156">
        <f>ROUND(G183*K177,2)</f>
        <v>250198.85</v>
      </c>
      <c r="M183" s="166"/>
      <c r="N183" s="166"/>
      <c r="O183" s="166"/>
      <c r="P183" s="156">
        <f>ROUND(G183*O177,2)</f>
        <v>0</v>
      </c>
      <c r="Q183" s="156">
        <f>ROUND(G183*N177,2)</f>
        <v>250198.85</v>
      </c>
    </row>
    <row r="184" spans="1:17" x14ac:dyDescent="0.25">
      <c r="A184" s="168">
        <v>25</v>
      </c>
      <c r="B184" s="84" t="s">
        <v>975</v>
      </c>
      <c r="C184" s="34">
        <v>737</v>
      </c>
      <c r="D184" s="144" t="s">
        <v>319</v>
      </c>
      <c r="E184" s="168" t="s">
        <v>76</v>
      </c>
      <c r="F184" s="34"/>
      <c r="G184" s="60">
        <f>SUM(G185:G225)</f>
        <v>26.177099999999999</v>
      </c>
      <c r="H184" s="166">
        <v>228044</v>
      </c>
      <c r="I184" s="166">
        <f>ROUND(G184*H184,0)</f>
        <v>5969531</v>
      </c>
      <c r="J184" s="34">
        <v>1</v>
      </c>
      <c r="K184" s="166">
        <f>'Tổng hợp VL,NC,M'!I1388</f>
        <v>228044</v>
      </c>
      <c r="L184" s="166">
        <f>ROUND(G184*K184,0)</f>
        <v>5969531</v>
      </c>
      <c r="M184" s="166"/>
      <c r="N184" s="166">
        <f>K184+M184</f>
        <v>228044</v>
      </c>
      <c r="O184" s="166">
        <f>N184-H184</f>
        <v>0</v>
      </c>
      <c r="P184" s="166">
        <f>ROUND(G184*O184,0)</f>
        <v>0</v>
      </c>
      <c r="Q184" s="166">
        <f>ROUND(G184*N184,0)</f>
        <v>5969531</v>
      </c>
    </row>
    <row r="185" spans="1:17" ht="30" hidden="1" x14ac:dyDescent="0.25">
      <c r="A185" s="168"/>
      <c r="B185" s="133" t="str">
        <f>'Công trình'!B11</f>
        <v>AF.61120</v>
      </c>
      <c r="C185" s="34"/>
      <c r="D185" s="133" t="str">
        <f>'Công trình'!C11</f>
        <v>Sản xuất, lắp dựng cốt thép móng đường kính &lt;=18mm</v>
      </c>
      <c r="E185" s="168"/>
      <c r="F185" s="20">
        <v>1</v>
      </c>
      <c r="G185" s="45">
        <f>'Hao phí vật tư'!L69</f>
        <v>2.8946999999999998</v>
      </c>
      <c r="H185" s="166"/>
      <c r="I185" s="156">
        <f>ROUND(G185*H184,2)</f>
        <v>660118.97</v>
      </c>
      <c r="J185" s="20" t="str">
        <f>'Công trình'!X11</f>
        <v>HCM_2016_QD_3384_XD</v>
      </c>
      <c r="K185" s="166"/>
      <c r="L185" s="156">
        <f>ROUND(G185*K184,2)</f>
        <v>660118.97</v>
      </c>
      <c r="M185" s="166"/>
      <c r="N185" s="166"/>
      <c r="O185" s="166"/>
      <c r="P185" s="156">
        <f>ROUND(G185*O184,2)</f>
        <v>0</v>
      </c>
      <c r="Q185" s="156">
        <f>ROUND(G185*N184,2)</f>
        <v>660118.97</v>
      </c>
    </row>
    <row r="186" spans="1:17" ht="30" hidden="1" x14ac:dyDescent="0.25">
      <c r="A186" s="168"/>
      <c r="B186" s="133" t="str">
        <f>'Công trình'!B12</f>
        <v>AF.61130</v>
      </c>
      <c r="C186" s="34"/>
      <c r="D186" s="133" t="str">
        <f>'Công trình'!C12</f>
        <v>Sản xuất, lắp dựng cốt thép móng đường kính &gt;18mm</v>
      </c>
      <c r="E186" s="168"/>
      <c r="F186" s="20">
        <v>1</v>
      </c>
      <c r="G186" s="45">
        <f>'Hao phí vật tư'!L79</f>
        <v>0.42</v>
      </c>
      <c r="H186" s="166"/>
      <c r="I186" s="156">
        <f>ROUND(G186*H184,2)</f>
        <v>95778.48</v>
      </c>
      <c r="J186" s="20" t="str">
        <f>'Công trình'!X12</f>
        <v>HCM_2016_QD_3384_XD</v>
      </c>
      <c r="K186" s="166"/>
      <c r="L186" s="156">
        <f>ROUND(G186*K184,2)</f>
        <v>95778.48</v>
      </c>
      <c r="M186" s="166"/>
      <c r="N186" s="166"/>
      <c r="O186" s="166"/>
      <c r="P186" s="156">
        <f>ROUND(G186*O184,2)</f>
        <v>0</v>
      </c>
      <c r="Q186" s="156">
        <f>ROUND(G186*N184,2)</f>
        <v>95778.48</v>
      </c>
    </row>
    <row r="187" spans="1:17" ht="30" hidden="1" x14ac:dyDescent="0.25">
      <c r="A187" s="168"/>
      <c r="B187" s="133" t="str">
        <f>'Công trình'!B13</f>
        <v>AF.61321</v>
      </c>
      <c r="C187" s="34"/>
      <c r="D187" s="133" t="str">
        <f>'Công trình'!C13</f>
        <v>Sản xuất, lắp dựng cốt thép tường đường kính &lt;=18mm, chiều cao &lt;=4m</v>
      </c>
      <c r="E187" s="168"/>
      <c r="F187" s="20">
        <v>1</v>
      </c>
      <c r="G187" s="45">
        <f>'Hao phí vật tư'!L89</f>
        <v>2.4401000000000002</v>
      </c>
      <c r="H187" s="166"/>
      <c r="I187" s="156">
        <f>ROUND(G187*H184,2)</f>
        <v>556450.16</v>
      </c>
      <c r="J187" s="20" t="str">
        <f>'Công trình'!X13</f>
        <v>HCM_2016_QD_3384_XD</v>
      </c>
      <c r="K187" s="166"/>
      <c r="L187" s="156">
        <f>ROUND(G187*K184,2)</f>
        <v>556450.16</v>
      </c>
      <c r="M187" s="166"/>
      <c r="N187" s="166"/>
      <c r="O187" s="166"/>
      <c r="P187" s="156">
        <f>ROUND(G187*O184,2)</f>
        <v>0</v>
      </c>
      <c r="Q187" s="156">
        <f>ROUND(G187*N184,2)</f>
        <v>556450.16</v>
      </c>
    </row>
    <row r="188" spans="1:17" ht="30" hidden="1" x14ac:dyDescent="0.25">
      <c r="A188" s="168"/>
      <c r="B188" s="133" t="str">
        <f>'Công trình'!B14</f>
        <v>AF.61331</v>
      </c>
      <c r="C188" s="34"/>
      <c r="D188" s="133" t="str">
        <f>'Công trình'!C14</f>
        <v>Sản xuất, lắp dựng cốt thép tường đường kính &gt;18mm, chiều cao &lt;=4m</v>
      </c>
      <c r="E188" s="168"/>
      <c r="F188" s="20">
        <v>1</v>
      </c>
      <c r="G188" s="45">
        <f>'Hao phí vật tư'!L99</f>
        <v>0.4723</v>
      </c>
      <c r="H188" s="166"/>
      <c r="I188" s="156">
        <f>ROUND(G188*H184,2)</f>
        <v>107705.18</v>
      </c>
      <c r="J188" s="20" t="str">
        <f>'Công trình'!X14</f>
        <v>HCM_2016_QD_3384_XD</v>
      </c>
      <c r="K188" s="166"/>
      <c r="L188" s="156">
        <f>ROUND(G188*K184,2)</f>
        <v>107705.18</v>
      </c>
      <c r="M188" s="166"/>
      <c r="N188" s="166"/>
      <c r="O188" s="166"/>
      <c r="P188" s="156">
        <f>ROUND(G188*O184,2)</f>
        <v>0</v>
      </c>
      <c r="Q188" s="156">
        <f>ROUND(G188*N184,2)</f>
        <v>107705.18</v>
      </c>
    </row>
    <row r="189" spans="1:17" ht="30" hidden="1" x14ac:dyDescent="0.25">
      <c r="A189" s="168"/>
      <c r="B189" s="133" t="str">
        <f>'Công trình'!B20</f>
        <v>AF.61511</v>
      </c>
      <c r="C189" s="34"/>
      <c r="D189" s="133" t="str">
        <f>'Công trình'!C20</f>
        <v>Sản xuất, lắp dựng cốt thép xà dầm, giằng đường kính &lt;=10mm, chiều cao &lt;=4m</v>
      </c>
      <c r="E189" s="168"/>
      <c r="F189" s="20">
        <v>1</v>
      </c>
      <c r="G189" s="45">
        <f>'Hao phí vật tư'!L154</f>
        <v>0.44190000000000002</v>
      </c>
      <c r="H189" s="166"/>
      <c r="I189" s="156">
        <f>ROUND(G189*H184,2)</f>
        <v>100772.64</v>
      </c>
      <c r="J189" s="20" t="str">
        <f>'Công trình'!X20</f>
        <v>HCM_2016_QD_3384_XD</v>
      </c>
      <c r="K189" s="166"/>
      <c r="L189" s="156">
        <f>ROUND(G189*K184,2)</f>
        <v>100772.64</v>
      </c>
      <c r="M189" s="166"/>
      <c r="N189" s="166"/>
      <c r="O189" s="166"/>
      <c r="P189" s="156">
        <f>ROUND(G189*O184,2)</f>
        <v>0</v>
      </c>
      <c r="Q189" s="156">
        <f>ROUND(G189*N184,2)</f>
        <v>100772.64</v>
      </c>
    </row>
    <row r="190" spans="1:17" ht="30" hidden="1" x14ac:dyDescent="0.25">
      <c r="A190" s="168"/>
      <c r="B190" s="133" t="str">
        <f>'Công trình'!B22</f>
        <v>AF.61521</v>
      </c>
      <c r="C190" s="34"/>
      <c r="D190" s="133" t="str">
        <f>'Công trình'!C22</f>
        <v>Sản xuất, lắp dựng cốt thép xà dầm, giằng đường kính &lt;=18mm, chiều cao &lt;=4m</v>
      </c>
      <c r="E190" s="168"/>
      <c r="F190" s="20">
        <v>1</v>
      </c>
      <c r="G190" s="45">
        <f>'Hao phí vật tư'!L163</f>
        <v>0.69110000000000005</v>
      </c>
      <c r="H190" s="166"/>
      <c r="I190" s="156">
        <f>ROUND(G190*H184,2)</f>
        <v>157601.21</v>
      </c>
      <c r="J190" s="20" t="str">
        <f>'Công trình'!X22</f>
        <v>HCM_2016_QD_3384_XD</v>
      </c>
      <c r="K190" s="166"/>
      <c r="L190" s="156">
        <f>ROUND(G190*K184,2)</f>
        <v>157601.21</v>
      </c>
      <c r="M190" s="166"/>
      <c r="N190" s="166"/>
      <c r="O190" s="166"/>
      <c r="P190" s="156">
        <f>ROUND(G190*O184,2)</f>
        <v>0</v>
      </c>
      <c r="Q190" s="156">
        <f>ROUND(G190*N184,2)</f>
        <v>157601.21</v>
      </c>
    </row>
    <row r="191" spans="1:17" ht="30" hidden="1" x14ac:dyDescent="0.25">
      <c r="A191" s="168"/>
      <c r="B191" s="133" t="str">
        <f>'Công trình'!B32</f>
        <v>AF.61311</v>
      </c>
      <c r="C191" s="34"/>
      <c r="D191" s="133" t="str">
        <f>'Công trình'!C32</f>
        <v>Sản xuất, lắp dựng cốt thép tường đường kính &lt;=10mm, chiều cao &lt;=4m</v>
      </c>
      <c r="E191" s="168"/>
      <c r="F191" s="20">
        <v>1</v>
      </c>
      <c r="G191" s="45">
        <f>'Hao phí vật tư'!L234</f>
        <v>0.35010000000000002</v>
      </c>
      <c r="H191" s="166"/>
      <c r="I191" s="156">
        <f>ROUND(G191*H184,2)</f>
        <v>79838.2</v>
      </c>
      <c r="J191" s="20" t="str">
        <f>'Công trình'!X32</f>
        <v>HCM_2016_QD_3384_XD</v>
      </c>
      <c r="K191" s="166"/>
      <c r="L191" s="156">
        <f>ROUND(G191*K184,2)</f>
        <v>79838.2</v>
      </c>
      <c r="M191" s="166"/>
      <c r="N191" s="166"/>
      <c r="O191" s="166"/>
      <c r="P191" s="156">
        <f>ROUND(G191*O184,2)</f>
        <v>0</v>
      </c>
      <c r="Q191" s="156">
        <f>ROUND(G191*N184,2)</f>
        <v>79838.2</v>
      </c>
    </row>
    <row r="192" spans="1:17" ht="30" hidden="1" x14ac:dyDescent="0.25">
      <c r="A192" s="168"/>
      <c r="B192" s="133" t="str">
        <f>'Công trình'!B33</f>
        <v>AF.61321</v>
      </c>
      <c r="C192" s="34"/>
      <c r="D192" s="133" t="str">
        <f>'Công trình'!C33</f>
        <v>Sản xuất, lắp dựng cốt thép tường đường kính &lt;=18mm, chiều cao &lt;=4m</v>
      </c>
      <c r="E192" s="168"/>
      <c r="F192" s="20">
        <v>1</v>
      </c>
      <c r="G192" s="45">
        <f>'Hao phí vật tư'!L243</f>
        <v>0.27050000000000002</v>
      </c>
      <c r="H192" s="166"/>
      <c r="I192" s="156">
        <f>ROUND(G192*H184,2)</f>
        <v>61685.9</v>
      </c>
      <c r="J192" s="20" t="str">
        <f>'Công trình'!X33</f>
        <v>HCM_2016_QD_3384_XD</v>
      </c>
      <c r="K192" s="166"/>
      <c r="L192" s="156">
        <f>ROUND(G192*K184,2)</f>
        <v>61685.9</v>
      </c>
      <c r="M192" s="166"/>
      <c r="N192" s="166"/>
      <c r="O192" s="166"/>
      <c r="P192" s="156">
        <f>ROUND(G192*O184,2)</f>
        <v>0</v>
      </c>
      <c r="Q192" s="156">
        <f>ROUND(G192*N184,2)</f>
        <v>61685.9</v>
      </c>
    </row>
    <row r="193" spans="1:17" ht="30" hidden="1" x14ac:dyDescent="0.25">
      <c r="A193" s="168"/>
      <c r="B193" s="133" t="str">
        <f>'Công trình'!B60</f>
        <v>AF.61511</v>
      </c>
      <c r="C193" s="34"/>
      <c r="D193" s="133" t="str">
        <f>'Công trình'!C60</f>
        <v>Sản xuất, lắp dựng cốt thép xà dầm, giằng đường kính &lt;=10mm, chiều cao &lt;=4m</v>
      </c>
      <c r="E193" s="168"/>
      <c r="F193" s="20">
        <v>1</v>
      </c>
      <c r="G193" s="45">
        <f>'Hao phí vật tư'!L460</f>
        <v>0.16880000000000001</v>
      </c>
      <c r="H193" s="166"/>
      <c r="I193" s="156">
        <f>ROUND(G193*H184,2)</f>
        <v>38493.83</v>
      </c>
      <c r="J193" s="20" t="str">
        <f>'Công trình'!X60</f>
        <v>HCM_2016_QD_3384_XD</v>
      </c>
      <c r="K193" s="166"/>
      <c r="L193" s="156">
        <f>ROUND(G193*K184,2)</f>
        <v>38493.83</v>
      </c>
      <c r="M193" s="166"/>
      <c r="N193" s="166"/>
      <c r="O193" s="166"/>
      <c r="P193" s="156">
        <f>ROUND(G193*O184,2)</f>
        <v>0</v>
      </c>
      <c r="Q193" s="156">
        <f>ROUND(G193*N184,2)</f>
        <v>38493.83</v>
      </c>
    </row>
    <row r="194" spans="1:17" ht="30" hidden="1" x14ac:dyDescent="0.25">
      <c r="A194" s="168"/>
      <c r="B194" s="133" t="str">
        <f>'Công trình'!B61</f>
        <v>AF.61521</v>
      </c>
      <c r="C194" s="34"/>
      <c r="D194" s="133" t="str">
        <f>'Công trình'!C61</f>
        <v>Sản xuất, lắp dựng cốt thép xà dầm, giằng đường kính &lt;=18mm, chiều cao &lt;=4m</v>
      </c>
      <c r="E194" s="168"/>
      <c r="F194" s="20">
        <v>1</v>
      </c>
      <c r="G194" s="45">
        <f>'Hao phí vật tư'!L469</f>
        <v>0.58560000000000001</v>
      </c>
      <c r="H194" s="166"/>
      <c r="I194" s="156">
        <f>ROUND(G194*H184,2)</f>
        <v>133542.57</v>
      </c>
      <c r="J194" s="20" t="str">
        <f>'Công trình'!X61</f>
        <v>HCM_2016_QD_3384_XD</v>
      </c>
      <c r="K194" s="166"/>
      <c r="L194" s="156">
        <f>ROUND(G194*K184,2)</f>
        <v>133542.57</v>
      </c>
      <c r="M194" s="166"/>
      <c r="N194" s="166"/>
      <c r="O194" s="166"/>
      <c r="P194" s="156">
        <f>ROUND(G194*O184,2)</f>
        <v>0</v>
      </c>
      <c r="Q194" s="156">
        <f>ROUND(G194*N184,2)</f>
        <v>133542.57</v>
      </c>
    </row>
    <row r="195" spans="1:17" ht="30" hidden="1" x14ac:dyDescent="0.25">
      <c r="A195" s="168"/>
      <c r="B195" s="133" t="str">
        <f>'Công trình'!B69</f>
        <v>AG.13111</v>
      </c>
      <c r="C195" s="34"/>
      <c r="D195" s="133" t="str">
        <f>'Công trình'!C69</f>
        <v>Sản xuất, lắp dựng cốt thép BT đúc sẵn cọc, đường kính &lt;=10mm</v>
      </c>
      <c r="E195" s="168"/>
      <c r="F195" s="20">
        <v>1</v>
      </c>
      <c r="G195" s="45">
        <f>'Hao phí vật tư'!L524</f>
        <v>0.92149999999999999</v>
      </c>
      <c r="H195" s="166"/>
      <c r="I195" s="156">
        <f>ROUND(G195*H184,2)</f>
        <v>210142.55</v>
      </c>
      <c r="J195" s="20" t="str">
        <f>'Công trình'!X69</f>
        <v>HCM_2016_QD_3384_XD</v>
      </c>
      <c r="K195" s="166"/>
      <c r="L195" s="156">
        <f>ROUND(G195*K184,2)</f>
        <v>210142.55</v>
      </c>
      <c r="M195" s="166"/>
      <c r="N195" s="166"/>
      <c r="O195" s="166"/>
      <c r="P195" s="156">
        <f>ROUND(G195*O184,2)</f>
        <v>0</v>
      </c>
      <c r="Q195" s="156">
        <f>ROUND(G195*N184,2)</f>
        <v>210142.55</v>
      </c>
    </row>
    <row r="196" spans="1:17" ht="30" hidden="1" x14ac:dyDescent="0.25">
      <c r="A196" s="168"/>
      <c r="B196" s="133" t="str">
        <f>'Công trình'!B70</f>
        <v>AG.13121</v>
      </c>
      <c r="C196" s="34"/>
      <c r="D196" s="133" t="str">
        <f>'Công trình'!C70</f>
        <v>Sản xuất, lắp dựng cốt thép BT đúc sẵn cọc, đường kính &lt;=18mm</v>
      </c>
      <c r="E196" s="168"/>
      <c r="F196" s="20">
        <v>1</v>
      </c>
      <c r="G196" s="45">
        <f>'Hao phí vật tư'!L533</f>
        <v>0.13450000000000001</v>
      </c>
      <c r="H196" s="166"/>
      <c r="I196" s="156">
        <f>ROUND(G196*H184,2)</f>
        <v>30671.919999999998</v>
      </c>
      <c r="J196" s="20" t="str">
        <f>'Công trình'!X70</f>
        <v>HCM_2016_QD_3384_XD</v>
      </c>
      <c r="K196" s="166"/>
      <c r="L196" s="156">
        <f>ROUND(G196*K184,2)</f>
        <v>30671.919999999998</v>
      </c>
      <c r="M196" s="166"/>
      <c r="N196" s="166"/>
      <c r="O196" s="166"/>
      <c r="P196" s="156">
        <f>ROUND(G196*O184,2)</f>
        <v>0</v>
      </c>
      <c r="Q196" s="156">
        <f>ROUND(G196*N184,2)</f>
        <v>30671.919999999998</v>
      </c>
    </row>
    <row r="197" spans="1:17" ht="30" hidden="1" x14ac:dyDescent="0.25">
      <c r="A197" s="168"/>
      <c r="B197" s="133" t="str">
        <f>'Công trình'!B71</f>
        <v>AG.13131</v>
      </c>
      <c r="C197" s="34"/>
      <c r="D197" s="133" t="str">
        <f>'Công trình'!C71</f>
        <v>Sản xuất, lắp dựng cốt thép BT đúc sẵn cọc, đường kính &gt;18mm</v>
      </c>
      <c r="E197" s="168"/>
      <c r="F197" s="20">
        <v>1</v>
      </c>
      <c r="G197" s="45">
        <f>'Hao phí vật tư'!L543</f>
        <v>2.0093000000000001</v>
      </c>
      <c r="H197" s="166"/>
      <c r="I197" s="156">
        <f>ROUND(G197*H184,2)</f>
        <v>458208.81</v>
      </c>
      <c r="J197" s="20" t="str">
        <f>'Công trình'!X71</f>
        <v>HCM_2016_QD_3384_XD</v>
      </c>
      <c r="K197" s="166"/>
      <c r="L197" s="156">
        <f>ROUND(G197*K184,2)</f>
        <v>458208.81</v>
      </c>
      <c r="M197" s="166"/>
      <c r="N197" s="166"/>
      <c r="O197" s="166"/>
      <c r="P197" s="156">
        <f>ROUND(G197*O184,2)</f>
        <v>0</v>
      </c>
      <c r="Q197" s="156">
        <f>ROUND(G197*N184,2)</f>
        <v>458208.81</v>
      </c>
    </row>
    <row r="198" spans="1:17" ht="30" hidden="1" x14ac:dyDescent="0.25">
      <c r="A198" s="168"/>
      <c r="B198" s="133" t="str">
        <f>'Công trình'!B80</f>
        <v>AG.13111</v>
      </c>
      <c r="C198" s="34"/>
      <c r="D198" s="133" t="str">
        <f>'Công trình'!C80</f>
        <v>Sản xuất, lắp dựng cốt thép BT đúc sẵn cọc, đường kính &lt;=10mm</v>
      </c>
      <c r="E198" s="168"/>
      <c r="F198" s="20">
        <v>1</v>
      </c>
      <c r="G198" s="45">
        <f>'Hao phí vật tư'!L640</f>
        <v>0.47320000000000001</v>
      </c>
      <c r="H198" s="166"/>
      <c r="I198" s="156">
        <f>ROUND(G198*H184,2)</f>
        <v>107910.42</v>
      </c>
      <c r="J198" s="20" t="str">
        <f>'Công trình'!X80</f>
        <v>HCM_2016_QD_3384_XD</v>
      </c>
      <c r="K198" s="166"/>
      <c r="L198" s="156">
        <f>ROUND(G198*K184,2)</f>
        <v>107910.42</v>
      </c>
      <c r="M198" s="166"/>
      <c r="N198" s="166"/>
      <c r="O198" s="166"/>
      <c r="P198" s="156">
        <f>ROUND(G198*O184,2)</f>
        <v>0</v>
      </c>
      <c r="Q198" s="156">
        <f>ROUND(G198*N184,2)</f>
        <v>107910.42</v>
      </c>
    </row>
    <row r="199" spans="1:17" ht="30" hidden="1" x14ac:dyDescent="0.25">
      <c r="A199" s="168"/>
      <c r="B199" s="133" t="str">
        <f>'Công trình'!B81</f>
        <v>AG.13121</v>
      </c>
      <c r="C199" s="34"/>
      <c r="D199" s="133" t="str">
        <f>'Công trình'!C81</f>
        <v>Sản xuất, lắp dựng cốt thép BT đúc sẵn cọc, đường kính &lt;=18mm</v>
      </c>
      <c r="E199" s="168"/>
      <c r="F199" s="20">
        <v>1</v>
      </c>
      <c r="G199" s="45">
        <f>'Hao phí vật tư'!L649</f>
        <v>7.3200000000000001E-2</v>
      </c>
      <c r="H199" s="166"/>
      <c r="I199" s="156">
        <f>ROUND(G199*H184,2)</f>
        <v>16692.82</v>
      </c>
      <c r="J199" s="20" t="str">
        <f>'Công trình'!X81</f>
        <v>HCM_2016_QD_3384_XD</v>
      </c>
      <c r="K199" s="166"/>
      <c r="L199" s="156">
        <f>ROUND(G199*K184,2)</f>
        <v>16692.82</v>
      </c>
      <c r="M199" s="166"/>
      <c r="N199" s="166"/>
      <c r="O199" s="166"/>
      <c r="P199" s="156">
        <f>ROUND(G199*O184,2)</f>
        <v>0</v>
      </c>
      <c r="Q199" s="156">
        <f>ROUND(G199*N184,2)</f>
        <v>16692.82</v>
      </c>
    </row>
    <row r="200" spans="1:17" ht="30" hidden="1" x14ac:dyDescent="0.25">
      <c r="A200" s="168"/>
      <c r="B200" s="133" t="str">
        <f>'Công trình'!B82</f>
        <v>AG.13131</v>
      </c>
      <c r="C200" s="34"/>
      <c r="D200" s="133" t="str">
        <f>'Công trình'!C82</f>
        <v>Sản xuất, lắp dựng cốt thép BT đúc sẵn cọc, đường kính &gt;18mm</v>
      </c>
      <c r="E200" s="168"/>
      <c r="F200" s="20">
        <v>1</v>
      </c>
      <c r="G200" s="45">
        <f>'Hao phí vật tư'!L659</f>
        <v>1.0622</v>
      </c>
      <c r="H200" s="166"/>
      <c r="I200" s="156">
        <f>ROUND(G200*H184,2)</f>
        <v>242228.34</v>
      </c>
      <c r="J200" s="20" t="str">
        <f>'Công trình'!X82</f>
        <v>HCM_2016_QD_3384_XD</v>
      </c>
      <c r="K200" s="166"/>
      <c r="L200" s="156">
        <f>ROUND(G200*K184,2)</f>
        <v>242228.34</v>
      </c>
      <c r="M200" s="166"/>
      <c r="N200" s="166"/>
      <c r="O200" s="166"/>
      <c r="P200" s="156">
        <f>ROUND(G200*O184,2)</f>
        <v>0</v>
      </c>
      <c r="Q200" s="156">
        <f>ROUND(G200*N184,2)</f>
        <v>242228.34</v>
      </c>
    </row>
    <row r="201" spans="1:17" ht="30" hidden="1" x14ac:dyDescent="0.25">
      <c r="A201" s="168"/>
      <c r="B201" s="133" t="str">
        <f>'Công trình'!B101</f>
        <v>AF.61110</v>
      </c>
      <c r="C201" s="34"/>
      <c r="D201" s="133" t="str">
        <f>'Công trình'!C101</f>
        <v>Sản xuất, lắp dựng cốt thép móng đường kính &lt;=10mm</v>
      </c>
      <c r="E201" s="168"/>
      <c r="F201" s="20">
        <v>1</v>
      </c>
      <c r="G201" s="45">
        <f>'Hao phí vật tư'!L823</f>
        <v>3.9399999999999998E-2</v>
      </c>
      <c r="H201" s="166"/>
      <c r="I201" s="156">
        <f>ROUND(G201*H184,2)</f>
        <v>8984.93</v>
      </c>
      <c r="J201" s="20" t="str">
        <f>'Công trình'!X101</f>
        <v>HCM_2016_QD_3384_XD</v>
      </c>
      <c r="K201" s="166"/>
      <c r="L201" s="156">
        <f>ROUND(G201*K184,2)</f>
        <v>8984.93</v>
      </c>
      <c r="M201" s="166"/>
      <c r="N201" s="166"/>
      <c r="O201" s="166"/>
      <c r="P201" s="156">
        <f>ROUND(G201*O184,2)</f>
        <v>0</v>
      </c>
      <c r="Q201" s="156">
        <f>ROUND(G201*N184,2)</f>
        <v>8984.93</v>
      </c>
    </row>
    <row r="202" spans="1:17" ht="30" hidden="1" x14ac:dyDescent="0.25">
      <c r="A202" s="168"/>
      <c r="B202" s="133" t="str">
        <f>'Công trình'!B104</f>
        <v>AI.11131</v>
      </c>
      <c r="C202" s="34"/>
      <c r="D202" s="133" t="str">
        <f>'Công trình'!C104</f>
        <v>Sản xuất cọc dẫn bằng thép hình</v>
      </c>
      <c r="E202" s="168"/>
      <c r="F202" s="20">
        <v>1</v>
      </c>
      <c r="G202" s="45">
        <f>'Hao phí vật tư'!L841</f>
        <v>1.1186</v>
      </c>
      <c r="H202" s="166"/>
      <c r="I202" s="156">
        <f>ROUND(G202*H184,2)</f>
        <v>255090.02</v>
      </c>
      <c r="J202" s="20" t="str">
        <f>'Công trình'!X104</f>
        <v>HCM_2016_QD_3384_XD</v>
      </c>
      <c r="K202" s="166"/>
      <c r="L202" s="156">
        <f>ROUND(G202*K184,2)</f>
        <v>255090.02</v>
      </c>
      <c r="M202" s="166"/>
      <c r="N202" s="166"/>
      <c r="O202" s="166"/>
      <c r="P202" s="156">
        <f>ROUND(G202*O184,2)</f>
        <v>0</v>
      </c>
      <c r="Q202" s="156">
        <f>ROUND(G202*N184,2)</f>
        <v>255090.02</v>
      </c>
    </row>
    <row r="203" spans="1:17" ht="30" hidden="1" x14ac:dyDescent="0.25">
      <c r="A203" s="168"/>
      <c r="B203" s="133" t="str">
        <f>'Công trình'!B181</f>
        <v>AF.65120</v>
      </c>
      <c r="C203" s="34"/>
      <c r="D203" s="133" t="str">
        <f>'Công trình'!C181</f>
        <v>Sản xuất, lắp dựng cốt thép móng, mố, trụ, mũ mố, mũ trụ cầu trên cạn đường kính &lt;=18mm</v>
      </c>
      <c r="E203" s="168"/>
      <c r="F203" s="20">
        <v>1</v>
      </c>
      <c r="G203" s="45">
        <f>'Hao phí vật tư'!L1382</f>
        <v>1.3698999999999999</v>
      </c>
      <c r="H203" s="166"/>
      <c r="I203" s="156">
        <f>ROUND(G203*H184,2)</f>
        <v>312397.48</v>
      </c>
      <c r="J203" s="20" t="str">
        <f>'Công trình'!X181</f>
        <v>HCM_2016_QD_3384_XD</v>
      </c>
      <c r="K203" s="166"/>
      <c r="L203" s="156">
        <f>ROUND(G203*K184,2)</f>
        <v>312397.48</v>
      </c>
      <c r="M203" s="166"/>
      <c r="N203" s="166"/>
      <c r="O203" s="166"/>
      <c r="P203" s="156">
        <f>ROUND(G203*O184,2)</f>
        <v>0</v>
      </c>
      <c r="Q203" s="156">
        <f>ROUND(G203*N184,2)</f>
        <v>312397.48</v>
      </c>
    </row>
    <row r="204" spans="1:17" ht="30" hidden="1" x14ac:dyDescent="0.25">
      <c r="A204" s="168"/>
      <c r="B204" s="133" t="str">
        <f>'Công trình'!B182</f>
        <v>AF.65130</v>
      </c>
      <c r="C204" s="34"/>
      <c r="D204" s="133" t="str">
        <f>'Công trình'!C182</f>
        <v>Sản xuất, lắp dựng cốt thép móng, mố, trụ, mũ mố, mũ trụ cầu trên cạn đường kính &gt;18mm</v>
      </c>
      <c r="E204" s="168"/>
      <c r="F204" s="20">
        <v>1</v>
      </c>
      <c r="G204" s="45">
        <f>'Hao phí vật tư'!L1393</f>
        <v>0.75929999999999997</v>
      </c>
      <c r="H204" s="166"/>
      <c r="I204" s="156">
        <f>ROUND(G204*H184,2)</f>
        <v>173153.81</v>
      </c>
      <c r="J204" s="20" t="str">
        <f>'Công trình'!X182</f>
        <v>HCM_2016_QD_3384_XD</v>
      </c>
      <c r="K204" s="166"/>
      <c r="L204" s="156">
        <f>ROUND(G204*K184,2)</f>
        <v>173153.81</v>
      </c>
      <c r="M204" s="166"/>
      <c r="N204" s="166"/>
      <c r="O204" s="166"/>
      <c r="P204" s="156">
        <f>ROUND(G204*O184,2)</f>
        <v>0</v>
      </c>
      <c r="Q204" s="156">
        <f>ROUND(G204*N184,2)</f>
        <v>173153.81</v>
      </c>
    </row>
    <row r="205" spans="1:17" ht="30" hidden="1" x14ac:dyDescent="0.25">
      <c r="A205" s="168"/>
      <c r="B205" s="133" t="str">
        <f>'Công trình'!B183</f>
        <v>AF.61110</v>
      </c>
      <c r="C205" s="34"/>
      <c r="D205" s="133" t="str">
        <f>'Công trình'!C183</f>
        <v>Sản xuất, lắp dựng cốt thép bản dẫn đường kính &lt;=10mm</v>
      </c>
      <c r="E205" s="168"/>
      <c r="F205" s="20">
        <v>1</v>
      </c>
      <c r="G205" s="45">
        <f>'Hao phí vật tư'!L1402</f>
        <v>5.3E-3</v>
      </c>
      <c r="H205" s="166"/>
      <c r="I205" s="156">
        <f>ROUND(G205*H184,2)</f>
        <v>1208.6300000000001</v>
      </c>
      <c r="J205" s="20" t="str">
        <f>'Công trình'!X183</f>
        <v>HCM_2016_QD_3384_XD</v>
      </c>
      <c r="K205" s="166"/>
      <c r="L205" s="156">
        <f>ROUND(G205*K184,2)</f>
        <v>1208.6300000000001</v>
      </c>
      <c r="M205" s="166"/>
      <c r="N205" s="166"/>
      <c r="O205" s="166"/>
      <c r="P205" s="156">
        <f>ROUND(G205*O184,2)</f>
        <v>0</v>
      </c>
      <c r="Q205" s="156">
        <f>ROUND(G205*N184,2)</f>
        <v>1208.6300000000001</v>
      </c>
    </row>
    <row r="206" spans="1:17" ht="30" hidden="1" x14ac:dyDescent="0.25">
      <c r="A206" s="168"/>
      <c r="B206" s="133" t="str">
        <f>'Công trình'!B184</f>
        <v>AF.61120</v>
      </c>
      <c r="C206" s="34"/>
      <c r="D206" s="133" t="str">
        <f>'Công trình'!C184</f>
        <v>Sản xuất, lắp dựng cốt thép bản dẫn đường kính &lt;=18mm</v>
      </c>
      <c r="E206" s="168"/>
      <c r="F206" s="20">
        <v>1</v>
      </c>
      <c r="G206" s="45">
        <f>'Hao phí vật tư'!L1411</f>
        <v>0.31830000000000003</v>
      </c>
      <c r="H206" s="166"/>
      <c r="I206" s="156">
        <f>ROUND(G206*H184,2)</f>
        <v>72586.41</v>
      </c>
      <c r="J206" s="20" t="str">
        <f>'Công trình'!X184</f>
        <v>HCM_2016_QD_3384_XD</v>
      </c>
      <c r="K206" s="166"/>
      <c r="L206" s="156">
        <f>ROUND(G206*K184,2)</f>
        <v>72586.41</v>
      </c>
      <c r="M206" s="166"/>
      <c r="N206" s="166"/>
      <c r="O206" s="166"/>
      <c r="P206" s="156">
        <f>ROUND(G206*O184,2)</f>
        <v>0</v>
      </c>
      <c r="Q206" s="156">
        <f>ROUND(G206*N184,2)</f>
        <v>72586.41</v>
      </c>
    </row>
    <row r="207" spans="1:17" ht="30" hidden="1" x14ac:dyDescent="0.25">
      <c r="A207" s="168"/>
      <c r="B207" s="133" t="str">
        <f>'Công trình'!B190</f>
        <v>AF.65120</v>
      </c>
      <c r="C207" s="34"/>
      <c r="D207" s="133" t="str">
        <f>'Công trình'!C190</f>
        <v>Sản xuất, lắp dựng cốt thép móng, mố, trụ, mũ mố, mũ trụ cầu trên cạn đường kính &lt;=18mm</v>
      </c>
      <c r="E207" s="168"/>
      <c r="F207" s="20">
        <v>1</v>
      </c>
      <c r="G207" s="45">
        <f>'Hao phí vật tư'!L1466</f>
        <v>0.1583</v>
      </c>
      <c r="H207" s="166"/>
      <c r="I207" s="156">
        <f>ROUND(G207*H184,2)</f>
        <v>36099.370000000003</v>
      </c>
      <c r="J207" s="20" t="str">
        <f>'Công trình'!X190</f>
        <v>HCM_2016_QD_3384_XD</v>
      </c>
      <c r="K207" s="166"/>
      <c r="L207" s="156">
        <f>ROUND(G207*K184,2)</f>
        <v>36099.370000000003</v>
      </c>
      <c r="M207" s="166"/>
      <c r="N207" s="166"/>
      <c r="O207" s="166"/>
      <c r="P207" s="156">
        <f>ROUND(G207*O184,2)</f>
        <v>0</v>
      </c>
      <c r="Q207" s="156">
        <f>ROUND(G207*N184,2)</f>
        <v>36099.370000000003</v>
      </c>
    </row>
    <row r="208" spans="1:17" ht="30" hidden="1" x14ac:dyDescent="0.25">
      <c r="A208" s="168"/>
      <c r="B208" s="133" t="str">
        <f>'Công trình'!B191</f>
        <v>AF.65130</v>
      </c>
      <c r="C208" s="34"/>
      <c r="D208" s="133" t="str">
        <f>'Công trình'!C191</f>
        <v>Sản xuất, lắp dựng cốt thép móng, mố, trụ, mũ mố, mũ trụ cầu trên cạn đường kính &gt;18mm</v>
      </c>
      <c r="E208" s="168"/>
      <c r="F208" s="20">
        <v>1</v>
      </c>
      <c r="G208" s="45">
        <f>'Hao phí vật tư'!L1477</f>
        <v>0.30259999999999998</v>
      </c>
      <c r="H208" s="166"/>
      <c r="I208" s="156">
        <f>ROUND(G208*H184,2)</f>
        <v>69006.11</v>
      </c>
      <c r="J208" s="20" t="str">
        <f>'Công trình'!X191</f>
        <v>HCM_2016_QD_3384_XD</v>
      </c>
      <c r="K208" s="166"/>
      <c r="L208" s="156">
        <f>ROUND(G208*K184,2)</f>
        <v>69006.11</v>
      </c>
      <c r="M208" s="166"/>
      <c r="N208" s="166"/>
      <c r="O208" s="166"/>
      <c r="P208" s="156">
        <f>ROUND(G208*O184,2)</f>
        <v>0</v>
      </c>
      <c r="Q208" s="156">
        <f>ROUND(G208*N184,2)</f>
        <v>69006.11</v>
      </c>
    </row>
    <row r="209" spans="1:17" ht="30" hidden="1" x14ac:dyDescent="0.25">
      <c r="A209" s="168"/>
      <c r="B209" s="133" t="str">
        <f>'Công trình'!B202</f>
        <v>AF.61711</v>
      </c>
      <c r="C209" s="34"/>
      <c r="D209" s="133" t="str">
        <f>'Công trình'!C202</f>
        <v>Sản xuất, lắp dựng cốt thép mặt cầu đường kính &lt;=10mm, chiều cao &lt;=16m</v>
      </c>
      <c r="E209" s="168"/>
      <c r="F209" s="20">
        <v>1</v>
      </c>
      <c r="G209" s="45">
        <f>'Hao phí vật tư'!L1570</f>
        <v>3.4200000000000001E-2</v>
      </c>
      <c r="H209" s="166"/>
      <c r="I209" s="156">
        <f>ROUND(G209*H184,2)</f>
        <v>7799.1</v>
      </c>
      <c r="J209" s="20" t="str">
        <f>'Công trình'!X202</f>
        <v>HCM_2016_QD_3384_XD</v>
      </c>
      <c r="K209" s="166"/>
      <c r="L209" s="156">
        <f>ROUND(G209*K184,2)</f>
        <v>7799.1</v>
      </c>
      <c r="M209" s="166"/>
      <c r="N209" s="166"/>
      <c r="O209" s="166"/>
      <c r="P209" s="156">
        <f>ROUND(G209*O184,2)</f>
        <v>0</v>
      </c>
      <c r="Q209" s="156">
        <f>ROUND(G209*N184,2)</f>
        <v>7799.1</v>
      </c>
    </row>
    <row r="210" spans="1:17" ht="30" hidden="1" x14ac:dyDescent="0.25">
      <c r="A210" s="168"/>
      <c r="B210" s="133" t="str">
        <f>'Công trình'!B204</f>
        <v>AF.61721</v>
      </c>
      <c r="C210" s="34"/>
      <c r="D210" s="133" t="str">
        <f>'Công trình'!C204</f>
        <v>Sản xuất, lắp dựng cốt thép mặt cầu đường kính &gt;10mm, chiều cao &lt;=16m</v>
      </c>
      <c r="E210" s="168"/>
      <c r="F210" s="20">
        <v>1</v>
      </c>
      <c r="G210" s="45">
        <f>'Hao phí vật tư'!L1582</f>
        <v>3.306</v>
      </c>
      <c r="H210" s="166"/>
      <c r="I210" s="156">
        <f>ROUND(G210*H184,2)</f>
        <v>753913.46</v>
      </c>
      <c r="J210" s="20" t="str">
        <f>'Công trình'!X204</f>
        <v>HCM_2016_QD_3384_XD</v>
      </c>
      <c r="K210" s="166"/>
      <c r="L210" s="156">
        <f>ROUND(G210*K184,2)</f>
        <v>753913.46</v>
      </c>
      <c r="M210" s="166"/>
      <c r="N210" s="166"/>
      <c r="O210" s="166"/>
      <c r="P210" s="156">
        <f>ROUND(G210*O184,2)</f>
        <v>0</v>
      </c>
      <c r="Q210" s="156">
        <f>ROUND(G210*N184,2)</f>
        <v>753913.46</v>
      </c>
    </row>
    <row r="211" spans="1:17" ht="30" hidden="1" x14ac:dyDescent="0.25">
      <c r="A211" s="168"/>
      <c r="B211" s="133" t="str">
        <f>'Công trình'!B206</f>
        <v>AF.65410</v>
      </c>
      <c r="C211" s="34"/>
      <c r="D211" s="133" t="str">
        <f>'Công trình'!C206</f>
        <v>Công tác sản xuất lắp dựng cốt thép bê tông tại chỗ, cốt thép dầm cầu trên cạn, D ≤10mm</v>
      </c>
      <c r="E211" s="168"/>
      <c r="F211" s="20">
        <v>1</v>
      </c>
      <c r="G211" s="45">
        <f>'Hao phí vật tư'!L1592</f>
        <v>0.11119999999999999</v>
      </c>
      <c r="H211" s="166"/>
      <c r="I211" s="156">
        <f>ROUND(G211*H184,2)</f>
        <v>25358.49</v>
      </c>
      <c r="J211" s="20" t="str">
        <f>'Công trình'!X206</f>
        <v>HCM_2016_QD_3384_XD</v>
      </c>
      <c r="K211" s="166"/>
      <c r="L211" s="156">
        <f>ROUND(G211*K184,2)</f>
        <v>25358.49</v>
      </c>
      <c r="M211" s="166"/>
      <c r="N211" s="166"/>
      <c r="O211" s="166"/>
      <c r="P211" s="156">
        <f>ROUND(G211*O184,2)</f>
        <v>0</v>
      </c>
      <c r="Q211" s="156">
        <f>ROUND(G211*N184,2)</f>
        <v>25358.49</v>
      </c>
    </row>
    <row r="212" spans="1:17" ht="30" hidden="1" x14ac:dyDescent="0.25">
      <c r="A212" s="168"/>
      <c r="B212" s="133" t="str">
        <f>'Công trình'!B208</f>
        <v>AF.65420</v>
      </c>
      <c r="C212" s="34"/>
      <c r="D212" s="133" t="str">
        <f>'Công trình'!C208</f>
        <v>Công tác sản xuất lắp dựng cốt thép bê tông tại chỗ, cốt thép dầm cầu trên cạn, D ≤18mm</v>
      </c>
      <c r="E212" s="168"/>
      <c r="F212" s="20">
        <v>1</v>
      </c>
      <c r="G212" s="45">
        <f>'Hao phí vật tư'!L1602</f>
        <v>3.9E-2</v>
      </c>
      <c r="H212" s="166"/>
      <c r="I212" s="156">
        <f>ROUND(G212*H184,2)</f>
        <v>8893.7199999999993</v>
      </c>
      <c r="J212" s="20" t="str">
        <f>'Công trình'!X208</f>
        <v>HCM_2016_QD_3384_XD</v>
      </c>
      <c r="K212" s="166"/>
      <c r="L212" s="156">
        <f>ROUND(G212*K184,2)</f>
        <v>8893.7199999999993</v>
      </c>
      <c r="M212" s="166"/>
      <c r="N212" s="166"/>
      <c r="O212" s="166"/>
      <c r="P212" s="156">
        <f>ROUND(G212*O184,2)</f>
        <v>0</v>
      </c>
      <c r="Q212" s="156">
        <f>ROUND(G212*N184,2)</f>
        <v>8893.7199999999993</v>
      </c>
    </row>
    <row r="213" spans="1:17" ht="30" hidden="1" x14ac:dyDescent="0.25">
      <c r="A213" s="168"/>
      <c r="B213" s="133" t="str">
        <f>'Công trình'!B210</f>
        <v>AF.65430</v>
      </c>
      <c r="C213" s="34"/>
      <c r="D213" s="133" t="str">
        <f>'Công trình'!C210</f>
        <v>Công tác sản xuất lắp dựng cốt thép bê tông tại chỗ, cốt thép dầm cầu trên cạn, D &gt;18mm</v>
      </c>
      <c r="E213" s="168"/>
      <c r="F213" s="20">
        <v>1</v>
      </c>
      <c r="G213" s="45">
        <f>'Hao phí vật tư'!L1613</f>
        <v>3.4000000000000002E-2</v>
      </c>
      <c r="H213" s="166"/>
      <c r="I213" s="156">
        <f>ROUND(G213*H184,2)</f>
        <v>7753.5</v>
      </c>
      <c r="J213" s="20" t="str">
        <f>'Công trình'!X210</f>
        <v>HCM_2016_QD_3384_XD</v>
      </c>
      <c r="K213" s="166"/>
      <c r="L213" s="156">
        <f>ROUND(G213*K184,2)</f>
        <v>7753.5</v>
      </c>
      <c r="M213" s="166"/>
      <c r="N213" s="166"/>
      <c r="O213" s="166"/>
      <c r="P213" s="156">
        <f>ROUND(G213*O184,2)</f>
        <v>0</v>
      </c>
      <c r="Q213" s="156">
        <f>ROUND(G213*N184,2)</f>
        <v>7753.5</v>
      </c>
    </row>
    <row r="214" spans="1:17" ht="30" hidden="1" x14ac:dyDescent="0.25">
      <c r="A214" s="168"/>
      <c r="B214" s="133" t="str">
        <f>'Công trình'!B218</f>
        <v>AF.61120</v>
      </c>
      <c r="C214" s="34"/>
      <c r="D214" s="133" t="str">
        <f>'Công trình'!C218</f>
        <v>Sản xuất, lắp dựng cốt thép móng đường kính &lt;=18mm</v>
      </c>
      <c r="E214" s="168"/>
      <c r="F214" s="20">
        <v>1</v>
      </c>
      <c r="G214" s="45">
        <f>'Hao phí vật tư'!L1651</f>
        <v>9.9500000000000005E-2</v>
      </c>
      <c r="H214" s="166"/>
      <c r="I214" s="156">
        <f>ROUND(G214*H184,2)</f>
        <v>22690.38</v>
      </c>
      <c r="J214" s="20" t="str">
        <f>'Công trình'!X218</f>
        <v>HCM_2016_QD_3384_XD</v>
      </c>
      <c r="K214" s="166"/>
      <c r="L214" s="156">
        <f>ROUND(G214*K184,2)</f>
        <v>22690.38</v>
      </c>
      <c r="M214" s="166"/>
      <c r="N214" s="166"/>
      <c r="O214" s="166"/>
      <c r="P214" s="156">
        <f>ROUND(G214*O184,2)</f>
        <v>0</v>
      </c>
      <c r="Q214" s="156">
        <f>ROUND(G214*N184,2)</f>
        <v>22690.38</v>
      </c>
    </row>
    <row r="215" spans="1:17" ht="30" hidden="1" x14ac:dyDescent="0.25">
      <c r="A215" s="168"/>
      <c r="B215" s="133" t="str">
        <f>'Công trình'!B220</f>
        <v>AF.61110</v>
      </c>
      <c r="C215" s="34"/>
      <c r="D215" s="133" t="str">
        <f>'Công trình'!C220</f>
        <v>Sản xuất, lắp dựng cốt thép đường kính &lt;=10mm</v>
      </c>
      <c r="E215" s="168"/>
      <c r="F215" s="20">
        <v>1</v>
      </c>
      <c r="G215" s="45">
        <f>'Hao phí vật tư'!L1660</f>
        <v>6.0000000000000001E-3</v>
      </c>
      <c r="H215" s="166"/>
      <c r="I215" s="156">
        <f>ROUND(G215*H184,2)</f>
        <v>1368.26</v>
      </c>
      <c r="J215" s="20" t="str">
        <f>'Công trình'!X220</f>
        <v>HCM_2016_QD_3384_XD</v>
      </c>
      <c r="K215" s="166"/>
      <c r="L215" s="156">
        <f>ROUND(G215*K184,2)</f>
        <v>1368.26</v>
      </c>
      <c r="M215" s="166"/>
      <c r="N215" s="166"/>
      <c r="O215" s="166"/>
      <c r="P215" s="156">
        <f>ROUND(G215*O184,2)</f>
        <v>0</v>
      </c>
      <c r="Q215" s="156">
        <f>ROUND(G215*N184,2)</f>
        <v>1368.26</v>
      </c>
    </row>
    <row r="216" spans="1:17" ht="30" hidden="1" x14ac:dyDescent="0.25">
      <c r="A216" s="168"/>
      <c r="B216" s="133" t="str">
        <f>'Công trình'!B221</f>
        <v>AF.61120</v>
      </c>
      <c r="C216" s="34"/>
      <c r="D216" s="133" t="str">
        <f>'Công trình'!C221</f>
        <v>Sản xuất, lắp dựng cốt thép đường kính &lt;=18mm</v>
      </c>
      <c r="E216" s="168"/>
      <c r="F216" s="20">
        <v>1</v>
      </c>
      <c r="G216" s="45">
        <f>'Hao phí vật tư'!L1669</f>
        <v>0.56720000000000004</v>
      </c>
      <c r="H216" s="166"/>
      <c r="I216" s="156">
        <f>ROUND(G216*H184,2)</f>
        <v>129346.56</v>
      </c>
      <c r="J216" s="20" t="str">
        <f>'Công trình'!X221</f>
        <v>HCM_2016_QD_3384_XD</v>
      </c>
      <c r="K216" s="166"/>
      <c r="L216" s="156">
        <f>ROUND(G216*K184,2)</f>
        <v>129346.56</v>
      </c>
      <c r="M216" s="166"/>
      <c r="N216" s="166"/>
      <c r="O216" s="166"/>
      <c r="P216" s="156">
        <f>ROUND(G216*O184,2)</f>
        <v>0</v>
      </c>
      <c r="Q216" s="156">
        <f>ROUND(G216*N184,2)</f>
        <v>129346.56</v>
      </c>
    </row>
    <row r="217" spans="1:17" ht="30" hidden="1" x14ac:dyDescent="0.25">
      <c r="A217" s="168"/>
      <c r="B217" s="133" t="str">
        <f>'Công trình'!B226</f>
        <v>AG.13111</v>
      </c>
      <c r="C217" s="34"/>
      <c r="D217" s="133" t="str">
        <f>'Công trình'!C226</f>
        <v>Sản xuất, lắp dựng cốt thép BT đúc sẵn cọc, đường kính &lt;=10mm</v>
      </c>
      <c r="E217" s="168"/>
      <c r="F217" s="20">
        <v>1</v>
      </c>
      <c r="G217" s="45">
        <f>'Hao phí vật tư'!L1700</f>
        <v>0.97809999999999997</v>
      </c>
      <c r="H217" s="166"/>
      <c r="I217" s="156">
        <f>ROUND(G217*H184,2)</f>
        <v>223049.84</v>
      </c>
      <c r="J217" s="20" t="str">
        <f>'Công trình'!X226</f>
        <v>HCM_2016_QD_3384_XD</v>
      </c>
      <c r="K217" s="166"/>
      <c r="L217" s="156">
        <f>ROUND(G217*K184,2)</f>
        <v>223049.84</v>
      </c>
      <c r="M217" s="166"/>
      <c r="N217" s="166"/>
      <c r="O217" s="166"/>
      <c r="P217" s="156">
        <f>ROUND(G217*O184,2)</f>
        <v>0</v>
      </c>
      <c r="Q217" s="156">
        <f>ROUND(G217*N184,2)</f>
        <v>223049.84</v>
      </c>
    </row>
    <row r="218" spans="1:17" ht="30" hidden="1" x14ac:dyDescent="0.25">
      <c r="A218" s="168"/>
      <c r="B218" s="133" t="str">
        <f>'Công trình'!B227</f>
        <v>AG.13121</v>
      </c>
      <c r="C218" s="34"/>
      <c r="D218" s="133" t="str">
        <f>'Công trình'!C227</f>
        <v>Sản xuất, lắp dựng cốt thép BT đúc sẵn cọc, đường kính &lt;=18mm</v>
      </c>
      <c r="E218" s="168"/>
      <c r="F218" s="20">
        <v>1</v>
      </c>
      <c r="G218" s="45">
        <f>'Hao phí vật tư'!L1709</f>
        <v>0.13719999999999999</v>
      </c>
      <c r="H218" s="166"/>
      <c r="I218" s="156">
        <f>ROUND(G218*H184,2)</f>
        <v>31287.64</v>
      </c>
      <c r="J218" s="20" t="str">
        <f>'Công trình'!X227</f>
        <v>HCM_2016_QD_3384_XD</v>
      </c>
      <c r="K218" s="166"/>
      <c r="L218" s="156">
        <f>ROUND(G218*K184,2)</f>
        <v>31287.64</v>
      </c>
      <c r="M218" s="166"/>
      <c r="N218" s="166"/>
      <c r="O218" s="166"/>
      <c r="P218" s="156">
        <f>ROUND(G218*O184,2)</f>
        <v>0</v>
      </c>
      <c r="Q218" s="156">
        <f>ROUND(G218*N184,2)</f>
        <v>31287.64</v>
      </c>
    </row>
    <row r="219" spans="1:17" ht="30" hidden="1" x14ac:dyDescent="0.25">
      <c r="A219" s="168"/>
      <c r="B219" s="133" t="str">
        <f>'Công trình'!B228</f>
        <v>AG.13131</v>
      </c>
      <c r="C219" s="34"/>
      <c r="D219" s="133" t="str">
        <f>'Công trình'!C228</f>
        <v>Sản xuất, lắp dựng cốt thép BT đúc sẵn cọc, đường kính &gt;18mm</v>
      </c>
      <c r="E219" s="168"/>
      <c r="F219" s="20">
        <v>1</v>
      </c>
      <c r="G219" s="45">
        <f>'Hao phí vật tư'!L1719</f>
        <v>2.1299000000000001</v>
      </c>
      <c r="H219" s="166"/>
      <c r="I219" s="156">
        <f>ROUND(G219*H184,2)</f>
        <v>485710.92</v>
      </c>
      <c r="J219" s="20" t="str">
        <f>'Công trình'!X228</f>
        <v>HCM_2016_QD_3384_XD</v>
      </c>
      <c r="K219" s="166"/>
      <c r="L219" s="156">
        <f>ROUND(G219*K184,2)</f>
        <v>485710.92</v>
      </c>
      <c r="M219" s="166"/>
      <c r="N219" s="166"/>
      <c r="O219" s="166"/>
      <c r="P219" s="156">
        <f>ROUND(G219*O184,2)</f>
        <v>0</v>
      </c>
      <c r="Q219" s="156">
        <f>ROUND(G219*N184,2)</f>
        <v>485710.92</v>
      </c>
    </row>
    <row r="220" spans="1:17" ht="30" hidden="1" x14ac:dyDescent="0.25">
      <c r="A220" s="168"/>
      <c r="B220" s="133" t="str">
        <f>'Công trình'!B257</f>
        <v>AF.61110</v>
      </c>
      <c r="C220" s="34"/>
      <c r="D220" s="133" t="str">
        <f>'Công trình'!C257</f>
        <v>Sản xuất, lắp dựng cốt thép đường kính &lt;=10mm</v>
      </c>
      <c r="E220" s="168"/>
      <c r="F220" s="20">
        <v>1</v>
      </c>
      <c r="G220" s="45">
        <f>'Hao phí vật tư'!L1966</f>
        <v>0.66739999999999999</v>
      </c>
      <c r="H220" s="166"/>
      <c r="I220" s="156">
        <f>ROUND(G220*H184,2)</f>
        <v>152196.57</v>
      </c>
      <c r="J220" s="20" t="str">
        <f>'Công trình'!X257</f>
        <v>HCM_2016_QD_3384_XD</v>
      </c>
      <c r="K220" s="166"/>
      <c r="L220" s="156">
        <f>ROUND(G220*K184,2)</f>
        <v>152196.57</v>
      </c>
      <c r="M220" s="166"/>
      <c r="N220" s="166"/>
      <c r="O220" s="166"/>
      <c r="P220" s="156">
        <f>ROUND(G220*O184,2)</f>
        <v>0</v>
      </c>
      <c r="Q220" s="156">
        <f>ROUND(G220*N184,2)</f>
        <v>152196.57</v>
      </c>
    </row>
    <row r="221" spans="1:17" ht="30" hidden="1" x14ac:dyDescent="0.25">
      <c r="A221" s="168"/>
      <c r="B221" s="133" t="str">
        <f>'Công trình'!B258</f>
        <v>AF.61120</v>
      </c>
      <c r="C221" s="34"/>
      <c r="D221" s="133" t="str">
        <f>'Công trình'!C258</f>
        <v>Sản xuất, lắp dựng cốt thép đường kính &lt;=18mm</v>
      </c>
      <c r="E221" s="168"/>
      <c r="F221" s="20">
        <v>1</v>
      </c>
      <c r="G221" s="45">
        <f>'Hao phí vật tư'!L1975</f>
        <v>0.20369999999999999</v>
      </c>
      <c r="H221" s="166"/>
      <c r="I221" s="156">
        <f>ROUND(G221*H184,2)</f>
        <v>46452.56</v>
      </c>
      <c r="J221" s="20" t="str">
        <f>'Công trình'!X258</f>
        <v>HCM_2016_QD_3384_XD</v>
      </c>
      <c r="K221" s="166"/>
      <c r="L221" s="156">
        <f>ROUND(G221*K184,2)</f>
        <v>46452.56</v>
      </c>
      <c r="M221" s="166"/>
      <c r="N221" s="166"/>
      <c r="O221" s="166"/>
      <c r="P221" s="156">
        <f>ROUND(G221*O184,2)</f>
        <v>0</v>
      </c>
      <c r="Q221" s="156">
        <f>ROUND(G221*N184,2)</f>
        <v>46452.56</v>
      </c>
    </row>
    <row r="222" spans="1:17" ht="30" hidden="1" x14ac:dyDescent="0.25">
      <c r="A222" s="168"/>
      <c r="B222" s="133" t="str">
        <f>'Công trình'!B302</f>
        <v>AF.61110</v>
      </c>
      <c r="C222" s="34"/>
      <c r="D222" s="133" t="str">
        <f>'Công trình'!C302</f>
        <v>Sản xuất, lắp dựng cốt thép móng đường kính &lt;=10mm</v>
      </c>
      <c r="E222" s="168"/>
      <c r="F222" s="20">
        <v>1</v>
      </c>
      <c r="G222" s="45">
        <f>'Hao phí vật tư'!L2270</f>
        <v>4.6199999999999998E-2</v>
      </c>
      <c r="H222" s="166"/>
      <c r="I222" s="156">
        <f>ROUND(G222*H184,2)</f>
        <v>10535.63</v>
      </c>
      <c r="J222" s="20" t="str">
        <f>'Công trình'!X302</f>
        <v>HCM_2016_QD_3384_XD</v>
      </c>
      <c r="K222" s="166"/>
      <c r="L222" s="156">
        <f>ROUND(G222*K184,2)</f>
        <v>10535.63</v>
      </c>
      <c r="M222" s="166"/>
      <c r="N222" s="166"/>
      <c r="O222" s="166"/>
      <c r="P222" s="156">
        <f>ROUND(G222*O184,2)</f>
        <v>0</v>
      </c>
      <c r="Q222" s="156">
        <f>ROUND(G222*N184,2)</f>
        <v>10535.63</v>
      </c>
    </row>
    <row r="223" spans="1:17" ht="30" hidden="1" x14ac:dyDescent="0.25">
      <c r="A223" s="168"/>
      <c r="B223" s="133" t="str">
        <f>'Công trình'!B24</f>
        <v>AF.61130</v>
      </c>
      <c r="C223" s="34"/>
      <c r="D223" s="133" t="str">
        <f>'Công trình'!C24</f>
        <v>Neo dầm mang cống bằng thép D32 SUS304</v>
      </c>
      <c r="E223" s="168"/>
      <c r="F223" s="20">
        <v>1</v>
      </c>
      <c r="G223" s="45">
        <f>'Hao phí vật tư'!L173</f>
        <v>9.9299999999999999E-2</v>
      </c>
      <c r="H223" s="166"/>
      <c r="I223" s="156">
        <f>ROUND(G223*H184,2)</f>
        <v>22644.77</v>
      </c>
      <c r="J223" s="20" t="str">
        <f>'Công trình'!X24</f>
        <v>HCM_2016_QD_3384_XD</v>
      </c>
      <c r="K223" s="166"/>
      <c r="L223" s="156">
        <f>ROUND(G223*K184,2)</f>
        <v>22644.77</v>
      </c>
      <c r="M223" s="166"/>
      <c r="N223" s="166"/>
      <c r="O223" s="166"/>
      <c r="P223" s="156">
        <f>ROUND(G223*O184,2)</f>
        <v>0</v>
      </c>
      <c r="Q223" s="156">
        <f>ROUND(G223*N184,2)</f>
        <v>22644.77</v>
      </c>
    </row>
    <row r="224" spans="1:17" ht="30" hidden="1" x14ac:dyDescent="0.25">
      <c r="A224" s="168"/>
      <c r="B224" s="133" t="str">
        <f>'Công trình'!B37</f>
        <v>AF.61521</v>
      </c>
      <c r="C224" s="34"/>
      <c r="D224" s="133" t="str">
        <f>'Công trình'!C37</f>
        <v>Sản xuất, lắp dựng cốt thép xà dầm, giằng đường kính &lt;=18mm, chiều cao &lt;=4m</v>
      </c>
      <c r="E224" s="168"/>
      <c r="F224" s="20">
        <v>1</v>
      </c>
      <c r="G224" s="45">
        <f>'Hao phí vật tư'!L287</f>
        <v>8.72E-2</v>
      </c>
      <c r="H224" s="166"/>
      <c r="I224" s="156">
        <f>ROUND(G224*H184,2)</f>
        <v>19885.439999999999</v>
      </c>
      <c r="J224" s="20" t="str">
        <f>'Công trình'!X37</f>
        <v>HCM_2016_QD_3384_XD</v>
      </c>
      <c r="K224" s="166"/>
      <c r="L224" s="156">
        <f>ROUND(G224*K184,2)</f>
        <v>19885.439999999999</v>
      </c>
      <c r="M224" s="166"/>
      <c r="N224" s="166"/>
      <c r="O224" s="166"/>
      <c r="P224" s="156">
        <f>ROUND(G224*O184,2)</f>
        <v>0</v>
      </c>
      <c r="Q224" s="156">
        <f>ROUND(G224*N184,2)</f>
        <v>19885.439999999999</v>
      </c>
    </row>
    <row r="225" spans="1:17" ht="30" hidden="1" x14ac:dyDescent="0.25">
      <c r="A225" s="168"/>
      <c r="B225" s="133" t="str">
        <f>'Công trình'!B36</f>
        <v>AF.61511</v>
      </c>
      <c r="C225" s="34"/>
      <c r="D225" s="133" t="str">
        <f>'Công trình'!C36</f>
        <v>Sản xuất, lắp dựng cốt thép xà dầm, giằng đường kính &lt;=10mm, chiều cao &lt;=4m</v>
      </c>
      <c r="E225" s="168"/>
      <c r="F225" s="20">
        <v>1</v>
      </c>
      <c r="G225" s="45">
        <f>'Hao phí vật tư'!L278</f>
        <v>0.15029999999999999</v>
      </c>
      <c r="H225" s="166"/>
      <c r="I225" s="156">
        <f>ROUND(G225*H184,2)</f>
        <v>34275.01</v>
      </c>
      <c r="J225" s="20" t="str">
        <f>'Công trình'!X36</f>
        <v>HCM_2016_QD_3384_XD</v>
      </c>
      <c r="K225" s="166"/>
      <c r="L225" s="156">
        <f>ROUND(G225*K184,2)</f>
        <v>34275.01</v>
      </c>
      <c r="M225" s="166"/>
      <c r="N225" s="166"/>
      <c r="O225" s="166"/>
      <c r="P225" s="156">
        <f>ROUND(G225*O184,2)</f>
        <v>0</v>
      </c>
      <c r="Q225" s="156">
        <f>ROUND(G225*N184,2)</f>
        <v>34275.01</v>
      </c>
    </row>
    <row r="226" spans="1:17" x14ac:dyDescent="0.25">
      <c r="A226" s="168">
        <v>26</v>
      </c>
      <c r="B226" s="84" t="s">
        <v>116</v>
      </c>
      <c r="C226" s="34">
        <v>699</v>
      </c>
      <c r="D226" s="144" t="s">
        <v>873</v>
      </c>
      <c r="E226" s="168" t="s">
        <v>76</v>
      </c>
      <c r="F226" s="34"/>
      <c r="G226" s="60">
        <f>SUM(G227:G231)</f>
        <v>42.909500000000001</v>
      </c>
      <c r="H226" s="166">
        <v>222547</v>
      </c>
      <c r="I226" s="166">
        <f>ROUND(G226*H226,0)</f>
        <v>9549380</v>
      </c>
      <c r="J226" s="34">
        <v>1</v>
      </c>
      <c r="K226" s="166">
        <f>'Tổng hợp VL,NC,M'!I1432</f>
        <v>222547</v>
      </c>
      <c r="L226" s="166">
        <f>ROUND(G226*K226,0)</f>
        <v>9549380</v>
      </c>
      <c r="M226" s="166"/>
      <c r="N226" s="166">
        <f>K226+M226</f>
        <v>222547</v>
      </c>
      <c r="O226" s="166">
        <f>N226-H226</f>
        <v>0</v>
      </c>
      <c r="P226" s="166">
        <f>ROUND(G226*O226,0)</f>
        <v>0</v>
      </c>
      <c r="Q226" s="166">
        <f>ROUND(G226*N226,0)</f>
        <v>9549380</v>
      </c>
    </row>
    <row r="227" spans="1:17" ht="30" hidden="1" x14ac:dyDescent="0.25">
      <c r="A227" s="168"/>
      <c r="B227" s="133" t="str">
        <f>'Công trình'!B92</f>
        <v>AF.11121</v>
      </c>
      <c r="C227" s="34"/>
      <c r="D227" s="133" t="str">
        <f>'Công trình'!C92</f>
        <v>Bê tông M100 đá 4x6</v>
      </c>
      <c r="E227" s="168"/>
      <c r="F227" s="20">
        <v>1</v>
      </c>
      <c r="G227" s="45">
        <f>'Hao phí vật tư'!L751</f>
        <v>9.1669999999999998</v>
      </c>
      <c r="H227" s="166"/>
      <c r="I227" s="156">
        <f>ROUND(G227*H226,2)</f>
        <v>2040088.35</v>
      </c>
      <c r="J227" s="20" t="str">
        <f>'Công trình'!X92</f>
        <v>HCM_2016_QD_3384_XD</v>
      </c>
      <c r="K227" s="166"/>
      <c r="L227" s="156">
        <f>ROUND(G227*K226,2)</f>
        <v>2040088.35</v>
      </c>
      <c r="M227" s="166"/>
      <c r="N227" s="166"/>
      <c r="O227" s="166"/>
      <c r="P227" s="156">
        <f>ROUND(G227*O226,2)</f>
        <v>0</v>
      </c>
      <c r="Q227" s="156">
        <f>ROUND(G227*N226,2)</f>
        <v>2040088.35</v>
      </c>
    </row>
    <row r="228" spans="1:17" ht="30" hidden="1" x14ac:dyDescent="0.25">
      <c r="A228" s="168"/>
      <c r="B228" s="133" t="str">
        <f>'Công trình'!B177</f>
        <v>AF.11121</v>
      </c>
      <c r="C228" s="34"/>
      <c r="D228" s="133" t="str">
        <f>'Công trình'!C177</f>
        <v>Bê tông lót móng rộng &gt;250cm đá 4x6, vữa BT mác 100</v>
      </c>
      <c r="E228" s="168"/>
      <c r="F228" s="20">
        <v>1</v>
      </c>
      <c r="G228" s="45">
        <f>'Hao phí vật tư'!L1343</f>
        <v>0.73599999999999999</v>
      </c>
      <c r="H228" s="166"/>
      <c r="I228" s="156">
        <f>ROUND(G228*H226,2)</f>
        <v>163794.59</v>
      </c>
      <c r="J228" s="20" t="str">
        <f>'Công trình'!X177</f>
        <v>HCM_2016_QD_3384_XD</v>
      </c>
      <c r="K228" s="166"/>
      <c r="L228" s="156">
        <f>ROUND(G228*K226,2)</f>
        <v>163794.59</v>
      </c>
      <c r="M228" s="166"/>
      <c r="N228" s="166"/>
      <c r="O228" s="166"/>
      <c r="P228" s="156">
        <f>ROUND(G228*O226,2)</f>
        <v>0</v>
      </c>
      <c r="Q228" s="156">
        <f>ROUND(G228*N226,2)</f>
        <v>163794.59</v>
      </c>
    </row>
    <row r="229" spans="1:17" ht="30" hidden="1" x14ac:dyDescent="0.25">
      <c r="A229" s="168"/>
      <c r="B229" s="133" t="str">
        <f>'Công trình'!B196</f>
        <v>AF.14315</v>
      </c>
      <c r="C229" s="34"/>
      <c r="D229" s="133" t="str">
        <f>'Công trình'!C196</f>
        <v>Bê tông mặt cầu đá 1x2, vữa BT mác 300</v>
      </c>
      <c r="E229" s="168"/>
      <c r="F229" s="20">
        <v>1</v>
      </c>
      <c r="G229" s="45">
        <f>'Hao phí vật tư'!L1505</f>
        <v>5.0071000000000003</v>
      </c>
      <c r="H229" s="166"/>
      <c r="I229" s="156">
        <f>ROUND(G229*H226,2)</f>
        <v>1114315.08</v>
      </c>
      <c r="J229" s="20" t="str">
        <f>'Công trình'!X196</f>
        <v>HCM_2016_QD_3384_XD</v>
      </c>
      <c r="K229" s="166"/>
      <c r="L229" s="156">
        <f>ROUND(G229*K226,2)</f>
        <v>1114315.08</v>
      </c>
      <c r="M229" s="166"/>
      <c r="N229" s="166"/>
      <c r="O229" s="166"/>
      <c r="P229" s="156">
        <f>ROUND(G229*O226,2)</f>
        <v>0</v>
      </c>
      <c r="Q229" s="156">
        <f>ROUND(G229*N226,2)</f>
        <v>1114315.08</v>
      </c>
    </row>
    <row r="230" spans="1:17" ht="30" hidden="1" x14ac:dyDescent="0.25">
      <c r="A230" s="168"/>
      <c r="B230" s="133" t="str">
        <f>'Công trình'!B9</f>
        <v>AF.11333</v>
      </c>
      <c r="C230" s="34"/>
      <c r="D230" s="133" t="str">
        <f>'Công trình'!C9</f>
        <v>Bê tông bịt đáy đá 4x6, vữa BT mác 200</v>
      </c>
      <c r="E230" s="168"/>
      <c r="F230" s="20">
        <v>1</v>
      </c>
      <c r="G230" s="45">
        <f>'Hao phí vật tư'!L48</f>
        <v>23.14</v>
      </c>
      <c r="H230" s="166"/>
      <c r="I230" s="156">
        <f>ROUND(G230*H226,2)</f>
        <v>5149737.58</v>
      </c>
      <c r="J230" s="20" t="str">
        <f>'Công trình'!X9</f>
        <v>HCM_2016_QD_3384_XD</v>
      </c>
      <c r="K230" s="166"/>
      <c r="L230" s="156">
        <f>ROUND(G230*K226,2)</f>
        <v>5149737.58</v>
      </c>
      <c r="M230" s="166"/>
      <c r="N230" s="166"/>
      <c r="O230" s="166"/>
      <c r="P230" s="156">
        <f>ROUND(G230*O226,2)</f>
        <v>0</v>
      </c>
      <c r="Q230" s="156">
        <f>ROUND(G230*N226,2)</f>
        <v>5149737.58</v>
      </c>
    </row>
    <row r="231" spans="1:17" ht="30" hidden="1" x14ac:dyDescent="0.25">
      <c r="A231" s="168"/>
      <c r="B231" s="133" t="str">
        <f>'Công trình'!B10</f>
        <v>AF.11121</v>
      </c>
      <c r="C231" s="34"/>
      <c r="D231" s="133" t="str">
        <f>'Công trình'!C10</f>
        <v>Bê tông lót móng rộng &gt;250cm đá 4x6, vữa BT mác 100</v>
      </c>
      <c r="E231" s="168"/>
      <c r="F231" s="20">
        <v>1</v>
      </c>
      <c r="G231" s="45">
        <f>'Hao phí vật tư'!L59</f>
        <v>4.8593999999999999</v>
      </c>
      <c r="H231" s="166"/>
      <c r="I231" s="156">
        <f>ROUND(G231*H226,2)</f>
        <v>1081444.8899999999</v>
      </c>
      <c r="J231" s="20" t="str">
        <f>'Công trình'!X10</f>
        <v>HCM_2016_QD_3384_XD</v>
      </c>
      <c r="K231" s="166"/>
      <c r="L231" s="156">
        <f>ROUND(G231*K226,2)</f>
        <v>1081444.8899999999</v>
      </c>
      <c r="M231" s="166"/>
      <c r="N231" s="166"/>
      <c r="O231" s="166"/>
      <c r="P231" s="156">
        <f>ROUND(G231*O226,2)</f>
        <v>0</v>
      </c>
      <c r="Q231" s="156">
        <f>ROUND(G231*N226,2)</f>
        <v>1081444.8899999999</v>
      </c>
    </row>
    <row r="232" spans="1:17" x14ac:dyDescent="0.25">
      <c r="A232" s="168">
        <v>27</v>
      </c>
      <c r="B232" s="84" t="s">
        <v>87</v>
      </c>
      <c r="C232" s="34">
        <v>750</v>
      </c>
      <c r="D232" s="144" t="s">
        <v>46</v>
      </c>
      <c r="E232" s="168" t="s">
        <v>76</v>
      </c>
      <c r="F232" s="34"/>
      <c r="G232" s="60">
        <f>SUM(G233:G257)</f>
        <v>119.81800000000003</v>
      </c>
      <c r="H232" s="166">
        <v>225765</v>
      </c>
      <c r="I232" s="166">
        <f>ROUND(G232*H232,0)</f>
        <v>27050711</v>
      </c>
      <c r="J232" s="34">
        <v>1</v>
      </c>
      <c r="K232" s="166">
        <f>'Tổng hợp VL,NC,M'!I1438</f>
        <v>225765</v>
      </c>
      <c r="L232" s="166">
        <f>ROUND(G232*K232,0)</f>
        <v>27050711</v>
      </c>
      <c r="M232" s="166"/>
      <c r="N232" s="166">
        <f>K232+M232</f>
        <v>225765</v>
      </c>
      <c r="O232" s="166">
        <f>N232-H232</f>
        <v>0</v>
      </c>
      <c r="P232" s="166">
        <f>ROUND(G232*O232,0)</f>
        <v>0</v>
      </c>
      <c r="Q232" s="166">
        <f>ROUND(G232*N232,0)</f>
        <v>27050711</v>
      </c>
    </row>
    <row r="233" spans="1:17" ht="30" hidden="1" x14ac:dyDescent="0.25">
      <c r="A233" s="168"/>
      <c r="B233" s="133" t="str">
        <f>'Công trình'!B18</f>
        <v>AF.12314</v>
      </c>
      <c r="C233" s="34"/>
      <c r="D233" s="133" t="str">
        <f>'Công trình'!C18</f>
        <v>Bê tông xà dầm, giằng nhà đá 1x2, vữa BT mác 250</v>
      </c>
      <c r="E233" s="168"/>
      <c r="F233" s="20">
        <v>1</v>
      </c>
      <c r="G233" s="45">
        <f>'Hao phí vật tư'!L132</f>
        <v>11.665800000000001</v>
      </c>
      <c r="H233" s="166"/>
      <c r="I233" s="156">
        <f>ROUND(G233*H232,2)</f>
        <v>2633729.34</v>
      </c>
      <c r="J233" s="20" t="str">
        <f>'Công trình'!X18</f>
        <v>HCM_2016_QD_3384_XD</v>
      </c>
      <c r="K233" s="166"/>
      <c r="L233" s="156">
        <f>ROUND(G233*K232,2)</f>
        <v>2633729.34</v>
      </c>
      <c r="M233" s="166"/>
      <c r="N233" s="166"/>
      <c r="O233" s="166"/>
      <c r="P233" s="156">
        <f>ROUND(G233*O232,2)</f>
        <v>0</v>
      </c>
      <c r="Q233" s="156">
        <f>ROUND(G233*N232,2)</f>
        <v>2633729.34</v>
      </c>
    </row>
    <row r="234" spans="1:17" ht="30" hidden="1" x14ac:dyDescent="0.25">
      <c r="A234" s="168"/>
      <c r="B234" s="133" t="str">
        <f>'Công trình'!B30</f>
        <v>AF.12113</v>
      </c>
      <c r="C234" s="34"/>
      <c r="D234" s="133" t="str">
        <f>'Công trình'!C30</f>
        <v>Bê tông tường dày &lt;=45cm, chiều cao &lt;=4m đá 1x2, vữa BT mác 200</v>
      </c>
      <c r="E234" s="168"/>
      <c r="F234" s="20">
        <v>1</v>
      </c>
      <c r="G234" s="45">
        <f>'Hao phí vật tư'!L212</f>
        <v>4.7123999999999997</v>
      </c>
      <c r="H234" s="166"/>
      <c r="I234" s="156">
        <f>ROUND(G234*H232,2)</f>
        <v>1063894.99</v>
      </c>
      <c r="J234" s="20" t="str">
        <f>'Công trình'!X30</f>
        <v>HCM_2016_QD_3384_XD</v>
      </c>
      <c r="K234" s="166"/>
      <c r="L234" s="156">
        <f>ROUND(G234*K232,2)</f>
        <v>1063894.99</v>
      </c>
      <c r="M234" s="166"/>
      <c r="N234" s="166"/>
      <c r="O234" s="166"/>
      <c r="P234" s="156">
        <f>ROUND(G234*O232,2)</f>
        <v>0</v>
      </c>
      <c r="Q234" s="156">
        <f>ROUND(G234*N232,2)</f>
        <v>1063894.99</v>
      </c>
    </row>
    <row r="235" spans="1:17" ht="30" hidden="1" x14ac:dyDescent="0.25">
      <c r="A235" s="168"/>
      <c r="B235" s="133" t="str">
        <f>'Công trình'!B43</f>
        <v>AF.11212</v>
      </c>
      <c r="C235" s="34"/>
      <c r="D235" s="133" t="str">
        <f>'Công trình'!C43</f>
        <v>Bê tông móng rộng &lt;=250cm đá 1x2, vữa BT mác 150</v>
      </c>
      <c r="E235" s="168"/>
      <c r="F235" s="20">
        <v>1</v>
      </c>
      <c r="G235" s="45">
        <f>'Hao phí vật tư'!L329</f>
        <v>5.3E-3</v>
      </c>
      <c r="H235" s="166"/>
      <c r="I235" s="156">
        <f>ROUND(G235*H232,2)</f>
        <v>1196.55</v>
      </c>
      <c r="J235" s="20" t="str">
        <f>'Công trình'!X43</f>
        <v>HCM_2016_QD_3384_XD</v>
      </c>
      <c r="K235" s="166"/>
      <c r="L235" s="156">
        <f>ROUND(G235*K232,2)</f>
        <v>1196.55</v>
      </c>
      <c r="M235" s="166"/>
      <c r="N235" s="166"/>
      <c r="O235" s="166"/>
      <c r="P235" s="156">
        <f>ROUND(G235*O232,2)</f>
        <v>0</v>
      </c>
      <c r="Q235" s="156">
        <f>ROUND(G235*N232,2)</f>
        <v>1196.55</v>
      </c>
    </row>
    <row r="236" spans="1:17" ht="30" hidden="1" x14ac:dyDescent="0.25">
      <c r="A236" s="168"/>
      <c r="B236" s="133" t="str">
        <f>'Công trình'!B44</f>
        <v>AF.11213</v>
      </c>
      <c r="C236" s="34"/>
      <c r="D236" s="133" t="str">
        <f>'Công trình'!C44</f>
        <v>Bê tông móng rộng &lt;=250cm đá 1x2, vữa BT mác 200</v>
      </c>
      <c r="E236" s="168"/>
      <c r="F236" s="20">
        <v>1</v>
      </c>
      <c r="G236" s="45">
        <f>'Hao phí vật tư'!L341</f>
        <v>1.78E-2</v>
      </c>
      <c r="H236" s="166"/>
      <c r="I236" s="156">
        <f>ROUND(G236*H232,2)</f>
        <v>4018.62</v>
      </c>
      <c r="J236" s="20" t="str">
        <f>'Công trình'!X44</f>
        <v>HCM_2016_QD_3384_XD</v>
      </c>
      <c r="K236" s="166"/>
      <c r="L236" s="156">
        <f>ROUND(G236*K232,2)</f>
        <v>4018.62</v>
      </c>
      <c r="M236" s="166"/>
      <c r="N236" s="166"/>
      <c r="O236" s="166"/>
      <c r="P236" s="156">
        <f>ROUND(G236*O232,2)</f>
        <v>0</v>
      </c>
      <c r="Q236" s="156">
        <f>ROUND(G236*N232,2)</f>
        <v>4018.62</v>
      </c>
    </row>
    <row r="237" spans="1:17" ht="30" hidden="1" x14ac:dyDescent="0.25">
      <c r="A237" s="168"/>
      <c r="B237" s="133" t="str">
        <f>'Công trình'!B57</f>
        <v>AF.12313</v>
      </c>
      <c r="C237" s="34"/>
      <c r="D237" s="133" t="str">
        <f>'Công trình'!C57</f>
        <v>Bê tông xà dầm, giằng đá 1x2, vữa BT mác 200</v>
      </c>
      <c r="E237" s="168"/>
      <c r="F237" s="20">
        <v>1</v>
      </c>
      <c r="G237" s="45">
        <f>'Hao phí vật tư'!L429</f>
        <v>6.2766000000000002</v>
      </c>
      <c r="H237" s="166"/>
      <c r="I237" s="156">
        <f>ROUND(G237*H232,2)</f>
        <v>1417036.6</v>
      </c>
      <c r="J237" s="20" t="str">
        <f>'Công trình'!X57</f>
        <v>HCM_2016_QD_3384_XD</v>
      </c>
      <c r="K237" s="166"/>
      <c r="L237" s="156">
        <f>ROUND(G237*K232,2)</f>
        <v>1417036.6</v>
      </c>
      <c r="M237" s="166"/>
      <c r="N237" s="166"/>
      <c r="O237" s="166"/>
      <c r="P237" s="156">
        <f>ROUND(G237*O232,2)</f>
        <v>0</v>
      </c>
      <c r="Q237" s="156">
        <f>ROUND(G237*N232,2)</f>
        <v>1417036.6</v>
      </c>
    </row>
    <row r="238" spans="1:17" ht="30" hidden="1" x14ac:dyDescent="0.25">
      <c r="A238" s="168"/>
      <c r="B238" s="133" t="str">
        <f>'Công trình'!B63</f>
        <v>AF.11223</v>
      </c>
      <c r="C238" s="34"/>
      <c r="D238" s="133" t="str">
        <f>'Công trình'!C63</f>
        <v>Bê tông lát mái rộng &gt;250cm đá 1x2, vữa BT mác 200</v>
      </c>
      <c r="E238" s="168"/>
      <c r="F238" s="20">
        <v>1</v>
      </c>
      <c r="G238" s="45">
        <f>'Hao phí vật tư'!L484</f>
        <v>14.507899999999999</v>
      </c>
      <c r="H238" s="166"/>
      <c r="I238" s="156">
        <f>ROUND(G238*H232,2)</f>
        <v>3275376.04</v>
      </c>
      <c r="J238" s="20" t="str">
        <f>'Công trình'!X63</f>
        <v>HCM_2016_QD_3384_XD</v>
      </c>
      <c r="K238" s="166"/>
      <c r="L238" s="156">
        <f>ROUND(G238*K232,2)</f>
        <v>3275376.04</v>
      </c>
      <c r="M238" s="166"/>
      <c r="N238" s="166"/>
      <c r="O238" s="166"/>
      <c r="P238" s="156">
        <f>ROUND(G238*O232,2)</f>
        <v>0</v>
      </c>
      <c r="Q238" s="156">
        <f>ROUND(G238*N232,2)</f>
        <v>3275376.04</v>
      </c>
    </row>
    <row r="239" spans="1:17" ht="30" hidden="1" x14ac:dyDescent="0.25">
      <c r="A239" s="168"/>
      <c r="B239" s="133" t="str">
        <f>'Công trình'!B68</f>
        <v>AG.11125</v>
      </c>
      <c r="C239" s="34"/>
      <c r="D239" s="133" t="str">
        <f>'Công trình'!C68</f>
        <v>Sản xuất bê tông cọc cừ đúc sẵn đá 1x2, vữa BT mác 300</v>
      </c>
      <c r="E239" s="168"/>
      <c r="F239" s="20">
        <v>1</v>
      </c>
      <c r="G239" s="45">
        <f>'Hao phí vật tư'!L514</f>
        <v>8.5692000000000004</v>
      </c>
      <c r="H239" s="166"/>
      <c r="I239" s="156">
        <f>ROUND(G239*H232,2)</f>
        <v>1934625.44</v>
      </c>
      <c r="J239" s="20" t="str">
        <f>'Công trình'!X68</f>
        <v>HCM_2016_QD_3384_XD</v>
      </c>
      <c r="K239" s="166"/>
      <c r="L239" s="156">
        <f>ROUND(G239*K232,2)</f>
        <v>1934625.44</v>
      </c>
      <c r="M239" s="166"/>
      <c r="N239" s="166"/>
      <c r="O239" s="166"/>
      <c r="P239" s="156">
        <f>ROUND(G239*O232,2)</f>
        <v>0</v>
      </c>
      <c r="Q239" s="156">
        <f>ROUND(G239*N232,2)</f>
        <v>1934625.44</v>
      </c>
    </row>
    <row r="240" spans="1:17" ht="30" hidden="1" x14ac:dyDescent="0.25">
      <c r="A240" s="168"/>
      <c r="B240" s="133" t="str">
        <f>'Công trình'!B79</f>
        <v>AG.11125</v>
      </c>
      <c r="C240" s="34"/>
      <c r="D240" s="133" t="str">
        <f>'Công trình'!C79</f>
        <v>Sản xuất bê tông cọc cừ đúc sẵn đá 1x2, vữa BT mác 300</v>
      </c>
      <c r="E240" s="168"/>
      <c r="F240" s="20">
        <v>1</v>
      </c>
      <c r="G240" s="45">
        <f>'Hao phí vật tư'!L630</f>
        <v>3.3563999999999998</v>
      </c>
      <c r="H240" s="166"/>
      <c r="I240" s="156">
        <f>ROUND(G240*H232,2)</f>
        <v>757757.65</v>
      </c>
      <c r="J240" s="20" t="str">
        <f>'Công trình'!X79</f>
        <v>HCM_2016_QD_3384_XD</v>
      </c>
      <c r="K240" s="166"/>
      <c r="L240" s="156">
        <f>ROUND(G240*K232,2)</f>
        <v>757757.65</v>
      </c>
      <c r="M240" s="166"/>
      <c r="N240" s="166"/>
      <c r="O240" s="166"/>
      <c r="P240" s="156">
        <f>ROUND(G240*O232,2)</f>
        <v>0</v>
      </c>
      <c r="Q240" s="156">
        <f>ROUND(G240*N232,2)</f>
        <v>757757.65</v>
      </c>
    </row>
    <row r="241" spans="1:17" ht="30" hidden="1" x14ac:dyDescent="0.25">
      <c r="A241" s="168"/>
      <c r="B241" s="133" t="str">
        <f>'Công trình'!B174</f>
        <v>AF.14115</v>
      </c>
      <c r="C241" s="34"/>
      <c r="D241" s="133" t="str">
        <f>'Công trình'!C174</f>
        <v>Bê tông móng, mố trụ cầu trên cạn đá 1x2, vữa BT mác 300</v>
      </c>
      <c r="E241" s="168"/>
      <c r="F241" s="20">
        <v>1</v>
      </c>
      <c r="G241" s="45">
        <f>'Hao phí vật tư'!L1308</f>
        <v>8.7637999999999998</v>
      </c>
      <c r="H241" s="166"/>
      <c r="I241" s="156">
        <f>ROUND(G241*H232,2)</f>
        <v>1978559.31</v>
      </c>
      <c r="J241" s="20" t="str">
        <f>'Công trình'!X174</f>
        <v>HCM_2016_QD_3384_XD</v>
      </c>
      <c r="K241" s="166"/>
      <c r="L241" s="156">
        <f>ROUND(G241*K232,2)</f>
        <v>1978559.31</v>
      </c>
      <c r="M241" s="166"/>
      <c r="N241" s="166"/>
      <c r="O241" s="166"/>
      <c r="P241" s="156">
        <f>ROUND(G241*O232,2)</f>
        <v>0</v>
      </c>
      <c r="Q241" s="156">
        <f>ROUND(G241*N232,2)</f>
        <v>1978559.31</v>
      </c>
    </row>
    <row r="242" spans="1:17" ht="30" hidden="1" x14ac:dyDescent="0.25">
      <c r="A242" s="168"/>
      <c r="B242" s="133" t="str">
        <f>'Công trình'!B186</f>
        <v>AF.14115</v>
      </c>
      <c r="C242" s="34"/>
      <c r="D242" s="133" t="str">
        <f>'Công trình'!C186</f>
        <v>Bê tông móng, mố trụ cầu trên cạn đá 1x2, vữa BT mác 300</v>
      </c>
      <c r="E242" s="168"/>
      <c r="F242" s="20">
        <v>1</v>
      </c>
      <c r="G242" s="45">
        <f>'Hao phí vật tư'!L1425</f>
        <v>0.31330000000000002</v>
      </c>
      <c r="H242" s="166"/>
      <c r="I242" s="156">
        <f>ROUND(G242*H232,2)</f>
        <v>70732.17</v>
      </c>
      <c r="J242" s="20" t="str">
        <f>'Công trình'!X186</f>
        <v>HCM_2016_QD_3384_XD</v>
      </c>
      <c r="K242" s="166"/>
      <c r="L242" s="156">
        <f>ROUND(G242*K232,2)</f>
        <v>70732.17</v>
      </c>
      <c r="M242" s="166"/>
      <c r="N242" s="166"/>
      <c r="O242" s="166"/>
      <c r="P242" s="156">
        <f>ROUND(G242*O232,2)</f>
        <v>0</v>
      </c>
      <c r="Q242" s="156">
        <f>ROUND(G242*N232,2)</f>
        <v>70732.17</v>
      </c>
    </row>
    <row r="243" spans="1:17" ht="30" hidden="1" x14ac:dyDescent="0.25">
      <c r="A243" s="168"/>
      <c r="B243" s="133" t="str">
        <f>'Công trình'!B197</f>
        <v>AF.15225</v>
      </c>
      <c r="C243" s="34"/>
      <c r="D243" s="133" t="str">
        <f>'Công trình'!C197</f>
        <v>Bê tông dầm cầu đá 1x2, vữa BT mác 300</v>
      </c>
      <c r="E243" s="168"/>
      <c r="F243" s="20">
        <v>1</v>
      </c>
      <c r="G243" s="45">
        <f>'Hao phí vật tư'!L1521</f>
        <v>0.61399999999999999</v>
      </c>
      <c r="H243" s="166"/>
      <c r="I243" s="156">
        <f>ROUND(G243*H232,2)</f>
        <v>138619.71</v>
      </c>
      <c r="J243" s="20" t="str">
        <f>'Công trình'!X197</f>
        <v>HCM_2016_QD_3384_XD</v>
      </c>
      <c r="K243" s="166"/>
      <c r="L243" s="156">
        <f>ROUND(G243*K232,2)</f>
        <v>138619.71</v>
      </c>
      <c r="M243" s="166"/>
      <c r="N243" s="166"/>
      <c r="O243" s="166"/>
      <c r="P243" s="156">
        <f>ROUND(G243*O232,2)</f>
        <v>0</v>
      </c>
      <c r="Q243" s="156">
        <f>ROUND(G243*N232,2)</f>
        <v>138619.71</v>
      </c>
    </row>
    <row r="244" spans="1:17" ht="30" hidden="1" x14ac:dyDescent="0.25">
      <c r="A244" s="168"/>
      <c r="B244" s="133" t="str">
        <f>'Công trình'!B217</f>
        <v>AF.11215</v>
      </c>
      <c r="C244" s="34"/>
      <c r="D244" s="133" t="str">
        <f>'Công trình'!C217</f>
        <v>BT M300 đổ sau có phụ gia</v>
      </c>
      <c r="E244" s="168"/>
      <c r="F244" s="20">
        <v>1</v>
      </c>
      <c r="G244" s="45">
        <f>'Hao phí vật tư'!L1641</f>
        <v>0.10059999999999999</v>
      </c>
      <c r="H244" s="166"/>
      <c r="I244" s="156">
        <f>ROUND(G244*H232,2)</f>
        <v>22711.96</v>
      </c>
      <c r="J244" s="20" t="str">
        <f>'Công trình'!X217</f>
        <v>HCM_2016_QD_3384_XD</v>
      </c>
      <c r="K244" s="166"/>
      <c r="L244" s="156">
        <f>ROUND(G244*K232,2)</f>
        <v>22711.96</v>
      </c>
      <c r="M244" s="166"/>
      <c r="N244" s="166"/>
      <c r="O244" s="166"/>
      <c r="P244" s="156">
        <f>ROUND(G244*O232,2)</f>
        <v>0</v>
      </c>
      <c r="Q244" s="156">
        <f>ROUND(G244*N232,2)</f>
        <v>22711.96</v>
      </c>
    </row>
    <row r="245" spans="1:17" ht="30" hidden="1" x14ac:dyDescent="0.25">
      <c r="A245" s="168"/>
      <c r="B245" s="133" t="str">
        <f>'Công trình'!B225</f>
        <v>AG.11125</v>
      </c>
      <c r="C245" s="34"/>
      <c r="D245" s="133" t="str">
        <f>'Công trình'!C225</f>
        <v>Sản xuất bê tông cọc cừ đúc sẵn đá 1x2, vữa BT mác 300</v>
      </c>
      <c r="E245" s="168"/>
      <c r="F245" s="20">
        <v>1</v>
      </c>
      <c r="G245" s="45">
        <f>'Hao phí vật tư'!L1690</f>
        <v>9.2615999999999996</v>
      </c>
      <c r="H245" s="166"/>
      <c r="I245" s="156">
        <f>ROUND(G245*H232,2)</f>
        <v>2090945.12</v>
      </c>
      <c r="J245" s="20" t="str">
        <f>'Công trình'!X225</f>
        <v>HCM_2016_QD_3384_XD</v>
      </c>
      <c r="K245" s="166"/>
      <c r="L245" s="156">
        <f>ROUND(G245*K232,2)</f>
        <v>2090945.12</v>
      </c>
      <c r="M245" s="166"/>
      <c r="N245" s="166"/>
      <c r="O245" s="166"/>
      <c r="P245" s="156">
        <f>ROUND(G245*O232,2)</f>
        <v>0</v>
      </c>
      <c r="Q245" s="156">
        <f>ROUND(G245*N232,2)</f>
        <v>2090945.12</v>
      </c>
    </row>
    <row r="246" spans="1:17" ht="30" hidden="1" x14ac:dyDescent="0.25">
      <c r="A246" s="168"/>
      <c r="B246" s="133" t="str">
        <f>'Công trình'!B247</f>
        <v>AF.12313</v>
      </c>
      <c r="C246" s="34"/>
      <c r="D246" s="133" t="str">
        <f>'Công trình'!C247</f>
        <v>Bê tông dầm chặn chân, đá 1x2, vữa BT mác 200</v>
      </c>
      <c r="E246" s="168"/>
      <c r="F246" s="20">
        <v>1</v>
      </c>
      <c r="G246" s="45">
        <f>'Hao phí vật tư'!L1874</f>
        <v>3.2111999999999998</v>
      </c>
      <c r="H246" s="166"/>
      <c r="I246" s="156">
        <f>ROUND(G246*H232,2)</f>
        <v>724976.57</v>
      </c>
      <c r="J246" s="20" t="str">
        <f>'Công trình'!X247</f>
        <v>HCM_2016_QD_3384_XD</v>
      </c>
      <c r="K246" s="166"/>
      <c r="L246" s="156">
        <f>ROUND(G246*K232,2)</f>
        <v>724976.57</v>
      </c>
      <c r="M246" s="166"/>
      <c r="N246" s="166"/>
      <c r="O246" s="166"/>
      <c r="P246" s="156">
        <f>ROUND(G246*O232,2)</f>
        <v>0</v>
      </c>
      <c r="Q246" s="156">
        <f>ROUND(G246*N232,2)</f>
        <v>724976.57</v>
      </c>
    </row>
    <row r="247" spans="1:17" ht="30" hidden="1" x14ac:dyDescent="0.25">
      <c r="A247" s="168"/>
      <c r="B247" s="133" t="str">
        <f>'Công trình'!B267</f>
        <v>AF.11212</v>
      </c>
      <c r="C247" s="34"/>
      <c r="D247" s="133" t="str">
        <f>'Công trình'!C267</f>
        <v>Bê tông móng rộng &lt;=250cm đá 1x2, vữa BT mác 150</v>
      </c>
      <c r="E247" s="168"/>
      <c r="F247" s="20">
        <v>1</v>
      </c>
      <c r="G247" s="45">
        <f>'Hao phí vật tư'!L2039</f>
        <v>0.30259999999999998</v>
      </c>
      <c r="H247" s="166"/>
      <c r="I247" s="156">
        <f>ROUND(G247*H232,2)</f>
        <v>68316.490000000005</v>
      </c>
      <c r="J247" s="20" t="str">
        <f>'Công trình'!X267</f>
        <v>HCM_2016_QD_3384_XD</v>
      </c>
      <c r="K247" s="166"/>
      <c r="L247" s="156">
        <f>ROUND(G247*K232,2)</f>
        <v>68316.490000000005</v>
      </c>
      <c r="M247" s="166"/>
      <c r="N247" s="166"/>
      <c r="O247" s="166"/>
      <c r="P247" s="156">
        <f>ROUND(G247*O232,2)</f>
        <v>0</v>
      </c>
      <c r="Q247" s="156">
        <f>ROUND(G247*N232,2)</f>
        <v>68316.490000000005</v>
      </c>
    </row>
    <row r="248" spans="1:17" ht="30" hidden="1" x14ac:dyDescent="0.25">
      <c r="A248" s="168"/>
      <c r="B248" s="133" t="str">
        <f>'Công trình'!B284</f>
        <v>AF.11213</v>
      </c>
      <c r="C248" s="34"/>
      <c r="D248" s="133" t="str">
        <f>'Công trình'!C284</f>
        <v>Bê tông móng rộng &lt;=250cm đá 1x2, vữa BT mác 200</v>
      </c>
      <c r="E248" s="168"/>
      <c r="F248" s="20">
        <v>1</v>
      </c>
      <c r="G248" s="45">
        <f>'Hao phí vật tư'!L2130</f>
        <v>0.69779999999999998</v>
      </c>
      <c r="H248" s="166"/>
      <c r="I248" s="156">
        <f>ROUND(G248*H232,2)</f>
        <v>157538.82</v>
      </c>
      <c r="J248" s="20" t="str">
        <f>'Công trình'!X284</f>
        <v>HCM_2016_QD_3384_XD</v>
      </c>
      <c r="K248" s="166"/>
      <c r="L248" s="156">
        <f>ROUND(G248*K232,2)</f>
        <v>157538.82</v>
      </c>
      <c r="M248" s="166"/>
      <c r="N248" s="166"/>
      <c r="O248" s="166"/>
      <c r="P248" s="156">
        <f>ROUND(G248*O232,2)</f>
        <v>0</v>
      </c>
      <c r="Q248" s="156">
        <f>ROUND(G248*N232,2)</f>
        <v>157538.82</v>
      </c>
    </row>
    <row r="249" spans="1:17" ht="30" hidden="1" x14ac:dyDescent="0.25">
      <c r="A249" s="168"/>
      <c r="B249" s="133" t="str">
        <f>'Công trình'!B285</f>
        <v>AF.11212</v>
      </c>
      <c r="C249" s="34"/>
      <c r="D249" s="133" t="str">
        <f>'Công trình'!C285</f>
        <v>Bê tông móng rộng &lt;=250cm đá 1x2, vữa BT mác 150</v>
      </c>
      <c r="E249" s="168"/>
      <c r="F249" s="20">
        <v>1</v>
      </c>
      <c r="G249" s="45">
        <f>'Hao phí vật tư'!L2142</f>
        <v>0.1246</v>
      </c>
      <c r="H249" s="166"/>
      <c r="I249" s="156">
        <f>ROUND(G249*H232,2)</f>
        <v>28130.32</v>
      </c>
      <c r="J249" s="20" t="str">
        <f>'Công trình'!X285</f>
        <v>HCM_2016_QD_3384_XD</v>
      </c>
      <c r="K249" s="166"/>
      <c r="L249" s="156">
        <f>ROUND(G249*K232,2)</f>
        <v>28130.32</v>
      </c>
      <c r="M249" s="166"/>
      <c r="N249" s="166"/>
      <c r="O249" s="166"/>
      <c r="P249" s="156">
        <f>ROUND(G249*O232,2)</f>
        <v>0</v>
      </c>
      <c r="Q249" s="156">
        <f>ROUND(G249*N232,2)</f>
        <v>28130.32</v>
      </c>
    </row>
    <row r="250" spans="1:17" ht="30" hidden="1" x14ac:dyDescent="0.25">
      <c r="A250" s="168"/>
      <c r="B250" s="133" t="str">
        <f>'Công trình'!B295</f>
        <v>AF.11213</v>
      </c>
      <c r="C250" s="34"/>
      <c r="D250" s="133" t="str">
        <f>'Công trình'!C295</f>
        <v>Bê tông móng rộng &lt;=250cm đá 1x2, vữa BT mác 200</v>
      </c>
      <c r="E250" s="168"/>
      <c r="F250" s="20">
        <v>1</v>
      </c>
      <c r="G250" s="45">
        <f>'Hao phí vật tư'!L2214</f>
        <v>1.5100000000000001E-2</v>
      </c>
      <c r="H250" s="166"/>
      <c r="I250" s="156">
        <f>ROUND(G250*H232,2)</f>
        <v>3409.05</v>
      </c>
      <c r="J250" s="20" t="str">
        <f>'Công trình'!X295</f>
        <v>HCM_2016_QD_3384_XD</v>
      </c>
      <c r="K250" s="166"/>
      <c r="L250" s="156">
        <f>ROUND(G250*K232,2)</f>
        <v>3409.05</v>
      </c>
      <c r="M250" s="166"/>
      <c r="N250" s="166"/>
      <c r="O250" s="166"/>
      <c r="P250" s="156">
        <f>ROUND(G250*O232,2)</f>
        <v>0</v>
      </c>
      <c r="Q250" s="156">
        <f>ROUND(G250*N232,2)</f>
        <v>3409.05</v>
      </c>
    </row>
    <row r="251" spans="1:17" ht="30" hidden="1" x14ac:dyDescent="0.25">
      <c r="A251" s="168"/>
      <c r="B251" s="133" t="str">
        <f>'Công trình'!B296</f>
        <v>AF.11212</v>
      </c>
      <c r="C251" s="34"/>
      <c r="D251" s="133" t="str">
        <f>'Công trình'!C296</f>
        <v>Bê tông móng rộng &lt;=250cm đá 1x2, vữa BT mác 150</v>
      </c>
      <c r="E251" s="168"/>
      <c r="F251" s="20">
        <v>1</v>
      </c>
      <c r="G251" s="45">
        <f>'Hao phí vật tư'!L2226</f>
        <v>5.3E-3</v>
      </c>
      <c r="H251" s="166"/>
      <c r="I251" s="156">
        <f>ROUND(G251*H232,2)</f>
        <v>1196.55</v>
      </c>
      <c r="J251" s="20" t="str">
        <f>'Công trình'!X296</f>
        <v>HCM_2016_QD_3384_XD</v>
      </c>
      <c r="K251" s="166"/>
      <c r="L251" s="156">
        <f>ROUND(G251*K232,2)</f>
        <v>1196.55</v>
      </c>
      <c r="M251" s="166"/>
      <c r="N251" s="166"/>
      <c r="O251" s="166"/>
      <c r="P251" s="156">
        <f>ROUND(G251*O232,2)</f>
        <v>0</v>
      </c>
      <c r="Q251" s="156">
        <f>ROUND(G251*N232,2)</f>
        <v>1196.55</v>
      </c>
    </row>
    <row r="252" spans="1:17" ht="30" hidden="1" x14ac:dyDescent="0.25">
      <c r="A252" s="168"/>
      <c r="B252" s="133" t="str">
        <f>'Công trình'!B300</f>
        <v>AG.11113</v>
      </c>
      <c r="C252" s="34"/>
      <c r="D252" s="133" t="str">
        <f>'Công trình'!C300</f>
        <v>Sản xuất bê tông cọc, cột đúc sẵn đá 1x2, vữa BT mác 200</v>
      </c>
      <c r="E252" s="168"/>
      <c r="F252" s="20">
        <v>1</v>
      </c>
      <c r="G252" s="45">
        <f>'Hao phí vật tư'!L2248</f>
        <v>0.16200000000000001</v>
      </c>
      <c r="H252" s="166"/>
      <c r="I252" s="156">
        <f>ROUND(G252*H232,2)</f>
        <v>36573.93</v>
      </c>
      <c r="J252" s="20" t="str">
        <f>'Công trình'!X300</f>
        <v>HCM_2016_QD_3384_XD</v>
      </c>
      <c r="K252" s="166"/>
      <c r="L252" s="156">
        <f>ROUND(G252*K232,2)</f>
        <v>36573.93</v>
      </c>
      <c r="M252" s="166"/>
      <c r="N252" s="166"/>
      <c r="O252" s="166"/>
      <c r="P252" s="156">
        <f>ROUND(G252*O232,2)</f>
        <v>0</v>
      </c>
      <c r="Q252" s="156">
        <f>ROUND(G252*N232,2)</f>
        <v>36573.93</v>
      </c>
    </row>
    <row r="253" spans="1:17" ht="30" hidden="1" x14ac:dyDescent="0.25">
      <c r="A253" s="168"/>
      <c r="B253" s="133" t="str">
        <f>'Công trình'!B301</f>
        <v>AF.11212</v>
      </c>
      <c r="C253" s="34"/>
      <c r="D253" s="133" t="str">
        <f>'Công trình'!C301</f>
        <v>Bê tông móng rộng &lt;=250cm đá 1x2, vữa BT mác 150</v>
      </c>
      <c r="E253" s="168"/>
      <c r="F253" s="20">
        <v>1</v>
      </c>
      <c r="G253" s="45">
        <f>'Hao phí vật tư'!L2261</f>
        <v>0.12820000000000001</v>
      </c>
      <c r="H253" s="166"/>
      <c r="I253" s="156">
        <f>ROUND(G253*H232,2)</f>
        <v>28943.07</v>
      </c>
      <c r="J253" s="20" t="str">
        <f>'Công trình'!X301</f>
        <v>HCM_2016_QD_3384_XD</v>
      </c>
      <c r="K253" s="166"/>
      <c r="L253" s="156">
        <f>ROUND(G253*K232,2)</f>
        <v>28943.07</v>
      </c>
      <c r="M253" s="166"/>
      <c r="N253" s="166"/>
      <c r="O253" s="166"/>
      <c r="P253" s="156">
        <f>ROUND(G253*O232,2)</f>
        <v>0</v>
      </c>
      <c r="Q253" s="156">
        <f>ROUND(G253*N232,2)</f>
        <v>28943.07</v>
      </c>
    </row>
    <row r="254" spans="1:17" ht="30" hidden="1" x14ac:dyDescent="0.25">
      <c r="A254" s="168"/>
      <c r="B254" s="133" t="str">
        <f>'Công trình'!B7</f>
        <v>AF.11224</v>
      </c>
      <c r="C254" s="34"/>
      <c r="D254" s="133" t="str">
        <f>'Công trình'!C7</f>
        <v>Bê tông móng rộng &gt;250cm đá 1x2, vữa BT mác 250</v>
      </c>
      <c r="E254" s="168"/>
      <c r="F254" s="20">
        <v>1</v>
      </c>
      <c r="G254" s="45">
        <f>'Hao phí vật tư'!L20</f>
        <v>14.626300000000001</v>
      </c>
      <c r="H254" s="166"/>
      <c r="I254" s="156">
        <f>ROUND(G254*H232,2)</f>
        <v>3302106.62</v>
      </c>
      <c r="J254" s="20" t="str">
        <f>'Công trình'!X7</f>
        <v>HCM_2016_QD_3384_XD</v>
      </c>
      <c r="K254" s="166"/>
      <c r="L254" s="156">
        <f>ROUND(G254*K232,2)</f>
        <v>3302106.62</v>
      </c>
      <c r="M254" s="166"/>
      <c r="N254" s="166"/>
      <c r="O254" s="166"/>
      <c r="P254" s="156">
        <f>ROUND(G254*O232,2)</f>
        <v>0</v>
      </c>
      <c r="Q254" s="156">
        <f>ROUND(G254*N232,2)</f>
        <v>3302106.62</v>
      </c>
    </row>
    <row r="255" spans="1:17" ht="30" hidden="1" x14ac:dyDescent="0.25">
      <c r="A255" s="168"/>
      <c r="B255" s="133" t="str">
        <f>'Công trình'!B8</f>
        <v>AF.12144</v>
      </c>
      <c r="C255" s="34"/>
      <c r="D255" s="133" t="str">
        <f>'Công trình'!C8</f>
        <v>Bê tông tường dày &gt;45cm, chiều cao &lt;=16m đá 1x2, vữa BT mác 250</v>
      </c>
      <c r="E255" s="168"/>
      <c r="F255" s="20">
        <v>1</v>
      </c>
      <c r="G255" s="45">
        <f>'Hao phí vật tư'!L36</f>
        <v>28.9206</v>
      </c>
      <c r="H255" s="166"/>
      <c r="I255" s="156">
        <f>ROUND(G255*H232,2)</f>
        <v>6529259.2599999998</v>
      </c>
      <c r="J255" s="20" t="str">
        <f>'Công trình'!X8</f>
        <v>HCM_2016_QD_3384_XD</v>
      </c>
      <c r="K255" s="166"/>
      <c r="L255" s="156">
        <f>ROUND(G255*K232,2)</f>
        <v>6529259.2599999998</v>
      </c>
      <c r="M255" s="166"/>
      <c r="N255" s="166"/>
      <c r="O255" s="166"/>
      <c r="P255" s="156">
        <f>ROUND(G255*O232,2)</f>
        <v>0</v>
      </c>
      <c r="Q255" s="156">
        <f>ROUND(G255*N232,2)</f>
        <v>6529259.2599999998</v>
      </c>
    </row>
    <row r="256" spans="1:17" ht="30" hidden="1" x14ac:dyDescent="0.25">
      <c r="A256" s="168"/>
      <c r="B256" s="133" t="str">
        <f>'Công trình'!B175</f>
        <v>AF.11225</v>
      </c>
      <c r="C256" s="34"/>
      <c r="D256" s="133" t="str">
        <f>'Công trình'!C175</f>
        <v>Bê tông bản dẫn đá 1x2, vữa BT mác 300</v>
      </c>
      <c r="E256" s="168"/>
      <c r="F256" s="20">
        <v>1</v>
      </c>
      <c r="G256" s="45">
        <f>'Hao phí vật tư'!L1323</f>
        <v>1.6020000000000001</v>
      </c>
      <c r="H256" s="166"/>
      <c r="I256" s="156">
        <f>ROUND(G256*H232,2)</f>
        <v>361675.53</v>
      </c>
      <c r="J256" s="20" t="str">
        <f>'Công trình'!X175</f>
        <v>HCM_2016_QD_3384_XD</v>
      </c>
      <c r="K256" s="166"/>
      <c r="L256" s="156">
        <f>ROUND(G256*K232,2)</f>
        <v>361675.53</v>
      </c>
      <c r="M256" s="166"/>
      <c r="N256" s="166"/>
      <c r="O256" s="166"/>
      <c r="P256" s="156">
        <f>ROUND(G256*O232,2)</f>
        <v>0</v>
      </c>
      <c r="Q256" s="156">
        <f>ROUND(G256*N232,2)</f>
        <v>361675.53</v>
      </c>
    </row>
    <row r="257" spans="1:17" ht="30" hidden="1" x14ac:dyDescent="0.25">
      <c r="A257" s="168"/>
      <c r="B257" s="133" t="str">
        <f>'Công trình'!B34</f>
        <v>AF.12313</v>
      </c>
      <c r="C257" s="34"/>
      <c r="D257" s="133" t="str">
        <f>'Công trình'!C34</f>
        <v>Bê tông dầm, giằng đá 1x2, vữa BT mác 200</v>
      </c>
      <c r="E257" s="168"/>
      <c r="F257" s="20">
        <v>1</v>
      </c>
      <c r="G257" s="45">
        <f>'Hao phí vật tư'!L256</f>
        <v>1.8575999999999999</v>
      </c>
      <c r="H257" s="166"/>
      <c r="I257" s="156">
        <f>ROUND(G257*H232,2)</f>
        <v>419381.06</v>
      </c>
      <c r="J257" s="20" t="str">
        <f>'Công trình'!X34</f>
        <v>HCM_2016_QD_3384_XD</v>
      </c>
      <c r="K257" s="166"/>
      <c r="L257" s="156">
        <f>ROUND(G257*K232,2)</f>
        <v>419381.06</v>
      </c>
      <c r="M257" s="166"/>
      <c r="N257" s="166"/>
      <c r="O257" s="166"/>
      <c r="P257" s="156">
        <f>ROUND(G257*O232,2)</f>
        <v>0</v>
      </c>
      <c r="Q257" s="156">
        <f>ROUND(G257*N232,2)</f>
        <v>419381.06</v>
      </c>
    </row>
    <row r="258" spans="1:17" x14ac:dyDescent="0.25">
      <c r="A258" s="168">
        <v>28</v>
      </c>
      <c r="B258" s="84" t="s">
        <v>687</v>
      </c>
      <c r="C258" s="34">
        <v>752</v>
      </c>
      <c r="D258" s="144" t="s">
        <v>364</v>
      </c>
      <c r="E258" s="168" t="s">
        <v>76</v>
      </c>
      <c r="F258" s="34"/>
      <c r="G258" s="60">
        <f>SUM(G259:G260)</f>
        <v>73.805599999999998</v>
      </c>
      <c r="H258" s="166">
        <v>317190</v>
      </c>
      <c r="I258" s="166">
        <f>ROUND(G258*H258,0)</f>
        <v>23410398</v>
      </c>
      <c r="J258" s="34">
        <v>1</v>
      </c>
      <c r="K258" s="166">
        <f>'Tổng hợp VL,NC,M'!I1464</f>
        <v>317190</v>
      </c>
      <c r="L258" s="166">
        <f>ROUND(G258*K258,0)</f>
        <v>23410398</v>
      </c>
      <c r="M258" s="166"/>
      <c r="N258" s="166">
        <f>K258+M258</f>
        <v>317190</v>
      </c>
      <c r="O258" s="166">
        <f>N258-H258</f>
        <v>0</v>
      </c>
      <c r="P258" s="166">
        <f>ROUND(G258*O258,0)</f>
        <v>0</v>
      </c>
      <c r="Q258" s="166">
        <f>ROUND(G258*N258,0)</f>
        <v>23410398</v>
      </c>
    </row>
    <row r="259" spans="1:17" ht="30" hidden="1" x14ac:dyDescent="0.25">
      <c r="A259" s="168"/>
      <c r="B259" s="133" t="str">
        <f>'Công trình'!B155</f>
        <v>AB.65120</v>
      </c>
      <c r="C259" s="34"/>
      <c r="D259" s="133" t="str">
        <f>'Công trình'!C155</f>
        <v>Đắp đất công trình bằng đầm cóc, độ chặt K=0,90</v>
      </c>
      <c r="E259" s="168"/>
      <c r="F259" s="20">
        <v>1</v>
      </c>
      <c r="G259" s="45">
        <f>'Hao phí vật tư'!L1184</f>
        <v>66.651799999999994</v>
      </c>
      <c r="H259" s="166"/>
      <c r="I259" s="156">
        <f>ROUND(G259*H258,2)</f>
        <v>21141284.440000001</v>
      </c>
      <c r="J259" s="20" t="str">
        <f>'Công trình'!X155</f>
        <v>HCM_2016_QD_3384_XD</v>
      </c>
      <c r="K259" s="166"/>
      <c r="L259" s="156">
        <f>ROUND(G259*K258,2)</f>
        <v>21141284.440000001</v>
      </c>
      <c r="M259" s="166"/>
      <c r="N259" s="166"/>
      <c r="O259" s="166"/>
      <c r="P259" s="156">
        <f>ROUND(G259*O258,2)</f>
        <v>0</v>
      </c>
      <c r="Q259" s="156">
        <f>ROUND(G259*N258,2)</f>
        <v>21141284.440000001</v>
      </c>
    </row>
    <row r="260" spans="1:17" ht="30" hidden="1" x14ac:dyDescent="0.25">
      <c r="A260" s="168"/>
      <c r="B260" s="133" t="str">
        <f>'Công trình'!B239</f>
        <v>AB.65120</v>
      </c>
      <c r="C260" s="34"/>
      <c r="D260" s="133" t="str">
        <f>'Công trình'!C239</f>
        <v>Đắp đất công trình bằng đầm cóc, độ chặt K=0,90</v>
      </c>
      <c r="E260" s="168"/>
      <c r="F260" s="20">
        <v>1</v>
      </c>
      <c r="G260" s="45">
        <f>'Hao phí vật tư'!L1820</f>
        <v>7.1538000000000004</v>
      </c>
      <c r="H260" s="166"/>
      <c r="I260" s="156">
        <f>ROUND(G260*H258,2)</f>
        <v>2269113.8199999998</v>
      </c>
      <c r="J260" s="20" t="str">
        <f>'Công trình'!X239</f>
        <v>HCM_2016_QD_3384_XD</v>
      </c>
      <c r="K260" s="166"/>
      <c r="L260" s="156">
        <f>ROUND(G260*K258,2)</f>
        <v>2269113.8199999998</v>
      </c>
      <c r="M260" s="166"/>
      <c r="N260" s="166"/>
      <c r="O260" s="166"/>
      <c r="P260" s="156">
        <f>ROUND(G260*O258,2)</f>
        <v>0</v>
      </c>
      <c r="Q260" s="156">
        <f>ROUND(G260*N258,2)</f>
        <v>2269113.8199999998</v>
      </c>
    </row>
    <row r="261" spans="1:17" x14ac:dyDescent="0.25">
      <c r="A261" s="168">
        <v>29</v>
      </c>
      <c r="B261" s="84" t="s">
        <v>739</v>
      </c>
      <c r="C261" s="34">
        <v>751</v>
      </c>
      <c r="D261" s="144" t="s">
        <v>269</v>
      </c>
      <c r="E261" s="168" t="s">
        <v>76</v>
      </c>
      <c r="F261" s="34"/>
      <c r="G261" s="60">
        <f>SUM(G262:G264)</f>
        <v>0.49780000000000002</v>
      </c>
      <c r="H261" s="166">
        <v>2923684</v>
      </c>
      <c r="I261" s="166">
        <f>ROUND(G261*H261,0)</f>
        <v>1455410</v>
      </c>
      <c r="J261" s="34">
        <v>1</v>
      </c>
      <c r="K261" s="166">
        <f>'Tổng hợp VL,NC,M'!I1467</f>
        <v>2923684</v>
      </c>
      <c r="L261" s="166">
        <f>ROUND(G261*K261,0)</f>
        <v>1455410</v>
      </c>
      <c r="M261" s="166"/>
      <c r="N261" s="166">
        <f>K261+M261</f>
        <v>2923684</v>
      </c>
      <c r="O261" s="166">
        <f>N261-H261</f>
        <v>0</v>
      </c>
      <c r="P261" s="166">
        <f>ROUND(G261*O261,0)</f>
        <v>0</v>
      </c>
      <c r="Q261" s="166">
        <f>ROUND(G261*N261,0)</f>
        <v>1455410</v>
      </c>
    </row>
    <row r="262" spans="1:17" ht="30" hidden="1" x14ac:dyDescent="0.25">
      <c r="A262" s="168"/>
      <c r="B262" s="133" t="str">
        <f>'Công trình'!B98</f>
        <v>AD.11212</v>
      </c>
      <c r="C262" s="34"/>
      <c r="D262" s="133" t="str">
        <f>'Công trình'!C98</f>
        <v>Cấp phối đá 0x4</v>
      </c>
      <c r="E262" s="168"/>
      <c r="F262" s="20">
        <v>1</v>
      </c>
      <c r="G262" s="45">
        <f>'Hao phí vật tư'!L798</f>
        <v>0.126</v>
      </c>
      <c r="H262" s="166"/>
      <c r="I262" s="156">
        <f>ROUND(G262*H261,2)</f>
        <v>368384.18</v>
      </c>
      <c r="J262" s="20" t="str">
        <f>'Công trình'!X98</f>
        <v>HCM_2016_QD_3384_XD</v>
      </c>
      <c r="K262" s="166"/>
      <c r="L262" s="156">
        <f>ROUND(G262*K261,2)</f>
        <v>368384.18</v>
      </c>
      <c r="M262" s="166"/>
      <c r="N262" s="166"/>
      <c r="O262" s="166"/>
      <c r="P262" s="156">
        <f>ROUND(G262*O261,2)</f>
        <v>0</v>
      </c>
      <c r="Q262" s="156">
        <f>ROUND(G262*N261,2)</f>
        <v>368384.18</v>
      </c>
    </row>
    <row r="263" spans="1:17" ht="30" hidden="1" x14ac:dyDescent="0.25">
      <c r="A263" s="168"/>
      <c r="B263" s="133" t="str">
        <f>'Công trình'!B241</f>
        <v>AD.11222</v>
      </c>
      <c r="C263" s="34"/>
      <c r="D263" s="133" t="str">
        <f>'Công trình'!C241</f>
        <v>Làm móng lớp trên cấp phối đá dăm, đường làm mới</v>
      </c>
      <c r="E263" s="168"/>
      <c r="F263" s="20">
        <v>1</v>
      </c>
      <c r="G263" s="45">
        <f>'Hao phí vật tư'!L1830</f>
        <v>0.2248</v>
      </c>
      <c r="H263" s="166"/>
      <c r="I263" s="156">
        <f>ROUND(G263*H261,2)</f>
        <v>657244.16000000003</v>
      </c>
      <c r="J263" s="20" t="str">
        <f>'Công trình'!X241</f>
        <v>HCM_2016_QD_3384_XD</v>
      </c>
      <c r="K263" s="166"/>
      <c r="L263" s="156">
        <f>ROUND(G263*K261,2)</f>
        <v>657244.16000000003</v>
      </c>
      <c r="M263" s="166"/>
      <c r="N263" s="166"/>
      <c r="O263" s="166"/>
      <c r="P263" s="156">
        <f>ROUND(G263*O261,2)</f>
        <v>0</v>
      </c>
      <c r="Q263" s="156">
        <f>ROUND(G263*N261,2)</f>
        <v>657244.16000000003</v>
      </c>
    </row>
    <row r="264" spans="1:17" ht="30" hidden="1" x14ac:dyDescent="0.25">
      <c r="A264" s="168"/>
      <c r="B264" s="133" t="str">
        <f>'Công trình'!B93</f>
        <v>AD.11212</v>
      </c>
      <c r="C264" s="34"/>
      <c r="D264" s="133" t="str">
        <f>'Công trình'!C93</f>
        <v>Cấp phối đá 0x4</v>
      </c>
      <c r="E264" s="168"/>
      <c r="F264" s="20">
        <v>1</v>
      </c>
      <c r="G264" s="45">
        <f>'Hao phí vật tư'!L764</f>
        <v>0.14699999999999999</v>
      </c>
      <c r="H264" s="166"/>
      <c r="I264" s="156">
        <f>ROUND(G264*H261,2)</f>
        <v>429781.55</v>
      </c>
      <c r="J264" s="20" t="str">
        <f>'Công trình'!X93</f>
        <v>HCM_2016_QD_3384_XD</v>
      </c>
      <c r="K264" s="166"/>
      <c r="L264" s="156">
        <f>ROUND(G264*K261,2)</f>
        <v>429781.55</v>
      </c>
      <c r="M264" s="166"/>
      <c r="N264" s="166"/>
      <c r="O264" s="166"/>
      <c r="P264" s="156">
        <f>ROUND(G264*O261,2)</f>
        <v>0</v>
      </c>
      <c r="Q264" s="156">
        <f>ROUND(G264*N261,2)</f>
        <v>429781.55</v>
      </c>
    </row>
    <row r="265" spans="1:17" x14ac:dyDescent="0.25">
      <c r="A265" s="168">
        <v>30</v>
      </c>
      <c r="B265" s="84" t="s">
        <v>746</v>
      </c>
      <c r="C265" s="34">
        <v>696</v>
      </c>
      <c r="D265" s="144" t="s">
        <v>1147</v>
      </c>
      <c r="E265" s="168" t="s">
        <v>76</v>
      </c>
      <c r="F265" s="34"/>
      <c r="G265" s="60">
        <f>SUM(G266:G266)</f>
        <v>1.2074</v>
      </c>
      <c r="H265" s="166">
        <v>2128006</v>
      </c>
      <c r="I265" s="166">
        <f>ROUND(G265*H265,0)</f>
        <v>2569354</v>
      </c>
      <c r="J265" s="34">
        <v>1</v>
      </c>
      <c r="K265" s="166">
        <f>'Tổng hợp VL,NC,M'!I1471</f>
        <v>2128006</v>
      </c>
      <c r="L265" s="166">
        <f>ROUND(G265*K265,0)</f>
        <v>2569354</v>
      </c>
      <c r="M265" s="166"/>
      <c r="N265" s="166">
        <f>K265+M265</f>
        <v>2128006</v>
      </c>
      <c r="O265" s="166">
        <f>N265-H265</f>
        <v>0</v>
      </c>
      <c r="P265" s="166">
        <f>ROUND(G265*O265,0)</f>
        <v>0</v>
      </c>
      <c r="Q265" s="166">
        <f>ROUND(G265*N265,0)</f>
        <v>2569354</v>
      </c>
    </row>
    <row r="266" spans="1:17" ht="30" hidden="1" x14ac:dyDescent="0.25">
      <c r="A266" s="168"/>
      <c r="B266" s="133" t="str">
        <f>'Công trình'!B95</f>
        <v>KH.0102</v>
      </c>
      <c r="C266" s="34"/>
      <c r="D266" s="133" t="str">
        <f>'Công trình'!C95</f>
        <v>Đóng cừ dừa bằng máy đào (TT theo MHĐM KH.0102  định mức 1751)</v>
      </c>
      <c r="E266" s="168"/>
      <c r="F266" s="20">
        <v>1</v>
      </c>
      <c r="G266" s="45">
        <f>'Hao phí vật tư'!L772</f>
        <v>1.2074</v>
      </c>
      <c r="H266" s="166"/>
      <c r="I266" s="156">
        <f>ROUND(G266*H265,2)</f>
        <v>2569354.44</v>
      </c>
      <c r="J266" s="20" t="str">
        <f>'Công trình'!X95</f>
        <v>TL_2013_QD_1751</v>
      </c>
      <c r="K266" s="166"/>
      <c r="L266" s="156">
        <f>ROUND(G266*K265,2)</f>
        <v>2569354.44</v>
      </c>
      <c r="M266" s="166"/>
      <c r="N266" s="166"/>
      <c r="O266" s="166"/>
      <c r="P266" s="156">
        <f>ROUND(G266*O265,2)</f>
        <v>0</v>
      </c>
      <c r="Q266" s="156">
        <f>ROUND(G266*N265,2)</f>
        <v>2569354.44</v>
      </c>
    </row>
    <row r="267" spans="1:17" ht="30" x14ac:dyDescent="0.25">
      <c r="A267" s="168">
        <v>31</v>
      </c>
      <c r="B267" s="84" t="s">
        <v>291</v>
      </c>
      <c r="C267" s="34">
        <v>749</v>
      </c>
      <c r="D267" s="144" t="s">
        <v>933</v>
      </c>
      <c r="E267" s="168" t="s">
        <v>76</v>
      </c>
      <c r="F267" s="34"/>
      <c r="G267" s="60">
        <f>SUM(G268:G268)</f>
        <v>41.484900000000003</v>
      </c>
      <c r="H267" s="166">
        <v>2647237</v>
      </c>
      <c r="I267" s="166">
        <f>ROUND(G267*H267,0)</f>
        <v>109820362</v>
      </c>
      <c r="J267" s="34">
        <v>1</v>
      </c>
      <c r="K267" s="166">
        <f>'Tổng hợp VL,NC,M'!I1473</f>
        <v>2647237</v>
      </c>
      <c r="L267" s="166">
        <f>ROUND(G267*K267,0)</f>
        <v>109820362</v>
      </c>
      <c r="M267" s="166"/>
      <c r="N267" s="166">
        <f>K267+M267</f>
        <v>2647237</v>
      </c>
      <c r="O267" s="166">
        <f>N267-H267</f>
        <v>0</v>
      </c>
      <c r="P267" s="166">
        <f>ROUND(G267*O267,0)</f>
        <v>0</v>
      </c>
      <c r="Q267" s="166">
        <f>ROUND(G267*N267,0)</f>
        <v>109820362</v>
      </c>
    </row>
    <row r="268" spans="1:17" ht="45" hidden="1" x14ac:dyDescent="0.25">
      <c r="A268" s="168"/>
      <c r="B268" s="133" t="str">
        <f>'Công trình'!B153</f>
        <v>AB.81144</v>
      </c>
      <c r="C268" s="34"/>
      <c r="D268" s="133" t="str">
        <f>'Công trình'!C153</f>
        <v>Nạo vét đất pha cát từ 15-20%, đất bùn lỏng ở kênh mương bằng máy đào gầu dây 0,65m3, chiều cao đổ đất &gt;3</v>
      </c>
      <c r="E268" s="168"/>
      <c r="F268" s="20">
        <v>1</v>
      </c>
      <c r="G268" s="45">
        <f>'Hao phí vật tư'!L1163</f>
        <v>41.484900000000003</v>
      </c>
      <c r="H268" s="166"/>
      <c r="I268" s="156">
        <f>ROUND(G268*H267,2)</f>
        <v>109820362.22</v>
      </c>
      <c r="J268" s="20" t="str">
        <f>'Công trình'!X153</f>
        <v>HCM_2016_QD_3384_XD</v>
      </c>
      <c r="K268" s="166"/>
      <c r="L268" s="156">
        <f>ROUND(G268*K267,2)</f>
        <v>109820362.22</v>
      </c>
      <c r="M268" s="166"/>
      <c r="N268" s="166"/>
      <c r="O268" s="166"/>
      <c r="P268" s="156">
        <f>ROUND(G268*O267,2)</f>
        <v>0</v>
      </c>
      <c r="Q268" s="156">
        <f>ROUND(G268*N267,2)</f>
        <v>109820362.22</v>
      </c>
    </row>
    <row r="269" spans="1:17" ht="30" x14ac:dyDescent="0.25">
      <c r="A269" s="168">
        <v>32</v>
      </c>
      <c r="B269" s="84" t="s">
        <v>796</v>
      </c>
      <c r="C269" s="34">
        <v>711</v>
      </c>
      <c r="D269" s="144" t="s">
        <v>747</v>
      </c>
      <c r="E269" s="168" t="s">
        <v>76</v>
      </c>
      <c r="F269" s="34"/>
      <c r="G269" s="60">
        <f>SUM(G270:G272)</f>
        <v>1.5237999999999998</v>
      </c>
      <c r="H269" s="166">
        <v>2679461</v>
      </c>
      <c r="I269" s="166">
        <f>ROUND(G269*H269,0)</f>
        <v>4082963</v>
      </c>
      <c r="J269" s="34">
        <v>1</v>
      </c>
      <c r="K269" s="166">
        <f>'Tổng hợp VL,NC,M'!I1475</f>
        <v>2679461</v>
      </c>
      <c r="L269" s="166">
        <f>ROUND(G269*K269,0)</f>
        <v>4082963</v>
      </c>
      <c r="M269" s="166"/>
      <c r="N269" s="166">
        <f>K269+M269</f>
        <v>2679461</v>
      </c>
      <c r="O269" s="166">
        <f>N269-H269</f>
        <v>0</v>
      </c>
      <c r="P269" s="166">
        <f>ROUND(G269*O269,0)</f>
        <v>0</v>
      </c>
      <c r="Q269" s="166">
        <f>ROUND(G269*N269,0)</f>
        <v>4082963</v>
      </c>
    </row>
    <row r="270" spans="1:17" ht="30" hidden="1" x14ac:dyDescent="0.25">
      <c r="A270" s="168"/>
      <c r="B270" s="133" t="str">
        <f>'Công trình'!B238</f>
        <v>AB.25112</v>
      </c>
      <c r="C270" s="34"/>
      <c r="D270" s="133" t="str">
        <f>'Công trình'!C238</f>
        <v>Đào móng chiều rộng &lt;=6m bằng máy đào 0,8m3, đất cấp II</v>
      </c>
      <c r="E270" s="168"/>
      <c r="F270" s="20">
        <v>1</v>
      </c>
      <c r="G270" s="45">
        <f>'Hao phí vật tư'!L1815</f>
        <v>0.84530000000000005</v>
      </c>
      <c r="H270" s="166"/>
      <c r="I270" s="156">
        <f>ROUND(G270*H269,2)</f>
        <v>2264948.38</v>
      </c>
      <c r="J270" s="20" t="str">
        <f>'Công trình'!X238</f>
        <v>HCM_2016_QD_3384_XD</v>
      </c>
      <c r="K270" s="166"/>
      <c r="L270" s="156">
        <f>ROUND(G270*K269,2)</f>
        <v>2264948.38</v>
      </c>
      <c r="M270" s="166"/>
      <c r="N270" s="166"/>
      <c r="O270" s="166"/>
      <c r="P270" s="156">
        <f>ROUND(G270*O269,2)</f>
        <v>0</v>
      </c>
      <c r="Q270" s="156">
        <f>ROUND(G270*N269,2)</f>
        <v>2264948.38</v>
      </c>
    </row>
    <row r="271" spans="1:17" ht="30" hidden="1" x14ac:dyDescent="0.25">
      <c r="A271" s="168"/>
      <c r="B271" s="133" t="str">
        <f>'Công trình'!B243</f>
        <v>AB.21121</v>
      </c>
      <c r="C271" s="34"/>
      <c r="D271" s="133" t="str">
        <f>'Công trình'!C243</f>
        <v>Đất bóc phong hóa</v>
      </c>
      <c r="E271" s="168"/>
      <c r="F271" s="20">
        <v>1</v>
      </c>
      <c r="G271" s="45">
        <f>'Hao phí vật tư'!L1847</f>
        <v>0.62539999999999996</v>
      </c>
      <c r="H271" s="166"/>
      <c r="I271" s="156">
        <f>ROUND(G271*H269,2)</f>
        <v>1675734.91</v>
      </c>
      <c r="J271" s="20" t="str">
        <f>'Công trình'!X243</f>
        <v>HCM_2016_QD_3384_XD</v>
      </c>
      <c r="K271" s="166"/>
      <c r="L271" s="156">
        <f>ROUND(G271*K269,2)</f>
        <v>1675734.91</v>
      </c>
      <c r="M271" s="166"/>
      <c r="N271" s="166"/>
      <c r="O271" s="166"/>
      <c r="P271" s="156">
        <f>ROUND(G271*O269,2)</f>
        <v>0</v>
      </c>
      <c r="Q271" s="156">
        <f>ROUND(G271*N269,2)</f>
        <v>1675734.91</v>
      </c>
    </row>
    <row r="272" spans="1:17" ht="30" hidden="1" x14ac:dyDescent="0.25">
      <c r="A272" s="168"/>
      <c r="B272" s="133" t="str">
        <f>'Công trình'!B244</f>
        <v>AB.25112</v>
      </c>
      <c r="C272" s="34"/>
      <c r="D272" s="133" t="str">
        <f>'Công trình'!C244</f>
        <v>Đào móng chiều rộng &lt;=6m bằng máy đào 0,8m3, đất cấp II</v>
      </c>
      <c r="E272" s="168"/>
      <c r="F272" s="20">
        <v>1</v>
      </c>
      <c r="G272" s="45">
        <f>'Hao phí vật tư'!L1852</f>
        <v>5.3100000000000001E-2</v>
      </c>
      <c r="H272" s="166"/>
      <c r="I272" s="156">
        <f>ROUND(G272*H269,2)</f>
        <v>142279.38</v>
      </c>
      <c r="J272" s="20" t="str">
        <f>'Công trình'!X244</f>
        <v>HCM_2016_QD_3384_XD</v>
      </c>
      <c r="K272" s="166"/>
      <c r="L272" s="156">
        <f>ROUND(G272*K269,2)</f>
        <v>142279.38</v>
      </c>
      <c r="M272" s="166"/>
      <c r="N272" s="166"/>
      <c r="O272" s="166"/>
      <c r="P272" s="156">
        <f>ROUND(G272*O269,2)</f>
        <v>0</v>
      </c>
      <c r="Q272" s="156">
        <f>ROUND(G272*N269,2)</f>
        <v>142279.38</v>
      </c>
    </row>
    <row r="273" spans="1:17" x14ac:dyDescent="0.25">
      <c r="A273" s="168">
        <v>33</v>
      </c>
      <c r="B273" s="84" t="s">
        <v>1047</v>
      </c>
      <c r="C273" s="34">
        <v>701</v>
      </c>
      <c r="D273" s="144" t="s">
        <v>274</v>
      </c>
      <c r="E273" s="168" t="s">
        <v>76</v>
      </c>
      <c r="F273" s="34"/>
      <c r="G273" s="60">
        <f>SUM(G274:G280)</f>
        <v>10.6517</v>
      </c>
      <c r="H273" s="166">
        <v>247705</v>
      </c>
      <c r="I273" s="166">
        <f>ROUND(G273*H273,0)</f>
        <v>2638479</v>
      </c>
      <c r="J273" s="34">
        <v>1</v>
      </c>
      <c r="K273" s="166">
        <f>'Tổng hợp VL,NC,M'!I1486</f>
        <v>247705</v>
      </c>
      <c r="L273" s="166">
        <f>ROUND(G273*K273,0)</f>
        <v>2638479</v>
      </c>
      <c r="M273" s="166"/>
      <c r="N273" s="166">
        <f>K273+M273</f>
        <v>247705</v>
      </c>
      <c r="O273" s="166">
        <f>N273-H273</f>
        <v>0</v>
      </c>
      <c r="P273" s="166">
        <f>ROUND(G273*O273,0)</f>
        <v>0</v>
      </c>
      <c r="Q273" s="166">
        <f>ROUND(G273*N273,0)</f>
        <v>2638479</v>
      </c>
    </row>
    <row r="274" spans="1:17" ht="30" hidden="1" x14ac:dyDescent="0.25">
      <c r="A274" s="168"/>
      <c r="B274" s="133" t="str">
        <f>'Công trình'!B39</f>
        <v>AI.13111</v>
      </c>
      <c r="C274" s="34"/>
      <c r="D274" s="133" t="str">
        <f>'Công trình'!C39</f>
        <v>Sản xuất cấu kiện thép đặt sẵn trong bê tông, khối lượng &lt;=10kg/cấu kiện</v>
      </c>
      <c r="E274" s="168"/>
      <c r="F274" s="20">
        <v>1</v>
      </c>
      <c r="G274" s="45">
        <f>'Hao phí vật tư'!L301</f>
        <v>1.61E-2</v>
      </c>
      <c r="H274" s="166"/>
      <c r="I274" s="156">
        <f>ROUND(G274*H273,2)</f>
        <v>3988.05</v>
      </c>
      <c r="J274" s="20" t="str">
        <f>'Công trình'!X39</f>
        <v>HCM_2016_QD_3384_XD</v>
      </c>
      <c r="K274" s="166"/>
      <c r="L274" s="156">
        <f>ROUND(G274*K273,2)</f>
        <v>3988.05</v>
      </c>
      <c r="M274" s="166"/>
      <c r="N274" s="166"/>
      <c r="O274" s="166"/>
      <c r="P274" s="156">
        <f>ROUND(G274*O273,2)</f>
        <v>0</v>
      </c>
      <c r="Q274" s="156">
        <f>ROUND(G274*N273,2)</f>
        <v>3988.05</v>
      </c>
    </row>
    <row r="275" spans="1:17" ht="30" hidden="1" x14ac:dyDescent="0.25">
      <c r="A275" s="168"/>
      <c r="B275" s="133" t="str">
        <f>'Công trình'!B72</f>
        <v>AI.13111</v>
      </c>
      <c r="C275" s="34"/>
      <c r="D275" s="133" t="str">
        <f>'Công trình'!C72</f>
        <v>Sản xuất cấu kiện thép đặt sẵn trong bê tông, khối lượng &lt;=10kg/cấu kiện</v>
      </c>
      <c r="E275" s="168"/>
      <c r="F275" s="20">
        <v>1</v>
      </c>
      <c r="G275" s="45">
        <f>'Hao phí vật tư'!L557</f>
        <v>1.6814</v>
      </c>
      <c r="H275" s="166"/>
      <c r="I275" s="156">
        <f>ROUND(G275*H273,2)</f>
        <v>416491.19</v>
      </c>
      <c r="J275" s="20" t="str">
        <f>'Công trình'!X72</f>
        <v>HCM_2016_QD_3384_XD</v>
      </c>
      <c r="K275" s="166"/>
      <c r="L275" s="156">
        <f>ROUND(G275*K273,2)</f>
        <v>416491.19</v>
      </c>
      <c r="M275" s="166"/>
      <c r="N275" s="166"/>
      <c r="O275" s="166"/>
      <c r="P275" s="156">
        <f>ROUND(G275*O273,2)</f>
        <v>0</v>
      </c>
      <c r="Q275" s="156">
        <f>ROUND(G275*N273,2)</f>
        <v>416491.19</v>
      </c>
    </row>
    <row r="276" spans="1:17" ht="30" hidden="1" x14ac:dyDescent="0.25">
      <c r="A276" s="168"/>
      <c r="B276" s="133" t="str">
        <f>'Công trình'!B74</f>
        <v>AI.52211</v>
      </c>
      <c r="C276" s="34"/>
      <c r="D276" s="133" t="str">
        <f>'Công trình'!C74</f>
        <v>Sản xuất kết cấu thép hộp nối cọc</v>
      </c>
      <c r="E276" s="168"/>
      <c r="F276" s="20">
        <v>1</v>
      </c>
      <c r="G276" s="45">
        <f>'Hao phí vật tư'!L584</f>
        <v>2.7919</v>
      </c>
      <c r="H276" s="166"/>
      <c r="I276" s="156">
        <f>ROUND(G276*H273,2)</f>
        <v>691567.59</v>
      </c>
      <c r="J276" s="20" t="str">
        <f>'Công trình'!X74</f>
        <v>HCM_2016_QD_3384_XD</v>
      </c>
      <c r="K276" s="166"/>
      <c r="L276" s="156">
        <f>ROUND(G276*K273,2)</f>
        <v>691567.59</v>
      </c>
      <c r="M276" s="166"/>
      <c r="N276" s="166"/>
      <c r="O276" s="166"/>
      <c r="P276" s="156">
        <f>ROUND(G276*O273,2)</f>
        <v>0</v>
      </c>
      <c r="Q276" s="156">
        <f>ROUND(G276*N273,2)</f>
        <v>691567.59</v>
      </c>
    </row>
    <row r="277" spans="1:17" ht="30" hidden="1" x14ac:dyDescent="0.25">
      <c r="A277" s="168"/>
      <c r="B277" s="133" t="str">
        <f>'Công trình'!B83</f>
        <v>AI.13111</v>
      </c>
      <c r="C277" s="34"/>
      <c r="D277" s="133" t="str">
        <f>'Công trình'!C83</f>
        <v>Sản xuất cấu kiện thép đặt sẵn trong bê tông, khối lượng &lt;=10kg/cấu kiện</v>
      </c>
      <c r="E277" s="168"/>
      <c r="F277" s="20">
        <v>1</v>
      </c>
      <c r="G277" s="45">
        <f>'Hao phí vật tư'!L673</f>
        <v>0.79410000000000003</v>
      </c>
      <c r="H277" s="166"/>
      <c r="I277" s="156">
        <f>ROUND(G277*H273,2)</f>
        <v>196702.54</v>
      </c>
      <c r="J277" s="20" t="str">
        <f>'Công trình'!X83</f>
        <v>HCM_2016_QD_3384_XD</v>
      </c>
      <c r="K277" s="166"/>
      <c r="L277" s="156">
        <f>ROUND(G277*K273,2)</f>
        <v>196702.54</v>
      </c>
      <c r="M277" s="166"/>
      <c r="N277" s="166"/>
      <c r="O277" s="166"/>
      <c r="P277" s="156">
        <f>ROUND(G277*O273,2)</f>
        <v>0</v>
      </c>
      <c r="Q277" s="156">
        <f>ROUND(G277*N273,2)</f>
        <v>196702.54</v>
      </c>
    </row>
    <row r="278" spans="1:17" ht="30" hidden="1" x14ac:dyDescent="0.25">
      <c r="A278" s="168"/>
      <c r="B278" s="133" t="str">
        <f>'Công trình'!B85</f>
        <v>AI.52211</v>
      </c>
      <c r="C278" s="34"/>
      <c r="D278" s="133" t="str">
        <f>'Công trình'!C85</f>
        <v>Sản xuất kết cấu thép hộp nối cọc</v>
      </c>
      <c r="E278" s="168"/>
      <c r="F278" s="20">
        <v>1</v>
      </c>
      <c r="G278" s="45">
        <f>'Hao phí vật tư'!L700</f>
        <v>1.2142999999999999</v>
      </c>
      <c r="H278" s="166"/>
      <c r="I278" s="156">
        <f>ROUND(G278*H273,2)</f>
        <v>300788.18</v>
      </c>
      <c r="J278" s="20" t="str">
        <f>'Công trình'!X85</f>
        <v>HCM_2016_QD_3384_XD</v>
      </c>
      <c r="K278" s="166"/>
      <c r="L278" s="156">
        <f>ROUND(G278*K273,2)</f>
        <v>300788.18</v>
      </c>
      <c r="M278" s="166"/>
      <c r="N278" s="166"/>
      <c r="O278" s="166"/>
      <c r="P278" s="156">
        <f>ROUND(G278*O273,2)</f>
        <v>0</v>
      </c>
      <c r="Q278" s="156">
        <f>ROUND(G278*N273,2)</f>
        <v>300788.18</v>
      </c>
    </row>
    <row r="279" spans="1:17" ht="30" hidden="1" x14ac:dyDescent="0.25">
      <c r="A279" s="168"/>
      <c r="B279" s="133" t="str">
        <f>'Công trình'!B229</f>
        <v>AI.13111</v>
      </c>
      <c r="C279" s="34"/>
      <c r="D279" s="133" t="str">
        <f>'Công trình'!C229</f>
        <v>Sản xuất cấu kiện thép đặt sẵn trong bê tông, khối lượng &lt;=10kg/cấu kiện</v>
      </c>
      <c r="E279" s="168"/>
      <c r="F279" s="20">
        <v>1</v>
      </c>
      <c r="G279" s="45">
        <f>'Hao phí vật tư'!L1733</f>
        <v>1.5364</v>
      </c>
      <c r="H279" s="166"/>
      <c r="I279" s="156">
        <f>ROUND(G279*H273,2)</f>
        <v>380573.96</v>
      </c>
      <c r="J279" s="20" t="str">
        <f>'Công trình'!X229</f>
        <v>HCM_2016_QD_3384_XD</v>
      </c>
      <c r="K279" s="166"/>
      <c r="L279" s="156">
        <f>ROUND(G279*K273,2)</f>
        <v>380573.96</v>
      </c>
      <c r="M279" s="166"/>
      <c r="N279" s="166"/>
      <c r="O279" s="166"/>
      <c r="P279" s="156">
        <f>ROUND(G279*O273,2)</f>
        <v>0</v>
      </c>
      <c r="Q279" s="156">
        <f>ROUND(G279*N273,2)</f>
        <v>380573.96</v>
      </c>
    </row>
    <row r="280" spans="1:17" ht="30" hidden="1" x14ac:dyDescent="0.25">
      <c r="A280" s="168"/>
      <c r="B280" s="133" t="str">
        <f>'Công trình'!B231</f>
        <v>AI.52211</v>
      </c>
      <c r="C280" s="34"/>
      <c r="D280" s="133" t="str">
        <f>'Công trình'!C231</f>
        <v>Thép hình hộp nối cọc</v>
      </c>
      <c r="E280" s="168"/>
      <c r="F280" s="20">
        <v>1</v>
      </c>
      <c r="G280" s="45">
        <f>'Hao phí vật tư'!L1760</f>
        <v>2.6175000000000002</v>
      </c>
      <c r="H280" s="166"/>
      <c r="I280" s="156">
        <f>ROUND(G280*H273,2)</f>
        <v>648367.84</v>
      </c>
      <c r="J280" s="20" t="str">
        <f>'Công trình'!X231</f>
        <v>HCM_2016_QD_3384_XD</v>
      </c>
      <c r="K280" s="166"/>
      <c r="L280" s="156">
        <f>ROUND(G280*K273,2)</f>
        <v>648367.84</v>
      </c>
      <c r="M280" s="166"/>
      <c r="N280" s="166"/>
      <c r="O280" s="166"/>
      <c r="P280" s="156">
        <f>ROUND(G280*O273,2)</f>
        <v>0</v>
      </c>
      <c r="Q280" s="156">
        <f>ROUND(G280*N273,2)</f>
        <v>648367.84</v>
      </c>
    </row>
    <row r="281" spans="1:17" x14ac:dyDescent="0.25">
      <c r="A281" s="168">
        <v>34</v>
      </c>
      <c r="B281" s="84" t="s">
        <v>1010</v>
      </c>
      <c r="C281" s="34">
        <v>702</v>
      </c>
      <c r="D281" s="144" t="s">
        <v>224</v>
      </c>
      <c r="E281" s="168" t="s">
        <v>76</v>
      </c>
      <c r="F281" s="34"/>
      <c r="G281" s="60">
        <f>SUM(G282:G284)</f>
        <v>28.794699999999999</v>
      </c>
      <c r="H281" s="166">
        <v>268963</v>
      </c>
      <c r="I281" s="166">
        <f>ROUND(G281*H281,0)</f>
        <v>7744709</v>
      </c>
      <c r="J281" s="34">
        <v>1</v>
      </c>
      <c r="K281" s="166">
        <f>'Tổng hợp VL,NC,M'!I1498</f>
        <v>268963</v>
      </c>
      <c r="L281" s="166">
        <f>ROUND(G281*K281,0)</f>
        <v>7744709</v>
      </c>
      <c r="M281" s="166"/>
      <c r="N281" s="166">
        <f>K281+M281</f>
        <v>268963</v>
      </c>
      <c r="O281" s="166">
        <f>N281-H281</f>
        <v>0</v>
      </c>
      <c r="P281" s="166">
        <f>ROUND(G281*O281,0)</f>
        <v>0</v>
      </c>
      <c r="Q281" s="166">
        <f>ROUND(G281*N281,0)</f>
        <v>7744709</v>
      </c>
    </row>
    <row r="282" spans="1:17" ht="30" hidden="1" x14ac:dyDescent="0.25">
      <c r="A282" s="168"/>
      <c r="B282" s="133" t="str">
        <f>'Công trình'!B104</f>
        <v>AI.11131</v>
      </c>
      <c r="C282" s="34"/>
      <c r="D282" s="133" t="str">
        <f>'Công trình'!C104</f>
        <v>Sản xuất cọc dẫn bằng thép hình</v>
      </c>
      <c r="E282" s="168"/>
      <c r="F282" s="20">
        <v>1</v>
      </c>
      <c r="G282" s="45">
        <f>'Hao phí vật tư'!L839</f>
        <v>3.3557000000000001</v>
      </c>
      <c r="H282" s="166"/>
      <c r="I282" s="156">
        <f>ROUND(G282*H281,2)</f>
        <v>902559.14</v>
      </c>
      <c r="J282" s="20" t="str">
        <f>'Công trình'!X104</f>
        <v>HCM_2016_QD_3384_XD</v>
      </c>
      <c r="K282" s="166"/>
      <c r="L282" s="156">
        <f>ROUND(G282*K281,2)</f>
        <v>902559.14</v>
      </c>
      <c r="M282" s="166"/>
      <c r="N282" s="166"/>
      <c r="O282" s="166"/>
      <c r="P282" s="156">
        <f>ROUND(G282*O281,2)</f>
        <v>0</v>
      </c>
      <c r="Q282" s="156">
        <f>ROUND(G282*N281,2)</f>
        <v>902559.14</v>
      </c>
    </row>
    <row r="283" spans="1:17" ht="30" hidden="1" x14ac:dyDescent="0.25">
      <c r="A283" s="168"/>
      <c r="B283" s="133" t="str">
        <f>'Công trình'!B147</f>
        <v>AI.11411</v>
      </c>
      <c r="C283" s="34"/>
      <c r="D283" s="133" t="str">
        <f>'Công trình'!C147</f>
        <v>Sản xuất thang sắt</v>
      </c>
      <c r="E283" s="168"/>
      <c r="F283" s="20">
        <v>1</v>
      </c>
      <c r="G283" s="45">
        <f>'Hao phí vật tư'!L1121</f>
        <v>0.12970000000000001</v>
      </c>
      <c r="H283" s="166"/>
      <c r="I283" s="156">
        <f>ROUND(G283*H281,2)</f>
        <v>34884.5</v>
      </c>
      <c r="J283" s="20" t="str">
        <f>'Công trình'!X147</f>
        <v>HCM_2016_QD_3384_XD</v>
      </c>
      <c r="K283" s="166"/>
      <c r="L283" s="156">
        <f>ROUND(G283*K281,2)</f>
        <v>34884.5</v>
      </c>
      <c r="M283" s="166"/>
      <c r="N283" s="166"/>
      <c r="O283" s="166"/>
      <c r="P283" s="156">
        <f>ROUND(G283*O281,2)</f>
        <v>0</v>
      </c>
      <c r="Q283" s="156">
        <f>ROUND(G283*N281,2)</f>
        <v>34884.5</v>
      </c>
    </row>
    <row r="284" spans="1:17" ht="30" hidden="1" x14ac:dyDescent="0.25">
      <c r="A284" s="168"/>
      <c r="B284" s="133" t="str">
        <f>'Công trình'!B262</f>
        <v>AI.21152</v>
      </c>
      <c r="C284" s="34"/>
      <c r="D284" s="133" t="str">
        <f>'Công trình'!C262</f>
        <v>Sản xuất kết cấu thép lan can cầu đường bộ</v>
      </c>
      <c r="E284" s="168"/>
      <c r="F284" s="20">
        <v>1</v>
      </c>
      <c r="G284" s="45">
        <f>'Hao phí vật tư'!L2003</f>
        <v>25.3093</v>
      </c>
      <c r="H284" s="166"/>
      <c r="I284" s="156">
        <f>ROUND(G284*H281,2)</f>
        <v>6807265.2599999998</v>
      </c>
      <c r="J284" s="20" t="str">
        <f>'Công trình'!X262</f>
        <v>HCM_2016_QD_3384_XD</v>
      </c>
      <c r="K284" s="166"/>
      <c r="L284" s="156">
        <f>ROUND(G284*K281,2)</f>
        <v>6807265.2599999998</v>
      </c>
      <c r="M284" s="166"/>
      <c r="N284" s="166"/>
      <c r="O284" s="166"/>
      <c r="P284" s="156">
        <f>ROUND(G284*O281,2)</f>
        <v>0</v>
      </c>
      <c r="Q284" s="156">
        <f>ROUND(G284*N281,2)</f>
        <v>6807265.2599999998</v>
      </c>
    </row>
    <row r="285" spans="1:17" x14ac:dyDescent="0.25">
      <c r="A285" s="168">
        <v>35</v>
      </c>
      <c r="B285" s="84" t="s">
        <v>1085</v>
      </c>
      <c r="C285" s="34">
        <v>705</v>
      </c>
      <c r="D285" s="144" t="s">
        <v>320</v>
      </c>
      <c r="E285" s="168" t="s">
        <v>76</v>
      </c>
      <c r="F285" s="34"/>
      <c r="G285" s="60">
        <f>SUM(G286:G292)</f>
        <v>10.6517</v>
      </c>
      <c r="H285" s="166">
        <v>213347</v>
      </c>
      <c r="I285" s="166">
        <f>ROUND(G285*H285,0)</f>
        <v>2272508</v>
      </c>
      <c r="J285" s="34">
        <v>1</v>
      </c>
      <c r="K285" s="166">
        <f>'Tổng hợp VL,NC,M'!I1502</f>
        <v>213347</v>
      </c>
      <c r="L285" s="166">
        <f>ROUND(G285*K285,0)</f>
        <v>2272508</v>
      </c>
      <c r="M285" s="166"/>
      <c r="N285" s="166">
        <f>K285+M285</f>
        <v>213347</v>
      </c>
      <c r="O285" s="166">
        <f>N285-H285</f>
        <v>0</v>
      </c>
      <c r="P285" s="166">
        <f>ROUND(G285*O285,0)</f>
        <v>0</v>
      </c>
      <c r="Q285" s="166">
        <f>ROUND(G285*N285,0)</f>
        <v>2272508</v>
      </c>
    </row>
    <row r="286" spans="1:17" ht="30" hidden="1" x14ac:dyDescent="0.25">
      <c r="A286" s="168"/>
      <c r="B286" s="133" t="str">
        <f>'Công trình'!B39</f>
        <v>AI.13111</v>
      </c>
      <c r="C286" s="34"/>
      <c r="D286" s="133" t="str">
        <f>'Công trình'!C39</f>
        <v>Sản xuất cấu kiện thép đặt sẵn trong bê tông, khối lượng &lt;=10kg/cấu kiện</v>
      </c>
      <c r="E286" s="168"/>
      <c r="F286" s="20">
        <v>1</v>
      </c>
      <c r="G286" s="45">
        <f>'Hao phí vật tư'!L303</f>
        <v>1.61E-2</v>
      </c>
      <c r="H286" s="166"/>
      <c r="I286" s="156">
        <f>ROUND(G286*H285,2)</f>
        <v>3434.89</v>
      </c>
      <c r="J286" s="20" t="str">
        <f>'Công trình'!X39</f>
        <v>HCM_2016_QD_3384_XD</v>
      </c>
      <c r="K286" s="166"/>
      <c r="L286" s="156">
        <f>ROUND(G286*K285,2)</f>
        <v>3434.89</v>
      </c>
      <c r="M286" s="166"/>
      <c r="N286" s="166"/>
      <c r="O286" s="166"/>
      <c r="P286" s="156">
        <f>ROUND(G286*O285,2)</f>
        <v>0</v>
      </c>
      <c r="Q286" s="156">
        <f>ROUND(G286*N285,2)</f>
        <v>3434.89</v>
      </c>
    </row>
    <row r="287" spans="1:17" ht="30" hidden="1" x14ac:dyDescent="0.25">
      <c r="A287" s="168"/>
      <c r="B287" s="133" t="str">
        <f>'Công trình'!B72</f>
        <v>AI.13111</v>
      </c>
      <c r="C287" s="34"/>
      <c r="D287" s="133" t="str">
        <f>'Công trình'!C72</f>
        <v>Sản xuất cấu kiện thép đặt sẵn trong bê tông, khối lượng &lt;=10kg/cấu kiện</v>
      </c>
      <c r="E287" s="168"/>
      <c r="F287" s="20">
        <v>1</v>
      </c>
      <c r="G287" s="45">
        <f>'Hao phí vật tư'!L559</f>
        <v>1.6814</v>
      </c>
      <c r="H287" s="166"/>
      <c r="I287" s="156">
        <f>ROUND(G287*H285,2)</f>
        <v>358721.65</v>
      </c>
      <c r="J287" s="20" t="str">
        <f>'Công trình'!X72</f>
        <v>HCM_2016_QD_3384_XD</v>
      </c>
      <c r="K287" s="166"/>
      <c r="L287" s="156">
        <f>ROUND(G287*K285,2)</f>
        <v>358721.65</v>
      </c>
      <c r="M287" s="166"/>
      <c r="N287" s="166"/>
      <c r="O287" s="166"/>
      <c r="P287" s="156">
        <f>ROUND(G287*O285,2)</f>
        <v>0</v>
      </c>
      <c r="Q287" s="156">
        <f>ROUND(G287*N285,2)</f>
        <v>358721.65</v>
      </c>
    </row>
    <row r="288" spans="1:17" ht="30" hidden="1" x14ac:dyDescent="0.25">
      <c r="A288" s="168"/>
      <c r="B288" s="133" t="str">
        <f>'Công trình'!B74</f>
        <v>AI.52211</v>
      </c>
      <c r="C288" s="34"/>
      <c r="D288" s="133" t="str">
        <f>'Công trình'!C74</f>
        <v>Sản xuất kết cấu thép hộp nối cọc</v>
      </c>
      <c r="E288" s="168"/>
      <c r="F288" s="20">
        <v>1</v>
      </c>
      <c r="G288" s="45">
        <f>'Hao phí vật tư'!L586</f>
        <v>2.7919</v>
      </c>
      <c r="H288" s="166"/>
      <c r="I288" s="156">
        <f>ROUND(G288*H285,2)</f>
        <v>595643.49</v>
      </c>
      <c r="J288" s="20" t="str">
        <f>'Công trình'!X74</f>
        <v>HCM_2016_QD_3384_XD</v>
      </c>
      <c r="K288" s="166"/>
      <c r="L288" s="156">
        <f>ROUND(G288*K285,2)</f>
        <v>595643.49</v>
      </c>
      <c r="M288" s="166"/>
      <c r="N288" s="166"/>
      <c r="O288" s="166"/>
      <c r="P288" s="156">
        <f>ROUND(G288*O285,2)</f>
        <v>0</v>
      </c>
      <c r="Q288" s="156">
        <f>ROUND(G288*N285,2)</f>
        <v>595643.49</v>
      </c>
    </row>
    <row r="289" spans="1:17" ht="30" hidden="1" x14ac:dyDescent="0.25">
      <c r="A289" s="168"/>
      <c r="B289" s="133" t="str">
        <f>'Công trình'!B83</f>
        <v>AI.13111</v>
      </c>
      <c r="C289" s="34"/>
      <c r="D289" s="133" t="str">
        <f>'Công trình'!C83</f>
        <v>Sản xuất cấu kiện thép đặt sẵn trong bê tông, khối lượng &lt;=10kg/cấu kiện</v>
      </c>
      <c r="E289" s="168"/>
      <c r="F289" s="20">
        <v>1</v>
      </c>
      <c r="G289" s="45">
        <f>'Hao phí vật tư'!L675</f>
        <v>0.79410000000000003</v>
      </c>
      <c r="H289" s="166"/>
      <c r="I289" s="156">
        <f>ROUND(G289*H285,2)</f>
        <v>169418.85</v>
      </c>
      <c r="J289" s="20" t="str">
        <f>'Công trình'!X83</f>
        <v>HCM_2016_QD_3384_XD</v>
      </c>
      <c r="K289" s="166"/>
      <c r="L289" s="156">
        <f>ROUND(G289*K285,2)</f>
        <v>169418.85</v>
      </c>
      <c r="M289" s="166"/>
      <c r="N289" s="166"/>
      <c r="O289" s="166"/>
      <c r="P289" s="156">
        <f>ROUND(G289*O285,2)</f>
        <v>0</v>
      </c>
      <c r="Q289" s="156">
        <f>ROUND(G289*N285,2)</f>
        <v>169418.85</v>
      </c>
    </row>
    <row r="290" spans="1:17" ht="30" hidden="1" x14ac:dyDescent="0.25">
      <c r="A290" s="168"/>
      <c r="B290" s="133" t="str">
        <f>'Công trình'!B85</f>
        <v>AI.52211</v>
      </c>
      <c r="C290" s="34"/>
      <c r="D290" s="133" t="str">
        <f>'Công trình'!C85</f>
        <v>Sản xuất kết cấu thép hộp nối cọc</v>
      </c>
      <c r="E290" s="168"/>
      <c r="F290" s="20">
        <v>1</v>
      </c>
      <c r="G290" s="45">
        <f>'Hao phí vật tư'!L702</f>
        <v>1.2142999999999999</v>
      </c>
      <c r="H290" s="166"/>
      <c r="I290" s="156">
        <f>ROUND(G290*H285,2)</f>
        <v>259067.26</v>
      </c>
      <c r="J290" s="20" t="str">
        <f>'Công trình'!X85</f>
        <v>HCM_2016_QD_3384_XD</v>
      </c>
      <c r="K290" s="166"/>
      <c r="L290" s="156">
        <f>ROUND(G290*K285,2)</f>
        <v>259067.26</v>
      </c>
      <c r="M290" s="166"/>
      <c r="N290" s="166"/>
      <c r="O290" s="166"/>
      <c r="P290" s="156">
        <f>ROUND(G290*O285,2)</f>
        <v>0</v>
      </c>
      <c r="Q290" s="156">
        <f>ROUND(G290*N285,2)</f>
        <v>259067.26</v>
      </c>
    </row>
    <row r="291" spans="1:17" ht="30" hidden="1" x14ac:dyDescent="0.25">
      <c r="A291" s="168"/>
      <c r="B291" s="133" t="str">
        <f>'Công trình'!B229</f>
        <v>AI.13111</v>
      </c>
      <c r="C291" s="34"/>
      <c r="D291" s="133" t="str">
        <f>'Công trình'!C229</f>
        <v>Sản xuất cấu kiện thép đặt sẵn trong bê tông, khối lượng &lt;=10kg/cấu kiện</v>
      </c>
      <c r="E291" s="168"/>
      <c r="F291" s="20">
        <v>1</v>
      </c>
      <c r="G291" s="45">
        <f>'Hao phí vật tư'!L1735</f>
        <v>1.5364</v>
      </c>
      <c r="H291" s="166"/>
      <c r="I291" s="156">
        <f>ROUND(G291*H285,2)</f>
        <v>327786.33</v>
      </c>
      <c r="J291" s="20" t="str">
        <f>'Công trình'!X229</f>
        <v>HCM_2016_QD_3384_XD</v>
      </c>
      <c r="K291" s="166"/>
      <c r="L291" s="156">
        <f>ROUND(G291*K285,2)</f>
        <v>327786.33</v>
      </c>
      <c r="M291" s="166"/>
      <c r="N291" s="166"/>
      <c r="O291" s="166"/>
      <c r="P291" s="156">
        <f>ROUND(G291*O285,2)</f>
        <v>0</v>
      </c>
      <c r="Q291" s="156">
        <f>ROUND(G291*N285,2)</f>
        <v>327786.33</v>
      </c>
    </row>
    <row r="292" spans="1:17" ht="30" hidden="1" x14ac:dyDescent="0.25">
      <c r="A292" s="168"/>
      <c r="B292" s="133" t="str">
        <f>'Công trình'!B231</f>
        <v>AI.52211</v>
      </c>
      <c r="C292" s="34"/>
      <c r="D292" s="133" t="str">
        <f>'Công trình'!C231</f>
        <v>Thép hình hộp nối cọc</v>
      </c>
      <c r="E292" s="168"/>
      <c r="F292" s="20">
        <v>1</v>
      </c>
      <c r="G292" s="45">
        <f>'Hao phí vật tư'!L1762</f>
        <v>2.6175000000000002</v>
      </c>
      <c r="H292" s="166"/>
      <c r="I292" s="156">
        <f>ROUND(G292*H285,2)</f>
        <v>558435.77</v>
      </c>
      <c r="J292" s="20" t="str">
        <f>'Công trình'!X231</f>
        <v>HCM_2016_QD_3384_XD</v>
      </c>
      <c r="K292" s="166"/>
      <c r="L292" s="156">
        <f>ROUND(G292*K285,2)</f>
        <v>558435.77</v>
      </c>
      <c r="M292" s="166"/>
      <c r="N292" s="166"/>
      <c r="O292" s="166"/>
      <c r="P292" s="156">
        <f>ROUND(G292*O285,2)</f>
        <v>0</v>
      </c>
      <c r="Q292" s="156">
        <f>ROUND(G292*N285,2)</f>
        <v>558435.77</v>
      </c>
    </row>
    <row r="293" spans="1:17" x14ac:dyDescent="0.25">
      <c r="A293" s="168">
        <v>36</v>
      </c>
      <c r="B293" s="84" t="s">
        <v>360</v>
      </c>
      <c r="C293" s="34">
        <v>739</v>
      </c>
      <c r="D293" s="144" t="s">
        <v>702</v>
      </c>
      <c r="E293" s="168" t="s">
        <v>76</v>
      </c>
      <c r="F293" s="34"/>
      <c r="G293" s="60">
        <f>SUM(G294:G294)</f>
        <v>17.660499999999999</v>
      </c>
      <c r="H293" s="166">
        <v>2594313</v>
      </c>
      <c r="I293" s="166">
        <f>ROUND(G293*H293,0)</f>
        <v>45816865</v>
      </c>
      <c r="J293" s="34">
        <v>1</v>
      </c>
      <c r="K293" s="166">
        <f>'Tổng hợp VL,NC,M'!I1518</f>
        <v>2594313</v>
      </c>
      <c r="L293" s="166">
        <f>ROUND(G293*K293,0)</f>
        <v>45816865</v>
      </c>
      <c r="M293" s="166"/>
      <c r="N293" s="166">
        <f>K293+M293</f>
        <v>2594313</v>
      </c>
      <c r="O293" s="166">
        <f>N293-H293</f>
        <v>0</v>
      </c>
      <c r="P293" s="166">
        <f>ROUND(G293*O293,0)</f>
        <v>0</v>
      </c>
      <c r="Q293" s="166">
        <f>ROUND(G293*N293,0)</f>
        <v>45816865</v>
      </c>
    </row>
    <row r="294" spans="1:17" ht="30" hidden="1" x14ac:dyDescent="0.25">
      <c r="A294" s="168"/>
      <c r="B294" s="133" t="str">
        <f>'Công trình'!B154</f>
        <v>AB.36120</v>
      </c>
      <c r="C294" s="34"/>
      <c r="D294" s="133" t="str">
        <f>'Công trình'!C154</f>
        <v>Xói hút bùn trong khung vây phòng nước, các trụ dưới nước</v>
      </c>
      <c r="E294" s="168"/>
      <c r="F294" s="20">
        <v>1</v>
      </c>
      <c r="G294" s="45">
        <f>'Hao phí vật tư'!L1176</f>
        <v>17.660499999999999</v>
      </c>
      <c r="H294" s="166"/>
      <c r="I294" s="156">
        <f>ROUND(G294*H293,2)</f>
        <v>45816864.740000002</v>
      </c>
      <c r="J294" s="20" t="str">
        <f>'Công trình'!X154</f>
        <v>HCM_2016_QD_3384_XD</v>
      </c>
      <c r="K294" s="166"/>
      <c r="L294" s="156">
        <f>ROUND(G294*K293,2)</f>
        <v>45816864.740000002</v>
      </c>
      <c r="M294" s="166"/>
      <c r="N294" s="166"/>
      <c r="O294" s="166"/>
      <c r="P294" s="156">
        <f>ROUND(G294*O293,2)</f>
        <v>0</v>
      </c>
      <c r="Q294" s="156">
        <f>ROUND(G294*N293,2)</f>
        <v>45816864.740000002</v>
      </c>
    </row>
    <row r="295" spans="1:17" x14ac:dyDescent="0.25">
      <c r="A295" s="168">
        <v>37</v>
      </c>
      <c r="B295" s="84" t="s">
        <v>759</v>
      </c>
      <c r="C295" s="34">
        <v>740</v>
      </c>
      <c r="D295" s="144" t="s">
        <v>1194</v>
      </c>
      <c r="E295" s="168" t="s">
        <v>76</v>
      </c>
      <c r="F295" s="34"/>
      <c r="G295" s="60">
        <f>SUM(G296:G296)</f>
        <v>12.6546</v>
      </c>
      <c r="H295" s="166">
        <v>914540</v>
      </c>
      <c r="I295" s="166">
        <f>ROUND(G295*H295,0)</f>
        <v>11573138</v>
      </c>
      <c r="J295" s="34">
        <v>1</v>
      </c>
      <c r="K295" s="166">
        <f>'Tổng hợp VL,NC,M'!I1520</f>
        <v>914540</v>
      </c>
      <c r="L295" s="166">
        <f>ROUND(G295*K295,0)</f>
        <v>11573138</v>
      </c>
      <c r="M295" s="166"/>
      <c r="N295" s="166">
        <f>K295+M295</f>
        <v>914540</v>
      </c>
      <c r="O295" s="166">
        <f>N295-H295</f>
        <v>0</v>
      </c>
      <c r="P295" s="166">
        <f>ROUND(G295*O295,0)</f>
        <v>0</v>
      </c>
      <c r="Q295" s="166">
        <f>ROUND(G295*N295,0)</f>
        <v>11573138</v>
      </c>
    </row>
    <row r="296" spans="1:17" ht="30" hidden="1" x14ac:dyDescent="0.25">
      <c r="A296" s="168"/>
      <c r="B296" s="133" t="str">
        <f>'Công trình'!B262</f>
        <v>AI.21152</v>
      </c>
      <c r="C296" s="34"/>
      <c r="D296" s="133" t="str">
        <f>'Công trình'!C262</f>
        <v>Sản xuất kết cấu thép lan can cầu đường bộ</v>
      </c>
      <c r="E296" s="168"/>
      <c r="F296" s="20">
        <v>1</v>
      </c>
      <c r="G296" s="45">
        <f>'Hao phí vật tư'!L2004</f>
        <v>12.6546</v>
      </c>
      <c r="H296" s="166"/>
      <c r="I296" s="156">
        <f>ROUND(G296*H295,2)</f>
        <v>11573137.880000001</v>
      </c>
      <c r="J296" s="20" t="str">
        <f>'Công trình'!X262</f>
        <v>HCM_2016_QD_3384_XD</v>
      </c>
      <c r="K296" s="166"/>
      <c r="L296" s="156">
        <f>ROUND(G296*K295,2)</f>
        <v>11573137.880000001</v>
      </c>
      <c r="M296" s="166"/>
      <c r="N296" s="166"/>
      <c r="O296" s="166"/>
      <c r="P296" s="156">
        <f>ROUND(G296*O295,2)</f>
        <v>0</v>
      </c>
      <c r="Q296" s="156">
        <f>ROUND(G296*N295,2)</f>
        <v>11573137.880000001</v>
      </c>
    </row>
    <row r="297" spans="1:17" x14ac:dyDescent="0.25">
      <c r="A297" s="168">
        <v>38</v>
      </c>
      <c r="B297" s="84" t="s">
        <v>706</v>
      </c>
      <c r="C297" s="34">
        <v>741</v>
      </c>
      <c r="D297" s="144" t="s">
        <v>183</v>
      </c>
      <c r="E297" s="168" t="s">
        <v>76</v>
      </c>
      <c r="F297" s="34"/>
      <c r="G297" s="60">
        <f>SUM(G298:G300)</f>
        <v>0.7218</v>
      </c>
      <c r="H297" s="166">
        <v>1111419</v>
      </c>
      <c r="I297" s="166">
        <f>ROUND(G297*H297,0)</f>
        <v>802222</v>
      </c>
      <c r="J297" s="34">
        <v>1</v>
      </c>
      <c r="K297" s="166">
        <f>'Tổng hợp VL,NC,M'!I1522</f>
        <v>1111419</v>
      </c>
      <c r="L297" s="166">
        <f>ROUND(G297*K297,0)</f>
        <v>802222</v>
      </c>
      <c r="M297" s="166"/>
      <c r="N297" s="166">
        <f>K297+M297</f>
        <v>1111419</v>
      </c>
      <c r="O297" s="166">
        <f>N297-H297</f>
        <v>0</v>
      </c>
      <c r="P297" s="166">
        <f>ROUND(G297*O297,0)</f>
        <v>0</v>
      </c>
      <c r="Q297" s="166">
        <f>ROUND(G297*N297,0)</f>
        <v>802222</v>
      </c>
    </row>
    <row r="298" spans="1:17" ht="30" hidden="1" x14ac:dyDescent="0.25">
      <c r="A298" s="168"/>
      <c r="B298" s="133" t="str">
        <f>'Công trình'!B77</f>
        <v>AA.22310</v>
      </c>
      <c r="C298" s="34"/>
      <c r="D298" s="133" t="str">
        <f>'Công trình'!C77</f>
        <v>Đập đầu cọc trên cạn</v>
      </c>
      <c r="E298" s="168"/>
      <c r="F298" s="20">
        <v>1</v>
      </c>
      <c r="G298" s="45">
        <f>'Hao phí vật tư'!L619</f>
        <v>0.3528</v>
      </c>
      <c r="H298" s="166"/>
      <c r="I298" s="156">
        <f>ROUND(G298*H297,2)</f>
        <v>392108.62</v>
      </c>
      <c r="J298" s="20" t="str">
        <f>'Công trình'!X77</f>
        <v>HCM_2016_QD_3384_XD</v>
      </c>
      <c r="K298" s="166"/>
      <c r="L298" s="156">
        <f>ROUND(G298*K297,2)</f>
        <v>392108.62</v>
      </c>
      <c r="M298" s="166"/>
      <c r="N298" s="166"/>
      <c r="O298" s="166"/>
      <c r="P298" s="156">
        <f>ROUND(G298*O297,2)</f>
        <v>0</v>
      </c>
      <c r="Q298" s="156">
        <f>ROUND(G298*N297,2)</f>
        <v>392108.62</v>
      </c>
    </row>
    <row r="299" spans="1:17" ht="30" hidden="1" x14ac:dyDescent="0.25">
      <c r="A299" s="168"/>
      <c r="B299" s="133" t="str">
        <f>'Công trình'!B88</f>
        <v>AA.22310</v>
      </c>
      <c r="C299" s="34"/>
      <c r="D299" s="133" t="str">
        <f>'Công trình'!C88</f>
        <v>Đập đầu cọc trên cạn</v>
      </c>
      <c r="E299" s="168"/>
      <c r="F299" s="20">
        <v>1</v>
      </c>
      <c r="G299" s="45">
        <f>'Hao phí vật tư'!L735</f>
        <v>0.10440000000000001</v>
      </c>
      <c r="H299" s="166"/>
      <c r="I299" s="156">
        <f>ROUND(G299*H297,2)</f>
        <v>116032.14</v>
      </c>
      <c r="J299" s="20" t="str">
        <f>'Công trình'!X88</f>
        <v>HCM_2016_QD_3384_XD</v>
      </c>
      <c r="K299" s="166"/>
      <c r="L299" s="156">
        <f>ROUND(G299*K297,2)</f>
        <v>116032.14</v>
      </c>
      <c r="M299" s="166"/>
      <c r="N299" s="166"/>
      <c r="O299" s="166"/>
      <c r="P299" s="156">
        <f>ROUND(G299*O297,2)</f>
        <v>0</v>
      </c>
      <c r="Q299" s="156">
        <f>ROUND(G299*N297,2)</f>
        <v>116032.14</v>
      </c>
    </row>
    <row r="300" spans="1:17" ht="30" hidden="1" x14ac:dyDescent="0.25">
      <c r="A300" s="168"/>
      <c r="B300" s="133" t="str">
        <f>'Công trình'!B235</f>
        <v>AA.22310</v>
      </c>
      <c r="C300" s="34"/>
      <c r="D300" s="133" t="str">
        <f>'Công trình'!C235</f>
        <v>Đập đầu cọc trên cạn</v>
      </c>
      <c r="E300" s="168"/>
      <c r="F300" s="20">
        <v>1</v>
      </c>
      <c r="G300" s="45">
        <f>'Hao phí vật tư'!L1801</f>
        <v>0.2646</v>
      </c>
      <c r="H300" s="166"/>
      <c r="I300" s="156">
        <f>ROUND(G300*H297,2)</f>
        <v>294081.46999999997</v>
      </c>
      <c r="J300" s="20" t="str">
        <f>'Công trình'!X235</f>
        <v>HCM_2016_QD_3384_XD</v>
      </c>
      <c r="K300" s="166"/>
      <c r="L300" s="156">
        <f>ROUND(G300*K297,2)</f>
        <v>294081.46999999997</v>
      </c>
      <c r="M300" s="166"/>
      <c r="N300" s="166"/>
      <c r="O300" s="166"/>
      <c r="P300" s="156">
        <f>ROUND(G300*O297,2)</f>
        <v>0</v>
      </c>
      <c r="Q300" s="156">
        <f>ROUND(G300*N297,2)</f>
        <v>294081.46999999997</v>
      </c>
    </row>
    <row r="301" spans="1:17" x14ac:dyDescent="0.25">
      <c r="A301" s="168">
        <v>39</v>
      </c>
      <c r="B301" s="84" t="s">
        <v>950</v>
      </c>
      <c r="C301" s="34">
        <v>742</v>
      </c>
      <c r="D301" s="144" t="s">
        <v>186</v>
      </c>
      <c r="E301" s="168" t="s">
        <v>76</v>
      </c>
      <c r="F301" s="34"/>
      <c r="G301" s="60">
        <f>SUM(G302:G302)</f>
        <v>0.2248</v>
      </c>
      <c r="H301" s="166">
        <v>3797208</v>
      </c>
      <c r="I301" s="166">
        <f>ROUND(G301*H301,0)</f>
        <v>853612</v>
      </c>
      <c r="J301" s="34">
        <v>1</v>
      </c>
      <c r="K301" s="166">
        <f>'Tổng hợp VL,NC,M'!I1528</f>
        <v>3797208</v>
      </c>
      <c r="L301" s="166">
        <f>ROUND(G301*K301,0)</f>
        <v>853612</v>
      </c>
      <c r="M301" s="166"/>
      <c r="N301" s="166">
        <f>K301+M301</f>
        <v>3797208</v>
      </c>
      <c r="O301" s="166">
        <f>N301-H301</f>
        <v>0</v>
      </c>
      <c r="P301" s="166">
        <f>ROUND(G301*O301,0)</f>
        <v>0</v>
      </c>
      <c r="Q301" s="166">
        <f>ROUND(G301*N301,0)</f>
        <v>853612</v>
      </c>
    </row>
    <row r="302" spans="1:17" ht="30" hidden="1" x14ac:dyDescent="0.25">
      <c r="A302" s="168"/>
      <c r="B302" s="133" t="str">
        <f>'Công trình'!B241</f>
        <v>AD.11222</v>
      </c>
      <c r="C302" s="34"/>
      <c r="D302" s="133" t="str">
        <f>'Công trình'!C241</f>
        <v>Làm móng lớp trên cấp phối đá dăm, đường làm mới</v>
      </c>
      <c r="E302" s="168"/>
      <c r="F302" s="20">
        <v>1</v>
      </c>
      <c r="G302" s="45">
        <f>'Hao phí vật tư'!L1829</f>
        <v>0.2248</v>
      </c>
      <c r="H302" s="166"/>
      <c r="I302" s="156">
        <f>ROUND(G302*H301,2)</f>
        <v>853612.36</v>
      </c>
      <c r="J302" s="20" t="str">
        <f>'Công trình'!X241</f>
        <v>HCM_2016_QD_3384_XD</v>
      </c>
      <c r="K302" s="166"/>
      <c r="L302" s="156">
        <f>ROUND(G302*K301,2)</f>
        <v>853612.36</v>
      </c>
      <c r="M302" s="166"/>
      <c r="N302" s="166"/>
      <c r="O302" s="166"/>
      <c r="P302" s="156">
        <f>ROUND(G302*O301,2)</f>
        <v>0</v>
      </c>
      <c r="Q302" s="156">
        <f>ROUND(G302*N301,2)</f>
        <v>853612.36</v>
      </c>
    </row>
    <row r="303" spans="1:17" x14ac:dyDescent="0.25">
      <c r="A303" s="168">
        <v>40</v>
      </c>
      <c r="B303" s="84" t="s">
        <v>874</v>
      </c>
      <c r="C303" s="34">
        <v>743</v>
      </c>
      <c r="D303" s="144" t="s">
        <v>6</v>
      </c>
      <c r="E303" s="168" t="s">
        <v>76</v>
      </c>
      <c r="F303" s="34"/>
      <c r="G303" s="60">
        <f>SUM(G304:G305)</f>
        <v>0.10400000000000001</v>
      </c>
      <c r="H303" s="166">
        <v>2166080</v>
      </c>
      <c r="I303" s="166">
        <f>ROUND(G303*H303,0)</f>
        <v>225272</v>
      </c>
      <c r="J303" s="34">
        <v>1</v>
      </c>
      <c r="K303" s="166">
        <f>'Tổng hợp VL,NC,M'!I1530</f>
        <v>2166080</v>
      </c>
      <c r="L303" s="166">
        <f>ROUND(G303*K303,0)</f>
        <v>225272</v>
      </c>
      <c r="M303" s="166"/>
      <c r="N303" s="166">
        <f>K303+M303</f>
        <v>2166080</v>
      </c>
      <c r="O303" s="166">
        <f>N303-H303</f>
        <v>0</v>
      </c>
      <c r="P303" s="166">
        <f>ROUND(G303*O303,0)</f>
        <v>0</v>
      </c>
      <c r="Q303" s="166">
        <f>ROUND(G303*N303,0)</f>
        <v>225272</v>
      </c>
    </row>
    <row r="304" spans="1:17" ht="30" hidden="1" x14ac:dyDescent="0.25">
      <c r="A304" s="168"/>
      <c r="B304" s="133" t="str">
        <f>'Công trình'!B98</f>
        <v>AD.11212</v>
      </c>
      <c r="C304" s="34"/>
      <c r="D304" s="133" t="str">
        <f>'Công trình'!C98</f>
        <v>Cấp phối đá 0x4</v>
      </c>
      <c r="E304" s="168"/>
      <c r="F304" s="20">
        <v>1</v>
      </c>
      <c r="G304" s="45">
        <f>'Hao phí vật tư'!L797</f>
        <v>4.8000000000000001E-2</v>
      </c>
      <c r="H304" s="166"/>
      <c r="I304" s="156">
        <f>ROUND(G304*H303,2)</f>
        <v>103971.84</v>
      </c>
      <c r="J304" s="20" t="str">
        <f>'Công trình'!X98</f>
        <v>HCM_2016_QD_3384_XD</v>
      </c>
      <c r="K304" s="166"/>
      <c r="L304" s="156">
        <f>ROUND(G304*K303,2)</f>
        <v>103971.84</v>
      </c>
      <c r="M304" s="166"/>
      <c r="N304" s="166"/>
      <c r="O304" s="166"/>
      <c r="P304" s="156">
        <f>ROUND(G304*O303,2)</f>
        <v>0</v>
      </c>
      <c r="Q304" s="156">
        <f>ROUND(G304*N303,2)</f>
        <v>103971.84</v>
      </c>
    </row>
    <row r="305" spans="1:17" ht="30" hidden="1" x14ac:dyDescent="0.25">
      <c r="A305" s="168"/>
      <c r="B305" s="133" t="str">
        <f>'Công trình'!B93</f>
        <v>AD.11212</v>
      </c>
      <c r="C305" s="34"/>
      <c r="D305" s="133" t="str">
        <f>'Công trình'!C93</f>
        <v>Cấp phối đá 0x4</v>
      </c>
      <c r="E305" s="168"/>
      <c r="F305" s="20">
        <v>1</v>
      </c>
      <c r="G305" s="45">
        <f>'Hao phí vật tư'!L763</f>
        <v>5.6000000000000001E-2</v>
      </c>
      <c r="H305" s="166"/>
      <c r="I305" s="156">
        <f>ROUND(G305*H303,2)</f>
        <v>121300.48</v>
      </c>
      <c r="J305" s="20" t="str">
        <f>'Công trình'!X93</f>
        <v>HCM_2016_QD_3384_XD</v>
      </c>
      <c r="K305" s="166"/>
      <c r="L305" s="156">
        <f>ROUND(G305*K303,2)</f>
        <v>121300.48</v>
      </c>
      <c r="M305" s="166"/>
      <c r="N305" s="166"/>
      <c r="O305" s="166"/>
      <c r="P305" s="156">
        <f>ROUND(G305*O303,2)</f>
        <v>0</v>
      </c>
      <c r="Q305" s="156">
        <f>ROUND(G305*N303,2)</f>
        <v>121300.48</v>
      </c>
    </row>
    <row r="306" spans="1:17" x14ac:dyDescent="0.25">
      <c r="A306" s="168">
        <v>41</v>
      </c>
      <c r="B306" s="84" t="s">
        <v>1167</v>
      </c>
      <c r="C306" s="34">
        <v>744</v>
      </c>
      <c r="D306" s="144" t="s">
        <v>66</v>
      </c>
      <c r="E306" s="168" t="s">
        <v>76</v>
      </c>
      <c r="F306" s="34"/>
      <c r="G306" s="60">
        <f>SUM(G307:G340)</f>
        <v>155.6352</v>
      </c>
      <c r="H306" s="166">
        <v>288447</v>
      </c>
      <c r="I306" s="166">
        <f>ROUND(G306*H306,0)</f>
        <v>44892507</v>
      </c>
      <c r="J306" s="34">
        <v>1</v>
      </c>
      <c r="K306" s="166">
        <f>'Tổng hợp VL,NC,M'!I1535</f>
        <v>288447</v>
      </c>
      <c r="L306" s="166">
        <f>ROUND(G306*K306,0)</f>
        <v>44892507</v>
      </c>
      <c r="M306" s="166"/>
      <c r="N306" s="166">
        <f>K306+M306</f>
        <v>288447</v>
      </c>
      <c r="O306" s="166">
        <f>N306-H306</f>
        <v>0</v>
      </c>
      <c r="P306" s="166">
        <f>ROUND(G306*O306,0)</f>
        <v>0</v>
      </c>
      <c r="Q306" s="166">
        <f>ROUND(G306*N306,0)</f>
        <v>44892507</v>
      </c>
    </row>
    <row r="307" spans="1:17" ht="30" hidden="1" x14ac:dyDescent="0.25">
      <c r="A307" s="168"/>
      <c r="B307" s="133" t="str">
        <f>'Công trình'!B18</f>
        <v>AF.12314</v>
      </c>
      <c r="C307" s="34"/>
      <c r="D307" s="133" t="str">
        <f>'Công trình'!C18</f>
        <v>Bê tông xà dầm, giằng nhà đá 1x2, vữa BT mác 250</v>
      </c>
      <c r="E307" s="168"/>
      <c r="F307" s="20">
        <v>1</v>
      </c>
      <c r="G307" s="45">
        <f>'Hao phí vật tư'!L133</f>
        <v>6.157</v>
      </c>
      <c r="H307" s="166"/>
      <c r="I307" s="156">
        <f>ROUND(G307*H306,2)</f>
        <v>1775968.18</v>
      </c>
      <c r="J307" s="20" t="str">
        <f>'Công trình'!X18</f>
        <v>HCM_2016_QD_3384_XD</v>
      </c>
      <c r="K307" s="166"/>
      <c r="L307" s="156">
        <f>ROUND(G307*K306,2)</f>
        <v>1775968.18</v>
      </c>
      <c r="M307" s="166"/>
      <c r="N307" s="166"/>
      <c r="O307" s="166"/>
      <c r="P307" s="156">
        <f>ROUND(G307*O306,2)</f>
        <v>0</v>
      </c>
      <c r="Q307" s="156">
        <f>ROUND(G307*N306,2)</f>
        <v>1775968.18</v>
      </c>
    </row>
    <row r="308" spans="1:17" ht="30" hidden="1" x14ac:dyDescent="0.25">
      <c r="A308" s="168"/>
      <c r="B308" s="133" t="str">
        <f>'Công trình'!B30</f>
        <v>AF.12113</v>
      </c>
      <c r="C308" s="34"/>
      <c r="D308" s="133" t="str">
        <f>'Công trình'!C30</f>
        <v>Bê tông tường dày &lt;=45cm, chiều cao &lt;=4m đá 1x2, vữa BT mác 200</v>
      </c>
      <c r="E308" s="168"/>
      <c r="F308" s="20">
        <v>1</v>
      </c>
      <c r="G308" s="45">
        <f>'Hao phí vật tư'!L213</f>
        <v>2.4870999999999999</v>
      </c>
      <c r="H308" s="166"/>
      <c r="I308" s="156">
        <f>ROUND(G308*H306,2)</f>
        <v>717396.53</v>
      </c>
      <c r="J308" s="20" t="str">
        <f>'Công trình'!X30</f>
        <v>HCM_2016_QD_3384_XD</v>
      </c>
      <c r="K308" s="166"/>
      <c r="L308" s="156">
        <f>ROUND(G308*K306,2)</f>
        <v>717396.53</v>
      </c>
      <c r="M308" s="166"/>
      <c r="N308" s="166"/>
      <c r="O308" s="166"/>
      <c r="P308" s="156">
        <f>ROUND(G308*O306,2)</f>
        <v>0</v>
      </c>
      <c r="Q308" s="156">
        <f>ROUND(G308*N306,2)</f>
        <v>717396.53</v>
      </c>
    </row>
    <row r="309" spans="1:17" ht="30" hidden="1" x14ac:dyDescent="0.25">
      <c r="A309" s="168"/>
      <c r="B309" s="133" t="str">
        <f>'Công trình'!B43</f>
        <v>AF.11212</v>
      </c>
      <c r="C309" s="34"/>
      <c r="D309" s="133" t="str">
        <f>'Công trình'!C43</f>
        <v>Bê tông móng rộng &lt;=250cm đá 1x2, vữa BT mác 150</v>
      </c>
      <c r="E309" s="168"/>
      <c r="F309" s="20">
        <v>1</v>
      </c>
      <c r="G309" s="45">
        <f>'Hao phí vật tư'!L330</f>
        <v>5.7000000000000002E-3</v>
      </c>
      <c r="H309" s="166"/>
      <c r="I309" s="156">
        <f>ROUND(G309*H306,2)</f>
        <v>1644.15</v>
      </c>
      <c r="J309" s="20" t="str">
        <f>'Công trình'!X43</f>
        <v>HCM_2016_QD_3384_XD</v>
      </c>
      <c r="K309" s="166"/>
      <c r="L309" s="156">
        <f>ROUND(G309*K306,2)</f>
        <v>1644.15</v>
      </c>
      <c r="M309" s="166"/>
      <c r="N309" s="166"/>
      <c r="O309" s="166"/>
      <c r="P309" s="156">
        <f>ROUND(G309*O306,2)</f>
        <v>0</v>
      </c>
      <c r="Q309" s="156">
        <f>ROUND(G309*N306,2)</f>
        <v>1644.15</v>
      </c>
    </row>
    <row r="310" spans="1:17" ht="30" hidden="1" x14ac:dyDescent="0.25">
      <c r="A310" s="168"/>
      <c r="B310" s="133" t="str">
        <f>'Công trình'!B44</f>
        <v>AF.11213</v>
      </c>
      <c r="C310" s="34"/>
      <c r="D310" s="133" t="str">
        <f>'Công trình'!C44</f>
        <v>Bê tông móng rộng &lt;=250cm đá 1x2, vữa BT mác 200</v>
      </c>
      <c r="E310" s="168"/>
      <c r="F310" s="20">
        <v>1</v>
      </c>
      <c r="G310" s="45">
        <f>'Hao phí vật tư'!L342</f>
        <v>1.9E-2</v>
      </c>
      <c r="H310" s="166"/>
      <c r="I310" s="156">
        <f>ROUND(G310*H306,2)</f>
        <v>5480.49</v>
      </c>
      <c r="J310" s="20" t="str">
        <f>'Công trình'!X44</f>
        <v>HCM_2016_QD_3384_XD</v>
      </c>
      <c r="K310" s="166"/>
      <c r="L310" s="156">
        <f>ROUND(G310*K306,2)</f>
        <v>5480.49</v>
      </c>
      <c r="M310" s="166"/>
      <c r="N310" s="166"/>
      <c r="O310" s="166"/>
      <c r="P310" s="156">
        <f>ROUND(G310*O306,2)</f>
        <v>0</v>
      </c>
      <c r="Q310" s="156">
        <f>ROUND(G310*N306,2)</f>
        <v>5480.49</v>
      </c>
    </row>
    <row r="311" spans="1:17" ht="30" hidden="1" x14ac:dyDescent="0.25">
      <c r="A311" s="168"/>
      <c r="B311" s="133" t="str">
        <f>'Công trình'!B52</f>
        <v>AG.11412</v>
      </c>
      <c r="C311" s="34"/>
      <c r="D311" s="133" t="str">
        <f>'Công trình'!C52</f>
        <v>Sản xuất bê tông tấm BT tự chèn đúc sẵn đá 1x2, vữa BT mác 150</v>
      </c>
      <c r="E311" s="168"/>
      <c r="F311" s="20">
        <v>1</v>
      </c>
      <c r="G311" s="45">
        <f>'Hao phí vật tư'!L386</f>
        <v>8.7225000000000001</v>
      </c>
      <c r="H311" s="166"/>
      <c r="I311" s="156">
        <f>ROUND(G311*H306,2)</f>
        <v>2515978.96</v>
      </c>
      <c r="J311" s="20" t="str">
        <f>'Công trình'!X52</f>
        <v>HCM_2016_QD_3384_XD</v>
      </c>
      <c r="K311" s="166"/>
      <c r="L311" s="156">
        <f>ROUND(G311*K306,2)</f>
        <v>2515978.96</v>
      </c>
      <c r="M311" s="166"/>
      <c r="N311" s="166"/>
      <c r="O311" s="166"/>
      <c r="P311" s="156">
        <f>ROUND(G311*O306,2)</f>
        <v>0</v>
      </c>
      <c r="Q311" s="156">
        <f>ROUND(G311*N306,2)</f>
        <v>2515978.96</v>
      </c>
    </row>
    <row r="312" spans="1:17" ht="30" hidden="1" x14ac:dyDescent="0.25">
      <c r="A312" s="168"/>
      <c r="B312" s="133" t="str">
        <f>'Công trình'!B57</f>
        <v>AF.12313</v>
      </c>
      <c r="C312" s="34"/>
      <c r="D312" s="133" t="str">
        <f>'Công trình'!C57</f>
        <v>Bê tông xà dầm, giằng đá 1x2, vữa BT mác 200</v>
      </c>
      <c r="E312" s="168"/>
      <c r="F312" s="20">
        <v>1</v>
      </c>
      <c r="G312" s="45">
        <f>'Hao phí vật tư'!L430</f>
        <v>3.3127</v>
      </c>
      <c r="H312" s="166"/>
      <c r="I312" s="156">
        <f>ROUND(G312*H306,2)</f>
        <v>955538.38</v>
      </c>
      <c r="J312" s="20" t="str">
        <f>'Công trình'!X57</f>
        <v>HCM_2016_QD_3384_XD</v>
      </c>
      <c r="K312" s="166"/>
      <c r="L312" s="156">
        <f>ROUND(G312*K306,2)</f>
        <v>955538.38</v>
      </c>
      <c r="M312" s="166"/>
      <c r="N312" s="166"/>
      <c r="O312" s="166"/>
      <c r="P312" s="156">
        <f>ROUND(G312*O306,2)</f>
        <v>0</v>
      </c>
      <c r="Q312" s="156">
        <f>ROUND(G312*N306,2)</f>
        <v>955538.38</v>
      </c>
    </row>
    <row r="313" spans="1:17" ht="30" hidden="1" x14ac:dyDescent="0.25">
      <c r="A313" s="168"/>
      <c r="B313" s="133" t="str">
        <f>'Công trình'!B63</f>
        <v>AF.11223</v>
      </c>
      <c r="C313" s="34"/>
      <c r="D313" s="133" t="str">
        <f>'Công trình'!C63</f>
        <v>Bê tông lát mái rộng &gt;250cm đá 1x2, vữa BT mác 200</v>
      </c>
      <c r="E313" s="168"/>
      <c r="F313" s="20">
        <v>1</v>
      </c>
      <c r="G313" s="45">
        <f>'Hao phí vật tư'!L485</f>
        <v>15.486000000000001</v>
      </c>
      <c r="H313" s="166"/>
      <c r="I313" s="156">
        <f>ROUND(G313*H306,2)</f>
        <v>4466890.24</v>
      </c>
      <c r="J313" s="20" t="str">
        <f>'Công trình'!X63</f>
        <v>HCM_2016_QD_3384_XD</v>
      </c>
      <c r="K313" s="166"/>
      <c r="L313" s="156">
        <f>ROUND(G313*K306,2)</f>
        <v>4466890.24</v>
      </c>
      <c r="M313" s="166"/>
      <c r="N313" s="166"/>
      <c r="O313" s="166"/>
      <c r="P313" s="156">
        <f>ROUND(G313*O306,2)</f>
        <v>0</v>
      </c>
      <c r="Q313" s="156">
        <f>ROUND(G313*N306,2)</f>
        <v>4466890.24</v>
      </c>
    </row>
    <row r="314" spans="1:17" ht="30" hidden="1" x14ac:dyDescent="0.25">
      <c r="A314" s="168"/>
      <c r="B314" s="133" t="str">
        <f>'Công trình'!B68</f>
        <v>AG.11125</v>
      </c>
      <c r="C314" s="34"/>
      <c r="D314" s="133" t="str">
        <f>'Công trình'!C68</f>
        <v>Sản xuất bê tông cọc cừ đúc sẵn đá 1x2, vữa BT mác 300</v>
      </c>
      <c r="E314" s="168"/>
      <c r="F314" s="20">
        <v>1</v>
      </c>
      <c r="G314" s="45">
        <f>'Hao phí vật tư'!L515</f>
        <v>6.7839999999999998</v>
      </c>
      <c r="H314" s="166"/>
      <c r="I314" s="156">
        <f>ROUND(G314*H306,2)</f>
        <v>1956824.45</v>
      </c>
      <c r="J314" s="20" t="str">
        <f>'Công trình'!X68</f>
        <v>HCM_2016_QD_3384_XD</v>
      </c>
      <c r="K314" s="166"/>
      <c r="L314" s="156">
        <f>ROUND(G314*K306,2)</f>
        <v>1956824.45</v>
      </c>
      <c r="M314" s="166"/>
      <c r="N314" s="166"/>
      <c r="O314" s="166"/>
      <c r="P314" s="156">
        <f>ROUND(G314*O306,2)</f>
        <v>0</v>
      </c>
      <c r="Q314" s="156">
        <f>ROUND(G314*N306,2)</f>
        <v>1956824.45</v>
      </c>
    </row>
    <row r="315" spans="1:17" ht="30" hidden="1" x14ac:dyDescent="0.25">
      <c r="A315" s="168"/>
      <c r="B315" s="133" t="str">
        <f>'Công trình'!B79</f>
        <v>AG.11125</v>
      </c>
      <c r="C315" s="34"/>
      <c r="D315" s="133" t="str">
        <f>'Công trình'!C79</f>
        <v>Sản xuất bê tông cọc cừ đúc sẵn đá 1x2, vữa BT mác 300</v>
      </c>
      <c r="E315" s="168"/>
      <c r="F315" s="20">
        <v>1</v>
      </c>
      <c r="G315" s="45">
        <f>'Hao phí vật tư'!L631</f>
        <v>2.6572</v>
      </c>
      <c r="H315" s="166"/>
      <c r="I315" s="156">
        <f>ROUND(G315*H306,2)</f>
        <v>766461.37</v>
      </c>
      <c r="J315" s="20" t="str">
        <f>'Công trình'!X79</f>
        <v>HCM_2016_QD_3384_XD</v>
      </c>
      <c r="K315" s="166"/>
      <c r="L315" s="156">
        <f>ROUND(G315*K306,2)</f>
        <v>766461.37</v>
      </c>
      <c r="M315" s="166"/>
      <c r="N315" s="166"/>
      <c r="O315" s="166"/>
      <c r="P315" s="156">
        <f>ROUND(G315*O306,2)</f>
        <v>0</v>
      </c>
      <c r="Q315" s="156">
        <f>ROUND(G315*N306,2)</f>
        <v>766461.37</v>
      </c>
    </row>
    <row r="316" spans="1:17" ht="30" hidden="1" x14ac:dyDescent="0.25">
      <c r="A316" s="168"/>
      <c r="B316" s="133" t="str">
        <f>'Công trình'!B92</f>
        <v>AF.11121</v>
      </c>
      <c r="C316" s="34"/>
      <c r="D316" s="133" t="str">
        <f>'Công trình'!C92</f>
        <v>Bê tông M100 đá 4x6</v>
      </c>
      <c r="E316" s="168"/>
      <c r="F316" s="20">
        <v>1</v>
      </c>
      <c r="G316" s="45">
        <f>'Hao phí vật tư'!L752</f>
        <v>9.7850000000000001</v>
      </c>
      <c r="H316" s="166"/>
      <c r="I316" s="156">
        <f>ROUND(G316*H306,2)</f>
        <v>2822453.9</v>
      </c>
      <c r="J316" s="20" t="str">
        <f>'Công trình'!X92</f>
        <v>HCM_2016_QD_3384_XD</v>
      </c>
      <c r="K316" s="166"/>
      <c r="L316" s="156">
        <f>ROUND(G316*K306,2)</f>
        <v>2822453.9</v>
      </c>
      <c r="M316" s="166"/>
      <c r="N316" s="166"/>
      <c r="O316" s="166"/>
      <c r="P316" s="156">
        <f>ROUND(G316*O306,2)</f>
        <v>0</v>
      </c>
      <c r="Q316" s="156">
        <f>ROUND(G316*N306,2)</f>
        <v>2822453.9</v>
      </c>
    </row>
    <row r="317" spans="1:17" ht="30" hidden="1" x14ac:dyDescent="0.25">
      <c r="A317" s="168"/>
      <c r="B317" s="133" t="str">
        <f>'Công trình'!B167</f>
        <v>AG.11413</v>
      </c>
      <c r="C317" s="34"/>
      <c r="D317" s="133" t="str">
        <f>'Công trình'!C167</f>
        <v>Bê tông tấm đan đúc sẵn đá 1x2, vữa BT mác 200</v>
      </c>
      <c r="E317" s="168"/>
      <c r="F317" s="20">
        <v>1</v>
      </c>
      <c r="G317" s="45">
        <f>'Hao phí vật tư'!L1267</f>
        <v>0.83409999999999995</v>
      </c>
      <c r="H317" s="166"/>
      <c r="I317" s="156">
        <f>ROUND(G317*H306,2)</f>
        <v>240593.64</v>
      </c>
      <c r="J317" s="20" t="str">
        <f>'Công trình'!X167</f>
        <v>HCM_2016_QD_3384_XD</v>
      </c>
      <c r="K317" s="166"/>
      <c r="L317" s="156">
        <f>ROUND(G317*K306,2)</f>
        <v>240593.64</v>
      </c>
      <c r="M317" s="166"/>
      <c r="N317" s="166"/>
      <c r="O317" s="166"/>
      <c r="P317" s="156">
        <f>ROUND(G317*O306,2)</f>
        <v>0</v>
      </c>
      <c r="Q317" s="156">
        <f>ROUND(G317*N306,2)</f>
        <v>240593.64</v>
      </c>
    </row>
    <row r="318" spans="1:17" ht="30" hidden="1" x14ac:dyDescent="0.25">
      <c r="A318" s="168"/>
      <c r="B318" s="133" t="str">
        <f>'Công trình'!B174</f>
        <v>AF.14115</v>
      </c>
      <c r="C318" s="34"/>
      <c r="D318" s="133" t="str">
        <f>'Công trình'!C174</f>
        <v>Bê tông móng, mố trụ cầu trên cạn đá 1x2, vữa BT mác 300</v>
      </c>
      <c r="E318" s="168"/>
      <c r="F318" s="20">
        <v>1</v>
      </c>
      <c r="G318" s="45">
        <f>'Hao phí vật tư'!L1307</f>
        <v>9.3546999999999993</v>
      </c>
      <c r="H318" s="166"/>
      <c r="I318" s="156">
        <f>ROUND(G318*H306,2)</f>
        <v>2698335.15</v>
      </c>
      <c r="J318" s="20" t="str">
        <f>'Công trình'!X174</f>
        <v>HCM_2016_QD_3384_XD</v>
      </c>
      <c r="K318" s="166"/>
      <c r="L318" s="156">
        <f>ROUND(G318*K306,2)</f>
        <v>2698335.15</v>
      </c>
      <c r="M318" s="166"/>
      <c r="N318" s="166"/>
      <c r="O318" s="166"/>
      <c r="P318" s="156">
        <f>ROUND(G318*O306,2)</f>
        <v>0</v>
      </c>
      <c r="Q318" s="156">
        <f>ROUND(G318*N306,2)</f>
        <v>2698335.15</v>
      </c>
    </row>
    <row r="319" spans="1:17" ht="30" hidden="1" x14ac:dyDescent="0.25">
      <c r="A319" s="168"/>
      <c r="B319" s="133" t="str">
        <f>'Công trình'!B177</f>
        <v>AF.11121</v>
      </c>
      <c r="C319" s="34"/>
      <c r="D319" s="133" t="str">
        <f>'Công trình'!C177</f>
        <v>Bê tông lót móng rộng &gt;250cm đá 4x6, vữa BT mác 100</v>
      </c>
      <c r="E319" s="168"/>
      <c r="F319" s="20">
        <v>1</v>
      </c>
      <c r="G319" s="45">
        <f>'Hao phí vật tư'!L1344</f>
        <v>0.78569999999999995</v>
      </c>
      <c r="H319" s="166"/>
      <c r="I319" s="156">
        <f>ROUND(G319*H306,2)</f>
        <v>226632.81</v>
      </c>
      <c r="J319" s="20" t="str">
        <f>'Công trình'!X177</f>
        <v>HCM_2016_QD_3384_XD</v>
      </c>
      <c r="K319" s="166"/>
      <c r="L319" s="156">
        <f>ROUND(G319*K306,2)</f>
        <v>226632.81</v>
      </c>
      <c r="M319" s="166"/>
      <c r="N319" s="166"/>
      <c r="O319" s="166"/>
      <c r="P319" s="156">
        <f>ROUND(G319*O306,2)</f>
        <v>0</v>
      </c>
      <c r="Q319" s="156">
        <f>ROUND(G319*N306,2)</f>
        <v>226632.81</v>
      </c>
    </row>
    <row r="320" spans="1:17" ht="30" hidden="1" x14ac:dyDescent="0.25">
      <c r="A320" s="168"/>
      <c r="B320" s="133" t="str">
        <f>'Công trình'!B186</f>
        <v>AF.14115</v>
      </c>
      <c r="C320" s="34"/>
      <c r="D320" s="133" t="str">
        <f>'Công trình'!C186</f>
        <v>Bê tông móng, mố trụ cầu trên cạn đá 1x2, vữa BT mác 300</v>
      </c>
      <c r="E320" s="168"/>
      <c r="F320" s="20">
        <v>1</v>
      </c>
      <c r="G320" s="45">
        <f>'Hao phí vật tư'!L1424</f>
        <v>0.33439999999999998</v>
      </c>
      <c r="H320" s="166"/>
      <c r="I320" s="156">
        <f>ROUND(G320*H306,2)</f>
        <v>96456.68</v>
      </c>
      <c r="J320" s="20" t="str">
        <f>'Công trình'!X186</f>
        <v>HCM_2016_QD_3384_XD</v>
      </c>
      <c r="K320" s="166"/>
      <c r="L320" s="156">
        <f>ROUND(G320*K306,2)</f>
        <v>96456.68</v>
      </c>
      <c r="M320" s="166"/>
      <c r="N320" s="166"/>
      <c r="O320" s="166"/>
      <c r="P320" s="156">
        <f>ROUND(G320*O306,2)</f>
        <v>0</v>
      </c>
      <c r="Q320" s="156">
        <f>ROUND(G320*N306,2)</f>
        <v>96456.68</v>
      </c>
    </row>
    <row r="321" spans="1:17" ht="30" hidden="1" x14ac:dyDescent="0.25">
      <c r="A321" s="168"/>
      <c r="B321" s="133" t="str">
        <f>'Công trình'!B196</f>
        <v>AF.14315</v>
      </c>
      <c r="C321" s="34"/>
      <c r="D321" s="133" t="str">
        <f>'Công trình'!C196</f>
        <v>Bê tông mặt cầu đá 1x2, vữa BT mác 300</v>
      </c>
      <c r="E321" s="168"/>
      <c r="F321" s="20">
        <v>1</v>
      </c>
      <c r="G321" s="45">
        <f>'Hao phí vật tư'!L1506</f>
        <v>5.3446999999999996</v>
      </c>
      <c r="H321" s="166"/>
      <c r="I321" s="156">
        <f>ROUND(G321*H306,2)</f>
        <v>1541662.68</v>
      </c>
      <c r="J321" s="20" t="str">
        <f>'Công trình'!X196</f>
        <v>HCM_2016_QD_3384_XD</v>
      </c>
      <c r="K321" s="166"/>
      <c r="L321" s="156">
        <f>ROUND(G321*K306,2)</f>
        <v>1541662.68</v>
      </c>
      <c r="M321" s="166"/>
      <c r="N321" s="166"/>
      <c r="O321" s="166"/>
      <c r="P321" s="156">
        <f>ROUND(G321*O306,2)</f>
        <v>0</v>
      </c>
      <c r="Q321" s="156">
        <f>ROUND(G321*N306,2)</f>
        <v>1541662.68</v>
      </c>
    </row>
    <row r="322" spans="1:17" ht="30" hidden="1" x14ac:dyDescent="0.25">
      <c r="A322" s="168"/>
      <c r="B322" s="133" t="str">
        <f>'Công trình'!B197</f>
        <v>AF.15225</v>
      </c>
      <c r="C322" s="34"/>
      <c r="D322" s="133" t="str">
        <f>'Công trình'!C197</f>
        <v>Bê tông dầm cầu đá 1x2, vữa BT mác 300</v>
      </c>
      <c r="E322" s="168"/>
      <c r="F322" s="20">
        <v>1</v>
      </c>
      <c r="G322" s="45">
        <f>'Hao phí vật tư'!L1520</f>
        <v>0.29170000000000001</v>
      </c>
      <c r="H322" s="166"/>
      <c r="I322" s="156">
        <f>ROUND(G322*H306,2)</f>
        <v>84139.99</v>
      </c>
      <c r="J322" s="20" t="str">
        <f>'Công trình'!X197</f>
        <v>HCM_2016_QD_3384_XD</v>
      </c>
      <c r="K322" s="166"/>
      <c r="L322" s="156">
        <f>ROUND(G322*K306,2)</f>
        <v>84139.99</v>
      </c>
      <c r="M322" s="166"/>
      <c r="N322" s="166"/>
      <c r="O322" s="166"/>
      <c r="P322" s="156">
        <f>ROUND(G322*O306,2)</f>
        <v>0</v>
      </c>
      <c r="Q322" s="156">
        <f>ROUND(G322*N306,2)</f>
        <v>84139.99</v>
      </c>
    </row>
    <row r="323" spans="1:17" ht="30" hidden="1" x14ac:dyDescent="0.25">
      <c r="A323" s="168"/>
      <c r="B323" s="133" t="str">
        <f>'Công trình'!B217</f>
        <v>AF.11215</v>
      </c>
      <c r="C323" s="34"/>
      <c r="D323" s="133" t="str">
        <f>'Công trình'!C217</f>
        <v>BT M300 đổ sau có phụ gia</v>
      </c>
      <c r="E323" s="168"/>
      <c r="F323" s="20">
        <v>1</v>
      </c>
      <c r="G323" s="45">
        <f>'Hao phí vật tư'!L1642</f>
        <v>0.1074</v>
      </c>
      <c r="H323" s="166"/>
      <c r="I323" s="156">
        <f>ROUND(G323*H306,2)</f>
        <v>30979.21</v>
      </c>
      <c r="J323" s="20" t="str">
        <f>'Công trình'!X217</f>
        <v>HCM_2016_QD_3384_XD</v>
      </c>
      <c r="K323" s="166"/>
      <c r="L323" s="156">
        <f>ROUND(G323*K306,2)</f>
        <v>30979.21</v>
      </c>
      <c r="M323" s="166"/>
      <c r="N323" s="166"/>
      <c r="O323" s="166"/>
      <c r="P323" s="156">
        <f>ROUND(G323*O306,2)</f>
        <v>0</v>
      </c>
      <c r="Q323" s="156">
        <f>ROUND(G323*N306,2)</f>
        <v>30979.21</v>
      </c>
    </row>
    <row r="324" spans="1:17" ht="30" hidden="1" x14ac:dyDescent="0.25">
      <c r="A324" s="168"/>
      <c r="B324" s="133" t="str">
        <f>'Công trình'!B225</f>
        <v>AG.11125</v>
      </c>
      <c r="C324" s="34"/>
      <c r="D324" s="133" t="str">
        <f>'Công trình'!C225</f>
        <v>Sản xuất bê tông cọc cừ đúc sẵn đá 1x2, vữa BT mác 300</v>
      </c>
      <c r="E324" s="168"/>
      <c r="F324" s="20">
        <v>1</v>
      </c>
      <c r="G324" s="45">
        <f>'Hao phí vật tư'!L1691</f>
        <v>7.3320999999999996</v>
      </c>
      <c r="H324" s="166"/>
      <c r="I324" s="156">
        <f>ROUND(G324*H306,2)</f>
        <v>2114922.25</v>
      </c>
      <c r="J324" s="20" t="str">
        <f>'Công trình'!X225</f>
        <v>HCM_2016_QD_3384_XD</v>
      </c>
      <c r="K324" s="166"/>
      <c r="L324" s="156">
        <f>ROUND(G324*K306,2)</f>
        <v>2114922.25</v>
      </c>
      <c r="M324" s="166"/>
      <c r="N324" s="166"/>
      <c r="O324" s="166"/>
      <c r="P324" s="156">
        <f>ROUND(G324*O306,2)</f>
        <v>0</v>
      </c>
      <c r="Q324" s="156">
        <f>ROUND(G324*N306,2)</f>
        <v>2114922.25</v>
      </c>
    </row>
    <row r="325" spans="1:17" ht="30" hidden="1" x14ac:dyDescent="0.25">
      <c r="A325" s="168"/>
      <c r="B325" s="133" t="str">
        <f>'Công trình'!B247</f>
        <v>AF.12313</v>
      </c>
      <c r="C325" s="34"/>
      <c r="D325" s="133" t="str">
        <f>'Công trình'!C247</f>
        <v>Bê tông dầm chặn chân, đá 1x2, vữa BT mác 200</v>
      </c>
      <c r="E325" s="168"/>
      <c r="F325" s="20">
        <v>1</v>
      </c>
      <c r="G325" s="45">
        <f>'Hao phí vật tư'!L1875</f>
        <v>1.6948000000000001</v>
      </c>
      <c r="H325" s="166"/>
      <c r="I325" s="156">
        <f>ROUND(G325*H306,2)</f>
        <v>488859.98</v>
      </c>
      <c r="J325" s="20" t="str">
        <f>'Công trình'!X247</f>
        <v>HCM_2016_QD_3384_XD</v>
      </c>
      <c r="K325" s="166"/>
      <c r="L325" s="156">
        <f>ROUND(G325*K306,2)</f>
        <v>488859.98</v>
      </c>
      <c r="M325" s="166"/>
      <c r="N325" s="166"/>
      <c r="O325" s="166"/>
      <c r="P325" s="156">
        <f>ROUND(G325*O306,2)</f>
        <v>0</v>
      </c>
      <c r="Q325" s="156">
        <f>ROUND(G325*N306,2)</f>
        <v>488859.98</v>
      </c>
    </row>
    <row r="326" spans="1:17" ht="30" hidden="1" x14ac:dyDescent="0.25">
      <c r="A326" s="168"/>
      <c r="B326" s="133" t="str">
        <f>'Công trình'!B250</f>
        <v>AG.11413</v>
      </c>
      <c r="C326" s="34"/>
      <c r="D326" s="133" t="str">
        <f>'Công trình'!C250</f>
        <v>Sản xuất bê tông lục giác, đá 1x2, vữa BT mác 200</v>
      </c>
      <c r="E326" s="168"/>
      <c r="F326" s="20">
        <v>1</v>
      </c>
      <c r="G326" s="45">
        <f>'Hao phí vật tư'!L1908</f>
        <v>6.8837000000000002</v>
      </c>
      <c r="H326" s="166"/>
      <c r="I326" s="156">
        <f>ROUND(G326*H306,2)</f>
        <v>1985582.61</v>
      </c>
      <c r="J326" s="20" t="str">
        <f>'Công trình'!X250</f>
        <v>HCM_2016_QD_3384_XD</v>
      </c>
      <c r="K326" s="166"/>
      <c r="L326" s="156">
        <f>ROUND(G326*K306,2)</f>
        <v>1985582.61</v>
      </c>
      <c r="M326" s="166"/>
      <c r="N326" s="166"/>
      <c r="O326" s="166"/>
      <c r="P326" s="156">
        <f>ROUND(G326*O306,2)</f>
        <v>0</v>
      </c>
      <c r="Q326" s="156">
        <f>ROUND(G326*N306,2)</f>
        <v>1985582.61</v>
      </c>
    </row>
    <row r="327" spans="1:17" ht="30" hidden="1" x14ac:dyDescent="0.25">
      <c r="A327" s="168"/>
      <c r="B327" s="133" t="str">
        <f>'Công trình'!B255</f>
        <v>AF.14325</v>
      </c>
      <c r="C327" s="34"/>
      <c r="D327" s="133" t="str">
        <f>'Công trình'!C255</f>
        <v>Bê tông lan can, gờ chắn đá 1x2, vữa BT mác 300</v>
      </c>
      <c r="E327" s="168"/>
      <c r="F327" s="20">
        <v>1</v>
      </c>
      <c r="G327" s="45">
        <f>'Hao phí vật tư'!L1944</f>
        <v>2.3573</v>
      </c>
      <c r="H327" s="166"/>
      <c r="I327" s="156">
        <f>ROUND(G327*H306,2)</f>
        <v>679956.11</v>
      </c>
      <c r="J327" s="20" t="str">
        <f>'Công trình'!X255</f>
        <v>HCM_2016_QD_3384_XD</v>
      </c>
      <c r="K327" s="166"/>
      <c r="L327" s="156">
        <f>ROUND(G327*K306,2)</f>
        <v>679956.11</v>
      </c>
      <c r="M327" s="166"/>
      <c r="N327" s="166"/>
      <c r="O327" s="166"/>
      <c r="P327" s="156">
        <f>ROUND(G327*O306,2)</f>
        <v>0</v>
      </c>
      <c r="Q327" s="156">
        <f>ROUND(G327*N306,2)</f>
        <v>679956.11</v>
      </c>
    </row>
    <row r="328" spans="1:17" ht="30" hidden="1" x14ac:dyDescent="0.25">
      <c r="A328" s="168"/>
      <c r="B328" s="133" t="str">
        <f>'Công trình'!B267</f>
        <v>AF.11212</v>
      </c>
      <c r="C328" s="34"/>
      <c r="D328" s="133" t="str">
        <f>'Công trình'!C267</f>
        <v>Bê tông móng rộng &lt;=250cm đá 1x2, vữa BT mác 150</v>
      </c>
      <c r="E328" s="168"/>
      <c r="F328" s="20">
        <v>1</v>
      </c>
      <c r="G328" s="45">
        <f>'Hao phí vật tư'!L2040</f>
        <v>0.32300000000000001</v>
      </c>
      <c r="H328" s="166"/>
      <c r="I328" s="156">
        <f>ROUND(G328*H306,2)</f>
        <v>93168.38</v>
      </c>
      <c r="J328" s="20" t="str">
        <f>'Công trình'!X267</f>
        <v>HCM_2016_QD_3384_XD</v>
      </c>
      <c r="K328" s="166"/>
      <c r="L328" s="156">
        <f>ROUND(G328*K306,2)</f>
        <v>93168.38</v>
      </c>
      <c r="M328" s="166"/>
      <c r="N328" s="166"/>
      <c r="O328" s="166"/>
      <c r="P328" s="156">
        <f>ROUND(G328*O306,2)</f>
        <v>0</v>
      </c>
      <c r="Q328" s="156">
        <f>ROUND(G328*N306,2)</f>
        <v>93168.38</v>
      </c>
    </row>
    <row r="329" spans="1:17" ht="30" hidden="1" x14ac:dyDescent="0.25">
      <c r="A329" s="168"/>
      <c r="B329" s="133" t="str">
        <f>'Công trình'!B284</f>
        <v>AF.11213</v>
      </c>
      <c r="C329" s="34"/>
      <c r="D329" s="133" t="str">
        <f>'Công trình'!C284</f>
        <v>Bê tông móng rộng &lt;=250cm đá 1x2, vữa BT mác 200</v>
      </c>
      <c r="E329" s="168"/>
      <c r="F329" s="20">
        <v>1</v>
      </c>
      <c r="G329" s="45">
        <f>'Hao phí vật tư'!L2131</f>
        <v>0.74480000000000002</v>
      </c>
      <c r="H329" s="166"/>
      <c r="I329" s="156">
        <f>ROUND(G329*H306,2)</f>
        <v>214835.33</v>
      </c>
      <c r="J329" s="20" t="str">
        <f>'Công trình'!X284</f>
        <v>HCM_2016_QD_3384_XD</v>
      </c>
      <c r="K329" s="166"/>
      <c r="L329" s="156">
        <f>ROUND(G329*K306,2)</f>
        <v>214835.33</v>
      </c>
      <c r="M329" s="166"/>
      <c r="N329" s="166"/>
      <c r="O329" s="166"/>
      <c r="P329" s="156">
        <f>ROUND(G329*O306,2)</f>
        <v>0</v>
      </c>
      <c r="Q329" s="156">
        <f>ROUND(G329*N306,2)</f>
        <v>214835.33</v>
      </c>
    </row>
    <row r="330" spans="1:17" ht="30" hidden="1" x14ac:dyDescent="0.25">
      <c r="A330" s="168"/>
      <c r="B330" s="133" t="str">
        <f>'Công trình'!B285</f>
        <v>AF.11212</v>
      </c>
      <c r="C330" s="34"/>
      <c r="D330" s="133" t="str">
        <f>'Công trình'!C285</f>
        <v>Bê tông móng rộng &lt;=250cm đá 1x2, vữa BT mác 150</v>
      </c>
      <c r="E330" s="168"/>
      <c r="F330" s="20">
        <v>1</v>
      </c>
      <c r="G330" s="45">
        <f>'Hao phí vật tư'!L2143</f>
        <v>0.13300000000000001</v>
      </c>
      <c r="H330" s="166"/>
      <c r="I330" s="156">
        <f>ROUND(G330*H306,2)</f>
        <v>38363.449999999997</v>
      </c>
      <c r="J330" s="20" t="str">
        <f>'Công trình'!X285</f>
        <v>HCM_2016_QD_3384_XD</v>
      </c>
      <c r="K330" s="166"/>
      <c r="L330" s="156">
        <f>ROUND(G330*K306,2)</f>
        <v>38363.449999999997</v>
      </c>
      <c r="M330" s="166"/>
      <c r="N330" s="166"/>
      <c r="O330" s="166"/>
      <c r="P330" s="156">
        <f>ROUND(G330*O306,2)</f>
        <v>0</v>
      </c>
      <c r="Q330" s="156">
        <f>ROUND(G330*N306,2)</f>
        <v>38363.449999999997</v>
      </c>
    </row>
    <row r="331" spans="1:17" ht="30" hidden="1" x14ac:dyDescent="0.25">
      <c r="A331" s="168"/>
      <c r="B331" s="133" t="str">
        <f>'Công trình'!B295</f>
        <v>AF.11213</v>
      </c>
      <c r="C331" s="34"/>
      <c r="D331" s="133" t="str">
        <f>'Công trình'!C295</f>
        <v>Bê tông móng rộng &lt;=250cm đá 1x2, vữa BT mác 200</v>
      </c>
      <c r="E331" s="168"/>
      <c r="F331" s="20">
        <v>1</v>
      </c>
      <c r="G331" s="45">
        <f>'Hao phí vật tư'!L2215</f>
        <v>1.6199999999999999E-2</v>
      </c>
      <c r="H331" s="166"/>
      <c r="I331" s="156">
        <f>ROUND(G331*H306,2)</f>
        <v>4672.84</v>
      </c>
      <c r="J331" s="20" t="str">
        <f>'Công trình'!X295</f>
        <v>HCM_2016_QD_3384_XD</v>
      </c>
      <c r="K331" s="166"/>
      <c r="L331" s="156">
        <f>ROUND(G331*K306,2)</f>
        <v>4672.84</v>
      </c>
      <c r="M331" s="166"/>
      <c r="N331" s="166"/>
      <c r="O331" s="166"/>
      <c r="P331" s="156">
        <f>ROUND(G331*O306,2)</f>
        <v>0</v>
      </c>
      <c r="Q331" s="156">
        <f>ROUND(G331*N306,2)</f>
        <v>4672.84</v>
      </c>
    </row>
    <row r="332" spans="1:17" ht="30" hidden="1" x14ac:dyDescent="0.25">
      <c r="A332" s="168"/>
      <c r="B332" s="133" t="str">
        <f>'Công trình'!B296</f>
        <v>AF.11212</v>
      </c>
      <c r="C332" s="34"/>
      <c r="D332" s="133" t="str">
        <f>'Công trình'!C296</f>
        <v>Bê tông móng rộng &lt;=250cm đá 1x2, vữa BT mác 150</v>
      </c>
      <c r="E332" s="168"/>
      <c r="F332" s="20">
        <v>1</v>
      </c>
      <c r="G332" s="45">
        <f>'Hao phí vật tư'!L2227</f>
        <v>5.7000000000000002E-3</v>
      </c>
      <c r="H332" s="166"/>
      <c r="I332" s="156">
        <f>ROUND(G332*H306,2)</f>
        <v>1644.15</v>
      </c>
      <c r="J332" s="20" t="str">
        <f>'Công trình'!X296</f>
        <v>HCM_2016_QD_3384_XD</v>
      </c>
      <c r="K332" s="166"/>
      <c r="L332" s="156">
        <f>ROUND(G332*K306,2)</f>
        <v>1644.15</v>
      </c>
      <c r="M332" s="166"/>
      <c r="N332" s="166"/>
      <c r="O332" s="166"/>
      <c r="P332" s="156">
        <f>ROUND(G332*O306,2)</f>
        <v>0</v>
      </c>
      <c r="Q332" s="156">
        <f>ROUND(G332*N306,2)</f>
        <v>1644.15</v>
      </c>
    </row>
    <row r="333" spans="1:17" ht="30" hidden="1" x14ac:dyDescent="0.25">
      <c r="A333" s="168"/>
      <c r="B333" s="133" t="str">
        <f>'Công trình'!B300</f>
        <v>AG.11113</v>
      </c>
      <c r="C333" s="34"/>
      <c r="D333" s="133" t="str">
        <f>'Công trình'!C300</f>
        <v>Sản xuất bê tông cọc, cột đúc sẵn đá 1x2, vữa BT mác 200</v>
      </c>
      <c r="E333" s="168"/>
      <c r="F333" s="20">
        <v>1</v>
      </c>
      <c r="G333" s="45">
        <f>'Hao phí vật tư'!L2249</f>
        <v>8.5500000000000007E-2</v>
      </c>
      <c r="H333" s="166"/>
      <c r="I333" s="156">
        <f>ROUND(G333*H306,2)</f>
        <v>24662.22</v>
      </c>
      <c r="J333" s="20" t="str">
        <f>'Công trình'!X300</f>
        <v>HCM_2016_QD_3384_XD</v>
      </c>
      <c r="K333" s="166"/>
      <c r="L333" s="156">
        <f>ROUND(G333*K306,2)</f>
        <v>24662.22</v>
      </c>
      <c r="M333" s="166"/>
      <c r="N333" s="166"/>
      <c r="O333" s="166"/>
      <c r="P333" s="156">
        <f>ROUND(G333*O306,2)</f>
        <v>0</v>
      </c>
      <c r="Q333" s="156">
        <f>ROUND(G333*N306,2)</f>
        <v>24662.22</v>
      </c>
    </row>
    <row r="334" spans="1:17" ht="30" hidden="1" x14ac:dyDescent="0.25">
      <c r="A334" s="168"/>
      <c r="B334" s="133" t="str">
        <f>'Công trình'!B301</f>
        <v>AF.11212</v>
      </c>
      <c r="C334" s="34"/>
      <c r="D334" s="133" t="str">
        <f>'Công trình'!C301</f>
        <v>Bê tông móng rộng &lt;=250cm đá 1x2, vữa BT mác 150</v>
      </c>
      <c r="E334" s="168"/>
      <c r="F334" s="20">
        <v>1</v>
      </c>
      <c r="G334" s="45">
        <f>'Hao phí vật tư'!L2262</f>
        <v>0.1368</v>
      </c>
      <c r="H334" s="166"/>
      <c r="I334" s="156">
        <f>ROUND(G334*H306,2)</f>
        <v>39459.550000000003</v>
      </c>
      <c r="J334" s="20" t="str">
        <f>'Công trình'!X301</f>
        <v>HCM_2016_QD_3384_XD</v>
      </c>
      <c r="K334" s="166"/>
      <c r="L334" s="156">
        <f>ROUND(G334*K306,2)</f>
        <v>39459.550000000003</v>
      </c>
      <c r="M334" s="166"/>
      <c r="N334" s="166"/>
      <c r="O334" s="166"/>
      <c r="P334" s="156">
        <f>ROUND(G334*O306,2)</f>
        <v>0</v>
      </c>
      <c r="Q334" s="156">
        <f>ROUND(G334*N306,2)</f>
        <v>39459.550000000003</v>
      </c>
    </row>
    <row r="335" spans="1:17" ht="30" hidden="1" x14ac:dyDescent="0.25">
      <c r="A335" s="168"/>
      <c r="B335" s="133" t="str">
        <f>'Công trình'!B7</f>
        <v>AF.11224</v>
      </c>
      <c r="C335" s="34"/>
      <c r="D335" s="133" t="str">
        <f>'Công trình'!C7</f>
        <v>Bê tông móng rộng &gt;250cm đá 1x2, vữa BT mác 250</v>
      </c>
      <c r="E335" s="168"/>
      <c r="F335" s="20">
        <v>1</v>
      </c>
      <c r="G335" s="45">
        <f>'Hao phí vật tư'!L21</f>
        <v>15.612299999999999</v>
      </c>
      <c r="H335" s="166"/>
      <c r="I335" s="156">
        <f>ROUND(G335*H306,2)</f>
        <v>4503321.0999999996</v>
      </c>
      <c r="J335" s="20" t="str">
        <f>'Công trình'!X7</f>
        <v>HCM_2016_QD_3384_XD</v>
      </c>
      <c r="K335" s="166"/>
      <c r="L335" s="156">
        <f>ROUND(G335*K306,2)</f>
        <v>4503321.0999999996</v>
      </c>
      <c r="M335" s="166"/>
      <c r="N335" s="166"/>
      <c r="O335" s="166"/>
      <c r="P335" s="156">
        <f>ROUND(G335*O306,2)</f>
        <v>0</v>
      </c>
      <c r="Q335" s="156">
        <f>ROUND(G335*N306,2)</f>
        <v>4503321.0999999996</v>
      </c>
    </row>
    <row r="336" spans="1:17" ht="30" hidden="1" x14ac:dyDescent="0.25">
      <c r="A336" s="168"/>
      <c r="B336" s="133" t="str">
        <f>'Công trình'!B8</f>
        <v>AF.12144</v>
      </c>
      <c r="C336" s="34"/>
      <c r="D336" s="133" t="str">
        <f>'Công trình'!C8</f>
        <v>Bê tông tường dày &gt;45cm, chiều cao &lt;=16m đá 1x2, vữa BT mác 250</v>
      </c>
      <c r="E336" s="168"/>
      <c r="F336" s="20">
        <v>1</v>
      </c>
      <c r="G336" s="45">
        <f>'Hao phí vật tư'!L37</f>
        <v>15.2637</v>
      </c>
      <c r="H336" s="166"/>
      <c r="I336" s="156">
        <f>ROUND(G336*H306,2)</f>
        <v>4402768.47</v>
      </c>
      <c r="J336" s="20" t="str">
        <f>'Công trình'!X8</f>
        <v>HCM_2016_QD_3384_XD</v>
      </c>
      <c r="K336" s="166"/>
      <c r="L336" s="156">
        <f>ROUND(G336*K306,2)</f>
        <v>4402768.47</v>
      </c>
      <c r="M336" s="166"/>
      <c r="N336" s="166"/>
      <c r="O336" s="166"/>
      <c r="P336" s="156">
        <f>ROUND(G336*O306,2)</f>
        <v>0</v>
      </c>
      <c r="Q336" s="156">
        <f>ROUND(G336*N306,2)</f>
        <v>4402768.47</v>
      </c>
    </row>
    <row r="337" spans="1:17" ht="30" hidden="1" x14ac:dyDescent="0.25">
      <c r="A337" s="168"/>
      <c r="B337" s="133" t="str">
        <f>'Công trình'!B175</f>
        <v>AF.11225</v>
      </c>
      <c r="C337" s="34"/>
      <c r="D337" s="133" t="str">
        <f>'Công trình'!C175</f>
        <v>Bê tông bản dẫn đá 1x2, vữa BT mác 300</v>
      </c>
      <c r="E337" s="168"/>
      <c r="F337" s="20">
        <v>1</v>
      </c>
      <c r="G337" s="45">
        <f>'Hao phí vật tư'!L1324</f>
        <v>1.71</v>
      </c>
      <c r="H337" s="166"/>
      <c r="I337" s="156">
        <f>ROUND(G337*H306,2)</f>
        <v>493244.37</v>
      </c>
      <c r="J337" s="20" t="str">
        <f>'Công trình'!X175</f>
        <v>HCM_2016_QD_3384_XD</v>
      </c>
      <c r="K337" s="166"/>
      <c r="L337" s="156">
        <f>ROUND(G337*K306,2)</f>
        <v>493244.37</v>
      </c>
      <c r="M337" s="166"/>
      <c r="N337" s="166"/>
      <c r="O337" s="166"/>
      <c r="P337" s="156">
        <f>ROUND(G337*O306,2)</f>
        <v>0</v>
      </c>
      <c r="Q337" s="156">
        <f>ROUND(G337*N306,2)</f>
        <v>493244.37</v>
      </c>
    </row>
    <row r="338" spans="1:17" ht="30" hidden="1" x14ac:dyDescent="0.25">
      <c r="A338" s="168"/>
      <c r="B338" s="133" t="str">
        <f>'Công trình'!B9</f>
        <v>AF.11333</v>
      </c>
      <c r="C338" s="34"/>
      <c r="D338" s="133" t="str">
        <f>'Công trình'!C9</f>
        <v>Bê tông bịt đáy đá 4x6, vữa BT mác 200</v>
      </c>
      <c r="E338" s="168"/>
      <c r="F338" s="20">
        <v>1</v>
      </c>
      <c r="G338" s="45">
        <f>'Hao phí vật tư'!L49</f>
        <v>24.7</v>
      </c>
      <c r="H338" s="166"/>
      <c r="I338" s="156">
        <f>ROUND(G338*H306,2)</f>
        <v>7124640.9000000004</v>
      </c>
      <c r="J338" s="20" t="str">
        <f>'Công trình'!X9</f>
        <v>HCM_2016_QD_3384_XD</v>
      </c>
      <c r="K338" s="166"/>
      <c r="L338" s="156">
        <f>ROUND(G338*K306,2)</f>
        <v>7124640.9000000004</v>
      </c>
      <c r="M338" s="166"/>
      <c r="N338" s="166"/>
      <c r="O338" s="166"/>
      <c r="P338" s="156">
        <f>ROUND(G338*O306,2)</f>
        <v>0</v>
      </c>
      <c r="Q338" s="156">
        <f>ROUND(G338*N306,2)</f>
        <v>7124640.9000000004</v>
      </c>
    </row>
    <row r="339" spans="1:17" ht="30" hidden="1" x14ac:dyDescent="0.25">
      <c r="A339" s="168"/>
      <c r="B339" s="133" t="str">
        <f>'Công trình'!B10</f>
        <v>AF.11121</v>
      </c>
      <c r="C339" s="34"/>
      <c r="D339" s="133" t="str">
        <f>'Công trình'!C10</f>
        <v>Bê tông lót móng rộng &gt;250cm đá 4x6, vữa BT mác 100</v>
      </c>
      <c r="E339" s="168"/>
      <c r="F339" s="20">
        <v>1</v>
      </c>
      <c r="G339" s="45">
        <f>'Hao phí vật tư'!L60</f>
        <v>5.1870000000000003</v>
      </c>
      <c r="H339" s="166"/>
      <c r="I339" s="156">
        <f>ROUND(G339*H306,2)</f>
        <v>1496174.59</v>
      </c>
      <c r="J339" s="20" t="str">
        <f>'Công trình'!X10</f>
        <v>HCM_2016_QD_3384_XD</v>
      </c>
      <c r="K339" s="166"/>
      <c r="L339" s="156">
        <f>ROUND(G339*K306,2)</f>
        <v>1496174.59</v>
      </c>
      <c r="M339" s="166"/>
      <c r="N339" s="166"/>
      <c r="O339" s="166"/>
      <c r="P339" s="156">
        <f>ROUND(G339*O306,2)</f>
        <v>0</v>
      </c>
      <c r="Q339" s="156">
        <f>ROUND(G339*N306,2)</f>
        <v>1496174.59</v>
      </c>
    </row>
    <row r="340" spans="1:17" ht="30" hidden="1" x14ac:dyDescent="0.25">
      <c r="A340" s="168"/>
      <c r="B340" s="133" t="str">
        <f>'Công trình'!B34</f>
        <v>AF.12313</v>
      </c>
      <c r="C340" s="34"/>
      <c r="D340" s="133" t="str">
        <f>'Công trình'!C34</f>
        <v>Bê tông dầm, giằng đá 1x2, vữa BT mác 200</v>
      </c>
      <c r="E340" s="168"/>
      <c r="F340" s="20">
        <v>1</v>
      </c>
      <c r="G340" s="45">
        <f>'Hao phí vật tư'!L257</f>
        <v>0.98040000000000005</v>
      </c>
      <c r="H340" s="166"/>
      <c r="I340" s="156">
        <f>ROUND(G340*H306,2)</f>
        <v>282793.44</v>
      </c>
      <c r="J340" s="20" t="str">
        <f>'Công trình'!X34</f>
        <v>HCM_2016_QD_3384_XD</v>
      </c>
      <c r="K340" s="166"/>
      <c r="L340" s="156">
        <f>ROUND(G340*K306,2)</f>
        <v>282793.44</v>
      </c>
      <c r="M340" s="166"/>
      <c r="N340" s="166"/>
      <c r="O340" s="166"/>
      <c r="P340" s="156">
        <f>ROUND(G340*O306,2)</f>
        <v>0</v>
      </c>
      <c r="Q340" s="156">
        <f>ROUND(G340*N306,2)</f>
        <v>282793.44</v>
      </c>
    </row>
    <row r="341" spans="1:17" x14ac:dyDescent="0.25">
      <c r="A341" s="168">
        <v>42</v>
      </c>
      <c r="B341" s="84" t="s">
        <v>276</v>
      </c>
      <c r="C341" s="34">
        <v>745</v>
      </c>
      <c r="D341" s="144" t="s">
        <v>544</v>
      </c>
      <c r="E341" s="168" t="s">
        <v>76</v>
      </c>
      <c r="F341" s="34"/>
      <c r="G341" s="60">
        <f>SUM(G342:G349)</f>
        <v>8.5945</v>
      </c>
      <c r="H341" s="166">
        <v>232983</v>
      </c>
      <c r="I341" s="166">
        <f>ROUND(G341*H341,0)</f>
        <v>2002372</v>
      </c>
      <c r="J341" s="34">
        <v>1</v>
      </c>
      <c r="K341" s="166">
        <f>'Tổng hợp VL,NC,M'!I1570</f>
        <v>232983</v>
      </c>
      <c r="L341" s="166">
        <f>ROUND(G341*K341,0)</f>
        <v>2002372</v>
      </c>
      <c r="M341" s="166"/>
      <c r="N341" s="166">
        <f>K341+M341</f>
        <v>232983</v>
      </c>
      <c r="O341" s="166">
        <f>N341-H341</f>
        <v>0</v>
      </c>
      <c r="P341" s="166">
        <f>ROUND(G341*O341,0)</f>
        <v>0</v>
      </c>
      <c r="Q341" s="166">
        <f>ROUND(G341*N341,0)</f>
        <v>2002372</v>
      </c>
    </row>
    <row r="342" spans="1:17" ht="30" hidden="1" x14ac:dyDescent="0.25">
      <c r="A342" s="168"/>
      <c r="B342" s="133" t="str">
        <f>'Công trình'!B58</f>
        <v>AK.41124</v>
      </c>
      <c r="C342" s="34"/>
      <c r="D342" s="133" t="str">
        <f>'Công trình'!C58</f>
        <v>Vữa lót M75 dày 3cm</v>
      </c>
      <c r="E342" s="168"/>
      <c r="F342" s="20">
        <v>1</v>
      </c>
      <c r="G342" s="45">
        <f>'Hao phí vật tư'!L439</f>
        <v>0.34870000000000001</v>
      </c>
      <c r="H342" s="166"/>
      <c r="I342" s="156">
        <f>ROUND(G342*H341,2)</f>
        <v>81241.17</v>
      </c>
      <c r="J342" s="20" t="str">
        <f>'Công trình'!X58</f>
        <v>HCM_2016_QD_3384_XD</v>
      </c>
      <c r="K342" s="166"/>
      <c r="L342" s="156">
        <f>ROUND(G342*K341,2)</f>
        <v>81241.17</v>
      </c>
      <c r="M342" s="166"/>
      <c r="N342" s="166"/>
      <c r="O342" s="166"/>
      <c r="P342" s="156">
        <f>ROUND(G342*O341,2)</f>
        <v>0</v>
      </c>
      <c r="Q342" s="156">
        <f>ROUND(G342*N341,2)</f>
        <v>81241.17</v>
      </c>
    </row>
    <row r="343" spans="1:17" ht="30" hidden="1" x14ac:dyDescent="0.25">
      <c r="A343" s="168"/>
      <c r="B343" s="133" t="str">
        <f>'Công trình'!B64</f>
        <v>AK.41124</v>
      </c>
      <c r="C343" s="34"/>
      <c r="D343" s="133" t="str">
        <f>'Công trình'!C64</f>
        <v>Vữa lót M75 dày 3cm</v>
      </c>
      <c r="E343" s="168"/>
      <c r="F343" s="20">
        <v>1</v>
      </c>
      <c r="G343" s="45">
        <f>'Hao phí vật tư'!L494</f>
        <v>5.4333</v>
      </c>
      <c r="H343" s="166"/>
      <c r="I343" s="156">
        <f>ROUND(G343*H341,2)</f>
        <v>1265866.53</v>
      </c>
      <c r="J343" s="20" t="str">
        <f>'Công trình'!X64</f>
        <v>HCM_2016_QD_3384_XD</v>
      </c>
      <c r="K343" s="166"/>
      <c r="L343" s="156">
        <f>ROUND(G343*K341,2)</f>
        <v>1265866.53</v>
      </c>
      <c r="M343" s="166"/>
      <c r="N343" s="166"/>
      <c r="O343" s="166"/>
      <c r="P343" s="156">
        <f>ROUND(G343*O341,2)</f>
        <v>0</v>
      </c>
      <c r="Q343" s="156">
        <f>ROUND(G343*N341,2)</f>
        <v>1265866.53</v>
      </c>
    </row>
    <row r="344" spans="1:17" ht="30" hidden="1" x14ac:dyDescent="0.25">
      <c r="A344" s="168"/>
      <c r="B344" s="133" t="str">
        <f>'Công trình'!B176</f>
        <v>AK.41125</v>
      </c>
      <c r="C344" s="34"/>
      <c r="D344" s="133" t="str">
        <f>'Công trình'!C176</f>
        <v>Vữa xi măng M100 độ dốc 10%</v>
      </c>
      <c r="E344" s="168"/>
      <c r="F344" s="20">
        <v>1</v>
      </c>
      <c r="G344" s="45">
        <f>'Hao phí vật tư'!L1333</f>
        <v>1.8800000000000001E-2</v>
      </c>
      <c r="H344" s="166"/>
      <c r="I344" s="156">
        <f>ROUND(G344*H341,2)</f>
        <v>4380.08</v>
      </c>
      <c r="J344" s="20" t="str">
        <f>'Công trình'!X176</f>
        <v>HCM_2016_QD_3384_XD</v>
      </c>
      <c r="K344" s="166"/>
      <c r="L344" s="156">
        <f>ROUND(G344*K341,2)</f>
        <v>4380.08</v>
      </c>
      <c r="M344" s="166"/>
      <c r="N344" s="166"/>
      <c r="O344" s="166"/>
      <c r="P344" s="156">
        <f>ROUND(G344*O341,2)</f>
        <v>0</v>
      </c>
      <c r="Q344" s="156">
        <f>ROUND(G344*N341,2)</f>
        <v>4380.08</v>
      </c>
    </row>
    <row r="345" spans="1:17" ht="30" hidden="1" x14ac:dyDescent="0.25">
      <c r="A345" s="168"/>
      <c r="B345" s="133" t="str">
        <f>'Công trình'!B187</f>
        <v>AK.41125</v>
      </c>
      <c r="C345" s="34"/>
      <c r="D345" s="133" t="str">
        <f>'Công trình'!C187</f>
        <v>Vữa xi măng dày 3cm, vữa XM mác 100</v>
      </c>
      <c r="E345" s="168"/>
      <c r="F345" s="20">
        <v>1</v>
      </c>
      <c r="G345" s="45">
        <f>'Hao phí vật tư'!L1435</f>
        <v>3.8E-3</v>
      </c>
      <c r="H345" s="166"/>
      <c r="I345" s="156">
        <f>ROUND(G345*H341,2)</f>
        <v>885.34</v>
      </c>
      <c r="J345" s="20" t="str">
        <f>'Công trình'!X187</f>
        <v>HCM_2016_QD_3384_XD</v>
      </c>
      <c r="K345" s="166"/>
      <c r="L345" s="156">
        <f>ROUND(G345*K341,2)</f>
        <v>885.34</v>
      </c>
      <c r="M345" s="166"/>
      <c r="N345" s="166"/>
      <c r="O345" s="166"/>
      <c r="P345" s="156">
        <f>ROUND(G345*O341,2)</f>
        <v>0</v>
      </c>
      <c r="Q345" s="156">
        <f>ROUND(G345*N341,2)</f>
        <v>885.34</v>
      </c>
    </row>
    <row r="346" spans="1:17" ht="30" hidden="1" x14ac:dyDescent="0.25">
      <c r="A346" s="168"/>
      <c r="B346" s="133" t="str">
        <f>'Công trình'!B248</f>
        <v>AK.41124</v>
      </c>
      <c r="C346" s="34"/>
      <c r="D346" s="133" t="str">
        <f>'Công trình'!C248</f>
        <v>Vữa lót M75-3cm</v>
      </c>
      <c r="E346" s="168"/>
      <c r="F346" s="20">
        <v>1</v>
      </c>
      <c r="G346" s="45">
        <f>'Hao phí vật tư'!L1884</f>
        <v>0.28539999999999999</v>
      </c>
      <c r="H346" s="166"/>
      <c r="I346" s="156">
        <f>ROUND(G346*H341,2)</f>
        <v>66493.350000000006</v>
      </c>
      <c r="J346" s="20" t="str">
        <f>'Công trình'!X248</f>
        <v>HCM_2016_QD_3384_XD</v>
      </c>
      <c r="K346" s="166"/>
      <c r="L346" s="156">
        <f>ROUND(G346*K341,2)</f>
        <v>66493.350000000006</v>
      </c>
      <c r="M346" s="166"/>
      <c r="N346" s="166"/>
      <c r="O346" s="166"/>
      <c r="P346" s="156">
        <f>ROUND(G346*O341,2)</f>
        <v>0</v>
      </c>
      <c r="Q346" s="156">
        <f>ROUND(G346*N341,2)</f>
        <v>66493.350000000006</v>
      </c>
    </row>
    <row r="347" spans="1:17" ht="30" hidden="1" x14ac:dyDescent="0.25">
      <c r="A347" s="168"/>
      <c r="B347" s="133" t="str">
        <f>'Công trình'!B286</f>
        <v>AK.41124</v>
      </c>
      <c r="C347" s="34"/>
      <c r="D347" s="133" t="str">
        <f>'Công trình'!C286</f>
        <v>Vữa lót M75 dày 3cm</v>
      </c>
      <c r="E347" s="168"/>
      <c r="F347" s="20">
        <v>1</v>
      </c>
      <c r="G347" s="45">
        <f>'Hao phí vật tư'!L2152</f>
        <v>4.5400000000000003E-2</v>
      </c>
      <c r="H347" s="166"/>
      <c r="I347" s="156">
        <f>ROUND(G347*H341,2)</f>
        <v>10577.43</v>
      </c>
      <c r="J347" s="20" t="str">
        <f>'Công trình'!X286</f>
        <v>HCM_2016_QD_3384_XD</v>
      </c>
      <c r="K347" s="166"/>
      <c r="L347" s="156">
        <f>ROUND(G347*K341,2)</f>
        <v>10577.43</v>
      </c>
      <c r="M347" s="166"/>
      <c r="N347" s="166"/>
      <c r="O347" s="166"/>
      <c r="P347" s="156">
        <f>ROUND(G347*O341,2)</f>
        <v>0</v>
      </c>
      <c r="Q347" s="156">
        <f>ROUND(G347*N341,2)</f>
        <v>10577.43</v>
      </c>
    </row>
    <row r="348" spans="1:17" ht="30" hidden="1" x14ac:dyDescent="0.25">
      <c r="A348" s="168"/>
      <c r="B348" s="133" t="str">
        <f>'Công trình'!B265</f>
        <v>AK.41115</v>
      </c>
      <c r="C348" s="34"/>
      <c r="D348" s="133" t="str">
        <f>'Công trình'!C265</f>
        <v>Vữa xi măng M100</v>
      </c>
      <c r="E348" s="168"/>
      <c r="F348" s="20">
        <v>1</v>
      </c>
      <c r="G348" s="45">
        <f>'Hao phí vật tư'!L2028</f>
        <v>4.8000000000000001E-2</v>
      </c>
      <c r="H348" s="166"/>
      <c r="I348" s="156">
        <f>ROUND(G348*H341,2)</f>
        <v>11183.18</v>
      </c>
      <c r="J348" s="20" t="str">
        <f>'Công trình'!X265</f>
        <v>HCM_2016_QD_3384_XD</v>
      </c>
      <c r="K348" s="166"/>
      <c r="L348" s="156">
        <f>ROUND(G348*K341,2)</f>
        <v>11183.18</v>
      </c>
      <c r="M348" s="166"/>
      <c r="N348" s="166"/>
      <c r="O348" s="166"/>
      <c r="P348" s="156">
        <f>ROUND(G348*O341,2)</f>
        <v>0</v>
      </c>
      <c r="Q348" s="156">
        <f>ROUND(G348*N341,2)</f>
        <v>11183.18</v>
      </c>
    </row>
    <row r="349" spans="1:17" hidden="1" x14ac:dyDescent="0.25">
      <c r="A349" s="168"/>
      <c r="B349" s="133" t="str">
        <f>'Công trình'!B198</f>
        <v>TT</v>
      </c>
      <c r="C349" s="34"/>
      <c r="D349" s="133" t="str">
        <f>'Công trình'!C198</f>
        <v>Vữa xi măng dày 7cm, vữa XM mác 400</v>
      </c>
      <c r="E349" s="168"/>
      <c r="F349" s="20">
        <v>1</v>
      </c>
      <c r="G349" s="45">
        <f>'Hao phí vật tư'!L1533</f>
        <v>2.4110999999999998</v>
      </c>
      <c r="H349" s="166"/>
      <c r="I349" s="156">
        <f>ROUND(G349*H341,2)</f>
        <v>561745.31000000006</v>
      </c>
      <c r="J349" s="20">
        <f>'Công trình'!X198</f>
        <v>0</v>
      </c>
      <c r="K349" s="166"/>
      <c r="L349" s="156">
        <f>ROUND(G349*K341,2)</f>
        <v>561745.31000000006</v>
      </c>
      <c r="M349" s="166"/>
      <c r="N349" s="166"/>
      <c r="O349" s="166"/>
      <c r="P349" s="156">
        <f>ROUND(G349*O341,2)</f>
        <v>0</v>
      </c>
      <c r="Q349" s="156">
        <f>ROUND(G349*N341,2)</f>
        <v>561745.31000000006</v>
      </c>
    </row>
    <row r="350" spans="1:17" x14ac:dyDescent="0.25">
      <c r="A350" s="168">
        <v>43</v>
      </c>
      <c r="B350" s="84" t="s">
        <v>643</v>
      </c>
      <c r="C350" s="34">
        <v>753</v>
      </c>
      <c r="D350" s="144" t="s">
        <v>693</v>
      </c>
      <c r="E350" s="168" t="s">
        <v>76</v>
      </c>
      <c r="F350" s="34"/>
      <c r="G350" s="60">
        <f>SUM(G351:G357)</f>
        <v>7.6099999999999994</v>
      </c>
      <c r="H350" s="166">
        <v>2049156</v>
      </c>
      <c r="I350" s="166">
        <f>ROUND(G350*H350,0)</f>
        <v>15594077</v>
      </c>
      <c r="J350" s="34">
        <v>1</v>
      </c>
      <c r="K350" s="166">
        <f>'Tổng hợp VL,NC,M'!I1579</f>
        <v>2049156</v>
      </c>
      <c r="L350" s="166">
        <f>ROUND(G350*K350,0)</f>
        <v>15594077</v>
      </c>
      <c r="M350" s="166"/>
      <c r="N350" s="166">
        <f>K350+M350</f>
        <v>2049156</v>
      </c>
      <c r="O350" s="166">
        <f>N350-H350</f>
        <v>0</v>
      </c>
      <c r="P350" s="166">
        <f>ROUND(G350*O350,0)</f>
        <v>0</v>
      </c>
      <c r="Q350" s="166">
        <f>ROUND(G350*N350,0)</f>
        <v>15594077</v>
      </c>
    </row>
    <row r="351" spans="1:17" ht="30" hidden="1" x14ac:dyDescent="0.25">
      <c r="A351" s="168"/>
      <c r="B351" s="133" t="str">
        <f>'Công trình'!B91</f>
        <v>AB.62111</v>
      </c>
      <c r="C351" s="34"/>
      <c r="D351" s="133" t="str">
        <f>'Công trình'!C91</f>
        <v>San đầm đất mặt bằng bằng máy đầm 9T, độ chặt K=0,85</v>
      </c>
      <c r="E351" s="168"/>
      <c r="F351" s="20">
        <v>1</v>
      </c>
      <c r="G351" s="45">
        <f>'Hao phí vật tư'!L740</f>
        <v>0.93530000000000002</v>
      </c>
      <c r="H351" s="166"/>
      <c r="I351" s="156">
        <f>ROUND(G351*H350,2)</f>
        <v>1916575.61</v>
      </c>
      <c r="J351" s="20" t="str">
        <f>'Công trình'!X91</f>
        <v>HCM_2016_QD_3384_XD</v>
      </c>
      <c r="K351" s="166"/>
      <c r="L351" s="156">
        <f>ROUND(G351*K350,2)</f>
        <v>1916575.61</v>
      </c>
      <c r="M351" s="166"/>
      <c r="N351" s="166"/>
      <c r="O351" s="166"/>
      <c r="P351" s="156">
        <f>ROUND(G351*O350,2)</f>
        <v>0</v>
      </c>
      <c r="Q351" s="156">
        <f>ROUND(G351*N350,2)</f>
        <v>1916575.61</v>
      </c>
    </row>
    <row r="352" spans="1:17" ht="30" hidden="1" x14ac:dyDescent="0.25">
      <c r="A352" s="168"/>
      <c r="B352" s="133" t="str">
        <f>'Công trình'!B98</f>
        <v>AD.11212</v>
      </c>
      <c r="C352" s="34"/>
      <c r="D352" s="133" t="str">
        <f>'Công trình'!C98</f>
        <v>Cấp phối đá 0x4</v>
      </c>
      <c r="E352" s="168"/>
      <c r="F352" s="20">
        <v>1</v>
      </c>
      <c r="G352" s="45">
        <f>'Hao phí vật tư'!L796</f>
        <v>0.252</v>
      </c>
      <c r="H352" s="166"/>
      <c r="I352" s="156">
        <f>ROUND(G352*H350,2)</f>
        <v>516387.31</v>
      </c>
      <c r="J352" s="20" t="str">
        <f>'Công trình'!X98</f>
        <v>HCM_2016_QD_3384_XD</v>
      </c>
      <c r="K352" s="166"/>
      <c r="L352" s="156">
        <f>ROUND(G352*K350,2)</f>
        <v>516387.31</v>
      </c>
      <c r="M352" s="166"/>
      <c r="N352" s="166"/>
      <c r="O352" s="166"/>
      <c r="P352" s="156">
        <f>ROUND(G352*O350,2)</f>
        <v>0</v>
      </c>
      <c r="Q352" s="156">
        <f>ROUND(G352*N350,2)</f>
        <v>516387.31</v>
      </c>
    </row>
    <row r="353" spans="1:17" ht="30" hidden="1" x14ac:dyDescent="0.25">
      <c r="A353" s="168"/>
      <c r="B353" s="133" t="str">
        <f>'Công trình'!B100</f>
        <v>AB.66112</v>
      </c>
      <c r="C353" s="34"/>
      <c r="D353" s="133" t="str">
        <f>'Công trình'!C100</f>
        <v>Đắp cát công trình bằng máy đầm 9T, độ chặt K=0,90</v>
      </c>
      <c r="E353" s="168"/>
      <c r="F353" s="20">
        <v>1</v>
      </c>
      <c r="G353" s="45">
        <f>'Hao phí vật tư'!L813</f>
        <v>0.5121</v>
      </c>
      <c r="H353" s="166"/>
      <c r="I353" s="156">
        <f>ROUND(G353*H350,2)</f>
        <v>1049372.79</v>
      </c>
      <c r="J353" s="20" t="str">
        <f>'Công trình'!X100</f>
        <v>HCM_2016_QD_3384_XD</v>
      </c>
      <c r="K353" s="166"/>
      <c r="L353" s="156">
        <f>ROUND(G353*K350,2)</f>
        <v>1049372.79</v>
      </c>
      <c r="M353" s="166"/>
      <c r="N353" s="166"/>
      <c r="O353" s="166"/>
      <c r="P353" s="156">
        <f>ROUND(G353*O350,2)</f>
        <v>0</v>
      </c>
      <c r="Q353" s="156">
        <f>ROUND(G353*N350,2)</f>
        <v>1049372.79</v>
      </c>
    </row>
    <row r="354" spans="1:17" ht="30" hidden="1" x14ac:dyDescent="0.25">
      <c r="A354" s="168"/>
      <c r="B354" s="133" t="str">
        <f>'Công trình'!B242</f>
        <v>AB.66114</v>
      </c>
      <c r="C354" s="34"/>
      <c r="D354" s="133" t="str">
        <f>'Công trình'!C242</f>
        <v>Đắp cát công trình bằng máy đầm 9T, độ chặt K=0,98</v>
      </c>
      <c r="E354" s="168"/>
      <c r="F354" s="20">
        <v>1</v>
      </c>
      <c r="G354" s="45">
        <f>'Hao phí vật tư'!L1839</f>
        <v>2.9980000000000002</v>
      </c>
      <c r="H354" s="166"/>
      <c r="I354" s="156">
        <f>ROUND(G354*H350,2)</f>
        <v>6143369.6900000004</v>
      </c>
      <c r="J354" s="20" t="str">
        <f>'Công trình'!X242</f>
        <v>HCM_2016_QD_3384_XD</v>
      </c>
      <c r="K354" s="166"/>
      <c r="L354" s="156">
        <f>ROUND(G354*K350,2)</f>
        <v>6143369.6900000004</v>
      </c>
      <c r="M354" s="166"/>
      <c r="N354" s="166"/>
      <c r="O354" s="166"/>
      <c r="P354" s="156">
        <f>ROUND(G354*O350,2)</f>
        <v>0</v>
      </c>
      <c r="Q354" s="156">
        <f>ROUND(G354*N350,2)</f>
        <v>6143369.6900000004</v>
      </c>
    </row>
    <row r="355" spans="1:17" ht="30" hidden="1" x14ac:dyDescent="0.25">
      <c r="A355" s="168"/>
      <c r="B355" s="133" t="str">
        <f>'Công trình'!B243</f>
        <v>AB.21121</v>
      </c>
      <c r="C355" s="34"/>
      <c r="D355" s="133" t="str">
        <f>'Công trình'!C243</f>
        <v>Đất bóc phong hóa</v>
      </c>
      <c r="E355" s="168"/>
      <c r="F355" s="20">
        <v>1</v>
      </c>
      <c r="G355" s="45">
        <f>'Hao phí vật tư'!L1846</f>
        <v>7.4999999999999997E-2</v>
      </c>
      <c r="H355" s="166"/>
      <c r="I355" s="156">
        <f>ROUND(G355*H350,2)</f>
        <v>153686.70000000001</v>
      </c>
      <c r="J355" s="20" t="str">
        <f>'Công trình'!X243</f>
        <v>HCM_2016_QD_3384_XD</v>
      </c>
      <c r="K355" s="166"/>
      <c r="L355" s="156">
        <f>ROUND(G355*K350,2)</f>
        <v>153686.70000000001</v>
      </c>
      <c r="M355" s="166"/>
      <c r="N355" s="166"/>
      <c r="O355" s="166"/>
      <c r="P355" s="156">
        <f>ROUND(G355*O350,2)</f>
        <v>0</v>
      </c>
      <c r="Q355" s="156">
        <f>ROUND(G355*N350,2)</f>
        <v>153686.70000000001</v>
      </c>
    </row>
    <row r="356" spans="1:17" ht="30" hidden="1" x14ac:dyDescent="0.25">
      <c r="A356" s="168"/>
      <c r="B356" s="133" t="str">
        <f>'Công trình'!B93</f>
        <v>AD.11212</v>
      </c>
      <c r="C356" s="34"/>
      <c r="D356" s="133" t="str">
        <f>'Công trình'!C93</f>
        <v>Cấp phối đá 0x4</v>
      </c>
      <c r="E356" s="168"/>
      <c r="F356" s="20">
        <v>1</v>
      </c>
      <c r="G356" s="45">
        <f>'Hao phí vật tư'!L762</f>
        <v>0.29399999999999998</v>
      </c>
      <c r="H356" s="166"/>
      <c r="I356" s="156">
        <f>ROUND(G356*H350,2)</f>
        <v>602451.86</v>
      </c>
      <c r="J356" s="20" t="str">
        <f>'Công trình'!X93</f>
        <v>HCM_2016_QD_3384_XD</v>
      </c>
      <c r="K356" s="166"/>
      <c r="L356" s="156">
        <f>ROUND(G356*K350,2)</f>
        <v>602451.86</v>
      </c>
      <c r="M356" s="166"/>
      <c r="N356" s="166"/>
      <c r="O356" s="166"/>
      <c r="P356" s="156">
        <f>ROUND(G356*O350,2)</f>
        <v>0</v>
      </c>
      <c r="Q356" s="156">
        <f>ROUND(G356*N350,2)</f>
        <v>602451.86</v>
      </c>
    </row>
    <row r="357" spans="1:17" ht="30" hidden="1" x14ac:dyDescent="0.25">
      <c r="A357" s="168"/>
      <c r="B357" s="133" t="str">
        <f>'Công trình'!B245</f>
        <v>AB.64112</v>
      </c>
      <c r="C357" s="34"/>
      <c r="D357" s="133" t="str">
        <f>'Công trình'!C245</f>
        <v>Đắp nền đường bằng máy đầm 9T, độ chặt K=0,90</v>
      </c>
      <c r="E357" s="168"/>
      <c r="F357" s="20">
        <v>1</v>
      </c>
      <c r="G357" s="45">
        <f>'Hao phí vật tư'!L1857</f>
        <v>2.5436000000000001</v>
      </c>
      <c r="H357" s="166"/>
      <c r="I357" s="156">
        <f>ROUND(G357*H350,2)</f>
        <v>5212233.2</v>
      </c>
      <c r="J357" s="20" t="str">
        <f>'Công trình'!X245</f>
        <v>HCM_2016_QD_3384_XD</v>
      </c>
      <c r="K357" s="166"/>
      <c r="L357" s="156">
        <f>ROUND(G357*K350,2)</f>
        <v>5212233.2</v>
      </c>
      <c r="M357" s="166"/>
      <c r="N357" s="166"/>
      <c r="O357" s="166"/>
      <c r="P357" s="156">
        <f>ROUND(G357*O350,2)</f>
        <v>0</v>
      </c>
      <c r="Q357" s="156">
        <f>ROUND(G357*N350,2)</f>
        <v>5212233.2</v>
      </c>
    </row>
    <row r="358" spans="1:17" x14ac:dyDescent="0.25">
      <c r="A358" s="168">
        <v>44</v>
      </c>
      <c r="B358" s="84" t="s">
        <v>961</v>
      </c>
      <c r="C358" s="34">
        <v>746</v>
      </c>
      <c r="D358" s="144" t="s">
        <v>685</v>
      </c>
      <c r="E358" s="168" t="s">
        <v>76</v>
      </c>
      <c r="F358" s="34"/>
      <c r="G358" s="60">
        <f>SUM(G359:G373)</f>
        <v>17.6737</v>
      </c>
      <c r="H358" s="166">
        <v>378219</v>
      </c>
      <c r="I358" s="166">
        <f>ROUND(G358*H358,0)</f>
        <v>6684529</v>
      </c>
      <c r="J358" s="34">
        <v>1</v>
      </c>
      <c r="K358" s="166">
        <f>'Tổng hợp VL,NC,M'!I1587</f>
        <v>378219</v>
      </c>
      <c r="L358" s="166">
        <f>ROUND(G358*K358,0)</f>
        <v>6684529</v>
      </c>
      <c r="M358" s="166"/>
      <c r="N358" s="166">
        <f>K358+M358</f>
        <v>378219</v>
      </c>
      <c r="O358" s="166">
        <f>N358-H358</f>
        <v>0</v>
      </c>
      <c r="P358" s="166">
        <f>ROUND(G358*O358,0)</f>
        <v>0</v>
      </c>
      <c r="Q358" s="166">
        <f>ROUND(G358*N358,0)</f>
        <v>6684529</v>
      </c>
    </row>
    <row r="359" spans="1:17" ht="30" hidden="1" x14ac:dyDescent="0.25">
      <c r="A359" s="168"/>
      <c r="B359" s="133" t="str">
        <f>'Công trình'!B16</f>
        <v>AF.82111</v>
      </c>
      <c r="C359" s="34"/>
      <c r="D359" s="133" t="str">
        <f>'Công trình'!C16</f>
        <v>Sản xuất, lắp dựng tháo dỡ ván khuôn thép tường, chiều cao &lt;=16m</v>
      </c>
      <c r="E359" s="168"/>
      <c r="F359" s="20">
        <v>1</v>
      </c>
      <c r="G359" s="45">
        <f>'Hao phí vật tư'!L118</f>
        <v>0</v>
      </c>
      <c r="H359" s="166"/>
      <c r="I359" s="156">
        <f>ROUND(G359*H358,2)</f>
        <v>0</v>
      </c>
      <c r="J359" s="20" t="str">
        <f>'Công trình'!X16</f>
        <v>HCM_2016_QD_3384_XD</v>
      </c>
      <c r="K359" s="166"/>
      <c r="L359" s="156">
        <f>ROUND(G359*K358,2)</f>
        <v>0</v>
      </c>
      <c r="M359" s="166"/>
      <c r="N359" s="166"/>
      <c r="O359" s="166"/>
      <c r="P359" s="156">
        <f>ROUND(G359*O358,2)</f>
        <v>0</v>
      </c>
      <c r="Q359" s="156">
        <f>ROUND(G359*N358,2)</f>
        <v>0</v>
      </c>
    </row>
    <row r="360" spans="1:17" ht="30" hidden="1" x14ac:dyDescent="0.25">
      <c r="A360" s="168"/>
      <c r="B360" s="133" t="str">
        <f>'Công trình'!B18</f>
        <v>AF.12314</v>
      </c>
      <c r="C360" s="34"/>
      <c r="D360" s="133" t="str">
        <f>'Công trình'!C18</f>
        <v>Bê tông xà dầm, giằng nhà đá 1x2, vữa BT mác 250</v>
      </c>
      <c r="E360" s="168"/>
      <c r="F360" s="20">
        <v>1</v>
      </c>
      <c r="G360" s="45">
        <f>'Hao phí vật tư'!L131</f>
        <v>0</v>
      </c>
      <c r="H360" s="166"/>
      <c r="I360" s="156">
        <f>ROUND(G360*H358,2)</f>
        <v>0</v>
      </c>
      <c r="J360" s="20" t="str">
        <f>'Công trình'!X18</f>
        <v>HCM_2016_QD_3384_XD</v>
      </c>
      <c r="K360" s="166"/>
      <c r="L360" s="156">
        <f>ROUND(G360*K358,2)</f>
        <v>0</v>
      </c>
      <c r="M360" s="166"/>
      <c r="N360" s="166"/>
      <c r="O360" s="166"/>
      <c r="P360" s="156">
        <f>ROUND(G360*O358,2)</f>
        <v>0</v>
      </c>
      <c r="Q360" s="156">
        <f>ROUND(G360*N358,2)</f>
        <v>0</v>
      </c>
    </row>
    <row r="361" spans="1:17" ht="30" hidden="1" x14ac:dyDescent="0.25">
      <c r="A361" s="168"/>
      <c r="B361" s="133" t="str">
        <f>'Công trình'!B19</f>
        <v>AF.82111</v>
      </c>
      <c r="C361" s="34"/>
      <c r="D361" s="133" t="str">
        <f>'Công trình'!C19</f>
        <v>Sản xuất, lắp dựng tháo dỡ ván khuôn thép dầm, giằng, chiều cao &lt;=16m</v>
      </c>
      <c r="E361" s="168"/>
      <c r="F361" s="20">
        <v>1</v>
      </c>
      <c r="G361" s="45">
        <f>'Hao phí vật tư'!L144</f>
        <v>0</v>
      </c>
      <c r="H361" s="166"/>
      <c r="I361" s="156">
        <f>ROUND(G361*H358,2)</f>
        <v>0</v>
      </c>
      <c r="J361" s="20" t="str">
        <f>'Công trình'!X19</f>
        <v>HCM_2016_QD_3384_XD</v>
      </c>
      <c r="K361" s="166"/>
      <c r="L361" s="156">
        <f>ROUND(G361*K358,2)</f>
        <v>0</v>
      </c>
      <c r="M361" s="166"/>
      <c r="N361" s="166"/>
      <c r="O361" s="166"/>
      <c r="P361" s="156">
        <f>ROUND(G361*O358,2)</f>
        <v>0</v>
      </c>
      <c r="Q361" s="156">
        <f>ROUND(G361*N358,2)</f>
        <v>0</v>
      </c>
    </row>
    <row r="362" spans="1:17" ht="30" hidden="1" x14ac:dyDescent="0.25">
      <c r="A362" s="168"/>
      <c r="B362" s="133" t="str">
        <f>'Công trình'!B31</f>
        <v>AF.82111</v>
      </c>
      <c r="C362" s="34"/>
      <c r="D362" s="133" t="str">
        <f>'Công trình'!C31</f>
        <v>Sản xuất, lắp dựng tháo dỡ ván khuôn thép tường, chiều cao &lt;=16m</v>
      </c>
      <c r="E362" s="168"/>
      <c r="F362" s="20">
        <v>1</v>
      </c>
      <c r="G362" s="45">
        <f>'Hao phí vật tư'!L224</f>
        <v>0</v>
      </c>
      <c r="H362" s="166"/>
      <c r="I362" s="156">
        <f>ROUND(G362*H358,2)</f>
        <v>0</v>
      </c>
      <c r="J362" s="20" t="str">
        <f>'Công trình'!X31</f>
        <v>HCM_2016_QD_3384_XD</v>
      </c>
      <c r="K362" s="166"/>
      <c r="L362" s="156">
        <f>ROUND(G362*K358,2)</f>
        <v>0</v>
      </c>
      <c r="M362" s="166"/>
      <c r="N362" s="166"/>
      <c r="O362" s="166"/>
      <c r="P362" s="156">
        <f>ROUND(G362*O358,2)</f>
        <v>0</v>
      </c>
      <c r="Q362" s="156">
        <f>ROUND(G362*N358,2)</f>
        <v>0</v>
      </c>
    </row>
    <row r="363" spans="1:17" ht="30" hidden="1" x14ac:dyDescent="0.25">
      <c r="A363" s="168"/>
      <c r="B363" s="133" t="str">
        <f>'Công trình'!B59</f>
        <v>AF.82111</v>
      </c>
      <c r="C363" s="34"/>
      <c r="D363" s="133" t="str">
        <f>'Công trình'!C59</f>
        <v>Sản xuất, lắp dựng tháo dỡ ván khuôn thép dầm, giằng, chiều cao &lt;=16m</v>
      </c>
      <c r="E363" s="168"/>
      <c r="F363" s="20">
        <v>1</v>
      </c>
      <c r="G363" s="45">
        <f>'Hao phí vật tư'!L450</f>
        <v>0</v>
      </c>
      <c r="H363" s="166"/>
      <c r="I363" s="156">
        <f>ROUND(G363*H358,2)</f>
        <v>0</v>
      </c>
      <c r="J363" s="20" t="str">
        <f>'Công trình'!X59</f>
        <v>HCM_2016_QD_3384_XD</v>
      </c>
      <c r="K363" s="166"/>
      <c r="L363" s="156">
        <f>ROUND(G363*K358,2)</f>
        <v>0</v>
      </c>
      <c r="M363" s="166"/>
      <c r="N363" s="166"/>
      <c r="O363" s="166"/>
      <c r="P363" s="156">
        <f>ROUND(G363*O358,2)</f>
        <v>0</v>
      </c>
      <c r="Q363" s="156">
        <f>ROUND(G363*N358,2)</f>
        <v>0</v>
      </c>
    </row>
    <row r="364" spans="1:17" ht="30" hidden="1" x14ac:dyDescent="0.25">
      <c r="A364" s="168"/>
      <c r="B364" s="133" t="str">
        <f>'Công trình'!B57</f>
        <v>AF.12313</v>
      </c>
      <c r="C364" s="34"/>
      <c r="D364" s="133" t="str">
        <f>'Công trình'!C57</f>
        <v>Bê tông xà dầm, giằng đá 1x2, vữa BT mác 200</v>
      </c>
      <c r="E364" s="168"/>
      <c r="F364" s="20">
        <v>1</v>
      </c>
      <c r="G364" s="45">
        <f>'Hao phí vật tư'!L428</f>
        <v>0</v>
      </c>
      <c r="H364" s="166"/>
      <c r="I364" s="156">
        <f>ROUND(G364*H358,2)</f>
        <v>0</v>
      </c>
      <c r="J364" s="20" t="str">
        <f>'Công trình'!X57</f>
        <v>HCM_2016_QD_3384_XD</v>
      </c>
      <c r="K364" s="166"/>
      <c r="L364" s="156">
        <f>ROUND(G364*K358,2)</f>
        <v>0</v>
      </c>
      <c r="M364" s="166"/>
      <c r="N364" s="166"/>
      <c r="O364" s="166"/>
      <c r="P364" s="156">
        <f>ROUND(G364*O358,2)</f>
        <v>0</v>
      </c>
      <c r="Q364" s="156">
        <f>ROUND(G364*N358,2)</f>
        <v>0</v>
      </c>
    </row>
    <row r="365" spans="1:17" ht="30" hidden="1" x14ac:dyDescent="0.25">
      <c r="A365" s="168"/>
      <c r="B365" s="133" t="str">
        <f>'Công trình'!B200</f>
        <v>AF.82111</v>
      </c>
      <c r="C365" s="34"/>
      <c r="D365" s="133" t="str">
        <f>'Công trình'!C200</f>
        <v>Sản xuất, lắp dựng tháo dỡ ván khuôn thép, cây chống gỗ dầm ngang, chiều cao &lt;=16m</v>
      </c>
      <c r="E365" s="168"/>
      <c r="F365" s="20">
        <v>1</v>
      </c>
      <c r="G365" s="45">
        <f>'Hao phí vật tư'!L1547</f>
        <v>0</v>
      </c>
      <c r="H365" s="166"/>
      <c r="I365" s="156">
        <f>ROUND(G365*H358,2)</f>
        <v>0</v>
      </c>
      <c r="J365" s="20" t="str">
        <f>'Công trình'!X200</f>
        <v>HCM_2016_QD_3384_XD</v>
      </c>
      <c r="K365" s="166"/>
      <c r="L365" s="156">
        <f>ROUND(G365*K358,2)</f>
        <v>0</v>
      </c>
      <c r="M365" s="166"/>
      <c r="N365" s="166"/>
      <c r="O365" s="166"/>
      <c r="P365" s="156">
        <f>ROUND(G365*O358,2)</f>
        <v>0</v>
      </c>
      <c r="Q365" s="156">
        <f>ROUND(G365*N358,2)</f>
        <v>0</v>
      </c>
    </row>
    <row r="366" spans="1:17" ht="30" hidden="1" x14ac:dyDescent="0.25">
      <c r="A366" s="168"/>
      <c r="B366" s="133" t="str">
        <f>'Công trình'!B204</f>
        <v>AF.61721</v>
      </c>
      <c r="C366" s="34"/>
      <c r="D366" s="133" t="str">
        <f>'Công trình'!C204</f>
        <v>Sản xuất, lắp dựng cốt thép mặt cầu đường kính &gt;10mm, chiều cao &lt;=16m</v>
      </c>
      <c r="E366" s="168"/>
      <c r="F366" s="20">
        <v>1</v>
      </c>
      <c r="G366" s="45">
        <f>'Hao phí vật tư'!L1580</f>
        <v>0</v>
      </c>
      <c r="H366" s="166"/>
      <c r="I366" s="156">
        <f>ROUND(G366*H358,2)</f>
        <v>0</v>
      </c>
      <c r="J366" s="20" t="str">
        <f>'Công trình'!X204</f>
        <v>HCM_2016_QD_3384_XD</v>
      </c>
      <c r="K366" s="166"/>
      <c r="L366" s="156">
        <f>ROUND(G366*K358,2)</f>
        <v>0</v>
      </c>
      <c r="M366" s="166"/>
      <c r="N366" s="166"/>
      <c r="O366" s="166"/>
      <c r="P366" s="156">
        <f>ROUND(G366*O358,2)</f>
        <v>0</v>
      </c>
      <c r="Q366" s="156">
        <f>ROUND(G366*N358,2)</f>
        <v>0</v>
      </c>
    </row>
    <row r="367" spans="1:17" ht="30" hidden="1" x14ac:dyDescent="0.25">
      <c r="A367" s="168"/>
      <c r="B367" s="133" t="str">
        <f>'Công trình'!B247</f>
        <v>AF.12313</v>
      </c>
      <c r="C367" s="34"/>
      <c r="D367" s="133" t="str">
        <f>'Công trình'!C247</f>
        <v>Bê tông dầm chặn chân, đá 1x2, vữa BT mác 200</v>
      </c>
      <c r="E367" s="168"/>
      <c r="F367" s="20">
        <v>1</v>
      </c>
      <c r="G367" s="45">
        <f>'Hao phí vật tư'!L1873</f>
        <v>0</v>
      </c>
      <c r="H367" s="166"/>
      <c r="I367" s="156">
        <f>ROUND(G367*H358,2)</f>
        <v>0</v>
      </c>
      <c r="J367" s="20" t="str">
        <f>'Công trình'!X247</f>
        <v>HCM_2016_QD_3384_XD</v>
      </c>
      <c r="K367" s="166"/>
      <c r="L367" s="156">
        <f>ROUND(G367*K358,2)</f>
        <v>0</v>
      </c>
      <c r="M367" s="166"/>
      <c r="N367" s="166"/>
      <c r="O367" s="166"/>
      <c r="P367" s="156">
        <f>ROUND(G367*O358,2)</f>
        <v>0</v>
      </c>
      <c r="Q367" s="156">
        <f>ROUND(G367*N358,2)</f>
        <v>0</v>
      </c>
    </row>
    <row r="368" spans="1:17" ht="30" hidden="1" x14ac:dyDescent="0.25">
      <c r="A368" s="168"/>
      <c r="B368" s="133" t="str">
        <f>'Công trình'!B249</f>
        <v>AF.82111</v>
      </c>
      <c r="C368" s="34"/>
      <c r="D368" s="133" t="str">
        <f>'Công trình'!C249</f>
        <v>Sản xuất, lắp dựng tháo dỡ ván khuôn thép, cây chống gỗ dầm, giằng, chiều cao &lt;=16m</v>
      </c>
      <c r="E368" s="168"/>
      <c r="F368" s="20">
        <v>1</v>
      </c>
      <c r="G368" s="45">
        <f>'Hao phí vật tư'!L1895</f>
        <v>0</v>
      </c>
      <c r="H368" s="166"/>
      <c r="I368" s="156">
        <f>ROUND(G368*H358,2)</f>
        <v>0</v>
      </c>
      <c r="J368" s="20" t="str">
        <f>'Công trình'!X249</f>
        <v>HCM_2016_QD_3384_XD</v>
      </c>
      <c r="K368" s="166"/>
      <c r="L368" s="156">
        <f>ROUND(G368*K358,2)</f>
        <v>0</v>
      </c>
      <c r="M368" s="166"/>
      <c r="N368" s="166"/>
      <c r="O368" s="166"/>
      <c r="P368" s="156">
        <f>ROUND(G368*O358,2)</f>
        <v>0</v>
      </c>
      <c r="Q368" s="156">
        <f>ROUND(G368*N358,2)</f>
        <v>0</v>
      </c>
    </row>
    <row r="369" spans="1:17" ht="30" hidden="1" x14ac:dyDescent="0.25">
      <c r="A369" s="168"/>
      <c r="B369" s="133" t="str">
        <f>'Công trình'!B256</f>
        <v>AF.82111</v>
      </c>
      <c r="C369" s="34"/>
      <c r="D369" s="133" t="str">
        <f>'Công trình'!C256</f>
        <v>Sản xuất, lắp dựng tháo dỡ ván khuôn thép lan can</v>
      </c>
      <c r="E369" s="168"/>
      <c r="F369" s="20">
        <v>1</v>
      </c>
      <c r="G369" s="45">
        <f>'Hao phí vật tư'!L1956</f>
        <v>0</v>
      </c>
      <c r="H369" s="166"/>
      <c r="I369" s="156">
        <f>ROUND(G369*H358,2)</f>
        <v>0</v>
      </c>
      <c r="J369" s="20" t="str">
        <f>'Công trình'!X256</f>
        <v>HCM_2016_QD_3384_XD</v>
      </c>
      <c r="K369" s="166"/>
      <c r="L369" s="156">
        <f>ROUND(G369*K358,2)</f>
        <v>0</v>
      </c>
      <c r="M369" s="166"/>
      <c r="N369" s="166"/>
      <c r="O369" s="166"/>
      <c r="P369" s="156">
        <f>ROUND(G369*O358,2)</f>
        <v>0</v>
      </c>
      <c r="Q369" s="156">
        <f>ROUND(G369*N358,2)</f>
        <v>0</v>
      </c>
    </row>
    <row r="370" spans="1:17" ht="30" hidden="1" x14ac:dyDescent="0.25">
      <c r="A370" s="168"/>
      <c r="B370" s="133" t="str">
        <f>'Công trình'!B8</f>
        <v>AF.12144</v>
      </c>
      <c r="C370" s="34"/>
      <c r="D370" s="133" t="str">
        <f>'Công trình'!C8</f>
        <v>Bê tông tường dày &gt;45cm, chiều cao &lt;=16m đá 1x2, vữa BT mác 250</v>
      </c>
      <c r="E370" s="168"/>
      <c r="F370" s="20">
        <v>1</v>
      </c>
      <c r="G370" s="45">
        <f>'Hao phí vật tư'!L35</f>
        <v>17.6737</v>
      </c>
      <c r="H370" s="166"/>
      <c r="I370" s="156">
        <f>ROUND(G370*H358,2)</f>
        <v>6684529.1399999997</v>
      </c>
      <c r="J370" s="20" t="str">
        <f>'Công trình'!X8</f>
        <v>HCM_2016_QD_3384_XD</v>
      </c>
      <c r="K370" s="166"/>
      <c r="L370" s="156">
        <f>ROUND(G370*K358,2)</f>
        <v>6684529.1399999997</v>
      </c>
      <c r="M370" s="166"/>
      <c r="N370" s="166"/>
      <c r="O370" s="166"/>
      <c r="P370" s="156">
        <f>ROUND(G370*O358,2)</f>
        <v>0</v>
      </c>
      <c r="Q370" s="156">
        <f>ROUND(G370*N358,2)</f>
        <v>6684529.1399999997</v>
      </c>
    </row>
    <row r="371" spans="1:17" ht="30" hidden="1" x14ac:dyDescent="0.25">
      <c r="A371" s="168"/>
      <c r="B371" s="133" t="str">
        <f>'Công trình'!B201</f>
        <v>AF.82311</v>
      </c>
      <c r="C371" s="34"/>
      <c r="D371" s="133" t="str">
        <f>'Công trình'!C201</f>
        <v>Sản xuất, lắp dựng tháo dỡ ván khuôn thép, cây chống gỗ mặt cầu, chiều cao &lt;=16m</v>
      </c>
      <c r="E371" s="168"/>
      <c r="F371" s="20">
        <v>1</v>
      </c>
      <c r="G371" s="45">
        <f>'Hao phí vật tư'!L1560</f>
        <v>0</v>
      </c>
      <c r="H371" s="166"/>
      <c r="I371" s="156">
        <f>ROUND(G371*H358,2)</f>
        <v>0</v>
      </c>
      <c r="J371" s="20" t="str">
        <f>'Công trình'!X201</f>
        <v>HCM_2016_QD_3384_XD</v>
      </c>
      <c r="K371" s="166"/>
      <c r="L371" s="156">
        <f>ROUND(G371*K358,2)</f>
        <v>0</v>
      </c>
      <c r="M371" s="166"/>
      <c r="N371" s="166"/>
      <c r="O371" s="166"/>
      <c r="P371" s="156">
        <f>ROUND(G371*O358,2)</f>
        <v>0</v>
      </c>
      <c r="Q371" s="156">
        <f>ROUND(G371*N358,2)</f>
        <v>0</v>
      </c>
    </row>
    <row r="372" spans="1:17" ht="30" hidden="1" x14ac:dyDescent="0.25">
      <c r="A372" s="168"/>
      <c r="B372" s="133" t="str">
        <f>'Công trình'!B34</f>
        <v>AF.12313</v>
      </c>
      <c r="C372" s="34"/>
      <c r="D372" s="133" t="str">
        <f>'Công trình'!C34</f>
        <v>Bê tông dầm, giằng đá 1x2, vữa BT mác 200</v>
      </c>
      <c r="E372" s="168"/>
      <c r="F372" s="20">
        <v>1</v>
      </c>
      <c r="G372" s="45">
        <f>'Hao phí vật tư'!L255</f>
        <v>0</v>
      </c>
      <c r="H372" s="166"/>
      <c r="I372" s="156">
        <f>ROUND(G372*H358,2)</f>
        <v>0</v>
      </c>
      <c r="J372" s="20" t="str">
        <f>'Công trình'!X34</f>
        <v>HCM_2016_QD_3384_XD</v>
      </c>
      <c r="K372" s="166"/>
      <c r="L372" s="156">
        <f>ROUND(G372*K358,2)</f>
        <v>0</v>
      </c>
      <c r="M372" s="166"/>
      <c r="N372" s="166"/>
      <c r="O372" s="166"/>
      <c r="P372" s="156">
        <f>ROUND(G372*O358,2)</f>
        <v>0</v>
      </c>
      <c r="Q372" s="156">
        <f>ROUND(G372*N358,2)</f>
        <v>0</v>
      </c>
    </row>
    <row r="373" spans="1:17" ht="45" hidden="1" x14ac:dyDescent="0.25">
      <c r="A373" s="168"/>
      <c r="B373" s="133" t="str">
        <f>'Công trình'!B35</f>
        <v>AF.82111</v>
      </c>
      <c r="C373" s="34"/>
      <c r="D373" s="133" t="str">
        <f>'Công trình'!C35</f>
        <v>Sản xuất, lắp dựng tháo dỡ ván khuôn thép, cây chống gỗ tường, cột vuông (chữ nhật), xà dầm, giằng, chiều cao &lt;=16m</v>
      </c>
      <c r="E373" s="168"/>
      <c r="F373" s="20">
        <v>1</v>
      </c>
      <c r="G373" s="45">
        <f>'Hao phí vật tư'!L268</f>
        <v>0</v>
      </c>
      <c r="H373" s="166"/>
      <c r="I373" s="156">
        <f>ROUND(G373*H358,2)</f>
        <v>0</v>
      </c>
      <c r="J373" s="20" t="str">
        <f>'Công trình'!X35</f>
        <v>HCM_2016_QD_3384_XD</v>
      </c>
      <c r="K373" s="166"/>
      <c r="L373" s="156">
        <f>ROUND(G373*K358,2)</f>
        <v>0</v>
      </c>
      <c r="M373" s="166"/>
      <c r="N373" s="166"/>
      <c r="O373" s="166"/>
      <c r="P373" s="156">
        <f>ROUND(G373*O358,2)</f>
        <v>0</v>
      </c>
      <c r="Q373" s="156">
        <f>ROUND(G373*N358,2)</f>
        <v>0</v>
      </c>
    </row>
    <row r="374" spans="1:17" x14ac:dyDescent="0.25">
      <c r="A374" s="168">
        <v>45</v>
      </c>
      <c r="B374" s="84" t="s">
        <v>782</v>
      </c>
      <c r="C374" s="34">
        <v>759</v>
      </c>
      <c r="D374" s="144" t="s">
        <v>1</v>
      </c>
      <c r="E374" s="168" t="s">
        <v>76</v>
      </c>
      <c r="F374" s="34"/>
      <c r="G374" s="60">
        <f>SUM(G375:G377)</f>
        <v>0.49780000000000002</v>
      </c>
      <c r="H374" s="166">
        <v>1132383</v>
      </c>
      <c r="I374" s="166">
        <f>ROUND(G374*H374,0)</f>
        <v>563700</v>
      </c>
      <c r="J374" s="34">
        <v>1</v>
      </c>
      <c r="K374" s="166">
        <f>'Tổng hợp VL,NC,M'!I1603</f>
        <v>1132383</v>
      </c>
      <c r="L374" s="166">
        <f>ROUND(G374*K374,0)</f>
        <v>563700</v>
      </c>
      <c r="M374" s="166"/>
      <c r="N374" s="166">
        <f>K374+M374</f>
        <v>1132383</v>
      </c>
      <c r="O374" s="166">
        <f>N374-H374</f>
        <v>0</v>
      </c>
      <c r="P374" s="166">
        <f>ROUND(G374*O374,0)</f>
        <v>0</v>
      </c>
      <c r="Q374" s="166">
        <f>ROUND(G374*N374,0)</f>
        <v>563700</v>
      </c>
    </row>
    <row r="375" spans="1:17" ht="30" hidden="1" x14ac:dyDescent="0.25">
      <c r="A375" s="168"/>
      <c r="B375" s="133" t="str">
        <f>'Công trình'!B98</f>
        <v>AD.11212</v>
      </c>
      <c r="C375" s="34"/>
      <c r="D375" s="133" t="str">
        <f>'Công trình'!C98</f>
        <v>Cấp phối đá 0x4</v>
      </c>
      <c r="E375" s="168"/>
      <c r="F375" s="20">
        <v>1</v>
      </c>
      <c r="G375" s="45">
        <f>'Hao phí vật tư'!L794</f>
        <v>0.126</v>
      </c>
      <c r="H375" s="166"/>
      <c r="I375" s="156">
        <f>ROUND(G375*H374,2)</f>
        <v>142680.26</v>
      </c>
      <c r="J375" s="20" t="str">
        <f>'Công trình'!X98</f>
        <v>HCM_2016_QD_3384_XD</v>
      </c>
      <c r="K375" s="166"/>
      <c r="L375" s="156">
        <f>ROUND(G375*K374,2)</f>
        <v>142680.26</v>
      </c>
      <c r="M375" s="166"/>
      <c r="N375" s="166"/>
      <c r="O375" s="166"/>
      <c r="P375" s="156">
        <f>ROUND(G375*O374,2)</f>
        <v>0</v>
      </c>
      <c r="Q375" s="156">
        <f>ROUND(G375*N374,2)</f>
        <v>142680.26</v>
      </c>
    </row>
    <row r="376" spans="1:17" ht="30" hidden="1" x14ac:dyDescent="0.25">
      <c r="A376" s="168"/>
      <c r="B376" s="133" t="str">
        <f>'Công trình'!B241</f>
        <v>AD.11222</v>
      </c>
      <c r="C376" s="34"/>
      <c r="D376" s="133" t="str">
        <f>'Công trình'!C241</f>
        <v>Làm móng lớp trên cấp phối đá dăm, đường làm mới</v>
      </c>
      <c r="E376" s="168"/>
      <c r="F376" s="20">
        <v>1</v>
      </c>
      <c r="G376" s="45">
        <f>'Hao phí vật tư'!L1828</f>
        <v>0.2248</v>
      </c>
      <c r="H376" s="166"/>
      <c r="I376" s="156">
        <f>ROUND(G376*H374,2)</f>
        <v>254559.7</v>
      </c>
      <c r="J376" s="20" t="str">
        <f>'Công trình'!X241</f>
        <v>HCM_2016_QD_3384_XD</v>
      </c>
      <c r="K376" s="166"/>
      <c r="L376" s="156">
        <f>ROUND(G376*K374,2)</f>
        <v>254559.7</v>
      </c>
      <c r="M376" s="166"/>
      <c r="N376" s="166"/>
      <c r="O376" s="166"/>
      <c r="P376" s="156">
        <f>ROUND(G376*O374,2)</f>
        <v>0</v>
      </c>
      <c r="Q376" s="156">
        <f>ROUND(G376*N374,2)</f>
        <v>254559.7</v>
      </c>
    </row>
    <row r="377" spans="1:17" ht="30" hidden="1" x14ac:dyDescent="0.25">
      <c r="A377" s="168"/>
      <c r="B377" s="133" t="str">
        <f>'Công trình'!B93</f>
        <v>AD.11212</v>
      </c>
      <c r="C377" s="34"/>
      <c r="D377" s="133" t="str">
        <f>'Công trình'!C93</f>
        <v>Cấp phối đá 0x4</v>
      </c>
      <c r="E377" s="168"/>
      <c r="F377" s="20">
        <v>1</v>
      </c>
      <c r="G377" s="45">
        <f>'Hao phí vật tư'!L760</f>
        <v>0.14699999999999999</v>
      </c>
      <c r="H377" s="166"/>
      <c r="I377" s="156">
        <f>ROUND(G377*H374,2)</f>
        <v>166460.29999999999</v>
      </c>
      <c r="J377" s="20" t="str">
        <f>'Công trình'!X93</f>
        <v>HCM_2016_QD_3384_XD</v>
      </c>
      <c r="K377" s="166"/>
      <c r="L377" s="156">
        <f>ROUND(G377*K374,2)</f>
        <v>166460.29999999999</v>
      </c>
      <c r="M377" s="166"/>
      <c r="N377" s="166"/>
      <c r="O377" s="166"/>
      <c r="P377" s="156">
        <f>ROUND(G377*O374,2)</f>
        <v>0</v>
      </c>
      <c r="Q377" s="156">
        <f>ROUND(G377*N374,2)</f>
        <v>166460.29999999999</v>
      </c>
    </row>
    <row r="378" spans="1:17" x14ac:dyDescent="0.25">
      <c r="A378" s="168">
        <v>46</v>
      </c>
      <c r="B378" s="84" t="s">
        <v>284</v>
      </c>
      <c r="C378" s="34">
        <v>762</v>
      </c>
      <c r="D378" s="144" t="s">
        <v>1148</v>
      </c>
      <c r="E378" s="168" t="s">
        <v>76</v>
      </c>
      <c r="F378" s="34"/>
      <c r="G378" s="60">
        <f>SUM(G379:G381)</f>
        <v>1.85</v>
      </c>
      <c r="H378" s="166">
        <v>713638</v>
      </c>
      <c r="I378" s="166">
        <f>ROUND(G378*H378,0)</f>
        <v>1320230</v>
      </c>
      <c r="J378" s="34">
        <v>1</v>
      </c>
      <c r="K378" s="166">
        <f>'Tổng hợp VL,NC,M'!I1607</f>
        <v>713638</v>
      </c>
      <c r="L378" s="166">
        <f>ROUND(G378*K378,0)</f>
        <v>1320230</v>
      </c>
      <c r="M378" s="166"/>
      <c r="N378" s="166">
        <f>K378+M378</f>
        <v>713638</v>
      </c>
      <c r="O378" s="166">
        <f>N378-H378</f>
        <v>0</v>
      </c>
      <c r="P378" s="166">
        <f>ROUND(G378*O378,0)</f>
        <v>0</v>
      </c>
      <c r="Q378" s="166">
        <f>ROUND(G378*N378,0)</f>
        <v>1320230</v>
      </c>
    </row>
    <row r="379" spans="1:17" ht="30" hidden="1" x14ac:dyDescent="0.25">
      <c r="A379" s="168"/>
      <c r="B379" s="133" t="str">
        <f>'Công trình'!B269</f>
        <v>AD.32411</v>
      </c>
      <c r="C379" s="34"/>
      <c r="D379" s="133" t="str">
        <f>'Công trình'!C269</f>
        <v>Biển báo (1.2 x 1.2)m</v>
      </c>
      <c r="E379" s="168"/>
      <c r="F379" s="20">
        <v>1</v>
      </c>
      <c r="G379" s="45">
        <f>'Hao phí vật tư'!L2062</f>
        <v>1.7</v>
      </c>
      <c r="H379" s="166"/>
      <c r="I379" s="156">
        <f>ROUND(G379*H378,2)</f>
        <v>1213184.6000000001</v>
      </c>
      <c r="J379" s="20" t="str">
        <f>'Công trình'!X269</f>
        <v>HCM_2016_QD_3384_XD</v>
      </c>
      <c r="K379" s="166"/>
      <c r="L379" s="156">
        <f>ROUND(G379*K378,2)</f>
        <v>1213184.6000000001</v>
      </c>
      <c r="M379" s="166"/>
      <c r="N379" s="166"/>
      <c r="O379" s="166"/>
      <c r="P379" s="156">
        <f>ROUND(G379*O378,2)</f>
        <v>0</v>
      </c>
      <c r="Q379" s="156">
        <f>ROUND(G379*N378,2)</f>
        <v>1213184.6000000001</v>
      </c>
    </row>
    <row r="380" spans="1:17" ht="30" hidden="1" x14ac:dyDescent="0.25">
      <c r="A380" s="168"/>
      <c r="B380" s="133" t="str">
        <f>'Công trình'!B290</f>
        <v>AD.32421</v>
      </c>
      <c r="C380" s="34"/>
      <c r="D380" s="133" t="str">
        <f>'Công trình'!C290</f>
        <v>Biển báo bằng tôn hình tròn D70cm, dày 1.2mm, sơn phản quang (Biển 115)</v>
      </c>
      <c r="E380" s="168"/>
      <c r="F380" s="20">
        <v>1</v>
      </c>
      <c r="G380" s="45">
        <f>'Hao phí vật tư'!L2178</f>
        <v>0.05</v>
      </c>
      <c r="H380" s="166"/>
      <c r="I380" s="156">
        <f>ROUND(G380*H378,2)</f>
        <v>35681.9</v>
      </c>
      <c r="J380" s="20" t="str">
        <f>'Công trình'!X290</f>
        <v>HCM_2016_QD_3384_XD</v>
      </c>
      <c r="K380" s="166"/>
      <c r="L380" s="156">
        <f>ROUND(G380*K378,2)</f>
        <v>35681.9</v>
      </c>
      <c r="M380" s="166"/>
      <c r="N380" s="166"/>
      <c r="O380" s="166"/>
      <c r="P380" s="156">
        <f>ROUND(G380*O378,2)</f>
        <v>0</v>
      </c>
      <c r="Q380" s="156">
        <f>ROUND(G380*N378,2)</f>
        <v>35681.9</v>
      </c>
    </row>
    <row r="381" spans="1:17" ht="30" hidden="1" x14ac:dyDescent="0.25">
      <c r="A381" s="168"/>
      <c r="B381" s="133" t="str">
        <f>'Công trình'!B291</f>
        <v>AD.32441</v>
      </c>
      <c r="C381" s="34"/>
      <c r="D381" s="133" t="str">
        <f>'Công trình'!C291</f>
        <v>Biển hình chữ nhật (40x60) (biển 439)</v>
      </c>
      <c r="E381" s="168"/>
      <c r="F381" s="20">
        <v>1</v>
      </c>
      <c r="G381" s="45">
        <f>'Hao phí vật tư'!L2190</f>
        <v>0.1</v>
      </c>
      <c r="H381" s="166"/>
      <c r="I381" s="156">
        <f>ROUND(G381*H378,2)</f>
        <v>71363.8</v>
      </c>
      <c r="J381" s="20" t="str">
        <f>'Công trình'!X291</f>
        <v>HCM_2016_QD_3384_XD</v>
      </c>
      <c r="K381" s="166"/>
      <c r="L381" s="156">
        <f>ROUND(G381*K378,2)</f>
        <v>71363.8</v>
      </c>
      <c r="M381" s="166"/>
      <c r="N381" s="166"/>
      <c r="O381" s="166"/>
      <c r="P381" s="156">
        <f>ROUND(G381*O378,2)</f>
        <v>0</v>
      </c>
      <c r="Q381" s="156">
        <f>ROUND(G381*N378,2)</f>
        <v>71363.8</v>
      </c>
    </row>
    <row r="382" spans="1:17" x14ac:dyDescent="0.25">
      <c r="A382" s="168">
        <v>47</v>
      </c>
      <c r="B382" s="84" t="s">
        <v>1120</v>
      </c>
      <c r="C382" s="34">
        <v>754</v>
      </c>
      <c r="D382" s="144" t="s">
        <v>827</v>
      </c>
      <c r="E382" s="168" t="s">
        <v>76</v>
      </c>
      <c r="F382" s="34"/>
      <c r="G382" s="60">
        <f>SUM(G383:G383)</f>
        <v>0.64470000000000005</v>
      </c>
      <c r="H382" s="166">
        <v>965014</v>
      </c>
      <c r="I382" s="166">
        <f>ROUND(G382*H382,0)</f>
        <v>622145</v>
      </c>
      <c r="J382" s="34">
        <v>1</v>
      </c>
      <c r="K382" s="166">
        <f>'Tổng hợp VL,NC,M'!I1617</f>
        <v>965014</v>
      </c>
      <c r="L382" s="166">
        <f>ROUND(G382*K382,0)</f>
        <v>622145</v>
      </c>
      <c r="M382" s="166"/>
      <c r="N382" s="166">
        <f>K382+M382</f>
        <v>965014</v>
      </c>
      <c r="O382" s="166">
        <f>N382-H382</f>
        <v>0</v>
      </c>
      <c r="P382" s="166">
        <f>ROUND(G382*O382,0)</f>
        <v>0</v>
      </c>
      <c r="Q382" s="166">
        <f>ROUND(G382*N382,0)</f>
        <v>622145</v>
      </c>
    </row>
    <row r="383" spans="1:17" ht="30" hidden="1" x14ac:dyDescent="0.25">
      <c r="A383" s="168"/>
      <c r="B383" s="133" t="str">
        <f>'Công trình'!B197</f>
        <v>AF.15225</v>
      </c>
      <c r="C383" s="34"/>
      <c r="D383" s="133" t="str">
        <f>'Công trình'!C197</f>
        <v>Bê tông dầm cầu đá 1x2, vữa BT mác 300</v>
      </c>
      <c r="E383" s="168"/>
      <c r="F383" s="20">
        <v>1</v>
      </c>
      <c r="G383" s="45">
        <f>'Hao phí vật tư'!L1519</f>
        <v>0.64470000000000005</v>
      </c>
      <c r="H383" s="166"/>
      <c r="I383" s="156">
        <f>ROUND(G383*H382,2)</f>
        <v>622144.53</v>
      </c>
      <c r="J383" s="20" t="str">
        <f>'Công trình'!X197</f>
        <v>HCM_2016_QD_3384_XD</v>
      </c>
      <c r="K383" s="166"/>
      <c r="L383" s="156">
        <f>ROUND(G383*K382,2)</f>
        <v>622144.53</v>
      </c>
      <c r="M383" s="166"/>
      <c r="N383" s="166"/>
      <c r="O383" s="166"/>
      <c r="P383" s="156">
        <f>ROUND(G383*O382,2)</f>
        <v>0</v>
      </c>
      <c r="Q383" s="156">
        <f>ROUND(G383*N382,2)</f>
        <v>622144.53</v>
      </c>
    </row>
    <row r="384" spans="1:17" x14ac:dyDescent="0.25">
      <c r="A384" s="168">
        <v>48</v>
      </c>
      <c r="B384" s="84" t="s">
        <v>1074</v>
      </c>
      <c r="C384" s="34">
        <v>755</v>
      </c>
      <c r="D384" s="144" t="s">
        <v>443</v>
      </c>
      <c r="E384" s="168" t="s">
        <v>76</v>
      </c>
      <c r="F384" s="34"/>
      <c r="G384" s="60">
        <f>SUM(G385:G388)</f>
        <v>60.603900000000003</v>
      </c>
      <c r="H384" s="166">
        <v>1107704</v>
      </c>
      <c r="I384" s="166">
        <f>ROUND(G384*H384,0)</f>
        <v>67131182</v>
      </c>
      <c r="J384" s="34">
        <v>1</v>
      </c>
      <c r="K384" s="166">
        <f>'Tổng hợp VL,NC,M'!I1619</f>
        <v>1107704</v>
      </c>
      <c r="L384" s="166">
        <f>ROUND(G384*K384,0)</f>
        <v>67131182</v>
      </c>
      <c r="M384" s="166"/>
      <c r="N384" s="166">
        <f>K384+M384</f>
        <v>1107704</v>
      </c>
      <c r="O384" s="166">
        <f>N384-H384</f>
        <v>0</v>
      </c>
      <c r="P384" s="166">
        <f>ROUND(G384*O384,0)</f>
        <v>0</v>
      </c>
      <c r="Q384" s="166">
        <f>ROUND(G384*N384,0)</f>
        <v>67131182</v>
      </c>
    </row>
    <row r="385" spans="1:17" ht="30" hidden="1" x14ac:dyDescent="0.25">
      <c r="A385" s="168"/>
      <c r="B385" s="133" t="str">
        <f>'Công trình'!B86</f>
        <v>AC.17111</v>
      </c>
      <c r="C385" s="34"/>
      <c r="D385" s="133" t="str">
        <f>'Công trình'!C86</f>
        <v>Đóng cọc BTCT 30x30 chiều dài &lt;=24m trên mặt nước bằng tàu đóng cọc búa 1,8T</v>
      </c>
      <c r="E385" s="168"/>
      <c r="F385" s="20">
        <v>1</v>
      </c>
      <c r="G385" s="45">
        <f>'Hao phí vật tư'!L711</f>
        <v>5.04</v>
      </c>
      <c r="H385" s="166"/>
      <c r="I385" s="156">
        <f>ROUND(G385*H384,2)</f>
        <v>5582828.1600000001</v>
      </c>
      <c r="J385" s="20" t="str">
        <f>'Công trình'!X86</f>
        <v>HCM_2016_QD_3384_XD</v>
      </c>
      <c r="K385" s="166"/>
      <c r="L385" s="156">
        <f>ROUND(G385*K384,2)</f>
        <v>5582828.1600000001</v>
      </c>
      <c r="M385" s="166"/>
      <c r="N385" s="166"/>
      <c r="O385" s="166"/>
      <c r="P385" s="156">
        <f>ROUND(G385*O384,2)</f>
        <v>0</v>
      </c>
      <c r="Q385" s="156">
        <f>ROUND(G385*N384,2)</f>
        <v>5582828.1600000001</v>
      </c>
    </row>
    <row r="386" spans="1:17" ht="30" hidden="1" x14ac:dyDescent="0.25">
      <c r="A386" s="168"/>
      <c r="B386" s="133" t="str">
        <f>'Công trình'!B75</f>
        <v>AC.17112</v>
      </c>
      <c r="C386" s="34"/>
      <c r="D386" s="133" t="str">
        <f>'Công trình'!C75</f>
        <v>Đóng cọc BTCT 35x35 chiều dài &lt;=24m trên mặt nước bằng tàu đóng cọc búa 1,8T</v>
      </c>
      <c r="E386" s="168"/>
      <c r="F386" s="20">
        <v>1</v>
      </c>
      <c r="G386" s="45">
        <f>'Hao phí vật tư'!L595</f>
        <v>9.984</v>
      </c>
      <c r="H386" s="166"/>
      <c r="I386" s="156">
        <f>ROUND(G386*H384,2)</f>
        <v>11059316.74</v>
      </c>
      <c r="J386" s="20" t="str">
        <f>'Công trình'!X75</f>
        <v>HCM_2016_QD_3384_XD</v>
      </c>
      <c r="K386" s="166"/>
      <c r="L386" s="156">
        <f>ROUND(G386*K384,2)</f>
        <v>11059316.74</v>
      </c>
      <c r="M386" s="166"/>
      <c r="N386" s="166"/>
      <c r="O386" s="166"/>
      <c r="P386" s="156">
        <f>ROUND(G386*O384,2)</f>
        <v>0</v>
      </c>
      <c r="Q386" s="156">
        <f>ROUND(G386*N384,2)</f>
        <v>11059316.74</v>
      </c>
    </row>
    <row r="387" spans="1:17" ht="30" hidden="1" x14ac:dyDescent="0.25">
      <c r="A387" s="168"/>
      <c r="B387" s="133" t="str">
        <f>'Công trình'!B107</f>
        <v>AC.17112</v>
      </c>
      <c r="C387" s="34"/>
      <c r="D387" s="133" t="str">
        <f>'Công trình'!C107</f>
        <v>Đóng cọc âm BTCT 35x35 chiều dài &lt;=24m trên mặt nước bằng tàu đóng cọc búa 1,8T</v>
      </c>
      <c r="E387" s="168"/>
      <c r="F387" s="20">
        <v>1</v>
      </c>
      <c r="G387" s="45">
        <f>'Hao phí vật tư'!L858</f>
        <v>4.0949999999999998</v>
      </c>
      <c r="H387" s="166"/>
      <c r="I387" s="156">
        <f>ROUND(G387*H384,2)</f>
        <v>4536047.88</v>
      </c>
      <c r="J387" s="20" t="str">
        <f>'Công trình'!X107</f>
        <v>HCM_2016_QD_3384_XD</v>
      </c>
      <c r="K387" s="166"/>
      <c r="L387" s="156">
        <f>ROUND(G387*K384,2)</f>
        <v>4536047.88</v>
      </c>
      <c r="M387" s="166"/>
      <c r="N387" s="166"/>
      <c r="O387" s="166"/>
      <c r="P387" s="156">
        <f>ROUND(G387*O384,2)</f>
        <v>0</v>
      </c>
      <c r="Q387" s="156">
        <f>ROUND(G387*N384,2)</f>
        <v>4536047.88</v>
      </c>
    </row>
    <row r="388" spans="1:17" ht="45" hidden="1" x14ac:dyDescent="0.25">
      <c r="A388" s="168"/>
      <c r="B388" s="133" t="str">
        <f>'Công trình'!B153</f>
        <v>AB.81144</v>
      </c>
      <c r="C388" s="34"/>
      <c r="D388" s="133" t="str">
        <f>'Công trình'!C153</f>
        <v>Nạo vét đất pha cát từ 15-20%, đất bùn lỏng ở kênh mương bằng máy đào gầu dây 0,65m3, chiều cao đổ đất &gt;3</v>
      </c>
      <c r="E388" s="168"/>
      <c r="F388" s="20">
        <v>1</v>
      </c>
      <c r="G388" s="45">
        <f>'Hao phí vật tư'!L1162</f>
        <v>41.484900000000003</v>
      </c>
      <c r="H388" s="166"/>
      <c r="I388" s="156">
        <f>ROUND(G388*H384,2)</f>
        <v>45952989.670000002</v>
      </c>
      <c r="J388" s="20" t="str">
        <f>'Công trình'!X153</f>
        <v>HCM_2016_QD_3384_XD</v>
      </c>
      <c r="K388" s="166"/>
      <c r="L388" s="156">
        <f>ROUND(G388*K384,2)</f>
        <v>45952989.670000002</v>
      </c>
      <c r="M388" s="166"/>
      <c r="N388" s="166"/>
      <c r="O388" s="166"/>
      <c r="P388" s="156">
        <f>ROUND(G388*O384,2)</f>
        <v>0</v>
      </c>
      <c r="Q388" s="156">
        <f>ROUND(G388*N384,2)</f>
        <v>45952989.670000002</v>
      </c>
    </row>
    <row r="389" spans="1:17" x14ac:dyDescent="0.25">
      <c r="A389" s="168">
        <v>49</v>
      </c>
      <c r="B389" s="84" t="s">
        <v>212</v>
      </c>
      <c r="C389" s="34">
        <v>756</v>
      </c>
      <c r="D389" s="144" t="s">
        <v>61</v>
      </c>
      <c r="E389" s="168" t="s">
        <v>76</v>
      </c>
      <c r="F389" s="34"/>
      <c r="G389" s="60">
        <f>SUM(G390:G390)</f>
        <v>27.17</v>
      </c>
      <c r="H389" s="166">
        <v>1334033</v>
      </c>
      <c r="I389" s="166">
        <f>ROUND(G389*H389,0)</f>
        <v>36245677</v>
      </c>
      <c r="J389" s="34">
        <v>1</v>
      </c>
      <c r="K389" s="166">
        <f>'Tổng hợp VL,NC,M'!I1624</f>
        <v>1334033</v>
      </c>
      <c r="L389" s="166">
        <f>ROUND(G389*K389,0)</f>
        <v>36245677</v>
      </c>
      <c r="M389" s="166"/>
      <c r="N389" s="166">
        <f>K389+M389</f>
        <v>1334033</v>
      </c>
      <c r="O389" s="166">
        <f>N389-H389</f>
        <v>0</v>
      </c>
      <c r="P389" s="166">
        <f>ROUND(G389*O389,0)</f>
        <v>0</v>
      </c>
      <c r="Q389" s="166">
        <f>ROUND(G389*N389,0)</f>
        <v>36245677</v>
      </c>
    </row>
    <row r="390" spans="1:17" ht="30" hidden="1" x14ac:dyDescent="0.25">
      <c r="A390" s="168"/>
      <c r="B390" s="133" t="str">
        <f>'Công trình'!B154</f>
        <v>AB.36120</v>
      </c>
      <c r="C390" s="34"/>
      <c r="D390" s="133" t="str">
        <f>'Công trình'!C154</f>
        <v>Xói hút bùn trong khung vây phòng nước, các trụ dưới nước</v>
      </c>
      <c r="E390" s="168"/>
      <c r="F390" s="20">
        <v>1</v>
      </c>
      <c r="G390" s="45">
        <f>'Hao phí vật tư'!L1178</f>
        <v>27.17</v>
      </c>
      <c r="H390" s="166"/>
      <c r="I390" s="156">
        <f>ROUND(G390*H389,2)</f>
        <v>36245676.609999999</v>
      </c>
      <c r="J390" s="20" t="str">
        <f>'Công trình'!X154</f>
        <v>HCM_2016_QD_3384_XD</v>
      </c>
      <c r="K390" s="166"/>
      <c r="L390" s="156">
        <f>ROUND(G390*K389,2)</f>
        <v>36245676.609999999</v>
      </c>
      <c r="M390" s="166"/>
      <c r="N390" s="166"/>
      <c r="O390" s="166"/>
      <c r="P390" s="156">
        <f>ROUND(G390*O389,2)</f>
        <v>0</v>
      </c>
      <c r="Q390" s="156">
        <f>ROUND(G390*N389,2)</f>
        <v>36245676.609999999</v>
      </c>
    </row>
    <row r="391" spans="1:17" ht="30" x14ac:dyDescent="0.25">
      <c r="A391" s="168">
        <v>50</v>
      </c>
      <c r="B391" s="84" t="s">
        <v>170</v>
      </c>
      <c r="C391" s="34">
        <v>757</v>
      </c>
      <c r="D391" s="144" t="s">
        <v>105</v>
      </c>
      <c r="E391" s="168" t="s">
        <v>76</v>
      </c>
      <c r="F391" s="34"/>
      <c r="G391" s="60">
        <f>SUM(G392:G395)</f>
        <v>1.3817999999999999</v>
      </c>
      <c r="H391" s="166">
        <v>4108162</v>
      </c>
      <c r="I391" s="166">
        <f>ROUND(G391*H391,0)</f>
        <v>5676658</v>
      </c>
      <c r="J391" s="34">
        <v>1</v>
      </c>
      <c r="K391" s="166">
        <f>'Tổng hợp VL,NC,M'!I1626</f>
        <v>4108162</v>
      </c>
      <c r="L391" s="166">
        <f>ROUND(G391*K391,0)</f>
        <v>5676658</v>
      </c>
      <c r="M391" s="166"/>
      <c r="N391" s="166">
        <f>K391+M391</f>
        <v>4108162</v>
      </c>
      <c r="O391" s="166">
        <f>N391-H391</f>
        <v>0</v>
      </c>
      <c r="P391" s="166">
        <f>ROUND(G391*O391,0)</f>
        <v>0</v>
      </c>
      <c r="Q391" s="166">
        <f>ROUND(G391*N391,0)</f>
        <v>5676658</v>
      </c>
    </row>
    <row r="392" spans="1:17" ht="30" hidden="1" x14ac:dyDescent="0.25">
      <c r="A392" s="168"/>
      <c r="B392" s="133" t="str">
        <f>'Công trình'!B86</f>
        <v>AC.17111</v>
      </c>
      <c r="C392" s="34"/>
      <c r="D392" s="133" t="str">
        <f>'Công trình'!C86</f>
        <v>Đóng cọc BTCT 30x30 chiều dài &lt;=24m trên mặt nước bằng tàu đóng cọc búa 1,8T</v>
      </c>
      <c r="E392" s="168"/>
      <c r="F392" s="20">
        <v>1</v>
      </c>
      <c r="G392" s="45">
        <f>'Hao phí vật tư'!L712</f>
        <v>0.38879999999999998</v>
      </c>
      <c r="H392" s="166"/>
      <c r="I392" s="156">
        <f>ROUND(G392*H391,2)</f>
        <v>1597253.39</v>
      </c>
      <c r="J392" s="20" t="str">
        <f>'Công trình'!X86</f>
        <v>HCM_2016_QD_3384_XD</v>
      </c>
      <c r="K392" s="166"/>
      <c r="L392" s="156">
        <f>ROUND(G392*K391,2)</f>
        <v>1597253.39</v>
      </c>
      <c r="M392" s="166"/>
      <c r="N392" s="166"/>
      <c r="O392" s="166"/>
      <c r="P392" s="156">
        <f>ROUND(G392*O391,2)</f>
        <v>0</v>
      </c>
      <c r="Q392" s="156">
        <f>ROUND(G392*N391,2)</f>
        <v>1597253.39</v>
      </c>
    </row>
    <row r="393" spans="1:17" ht="30" hidden="1" x14ac:dyDescent="0.25">
      <c r="A393" s="168"/>
      <c r="B393" s="133" t="str">
        <f>'Công trình'!B75</f>
        <v>AC.17112</v>
      </c>
      <c r="C393" s="34"/>
      <c r="D393" s="133" t="str">
        <f>'Công trình'!C75</f>
        <v>Đóng cọc BTCT 35x35 chiều dài &lt;=24m trên mặt nước bằng tàu đóng cọc búa 1,8T</v>
      </c>
      <c r="E393" s="168"/>
      <c r="F393" s="20">
        <v>1</v>
      </c>
      <c r="G393" s="45">
        <f>'Hao phí vật tư'!L596</f>
        <v>0.69120000000000004</v>
      </c>
      <c r="H393" s="166"/>
      <c r="I393" s="156">
        <f>ROUND(G393*H391,2)</f>
        <v>2839561.57</v>
      </c>
      <c r="J393" s="20" t="str">
        <f>'Công trình'!X75</f>
        <v>HCM_2016_QD_3384_XD</v>
      </c>
      <c r="K393" s="166"/>
      <c r="L393" s="156">
        <f>ROUND(G393*K391,2)</f>
        <v>2839561.57</v>
      </c>
      <c r="M393" s="166"/>
      <c r="N393" s="166"/>
      <c r="O393" s="166"/>
      <c r="P393" s="156">
        <f>ROUND(G393*O391,2)</f>
        <v>0</v>
      </c>
      <c r="Q393" s="156">
        <f>ROUND(G393*N391,2)</f>
        <v>2839561.57</v>
      </c>
    </row>
    <row r="394" spans="1:17" ht="30" hidden="1" x14ac:dyDescent="0.25">
      <c r="A394" s="168"/>
      <c r="B394" s="133" t="str">
        <f>'Công trình'!B107</f>
        <v>AC.17112</v>
      </c>
      <c r="C394" s="34"/>
      <c r="D394" s="133" t="str">
        <f>'Công trình'!C107</f>
        <v>Đóng cọc âm BTCT 35x35 chiều dài &lt;=24m trên mặt nước bằng tàu đóng cọc búa 1,8T</v>
      </c>
      <c r="E394" s="168"/>
      <c r="F394" s="20">
        <v>1</v>
      </c>
      <c r="G394" s="45">
        <f>'Hao phí vật tư'!L859</f>
        <v>0.28339999999999999</v>
      </c>
      <c r="H394" s="166"/>
      <c r="I394" s="156">
        <f>ROUND(G394*H391,2)</f>
        <v>1164253.1100000001</v>
      </c>
      <c r="J394" s="20" t="str">
        <f>'Công trình'!X107</f>
        <v>HCM_2016_QD_3384_XD</v>
      </c>
      <c r="K394" s="166"/>
      <c r="L394" s="156">
        <f>ROUND(G394*K391,2)</f>
        <v>1164253.1100000001</v>
      </c>
      <c r="M394" s="166"/>
      <c r="N394" s="166"/>
      <c r="O394" s="166"/>
      <c r="P394" s="156">
        <f>ROUND(G394*O391,2)</f>
        <v>0</v>
      </c>
      <c r="Q394" s="156">
        <f>ROUND(G394*N391,2)</f>
        <v>1164253.1100000001</v>
      </c>
    </row>
    <row r="395" spans="1:17" ht="30" hidden="1" x14ac:dyDescent="0.25">
      <c r="A395" s="168"/>
      <c r="B395" s="133" t="str">
        <f>'Công trình'!B197</f>
        <v>AF.15225</v>
      </c>
      <c r="C395" s="34"/>
      <c r="D395" s="133" t="str">
        <f>'Công trình'!C197</f>
        <v>Bê tông dầm cầu đá 1x2, vữa BT mác 300</v>
      </c>
      <c r="E395" s="168"/>
      <c r="F395" s="20">
        <v>1</v>
      </c>
      <c r="G395" s="45">
        <f>'Hao phí vật tư'!L1518</f>
        <v>1.84E-2</v>
      </c>
      <c r="H395" s="166"/>
      <c r="I395" s="156">
        <f>ROUND(G395*H391,2)</f>
        <v>75590.179999999993</v>
      </c>
      <c r="J395" s="20" t="str">
        <f>'Công trình'!X197</f>
        <v>HCM_2016_QD_3384_XD</v>
      </c>
      <c r="K395" s="166"/>
      <c r="L395" s="156">
        <f>ROUND(G395*K391,2)</f>
        <v>75590.179999999993</v>
      </c>
      <c r="M395" s="166"/>
      <c r="N395" s="166"/>
      <c r="O395" s="166"/>
      <c r="P395" s="156">
        <f>ROUND(G395*O391,2)</f>
        <v>0</v>
      </c>
      <c r="Q395" s="156">
        <f>ROUND(G395*N391,2)</f>
        <v>75590.179999999993</v>
      </c>
    </row>
    <row r="396" spans="1:17" x14ac:dyDescent="0.25">
      <c r="A396" s="168">
        <v>51</v>
      </c>
      <c r="B396" s="84" t="s">
        <v>445</v>
      </c>
      <c r="C396" s="34">
        <v>708</v>
      </c>
      <c r="D396" s="144" t="s">
        <v>863</v>
      </c>
      <c r="E396" s="168" t="s">
        <v>76</v>
      </c>
      <c r="F396" s="34"/>
      <c r="G396" s="60">
        <f>SUM(G397:G397)</f>
        <v>1.248</v>
      </c>
      <c r="H396" s="166">
        <v>1783529</v>
      </c>
      <c r="I396" s="166">
        <f>ROUND(G396*H396,0)</f>
        <v>2225844</v>
      </c>
      <c r="J396" s="34">
        <v>1</v>
      </c>
      <c r="K396" s="166">
        <f>'Tổng hợp VL,NC,M'!I1633</f>
        <v>1783529</v>
      </c>
      <c r="L396" s="166">
        <f>ROUND(G396*K396,0)</f>
        <v>2225844</v>
      </c>
      <c r="M396" s="166"/>
      <c r="N396" s="166">
        <f>K396+M396</f>
        <v>1783529</v>
      </c>
      <c r="O396" s="166">
        <f>N396-H396</f>
        <v>0</v>
      </c>
      <c r="P396" s="166">
        <f>ROUND(G396*O396,0)</f>
        <v>0</v>
      </c>
      <c r="Q396" s="166">
        <f>ROUND(G396*N396,0)</f>
        <v>2225844</v>
      </c>
    </row>
    <row r="397" spans="1:17" ht="30" hidden="1" x14ac:dyDescent="0.25">
      <c r="A397" s="168"/>
      <c r="B397" s="133" t="str">
        <f>'Công trình'!B273</f>
        <v>TH.01.05.20</v>
      </c>
      <c r="C397" s="34"/>
      <c r="D397" s="133" t="str">
        <f>'Công trình'!C273</f>
        <v>Đèn tín hiệu thông thuyền</v>
      </c>
      <c r="E397" s="168"/>
      <c r="F397" s="20">
        <v>1</v>
      </c>
      <c r="G397" s="45">
        <f>'Hao phí vật tư'!L2083</f>
        <v>1.248</v>
      </c>
      <c r="H397" s="166"/>
      <c r="I397" s="156">
        <f>ROUND(G397*H396,2)</f>
        <v>2225844.19</v>
      </c>
      <c r="J397" s="20" t="str">
        <f>'Công trình'!X273</f>
        <v>HCM_2017_QD_1001_CS</v>
      </c>
      <c r="K397" s="166"/>
      <c r="L397" s="156">
        <f>ROUND(G397*K396,2)</f>
        <v>2225844.19</v>
      </c>
      <c r="M397" s="166"/>
      <c r="N397" s="166"/>
      <c r="O397" s="166"/>
      <c r="P397" s="156">
        <f>ROUND(G397*O396,2)</f>
        <v>0</v>
      </c>
      <c r="Q397" s="156">
        <f>ROUND(G397*N396,2)</f>
        <v>2225844.19</v>
      </c>
    </row>
    <row r="398" spans="1:17" x14ac:dyDescent="0.25">
      <c r="A398" s="168">
        <v>52</v>
      </c>
      <c r="B398" s="84" t="s">
        <v>1189</v>
      </c>
      <c r="C398" s="34">
        <v>562</v>
      </c>
      <c r="D398" s="144" t="s">
        <v>261</v>
      </c>
      <c r="E398" s="7" t="s">
        <v>584</v>
      </c>
      <c r="F398" s="34"/>
      <c r="G398" s="60"/>
      <c r="H398" s="166"/>
      <c r="I398" s="166">
        <f>ROUND(SUM(I399:I469),0)</f>
        <v>47527508</v>
      </c>
      <c r="J398" s="34">
        <v>1</v>
      </c>
      <c r="K398" s="166"/>
      <c r="L398" s="166">
        <f>ROUND(SUM(L399:L469),0)</f>
        <v>47527508</v>
      </c>
      <c r="M398" s="166"/>
      <c r="N398" s="166">
        <f>K398+M398</f>
        <v>0</v>
      </c>
      <c r="O398" s="166"/>
      <c r="P398" s="166">
        <f>ROUND(SUM(P399:P469),0)</f>
        <v>0</v>
      </c>
      <c r="Q398" s="166">
        <f>ROUND(SUM(Q399:Q469),0)</f>
        <v>47527508</v>
      </c>
    </row>
    <row r="399" spans="1:17" ht="30" hidden="1" x14ac:dyDescent="0.25">
      <c r="A399" s="168"/>
      <c r="B399" s="133" t="str">
        <f>'Công trình'!B16</f>
        <v>AF.82111</v>
      </c>
      <c r="C399" s="34"/>
      <c r="D399" s="133" t="str">
        <f>'Công trình'!C16</f>
        <v>Sản xuất, lắp dựng tháo dỡ ván khuôn thép tường, chiều cao &lt;=16m</v>
      </c>
      <c r="E399" s="168"/>
      <c r="F399" s="20">
        <v>1</v>
      </c>
      <c r="G399" s="45">
        <f>'Hao phí vật tư'!I120</f>
        <v>2</v>
      </c>
      <c r="H399" s="166"/>
      <c r="I399" s="156">
        <f>ROUND((I11+I359)*G399/100,2)</f>
        <v>36295.24</v>
      </c>
      <c r="J399" s="20" t="str">
        <f>'Công trình'!X16</f>
        <v>HCM_2016_QD_3384_XD</v>
      </c>
      <c r="K399" s="166"/>
      <c r="L399" s="156">
        <f>ROUND((L11+L359)*G399/100,2)</f>
        <v>36295.24</v>
      </c>
      <c r="M399" s="166"/>
      <c r="N399" s="166"/>
      <c r="O399" s="166"/>
      <c r="P399" s="156">
        <f>ROUND((P11+P359)*G399/100,2)</f>
        <v>0</v>
      </c>
      <c r="Q399" s="156">
        <f>ROUND((Q11+Q359)*G399/100,2)</f>
        <v>36295.24</v>
      </c>
    </row>
    <row r="400" spans="1:17" ht="30" hidden="1" x14ac:dyDescent="0.25">
      <c r="A400" s="168"/>
      <c r="B400" s="133" t="str">
        <f>'Công trình'!B19</f>
        <v>AF.82111</v>
      </c>
      <c r="C400" s="34"/>
      <c r="D400" s="133" t="str">
        <f>'Công trình'!C19</f>
        <v>Sản xuất, lắp dựng tháo dỡ ván khuôn thép dầm, giằng, chiều cao &lt;=16m</v>
      </c>
      <c r="E400" s="168"/>
      <c r="F400" s="20">
        <v>1</v>
      </c>
      <c r="G400" s="45">
        <f>'Hao phí vật tư'!I146</f>
        <v>2</v>
      </c>
      <c r="H400" s="166"/>
      <c r="I400" s="156">
        <f>ROUND((I12+I361)*G400/100,2)</f>
        <v>33049.57</v>
      </c>
      <c r="J400" s="20" t="str">
        <f>'Công trình'!X19</f>
        <v>HCM_2016_QD_3384_XD</v>
      </c>
      <c r="K400" s="166"/>
      <c r="L400" s="156">
        <f>ROUND((L12+L361)*G400/100,2)</f>
        <v>33049.57</v>
      </c>
      <c r="M400" s="166"/>
      <c r="N400" s="166"/>
      <c r="O400" s="166"/>
      <c r="P400" s="156">
        <f>ROUND((P12+P361)*G400/100,2)</f>
        <v>0</v>
      </c>
      <c r="Q400" s="156">
        <f>ROUND((Q12+Q361)*G400/100,2)</f>
        <v>33049.57</v>
      </c>
    </row>
    <row r="401" spans="1:17" ht="45" hidden="1" x14ac:dyDescent="0.25">
      <c r="A401" s="168"/>
      <c r="B401" s="133" t="str">
        <f>'Công trình'!B26</f>
        <v>AC.12412</v>
      </c>
      <c r="C401" s="34"/>
      <c r="D401" s="133" t="str">
        <f>'Công trình'!C26</f>
        <v>Đóng cọc cừ máng bê tông dự ứng lực trên cạn bằng búa rung kết hợp tách mũi nước áp lực SW600A, chiều cao máng cọc 60-84cm, L=18M</v>
      </c>
      <c r="E401" s="168"/>
      <c r="F401" s="20">
        <v>1</v>
      </c>
      <c r="G401" s="45">
        <f>'Hao phí vật tư'!I192</f>
        <v>0.5</v>
      </c>
      <c r="H401" s="166"/>
      <c r="I401" s="156">
        <f>ROUND((I108+I145+I172)*G401/100,2)</f>
        <v>2074007.58</v>
      </c>
      <c r="J401" s="20" t="str">
        <f>'Công trình'!X26</f>
        <v>HCM_2016_QD_3384_XD</v>
      </c>
      <c r="K401" s="166"/>
      <c r="L401" s="156">
        <f>ROUND((L108+L145+L172)*G401/100,2)</f>
        <v>2074007.58</v>
      </c>
      <c r="M401" s="166"/>
      <c r="N401" s="166"/>
      <c r="O401" s="166"/>
      <c r="P401" s="156">
        <f>ROUND((P108+P145+P172)*G401/100,2)</f>
        <v>0</v>
      </c>
      <c r="Q401" s="156">
        <f>ROUND((Q108+Q145+Q172)*G401/100,2)</f>
        <v>2074007.58</v>
      </c>
    </row>
    <row r="402" spans="1:17" ht="30" hidden="1" x14ac:dyDescent="0.25">
      <c r="A402" s="168"/>
      <c r="B402" s="133" t="str">
        <f>'Công trình'!B31</f>
        <v>AF.82111</v>
      </c>
      <c r="C402" s="34"/>
      <c r="D402" s="133" t="str">
        <f>'Công trình'!C31</f>
        <v>Sản xuất, lắp dựng tháo dỡ ván khuôn thép tường, chiều cao &lt;=16m</v>
      </c>
      <c r="E402" s="168"/>
      <c r="F402" s="20">
        <v>1</v>
      </c>
      <c r="G402" s="45">
        <f>'Hao phí vật tư'!I226</f>
        <v>2</v>
      </c>
      <c r="H402" s="166"/>
      <c r="I402" s="156">
        <f>ROUND((I14+I362)*G402/100,2)</f>
        <v>11799.6</v>
      </c>
      <c r="J402" s="20" t="str">
        <f>'Công trình'!X31</f>
        <v>HCM_2016_QD_3384_XD</v>
      </c>
      <c r="K402" s="166"/>
      <c r="L402" s="156">
        <f>ROUND((L14+L362)*G402/100,2)</f>
        <v>11799.6</v>
      </c>
      <c r="M402" s="166"/>
      <c r="N402" s="166"/>
      <c r="O402" s="166"/>
      <c r="P402" s="156">
        <f>ROUND((P14+P362)*G402/100,2)</f>
        <v>0</v>
      </c>
      <c r="Q402" s="156">
        <f>ROUND((Q14+Q362)*G402/100,2)</f>
        <v>11799.6</v>
      </c>
    </row>
    <row r="403" spans="1:17" ht="30" hidden="1" x14ac:dyDescent="0.25">
      <c r="A403" s="168"/>
      <c r="B403" s="133" t="str">
        <f>'Công trình'!B39</f>
        <v>AI.13111</v>
      </c>
      <c r="C403" s="34"/>
      <c r="D403" s="133" t="str">
        <f>'Công trình'!C39</f>
        <v>Sản xuất cấu kiện thép đặt sẵn trong bê tông, khối lượng &lt;=10kg/cấu kiện</v>
      </c>
      <c r="E403" s="168"/>
      <c r="F403" s="20">
        <v>1</v>
      </c>
      <c r="G403" s="45">
        <f>'Hao phí vật tư'!I304</f>
        <v>2</v>
      </c>
      <c r="H403" s="166"/>
      <c r="I403" s="156">
        <f>ROUND((I16+I274+I286)*G403/100,2)</f>
        <v>375.61</v>
      </c>
      <c r="J403" s="20" t="str">
        <f>'Công trình'!X39</f>
        <v>HCM_2016_QD_3384_XD</v>
      </c>
      <c r="K403" s="166"/>
      <c r="L403" s="156">
        <f>ROUND((L16+L274+L286)*G403/100,2)</f>
        <v>375.61</v>
      </c>
      <c r="M403" s="166"/>
      <c r="N403" s="166"/>
      <c r="O403" s="166"/>
      <c r="P403" s="156">
        <f>ROUND((P16+P274+P286)*G403/100,2)</f>
        <v>0</v>
      </c>
      <c r="Q403" s="156">
        <f>ROUND((Q16+Q274+Q286)*G403/100,2)</f>
        <v>375.61</v>
      </c>
    </row>
    <row r="404" spans="1:17" ht="30" hidden="1" x14ac:dyDescent="0.25">
      <c r="A404" s="168"/>
      <c r="B404" s="133" t="str">
        <f>'Công trình'!B59</f>
        <v>AF.82111</v>
      </c>
      <c r="C404" s="34"/>
      <c r="D404" s="133" t="str">
        <f>'Công trình'!C59</f>
        <v>Sản xuất, lắp dựng tháo dỡ ván khuôn thép dầm, giằng, chiều cao &lt;=16m</v>
      </c>
      <c r="E404" s="168"/>
      <c r="F404" s="20">
        <v>1</v>
      </c>
      <c r="G404" s="45">
        <f>'Hao phí vật tư'!I452</f>
        <v>2</v>
      </c>
      <c r="H404" s="166"/>
      <c r="I404" s="156">
        <f>ROUND((I17+I363)*G404/100,2)</f>
        <v>23378.14</v>
      </c>
      <c r="J404" s="20" t="str">
        <f>'Công trình'!X59</f>
        <v>HCM_2016_QD_3384_XD</v>
      </c>
      <c r="K404" s="166"/>
      <c r="L404" s="156">
        <f>ROUND((L17+L363)*G404/100,2)</f>
        <v>23378.14</v>
      </c>
      <c r="M404" s="166"/>
      <c r="N404" s="166"/>
      <c r="O404" s="166"/>
      <c r="P404" s="156">
        <f>ROUND((P17+P363)*G404/100,2)</f>
        <v>0</v>
      </c>
      <c r="Q404" s="156">
        <f>ROUND((Q17+Q363)*G404/100,2)</f>
        <v>23378.14</v>
      </c>
    </row>
    <row r="405" spans="1:17" ht="30" hidden="1" x14ac:dyDescent="0.25">
      <c r="A405" s="168"/>
      <c r="B405" s="133" t="str">
        <f>'Công trình'!B68</f>
        <v>AG.11125</v>
      </c>
      <c r="C405" s="34"/>
      <c r="D405" s="133" t="str">
        <f>'Công trình'!C68</f>
        <v>Sản xuất bê tông cọc cừ đúc sẵn đá 1x2, vữa BT mác 300</v>
      </c>
      <c r="E405" s="168"/>
      <c r="F405" s="20">
        <v>1</v>
      </c>
      <c r="G405" s="45">
        <f>'Hao phí vật tư'!I516</f>
        <v>10</v>
      </c>
      <c r="H405" s="166"/>
      <c r="I405" s="156">
        <f>ROUND((I239+I314)*G405/100,2)</f>
        <v>389144.99</v>
      </c>
      <c r="J405" s="20" t="str">
        <f>'Công trình'!X68</f>
        <v>HCM_2016_QD_3384_XD</v>
      </c>
      <c r="K405" s="166"/>
      <c r="L405" s="156">
        <f>ROUND((L239+L314)*G405/100,2)</f>
        <v>389144.99</v>
      </c>
      <c r="M405" s="166"/>
      <c r="N405" s="166"/>
      <c r="O405" s="166"/>
      <c r="P405" s="156">
        <f>ROUND((P239+P314)*G405/100,2)</f>
        <v>0</v>
      </c>
      <c r="Q405" s="156">
        <f>ROUND((Q239+Q314)*G405/100,2)</f>
        <v>389144.99</v>
      </c>
    </row>
    <row r="406" spans="1:17" ht="30" hidden="1" x14ac:dyDescent="0.25">
      <c r="A406" s="168"/>
      <c r="B406" s="133" t="str">
        <f>'Công trình'!B72</f>
        <v>AI.13111</v>
      </c>
      <c r="C406" s="34"/>
      <c r="D406" s="133" t="str">
        <f>'Công trình'!C72</f>
        <v>Sản xuất cấu kiện thép đặt sẵn trong bê tông, khối lượng &lt;=10kg/cấu kiện</v>
      </c>
      <c r="E406" s="168"/>
      <c r="F406" s="20">
        <v>1</v>
      </c>
      <c r="G406" s="45">
        <f>'Hao phí vật tư'!I560</f>
        <v>2</v>
      </c>
      <c r="H406" s="166"/>
      <c r="I406" s="156">
        <f>ROUND((I21+I275+I287)*G406/100,2)</f>
        <v>39192.019999999997</v>
      </c>
      <c r="J406" s="20" t="str">
        <f>'Công trình'!X72</f>
        <v>HCM_2016_QD_3384_XD</v>
      </c>
      <c r="K406" s="166"/>
      <c r="L406" s="156">
        <f>ROUND((L21+L275+L287)*G406/100,2)</f>
        <v>39192.019999999997</v>
      </c>
      <c r="M406" s="166"/>
      <c r="N406" s="166"/>
      <c r="O406" s="166"/>
      <c r="P406" s="156">
        <f>ROUND((P21+P275+P287)*G406/100,2)</f>
        <v>0</v>
      </c>
      <c r="Q406" s="156">
        <f>ROUND((Q21+Q275+Q287)*G406/100,2)</f>
        <v>39192.019999999997</v>
      </c>
    </row>
    <row r="407" spans="1:17" ht="30" hidden="1" x14ac:dyDescent="0.25">
      <c r="A407" s="168"/>
      <c r="B407" s="133" t="str">
        <f>'Công trình'!B76</f>
        <v>AC.29341</v>
      </c>
      <c r="C407" s="34"/>
      <c r="D407" s="133" t="str">
        <f>'Công trình'!C76</f>
        <v>Nối cọc BTCT 35x35cm</v>
      </c>
      <c r="E407" s="168"/>
      <c r="F407" s="20">
        <v>1</v>
      </c>
      <c r="G407" s="45">
        <f>'Hao phí vật tư'!I609</f>
        <v>3</v>
      </c>
      <c r="H407" s="166"/>
      <c r="I407" s="156">
        <f>ROUND((I22)*G407/100,2)</f>
        <v>58409.86</v>
      </c>
      <c r="J407" s="20" t="str">
        <f>'Công trình'!X76</f>
        <v>HCM_2016_QD_3384_XD</v>
      </c>
      <c r="K407" s="166"/>
      <c r="L407" s="156">
        <f>ROUND((L22)*G407/100,2)</f>
        <v>58409.86</v>
      </c>
      <c r="M407" s="166"/>
      <c r="N407" s="166"/>
      <c r="O407" s="166"/>
      <c r="P407" s="156">
        <f>ROUND((P22)*G407/100,2)</f>
        <v>0</v>
      </c>
      <c r="Q407" s="156">
        <f>ROUND((Q22)*G407/100,2)</f>
        <v>58409.86</v>
      </c>
    </row>
    <row r="408" spans="1:17" ht="30" hidden="1" x14ac:dyDescent="0.25">
      <c r="A408" s="168"/>
      <c r="B408" s="133" t="str">
        <f>'Công trình'!B74</f>
        <v>AI.52211</v>
      </c>
      <c r="C408" s="34"/>
      <c r="D408" s="133" t="str">
        <f>'Công trình'!C74</f>
        <v>Sản xuất kết cấu thép hộp nối cọc</v>
      </c>
      <c r="E408" s="168"/>
      <c r="F408" s="20">
        <v>1</v>
      </c>
      <c r="G408" s="45">
        <f>'Hao phí vật tư'!I587</f>
        <v>5</v>
      </c>
      <c r="H408" s="166"/>
      <c r="I408" s="156">
        <f>ROUND((I23+I276+I288)*G408/100,2)</f>
        <v>249544.81</v>
      </c>
      <c r="J408" s="20" t="str">
        <f>'Công trình'!X74</f>
        <v>HCM_2016_QD_3384_XD</v>
      </c>
      <c r="K408" s="166"/>
      <c r="L408" s="156">
        <f>ROUND((L23+L276+L288)*G408/100,2)</f>
        <v>249544.81</v>
      </c>
      <c r="M408" s="166"/>
      <c r="N408" s="166"/>
      <c r="O408" s="166"/>
      <c r="P408" s="156">
        <f>ROUND((P23+P276+P288)*G408/100,2)</f>
        <v>0</v>
      </c>
      <c r="Q408" s="156">
        <f>ROUND((Q23+Q276+Q288)*G408/100,2)</f>
        <v>249544.81</v>
      </c>
    </row>
    <row r="409" spans="1:17" ht="30" hidden="1" x14ac:dyDescent="0.25">
      <c r="A409" s="168"/>
      <c r="B409" s="133" t="str">
        <f>'Công trình'!B79</f>
        <v>AG.11125</v>
      </c>
      <c r="C409" s="34"/>
      <c r="D409" s="133" t="str">
        <f>'Công trình'!C79</f>
        <v>Sản xuất bê tông cọc cừ đúc sẵn đá 1x2, vữa BT mác 300</v>
      </c>
      <c r="E409" s="168"/>
      <c r="F409" s="20">
        <v>1</v>
      </c>
      <c r="G409" s="45">
        <f>'Hao phí vật tư'!I632</f>
        <v>10</v>
      </c>
      <c r="H409" s="166"/>
      <c r="I409" s="156">
        <f>ROUND((I240+I315)*G409/100,2)</f>
        <v>152421.9</v>
      </c>
      <c r="J409" s="20" t="str">
        <f>'Công trình'!X79</f>
        <v>HCM_2016_QD_3384_XD</v>
      </c>
      <c r="K409" s="166"/>
      <c r="L409" s="156">
        <f>ROUND((L240+L315)*G409/100,2)</f>
        <v>152421.9</v>
      </c>
      <c r="M409" s="166"/>
      <c r="N409" s="166"/>
      <c r="O409" s="166"/>
      <c r="P409" s="156">
        <f>ROUND((P240+P315)*G409/100,2)</f>
        <v>0</v>
      </c>
      <c r="Q409" s="156">
        <f>ROUND((Q240+Q315)*G409/100,2)</f>
        <v>152421.9</v>
      </c>
    </row>
    <row r="410" spans="1:17" ht="30" hidden="1" x14ac:dyDescent="0.25">
      <c r="A410" s="168"/>
      <c r="B410" s="133" t="str">
        <f>'Công trình'!B83</f>
        <v>AI.13111</v>
      </c>
      <c r="C410" s="34"/>
      <c r="D410" s="133" t="str">
        <f>'Công trình'!C83</f>
        <v>Sản xuất cấu kiện thép đặt sẵn trong bê tông, khối lượng &lt;=10kg/cấu kiện</v>
      </c>
      <c r="E410" s="168"/>
      <c r="F410" s="20">
        <v>1</v>
      </c>
      <c r="G410" s="45">
        <f>'Hao phí vật tư'!I676</f>
        <v>2</v>
      </c>
      <c r="H410" s="166"/>
      <c r="I410" s="156">
        <f>ROUND((I27+I277+I289)*G410/100,2)</f>
        <v>18508.86</v>
      </c>
      <c r="J410" s="20" t="str">
        <f>'Công trình'!X83</f>
        <v>HCM_2016_QD_3384_XD</v>
      </c>
      <c r="K410" s="166"/>
      <c r="L410" s="156">
        <f>ROUND((L27+L277+L289)*G410/100,2)</f>
        <v>18508.86</v>
      </c>
      <c r="M410" s="166"/>
      <c r="N410" s="166"/>
      <c r="O410" s="166"/>
      <c r="P410" s="156">
        <f>ROUND((P27+P277+P289)*G410/100,2)</f>
        <v>0</v>
      </c>
      <c r="Q410" s="156">
        <f>ROUND((Q27+Q277+Q289)*G410/100,2)</f>
        <v>18508.86</v>
      </c>
    </row>
    <row r="411" spans="1:17" ht="30" hidden="1" x14ac:dyDescent="0.25">
      <c r="A411" s="168"/>
      <c r="B411" s="133" t="str">
        <f>'Công trình'!B85</f>
        <v>AI.52211</v>
      </c>
      <c r="C411" s="34"/>
      <c r="D411" s="133" t="str">
        <f>'Công trình'!C85</f>
        <v>Sản xuất kết cấu thép hộp nối cọc</v>
      </c>
      <c r="E411" s="168"/>
      <c r="F411" s="20">
        <v>1</v>
      </c>
      <c r="G411" s="45">
        <f>'Hao phí vật tư'!I703</f>
        <v>5</v>
      </c>
      <c r="H411" s="166"/>
      <c r="I411" s="156">
        <f>ROUND((I28+I278+I290)*G411/100,2)</f>
        <v>108537.87</v>
      </c>
      <c r="J411" s="20" t="str">
        <f>'Công trình'!X85</f>
        <v>HCM_2016_QD_3384_XD</v>
      </c>
      <c r="K411" s="166"/>
      <c r="L411" s="156">
        <f>ROUND((L28+L278+L290)*G411/100,2)</f>
        <v>108537.87</v>
      </c>
      <c r="M411" s="166"/>
      <c r="N411" s="166"/>
      <c r="O411" s="166"/>
      <c r="P411" s="156">
        <f>ROUND((P28+P278+P290)*G411/100,2)</f>
        <v>0</v>
      </c>
      <c r="Q411" s="156">
        <f>ROUND((Q28+Q278+Q290)*G411/100,2)</f>
        <v>108537.87</v>
      </c>
    </row>
    <row r="412" spans="1:17" ht="30" hidden="1" x14ac:dyDescent="0.25">
      <c r="A412" s="168"/>
      <c r="B412" s="133" t="str">
        <f>'Công trình'!B87</f>
        <v>AC.29331</v>
      </c>
      <c r="C412" s="34"/>
      <c r="D412" s="133" t="str">
        <f>'Công trình'!C87</f>
        <v>Nối cọc BTCT 30x30cm</v>
      </c>
      <c r="E412" s="168"/>
      <c r="F412" s="20">
        <v>1</v>
      </c>
      <c r="G412" s="45">
        <f>'Hao phí vật tư'!I725</f>
        <v>3</v>
      </c>
      <c r="H412" s="166"/>
      <c r="I412" s="156">
        <f>ROUND((I30)*G412/100,2)</f>
        <v>12168.72</v>
      </c>
      <c r="J412" s="20" t="str">
        <f>'Công trình'!X87</f>
        <v>HCM_2016_QD_3384_XD</v>
      </c>
      <c r="K412" s="166"/>
      <c r="L412" s="156">
        <f>ROUND((L30)*G412/100,2)</f>
        <v>12168.72</v>
      </c>
      <c r="M412" s="166"/>
      <c r="N412" s="166"/>
      <c r="O412" s="166"/>
      <c r="P412" s="156">
        <f>ROUND((P30)*G412/100,2)</f>
        <v>0</v>
      </c>
      <c r="Q412" s="156">
        <f>ROUND((Q30)*G412/100,2)</f>
        <v>12168.72</v>
      </c>
    </row>
    <row r="413" spans="1:17" ht="30" hidden="1" x14ac:dyDescent="0.25">
      <c r="A413" s="168"/>
      <c r="B413" s="133" t="str">
        <f>'Công trình'!B98</f>
        <v>AD.11212</v>
      </c>
      <c r="C413" s="34"/>
      <c r="D413" s="133" t="str">
        <f>'Công trình'!C98</f>
        <v>Cấp phối đá 0x4</v>
      </c>
      <c r="E413" s="168"/>
      <c r="F413" s="20">
        <v>1</v>
      </c>
      <c r="G413" s="45">
        <f>'Hao phí vật tư'!I799</f>
        <v>0.5</v>
      </c>
      <c r="H413" s="166"/>
      <c r="I413" s="156">
        <f>ROUND((I159+I168+I262+I304+I352+I375)*G413/100,2)</f>
        <v>8005.86</v>
      </c>
      <c r="J413" s="20" t="str">
        <f>'Công trình'!X98</f>
        <v>HCM_2016_QD_3384_XD</v>
      </c>
      <c r="K413" s="166"/>
      <c r="L413" s="156">
        <f>ROUND((L159+L168+L262+L304+L352+L375)*G413/100,2)</f>
        <v>8005.86</v>
      </c>
      <c r="M413" s="166"/>
      <c r="N413" s="166"/>
      <c r="O413" s="166"/>
      <c r="P413" s="156">
        <f>ROUND((P159+P168+P262+P304+P352+P375)*G413/100,2)</f>
        <v>0</v>
      </c>
      <c r="Q413" s="156">
        <f>ROUND((Q159+Q168+Q262+Q304+Q352+Q375)*G413/100,2)</f>
        <v>8005.86</v>
      </c>
    </row>
    <row r="414" spans="1:17" ht="30" hidden="1" x14ac:dyDescent="0.25">
      <c r="A414" s="168"/>
      <c r="B414" s="133" t="str">
        <f>'Công trình'!B100</f>
        <v>AB.66112</v>
      </c>
      <c r="C414" s="34"/>
      <c r="D414" s="133" t="str">
        <f>'Công trình'!C100</f>
        <v>Đắp cát công trình bằng máy đầm 9T, độ chặt K=0,90</v>
      </c>
      <c r="E414" s="168"/>
      <c r="F414" s="20">
        <v>1</v>
      </c>
      <c r="G414" s="45">
        <f>'Hao phí vật tư'!I815</f>
        <v>1.5</v>
      </c>
      <c r="H414" s="166"/>
      <c r="I414" s="156">
        <f>ROUND((I164+I353)*G414/100,2)</f>
        <v>38161.599999999999</v>
      </c>
      <c r="J414" s="20" t="str">
        <f>'Công trình'!X100</f>
        <v>HCM_2016_QD_3384_XD</v>
      </c>
      <c r="K414" s="166"/>
      <c r="L414" s="156">
        <f>ROUND((L164+L353)*G414/100,2)</f>
        <v>38161.599999999999</v>
      </c>
      <c r="M414" s="166"/>
      <c r="N414" s="166"/>
      <c r="O414" s="166"/>
      <c r="P414" s="156">
        <f>ROUND((P164+P353)*G414/100,2)</f>
        <v>0</v>
      </c>
      <c r="Q414" s="156">
        <f>ROUND((Q164+Q353)*G414/100,2)</f>
        <v>38161.599999999999</v>
      </c>
    </row>
    <row r="415" spans="1:17" ht="30" hidden="1" x14ac:dyDescent="0.25">
      <c r="A415" s="168"/>
      <c r="B415" s="133" t="str">
        <f>'Công trình'!B86</f>
        <v>AC.17111</v>
      </c>
      <c r="C415" s="34"/>
      <c r="D415" s="133" t="str">
        <f>'Công trình'!C86</f>
        <v>Đóng cọc BTCT 30x30 chiều dài &lt;=24m trên mặt nước bằng tàu đóng cọc búa 1,8T</v>
      </c>
      <c r="E415" s="168"/>
      <c r="F415" s="20">
        <v>1</v>
      </c>
      <c r="G415" s="45">
        <f>'Hao phí vật tư'!I715</f>
        <v>2</v>
      </c>
      <c r="H415" s="166"/>
      <c r="I415" s="156">
        <f>ROUND((I102+I136+I385+I392)*G415/100,2)</f>
        <v>1148724.1200000001</v>
      </c>
      <c r="J415" s="20" t="str">
        <f>'Công trình'!X86</f>
        <v>HCM_2016_QD_3384_XD</v>
      </c>
      <c r="K415" s="166"/>
      <c r="L415" s="156">
        <f>ROUND((L102+L136+L385+L392)*G415/100,2)</f>
        <v>1148724.1200000001</v>
      </c>
      <c r="M415" s="166"/>
      <c r="N415" s="166"/>
      <c r="O415" s="166"/>
      <c r="P415" s="156">
        <f>ROUND((P102+P136+P385+P392)*G415/100,2)</f>
        <v>0</v>
      </c>
      <c r="Q415" s="156">
        <f>ROUND((Q102+Q136+Q385+Q392)*G415/100,2)</f>
        <v>1148724.1200000001</v>
      </c>
    </row>
    <row r="416" spans="1:17" ht="30" hidden="1" x14ac:dyDescent="0.25">
      <c r="A416" s="168"/>
      <c r="B416" s="133" t="str">
        <f>'Công trình'!B75</f>
        <v>AC.17112</v>
      </c>
      <c r="C416" s="34"/>
      <c r="D416" s="133" t="str">
        <f>'Công trình'!C75</f>
        <v>Đóng cọc BTCT 35x35 chiều dài &lt;=24m trên mặt nước bằng tàu đóng cọc búa 1,8T</v>
      </c>
      <c r="E416" s="168"/>
      <c r="F416" s="20">
        <v>1</v>
      </c>
      <c r="G416" s="45">
        <f>'Hao phí vật tư'!I599</f>
        <v>2</v>
      </c>
      <c r="H416" s="166"/>
      <c r="I416" s="156">
        <f>ROUND((I103+I137+I386+I393)*G416/100,2)</f>
        <v>2269779.94</v>
      </c>
      <c r="J416" s="20" t="str">
        <f>'Công trình'!X75</f>
        <v>HCM_2016_QD_3384_XD</v>
      </c>
      <c r="K416" s="166"/>
      <c r="L416" s="156">
        <f>ROUND((L103+L137+L386+L393)*G416/100,2)</f>
        <v>2269779.94</v>
      </c>
      <c r="M416" s="166"/>
      <c r="N416" s="166"/>
      <c r="O416" s="166"/>
      <c r="P416" s="156">
        <f>ROUND((P103+P137+P386+P393)*G416/100,2)</f>
        <v>0</v>
      </c>
      <c r="Q416" s="156">
        <f>ROUND((Q103+Q137+Q386+Q393)*G416/100,2)</f>
        <v>2269779.94</v>
      </c>
    </row>
    <row r="417" spans="1:17" ht="30" hidden="1" x14ac:dyDescent="0.25">
      <c r="A417" s="168"/>
      <c r="B417" s="133" t="str">
        <f>'Công trình'!B107</f>
        <v>AC.17112</v>
      </c>
      <c r="C417" s="34"/>
      <c r="D417" s="133" t="str">
        <f>'Công trình'!C107</f>
        <v>Đóng cọc âm BTCT 35x35 chiều dài &lt;=24m trên mặt nước bằng tàu đóng cọc búa 1,8T</v>
      </c>
      <c r="E417" s="168"/>
      <c r="F417" s="20">
        <v>1</v>
      </c>
      <c r="G417" s="45">
        <f>'Hao phí vật tư'!I862</f>
        <v>2</v>
      </c>
      <c r="H417" s="166"/>
      <c r="I417" s="156">
        <f>ROUND((I104+I138+I387+I394)*G417/100,2)</f>
        <v>930475.93</v>
      </c>
      <c r="J417" s="20" t="str">
        <f>'Công trình'!X107</f>
        <v>HCM_2016_QD_3384_XD</v>
      </c>
      <c r="K417" s="166"/>
      <c r="L417" s="156">
        <f>ROUND((L104+L138+L387+L394)*G417/100,2)</f>
        <v>930475.93</v>
      </c>
      <c r="M417" s="166"/>
      <c r="N417" s="166"/>
      <c r="O417" s="166"/>
      <c r="P417" s="156">
        <f>ROUND((P104+P138+P387+P394)*G417/100,2)</f>
        <v>0</v>
      </c>
      <c r="Q417" s="156">
        <f>ROUND((Q104+Q138+Q387+Q394)*G417/100,2)</f>
        <v>930475.93</v>
      </c>
    </row>
    <row r="418" spans="1:17" ht="30" hidden="1" x14ac:dyDescent="0.25">
      <c r="A418" s="168"/>
      <c r="B418" s="133" t="str">
        <f>'Công trình'!B104</f>
        <v>AI.11131</v>
      </c>
      <c r="C418" s="34"/>
      <c r="D418" s="133" t="str">
        <f>'Công trình'!C104</f>
        <v>Sản xuất cọc dẫn bằng thép hình</v>
      </c>
      <c r="E418" s="168"/>
      <c r="F418" s="20">
        <v>1</v>
      </c>
      <c r="G418" s="45">
        <f>'Hao phí vật tư'!I842</f>
        <v>5</v>
      </c>
      <c r="H418" s="166"/>
      <c r="I418" s="156">
        <f>ROUND((I32+I116+I202+I282)*G418/100,2)</f>
        <v>170500.79</v>
      </c>
      <c r="J418" s="20" t="str">
        <f>'Công trình'!X104</f>
        <v>HCM_2016_QD_3384_XD</v>
      </c>
      <c r="K418" s="166"/>
      <c r="L418" s="156">
        <f>ROUND((L32+L116+L202+L282)*G418/100,2)</f>
        <v>170500.79</v>
      </c>
      <c r="M418" s="166"/>
      <c r="N418" s="166"/>
      <c r="O418" s="166"/>
      <c r="P418" s="156">
        <f>ROUND((P32+P116+P202+P282)*G418/100,2)</f>
        <v>0</v>
      </c>
      <c r="Q418" s="156">
        <f>ROUND((Q32+Q116+Q202+Q282)*G418/100,2)</f>
        <v>170500.79</v>
      </c>
    </row>
    <row r="419" spans="1:17" ht="30" hidden="1" x14ac:dyDescent="0.25">
      <c r="A419" s="168"/>
      <c r="B419" s="133" t="str">
        <f>'Công trình'!B114</f>
        <v>AC.22522</v>
      </c>
      <c r="C419" s="34"/>
      <c r="D419" s="133" t="str">
        <f>'Công trình'!C114</f>
        <v>Đóng cọc thép hình H300 trên mặt đất, chiều dài cọc &gt;10m, đất cấp II, phần ngập đất</v>
      </c>
      <c r="E419" s="168"/>
      <c r="F419" s="20">
        <v>1</v>
      </c>
      <c r="G419" s="45">
        <f>'Hao phí vật tư'!I915</f>
        <v>1.5</v>
      </c>
      <c r="H419" s="166"/>
      <c r="I419" s="156">
        <f>ROUND((I86)*G419/100,2)</f>
        <v>150324.81</v>
      </c>
      <c r="J419" s="20" t="str">
        <f>'Công trình'!X114</f>
        <v>HCM_2016_QD_3384_XD</v>
      </c>
      <c r="K419" s="166"/>
      <c r="L419" s="156">
        <f>ROUND((L86)*G419/100,2)</f>
        <v>150324.81</v>
      </c>
      <c r="M419" s="166"/>
      <c r="N419" s="166"/>
      <c r="O419" s="166"/>
      <c r="P419" s="156">
        <f>ROUND((P86)*G419/100,2)</f>
        <v>0</v>
      </c>
      <c r="Q419" s="156">
        <f>ROUND((Q86)*G419/100,2)</f>
        <v>150324.81</v>
      </c>
    </row>
    <row r="420" spans="1:17" ht="45" hidden="1" x14ac:dyDescent="0.25">
      <c r="A420" s="168"/>
      <c r="B420" s="133" t="str">
        <f>'Công trình'!B115</f>
        <v>AC.22522</v>
      </c>
      <c r="C420" s="34"/>
      <c r="D420" s="133" t="str">
        <f>'Công trình'!C115</f>
        <v>Đóng cọc thép hình H300 trên mặt đất, chiều dài cọc &gt;10m, đất cấp II, phần không ngập đất (NC, MTC * 0,75)</v>
      </c>
      <c r="E420" s="168"/>
      <c r="F420" s="20">
        <v>1</v>
      </c>
      <c r="G420" s="45">
        <f>'Hao phí vật tư'!I924</f>
        <v>1.5</v>
      </c>
      <c r="H420" s="166"/>
      <c r="I420" s="156">
        <f>ROUND((I87)*G420/100,2)</f>
        <v>53404.87</v>
      </c>
      <c r="J420" s="20" t="str">
        <f>'Công trình'!X115</f>
        <v>HCM_2016_QD_3384_XD</v>
      </c>
      <c r="K420" s="166"/>
      <c r="L420" s="156">
        <f>ROUND((L87)*G420/100,2)</f>
        <v>53404.87</v>
      </c>
      <c r="M420" s="166"/>
      <c r="N420" s="166"/>
      <c r="O420" s="166"/>
      <c r="P420" s="156">
        <f>ROUND((P87)*G420/100,2)</f>
        <v>0</v>
      </c>
      <c r="Q420" s="156">
        <f>ROUND((Q87)*G420/100,2)</f>
        <v>53404.87</v>
      </c>
    </row>
    <row r="421" spans="1:17" ht="30" hidden="1" x14ac:dyDescent="0.25">
      <c r="A421" s="168"/>
      <c r="B421" s="133" t="str">
        <f>'Công trình'!B125</f>
        <v>AC.22522</v>
      </c>
      <c r="C421" s="34"/>
      <c r="D421" s="133" t="str">
        <f>'Công trình'!C125</f>
        <v>Đóng cọc thép hình H300 trên mặt đất, chiều dài cọc &gt;10m, đất cấp II, phần ngập đất</v>
      </c>
      <c r="E421" s="168"/>
      <c r="F421" s="20">
        <v>1</v>
      </c>
      <c r="G421" s="45">
        <f>'Hao phí vật tư'!I987</f>
        <v>1.5</v>
      </c>
      <c r="H421" s="166"/>
      <c r="I421" s="156">
        <f>ROUND((I88)*G421/100,2)</f>
        <v>26900.23</v>
      </c>
      <c r="J421" s="20" t="str">
        <f>'Công trình'!X125</f>
        <v>HCM_2016_QD_3384_XD</v>
      </c>
      <c r="K421" s="166"/>
      <c r="L421" s="156">
        <f>ROUND((L88)*G421/100,2)</f>
        <v>26900.23</v>
      </c>
      <c r="M421" s="166"/>
      <c r="N421" s="166"/>
      <c r="O421" s="166"/>
      <c r="P421" s="156">
        <f>ROUND((P88)*G421/100,2)</f>
        <v>0</v>
      </c>
      <c r="Q421" s="156">
        <f>ROUND((Q88)*G421/100,2)</f>
        <v>26900.23</v>
      </c>
    </row>
    <row r="422" spans="1:17" ht="45" hidden="1" x14ac:dyDescent="0.25">
      <c r="A422" s="168"/>
      <c r="B422" s="133" t="str">
        <f>'Công trình'!B126</f>
        <v>AC.22522</v>
      </c>
      <c r="C422" s="34"/>
      <c r="D422" s="133" t="str">
        <f>'Công trình'!C126</f>
        <v>Đóng cọc thép hình H300 trên mặt đất, chiều dài cọc &gt;10m, đất cấp II, phần không ngập đất (NC, MTC * 0,75)</v>
      </c>
      <c r="E422" s="168"/>
      <c r="F422" s="20">
        <v>1</v>
      </c>
      <c r="G422" s="45">
        <f>'Hao phí vật tư'!I996</f>
        <v>1.5</v>
      </c>
      <c r="H422" s="166"/>
      <c r="I422" s="156">
        <f>ROUND((I89)*G422/100,2)</f>
        <v>8307.42</v>
      </c>
      <c r="J422" s="20" t="str">
        <f>'Công trình'!X126</f>
        <v>HCM_2016_QD_3384_XD</v>
      </c>
      <c r="K422" s="166"/>
      <c r="L422" s="156">
        <f>ROUND((L89)*G422/100,2)</f>
        <v>8307.42</v>
      </c>
      <c r="M422" s="166"/>
      <c r="N422" s="166"/>
      <c r="O422" s="166"/>
      <c r="P422" s="156">
        <f>ROUND((P89)*G422/100,2)</f>
        <v>0</v>
      </c>
      <c r="Q422" s="156">
        <f>ROUND((Q89)*G422/100,2)</f>
        <v>8307.42</v>
      </c>
    </row>
    <row r="423" spans="1:17" ht="30" hidden="1" x14ac:dyDescent="0.25">
      <c r="A423" s="168"/>
      <c r="B423" s="133" t="str">
        <f>'Công trình'!B131</f>
        <v>AC.22112</v>
      </c>
      <c r="C423" s="34"/>
      <c r="D423" s="133" t="str">
        <f>'Công trình'!C131</f>
        <v>Đóng cừ Larsen IV trên mặt đất chiều dài cọc &lt;=12m đất cấp II, ngập đất 15,5m</v>
      </c>
      <c r="E423" s="168"/>
      <c r="F423" s="20">
        <v>1</v>
      </c>
      <c r="G423" s="45">
        <f>'Hao phí vật tư'!I1015</f>
        <v>3</v>
      </c>
      <c r="H423" s="166"/>
      <c r="I423" s="156">
        <f>ROUND((I99)*G423/100,2)</f>
        <v>8678137.1799999997</v>
      </c>
      <c r="J423" s="20" t="str">
        <f>'Công trình'!X131</f>
        <v>HCM_2016_QD_3384_XD</v>
      </c>
      <c r="K423" s="166"/>
      <c r="L423" s="156">
        <f>ROUND((L99)*G423/100,2)</f>
        <v>8678137.1799999997</v>
      </c>
      <c r="M423" s="166"/>
      <c r="N423" s="166"/>
      <c r="O423" s="166"/>
      <c r="P423" s="156">
        <f>ROUND((P99)*G423/100,2)</f>
        <v>0</v>
      </c>
      <c r="Q423" s="156">
        <f>ROUND((Q99)*G423/100,2)</f>
        <v>8678137.1799999997</v>
      </c>
    </row>
    <row r="424" spans="1:17" ht="45" hidden="1" x14ac:dyDescent="0.25">
      <c r="A424" s="168"/>
      <c r="B424" s="133" t="str">
        <f>'Công trình'!B132</f>
        <v>AC.22112</v>
      </c>
      <c r="C424" s="34"/>
      <c r="D424" s="133" t="str">
        <f>'Công trình'!C132</f>
        <v>Đóng cừ Larsen IV trên mặt đất chiều dài cọc &lt;=12m đất cấp II, không ngập đất (NC, MTC * 0,75)</v>
      </c>
      <c r="E424" s="168"/>
      <c r="F424" s="20">
        <v>1</v>
      </c>
      <c r="G424" s="45">
        <f>'Hao phí vật tư'!I1024</f>
        <v>3</v>
      </c>
      <c r="H424" s="166"/>
      <c r="I424" s="156">
        <f>ROUND((I100)*G424/100,2)</f>
        <v>2169529.85</v>
      </c>
      <c r="J424" s="20" t="str">
        <f>'Công trình'!X132</f>
        <v>HCM_2016_QD_3384_XD</v>
      </c>
      <c r="K424" s="166"/>
      <c r="L424" s="156">
        <f>ROUND((L100)*G424/100,2)</f>
        <v>2169529.85</v>
      </c>
      <c r="M424" s="166"/>
      <c r="N424" s="166"/>
      <c r="O424" s="166"/>
      <c r="P424" s="156">
        <f>ROUND((P100)*G424/100,2)</f>
        <v>0</v>
      </c>
      <c r="Q424" s="156">
        <f>ROUND((Q100)*G424/100,2)</f>
        <v>2169529.85</v>
      </c>
    </row>
    <row r="425" spans="1:17" ht="30" hidden="1" x14ac:dyDescent="0.25">
      <c r="A425" s="168"/>
      <c r="B425" s="133" t="str">
        <f>'Công trình'!B142</f>
        <v>AC.22522</v>
      </c>
      <c r="C425" s="34"/>
      <c r="D425" s="133" t="str">
        <f>'Công trình'!C142</f>
        <v>Đóng cọc thép hình H300 trên mặt đất, chiều dài cọc &gt;10m, đất cấp II, phần ngập đất</v>
      </c>
      <c r="E425" s="168"/>
      <c r="F425" s="20">
        <v>1</v>
      </c>
      <c r="G425" s="45">
        <f>'Hao phí vật tư'!I1091</f>
        <v>1.5</v>
      </c>
      <c r="H425" s="166"/>
      <c r="I425" s="156">
        <f>ROUND((I90)*G425/100,2)</f>
        <v>213619.47</v>
      </c>
      <c r="J425" s="20" t="str">
        <f>'Công trình'!X142</f>
        <v>HCM_2016_QD_3384_XD</v>
      </c>
      <c r="K425" s="166"/>
      <c r="L425" s="156">
        <f>ROUND((L90)*G425/100,2)</f>
        <v>213619.47</v>
      </c>
      <c r="M425" s="166"/>
      <c r="N425" s="166"/>
      <c r="O425" s="166"/>
      <c r="P425" s="156">
        <f>ROUND((P90)*G425/100,2)</f>
        <v>0</v>
      </c>
      <c r="Q425" s="156">
        <f>ROUND((Q90)*G425/100,2)</f>
        <v>213619.47</v>
      </c>
    </row>
    <row r="426" spans="1:17" ht="45" hidden="1" x14ac:dyDescent="0.25">
      <c r="A426" s="168"/>
      <c r="B426" s="133" t="str">
        <f>'Công trình'!B143</f>
        <v>AC.22522</v>
      </c>
      <c r="C426" s="34"/>
      <c r="D426" s="133" t="str">
        <f>'Công trình'!C143</f>
        <v>Đóng cọc thép hình H300 trên mặt đất, chiều dài cọc &gt;10m, đất cấp II, phần không ngập đất (NC, MTC * 0,75)</v>
      </c>
      <c r="E426" s="168"/>
      <c r="F426" s="20">
        <v>1</v>
      </c>
      <c r="G426" s="45">
        <f>'Hao phí vật tư'!I1100</f>
        <v>1.5</v>
      </c>
      <c r="H426" s="166"/>
      <c r="I426" s="156">
        <f>ROUND((I91)*G426/100,2)</f>
        <v>53404.87</v>
      </c>
      <c r="J426" s="20" t="str">
        <f>'Công trình'!X143</f>
        <v>HCM_2016_QD_3384_XD</v>
      </c>
      <c r="K426" s="166"/>
      <c r="L426" s="156">
        <f>ROUND((L91)*G426/100,2)</f>
        <v>53404.87</v>
      </c>
      <c r="M426" s="166"/>
      <c r="N426" s="166"/>
      <c r="O426" s="166"/>
      <c r="P426" s="156">
        <f>ROUND((P91)*G426/100,2)</f>
        <v>0</v>
      </c>
      <c r="Q426" s="156">
        <f>ROUND((Q91)*G426/100,2)</f>
        <v>53404.87</v>
      </c>
    </row>
    <row r="427" spans="1:17" ht="30" hidden="1" x14ac:dyDescent="0.25">
      <c r="A427" s="168"/>
      <c r="B427" s="133" t="str">
        <f>'Công trình'!B146</f>
        <v>AC.23110</v>
      </c>
      <c r="C427" s="34"/>
      <c r="D427" s="133" t="str">
        <f>'Công trình'!C146</f>
        <v>Nhổ cọc thép hình làm tường chắn đất, sàn thao tác trên cạn</v>
      </c>
      <c r="E427" s="168"/>
      <c r="F427" s="20">
        <v>1</v>
      </c>
      <c r="G427" s="45">
        <f>'Hao phí vật tư'!I1110</f>
        <v>2</v>
      </c>
      <c r="H427" s="166"/>
      <c r="I427" s="156">
        <f>ROUND((I139)*G427/100,2)</f>
        <v>271942.03000000003</v>
      </c>
      <c r="J427" s="20" t="str">
        <f>'Công trình'!X146</f>
        <v>HCM_2016_QD_3384_XD</v>
      </c>
      <c r="K427" s="166"/>
      <c r="L427" s="156">
        <f>ROUND((L139)*G427/100,2)</f>
        <v>271942.03000000003</v>
      </c>
      <c r="M427" s="166"/>
      <c r="N427" s="166"/>
      <c r="O427" s="166"/>
      <c r="P427" s="156">
        <f>ROUND((P139)*G427/100,2)</f>
        <v>0</v>
      </c>
      <c r="Q427" s="156">
        <f>ROUND((Q139)*G427/100,2)</f>
        <v>271942.03000000003</v>
      </c>
    </row>
    <row r="428" spans="1:17" ht="30" hidden="1" x14ac:dyDescent="0.25">
      <c r="A428" s="168"/>
      <c r="B428" s="133" t="str">
        <f>'Công trình'!B118</f>
        <v>AC.23110</v>
      </c>
      <c r="C428" s="34"/>
      <c r="D428" s="133" t="str">
        <f>'Công trình'!C118</f>
        <v>Nhổ cọc thép hình làm tường chắn đất, sàn thao tác trên cạn</v>
      </c>
      <c r="E428" s="168"/>
      <c r="F428" s="20">
        <v>1</v>
      </c>
      <c r="G428" s="45">
        <f>'Hao phí vật tư'!I934</f>
        <v>2</v>
      </c>
      <c r="H428" s="166"/>
      <c r="I428" s="156">
        <f>ROUND((I140)*G428/100,2)</f>
        <v>211510.46</v>
      </c>
      <c r="J428" s="20" t="str">
        <f>'Công trình'!X118</f>
        <v>HCM_2016_QD_3384_XD</v>
      </c>
      <c r="K428" s="166"/>
      <c r="L428" s="156">
        <f>ROUND((L140)*G428/100,2)</f>
        <v>211510.46</v>
      </c>
      <c r="M428" s="166"/>
      <c r="N428" s="166"/>
      <c r="O428" s="166"/>
      <c r="P428" s="156">
        <f>ROUND((P140)*G428/100,2)</f>
        <v>0</v>
      </c>
      <c r="Q428" s="156">
        <f>ROUND((Q140)*G428/100,2)</f>
        <v>211510.46</v>
      </c>
    </row>
    <row r="429" spans="1:17" ht="30" hidden="1" x14ac:dyDescent="0.25">
      <c r="A429" s="168"/>
      <c r="B429" s="133" t="str">
        <f>'Công trình'!B129</f>
        <v>AC.23110</v>
      </c>
      <c r="C429" s="34"/>
      <c r="D429" s="133" t="str">
        <f>'Công trình'!C129</f>
        <v>Nhổ cọc thép hình làm tường chắn đất, sàn thao tác trên cạn</v>
      </c>
      <c r="E429" s="168"/>
      <c r="F429" s="20">
        <v>1</v>
      </c>
      <c r="G429" s="45">
        <f>'Hao phí vật tư'!I1006</f>
        <v>2</v>
      </c>
      <c r="H429" s="166"/>
      <c r="I429" s="156">
        <f>ROUND((I141)*G429/100,2)</f>
        <v>36258.94</v>
      </c>
      <c r="J429" s="20" t="str">
        <f>'Công trình'!X129</f>
        <v>HCM_2016_QD_3384_XD</v>
      </c>
      <c r="K429" s="166"/>
      <c r="L429" s="156">
        <f>ROUND((L141)*G429/100,2)</f>
        <v>36258.94</v>
      </c>
      <c r="M429" s="166"/>
      <c r="N429" s="166"/>
      <c r="O429" s="166"/>
      <c r="P429" s="156">
        <f>ROUND((P141)*G429/100,2)</f>
        <v>0</v>
      </c>
      <c r="Q429" s="156">
        <f>ROUND((Q141)*G429/100,2)</f>
        <v>36258.94</v>
      </c>
    </row>
    <row r="430" spans="1:17" ht="30" hidden="1" x14ac:dyDescent="0.25">
      <c r="A430" s="168"/>
      <c r="B430" s="133" t="str">
        <f>'Công trình'!B154</f>
        <v>AB.36120</v>
      </c>
      <c r="C430" s="34"/>
      <c r="D430" s="133" t="str">
        <f>'Công trình'!C154</f>
        <v>Xói hút bùn trong khung vây phòng nước, các trụ dưới nước</v>
      </c>
      <c r="E430" s="168"/>
      <c r="F430" s="20">
        <v>1</v>
      </c>
      <c r="G430" s="45">
        <f>'Hao phí vật tư'!I1179</f>
        <v>5</v>
      </c>
      <c r="H430" s="166"/>
      <c r="I430" s="156">
        <f>ROUND((I110+I112+I174+I176+I294+I390)*G430/100,2)</f>
        <v>11560336.630000001</v>
      </c>
      <c r="J430" s="20" t="str">
        <f>'Công trình'!X154</f>
        <v>HCM_2016_QD_3384_XD</v>
      </c>
      <c r="K430" s="166"/>
      <c r="L430" s="156">
        <f>ROUND((L110+L112+L174+L176+L294+L390)*G430/100,2)</f>
        <v>11560336.630000001</v>
      </c>
      <c r="M430" s="166"/>
      <c r="N430" s="166"/>
      <c r="O430" s="166"/>
      <c r="P430" s="156">
        <f>ROUND((P110+P112+P174+P176+P294+P390)*G430/100,2)</f>
        <v>0</v>
      </c>
      <c r="Q430" s="156">
        <f>ROUND((Q110+Q112+Q174+Q176+Q294+Q390)*G430/100,2)</f>
        <v>11560336.630000001</v>
      </c>
    </row>
    <row r="431" spans="1:17" ht="30" hidden="1" x14ac:dyDescent="0.25">
      <c r="A431" s="168"/>
      <c r="B431" s="133" t="str">
        <f>'Công trình'!B162</f>
        <v>AC.22522</v>
      </c>
      <c r="C431" s="34"/>
      <c r="D431" s="133" t="str">
        <f>'Công trình'!C162</f>
        <v>Đóng cọc thép hình I350x150, dài 14m đóng ngập đất 11m trên mặt đất, đất cấp II, phần ngập đất</v>
      </c>
      <c r="E431" s="168"/>
      <c r="F431" s="20">
        <v>1</v>
      </c>
      <c r="G431" s="45">
        <f>'Hao phí vật tư'!I1237</f>
        <v>1.5</v>
      </c>
      <c r="H431" s="166"/>
      <c r="I431" s="156">
        <f>ROUND((I92)*G431/100,2)</f>
        <v>243684.44</v>
      </c>
      <c r="J431" s="20" t="str">
        <f>'Công trình'!X162</f>
        <v>HCM_2016_QD_3384_XD</v>
      </c>
      <c r="K431" s="166"/>
      <c r="L431" s="156">
        <f>ROUND((L92)*G431/100,2)</f>
        <v>243684.44</v>
      </c>
      <c r="M431" s="166"/>
      <c r="N431" s="166"/>
      <c r="O431" s="166"/>
      <c r="P431" s="156">
        <f>ROUND((P92)*G431/100,2)</f>
        <v>0</v>
      </c>
      <c r="Q431" s="156">
        <f>ROUND((Q92)*G431/100,2)</f>
        <v>243684.44</v>
      </c>
    </row>
    <row r="432" spans="1:17" ht="45" hidden="1" x14ac:dyDescent="0.25">
      <c r="A432" s="168"/>
      <c r="B432" s="133" t="str">
        <f>'Công trình'!B163</f>
        <v>AC.22522</v>
      </c>
      <c r="C432" s="34"/>
      <c r="D432" s="133" t="str">
        <f>'Công trình'!C163</f>
        <v>Đóng cọc thép hình I350x150, dài 14m đóng không ngập đất 3m, đất cấp II, phần không ngập đất (NC, MTC * 0,75)</v>
      </c>
      <c r="E432" s="168"/>
      <c r="F432" s="20">
        <v>1</v>
      </c>
      <c r="G432" s="45">
        <f>'Hao phí vật tư'!I1246</f>
        <v>1.5</v>
      </c>
      <c r="H432" s="166"/>
      <c r="I432" s="156">
        <f>ROUND((I93)*G432/100,2)</f>
        <v>49844.54</v>
      </c>
      <c r="J432" s="20" t="str">
        <f>'Công trình'!X163</f>
        <v>HCM_2016_QD_3384_XD</v>
      </c>
      <c r="K432" s="166"/>
      <c r="L432" s="156">
        <f>ROUND((L93)*G432/100,2)</f>
        <v>49844.54</v>
      </c>
      <c r="M432" s="166"/>
      <c r="N432" s="166"/>
      <c r="O432" s="166"/>
      <c r="P432" s="156">
        <f>ROUND((P93)*G432/100,2)</f>
        <v>0</v>
      </c>
      <c r="Q432" s="156">
        <f>ROUND((Q93)*G432/100,2)</f>
        <v>49844.54</v>
      </c>
    </row>
    <row r="433" spans="1:17" ht="30" hidden="1" x14ac:dyDescent="0.25">
      <c r="A433" s="168"/>
      <c r="B433" s="133" t="str">
        <f>'Công trình'!B166</f>
        <v>AC.23110</v>
      </c>
      <c r="C433" s="34"/>
      <c r="D433" s="133" t="str">
        <f>'Công trình'!C166</f>
        <v>Nhổ cọc thép hình làm tường chắn đất, sàn thao tác trên cạn</v>
      </c>
      <c r="E433" s="168"/>
      <c r="F433" s="20">
        <v>1</v>
      </c>
      <c r="G433" s="45">
        <f>'Hao phí vật tư'!I1256</f>
        <v>2</v>
      </c>
      <c r="H433" s="166"/>
      <c r="I433" s="156">
        <f>ROUND((I142)*G433/100,2)</f>
        <v>296114.65000000002</v>
      </c>
      <c r="J433" s="20" t="str">
        <f>'Công trình'!X166</f>
        <v>HCM_2016_QD_3384_XD</v>
      </c>
      <c r="K433" s="166"/>
      <c r="L433" s="156">
        <f>ROUND((L142)*G433/100,2)</f>
        <v>296114.65000000002</v>
      </c>
      <c r="M433" s="166"/>
      <c r="N433" s="166"/>
      <c r="O433" s="166"/>
      <c r="P433" s="156">
        <f>ROUND((P142)*G433/100,2)</f>
        <v>0</v>
      </c>
      <c r="Q433" s="156">
        <f>ROUND((Q142)*G433/100,2)</f>
        <v>296114.65000000002</v>
      </c>
    </row>
    <row r="434" spans="1:17" ht="30" hidden="1" x14ac:dyDescent="0.25">
      <c r="A434" s="168"/>
      <c r="B434" s="133" t="str">
        <f>'Công trình'!B168</f>
        <v>AG.32211</v>
      </c>
      <c r="C434" s="34"/>
      <c r="D434" s="133" t="str">
        <f>'Công trình'!C168</f>
        <v>Sản xuất, lắp dựng tháo dỡ ván khuôn kim loại các loại cấu kiện khác</v>
      </c>
      <c r="E434" s="168"/>
      <c r="F434" s="20">
        <v>1</v>
      </c>
      <c r="G434" s="45">
        <f>'Hao phí vật tư'!I1278</f>
        <v>15</v>
      </c>
      <c r="H434" s="166"/>
      <c r="I434" s="156">
        <f>ROUND((I46)*G434/100,2)</f>
        <v>11098.89</v>
      </c>
      <c r="J434" s="20" t="str">
        <f>'Công trình'!X168</f>
        <v>HCM_2016_QD_3384_XD</v>
      </c>
      <c r="K434" s="166"/>
      <c r="L434" s="156">
        <f>ROUND((L46)*G434/100,2)</f>
        <v>11098.89</v>
      </c>
      <c r="M434" s="166"/>
      <c r="N434" s="166"/>
      <c r="O434" s="166"/>
      <c r="P434" s="156">
        <f>ROUND((P46)*G434/100,2)</f>
        <v>0</v>
      </c>
      <c r="Q434" s="156">
        <f>ROUND((Q46)*G434/100,2)</f>
        <v>11098.89</v>
      </c>
    </row>
    <row r="435" spans="1:17" ht="30" hidden="1" x14ac:dyDescent="0.25">
      <c r="A435" s="168"/>
      <c r="B435" s="133" t="str">
        <f>'Công trình'!B174</f>
        <v>AF.14115</v>
      </c>
      <c r="C435" s="34"/>
      <c r="D435" s="133" t="str">
        <f>'Công trình'!C174</f>
        <v>Bê tông móng, mố trụ cầu trên cạn đá 1x2, vữa BT mác 300</v>
      </c>
      <c r="E435" s="168"/>
      <c r="F435" s="20">
        <v>1</v>
      </c>
      <c r="G435" s="45">
        <f>'Hao phí vật tư'!I1309</f>
        <v>2</v>
      </c>
      <c r="H435" s="166"/>
      <c r="I435" s="156">
        <f>ROUND((I117+I241+I318)*G435/100,2)</f>
        <v>260034.65</v>
      </c>
      <c r="J435" s="20" t="str">
        <f>'Công trình'!X174</f>
        <v>HCM_2016_QD_3384_XD</v>
      </c>
      <c r="K435" s="166"/>
      <c r="L435" s="156">
        <f>ROUND((L117+L241+L318)*G435/100,2)</f>
        <v>260034.65</v>
      </c>
      <c r="M435" s="166"/>
      <c r="N435" s="166"/>
      <c r="O435" s="166"/>
      <c r="P435" s="156">
        <f>ROUND((P117+P241+P318)*G435/100,2)</f>
        <v>0</v>
      </c>
      <c r="Q435" s="156">
        <f>ROUND((Q117+Q241+Q318)*G435/100,2)</f>
        <v>260034.65</v>
      </c>
    </row>
    <row r="436" spans="1:17" ht="30" hidden="1" x14ac:dyDescent="0.25">
      <c r="A436" s="168"/>
      <c r="B436" s="133" t="str">
        <f>'Công trình'!B186</f>
        <v>AF.14115</v>
      </c>
      <c r="C436" s="34"/>
      <c r="D436" s="133" t="str">
        <f>'Công trình'!C186</f>
        <v>Bê tông móng, mố trụ cầu trên cạn đá 1x2, vữa BT mác 300</v>
      </c>
      <c r="E436" s="168"/>
      <c r="F436" s="20">
        <v>1</v>
      </c>
      <c r="G436" s="45">
        <f>'Hao phí vật tư'!I1426</f>
        <v>2</v>
      </c>
      <c r="H436" s="166"/>
      <c r="I436" s="156">
        <f>ROUND((I118+I242+I320)*G436/100,2)</f>
        <v>9295.4599999999991</v>
      </c>
      <c r="J436" s="20" t="str">
        <f>'Công trình'!X186</f>
        <v>HCM_2016_QD_3384_XD</v>
      </c>
      <c r="K436" s="166"/>
      <c r="L436" s="156">
        <f>ROUND((L118+L242+L320)*G436/100,2)</f>
        <v>9295.4599999999991</v>
      </c>
      <c r="M436" s="166"/>
      <c r="N436" s="166"/>
      <c r="O436" s="166"/>
      <c r="P436" s="156">
        <f>ROUND((P118+P242+P320)*G436/100,2)</f>
        <v>0</v>
      </c>
      <c r="Q436" s="156">
        <f>ROUND((Q118+Q242+Q320)*G436/100,2)</f>
        <v>9295.4599999999991</v>
      </c>
    </row>
    <row r="437" spans="1:17" ht="30" hidden="1" x14ac:dyDescent="0.25">
      <c r="A437" s="168"/>
      <c r="B437" s="133" t="str">
        <f>'Công trình'!B196</f>
        <v>AF.14315</v>
      </c>
      <c r="C437" s="34"/>
      <c r="D437" s="133" t="str">
        <f>'Công trình'!C196</f>
        <v>Bê tông mặt cầu đá 1x2, vữa BT mác 300</v>
      </c>
      <c r="E437" s="168"/>
      <c r="F437" s="20">
        <v>1</v>
      </c>
      <c r="G437" s="45">
        <f>'Hao phí vật tư'!I1507</f>
        <v>5</v>
      </c>
      <c r="H437" s="166"/>
      <c r="I437" s="156">
        <f>ROUND((I229+I321)*G437/100,2)</f>
        <v>132798.89000000001</v>
      </c>
      <c r="J437" s="20" t="str">
        <f>'Công trình'!X196</f>
        <v>HCM_2016_QD_3384_XD</v>
      </c>
      <c r="K437" s="166"/>
      <c r="L437" s="156">
        <f>ROUND((L229+L321)*G437/100,2)</f>
        <v>132798.89000000001</v>
      </c>
      <c r="M437" s="166"/>
      <c r="N437" s="166"/>
      <c r="O437" s="166"/>
      <c r="P437" s="156">
        <f>ROUND((P229+P321)*G437/100,2)</f>
        <v>0</v>
      </c>
      <c r="Q437" s="156">
        <f>ROUND((Q229+Q321)*G437/100,2)</f>
        <v>132798.89000000001</v>
      </c>
    </row>
    <row r="438" spans="1:17" ht="30" hidden="1" x14ac:dyDescent="0.25">
      <c r="A438" s="168"/>
      <c r="B438" s="133" t="str">
        <f>'Công trình'!B197</f>
        <v>AF.15225</v>
      </c>
      <c r="C438" s="34"/>
      <c r="D438" s="133" t="str">
        <f>'Công trình'!C197</f>
        <v>Bê tông dầm cầu đá 1x2, vữa BT mác 300</v>
      </c>
      <c r="E438" s="168"/>
      <c r="F438" s="20">
        <v>1</v>
      </c>
      <c r="G438" s="45">
        <f>'Hao phí vật tư'!I1522</f>
        <v>2</v>
      </c>
      <c r="H438" s="166"/>
      <c r="I438" s="156">
        <f>ROUND((I243+I322+I383+I395)*G438/100,2)</f>
        <v>18409.89</v>
      </c>
      <c r="J438" s="20" t="str">
        <f>'Công trình'!X197</f>
        <v>HCM_2016_QD_3384_XD</v>
      </c>
      <c r="K438" s="166"/>
      <c r="L438" s="156">
        <f>ROUND((L243+L322+L383+L395)*G438/100,2)</f>
        <v>18409.89</v>
      </c>
      <c r="M438" s="166"/>
      <c r="N438" s="166"/>
      <c r="O438" s="166"/>
      <c r="P438" s="156">
        <f>ROUND((P243+P322+P383+P395)*G438/100,2)</f>
        <v>0</v>
      </c>
      <c r="Q438" s="156">
        <f>ROUND((Q243+Q322+Q383+Q395)*G438/100,2)</f>
        <v>18409.89</v>
      </c>
    </row>
    <row r="439" spans="1:17" ht="30" hidden="1" x14ac:dyDescent="0.25">
      <c r="A439" s="168"/>
      <c r="B439" s="133" t="str">
        <f>'Công trình'!B200</f>
        <v>AF.82111</v>
      </c>
      <c r="C439" s="34"/>
      <c r="D439" s="133" t="str">
        <f>'Công trình'!C200</f>
        <v>Sản xuất, lắp dựng tháo dỡ ván khuôn thép, cây chống gỗ dầm ngang, chiều cao &lt;=16m</v>
      </c>
      <c r="E439" s="168"/>
      <c r="F439" s="20">
        <v>1</v>
      </c>
      <c r="G439" s="45">
        <f>'Hao phí vật tư'!I1549</f>
        <v>2</v>
      </c>
      <c r="H439" s="166"/>
      <c r="I439" s="156">
        <f>ROUND((I52+I365)*G439/100,2)</f>
        <v>3924.41</v>
      </c>
      <c r="J439" s="20" t="str">
        <f>'Công trình'!X200</f>
        <v>HCM_2016_QD_3384_XD</v>
      </c>
      <c r="K439" s="166"/>
      <c r="L439" s="156">
        <f>ROUND((L52+L365)*G439/100,2)</f>
        <v>3924.41</v>
      </c>
      <c r="M439" s="166"/>
      <c r="N439" s="166"/>
      <c r="O439" s="166"/>
      <c r="P439" s="156">
        <f>ROUND((P52+P365)*G439/100,2)</f>
        <v>0</v>
      </c>
      <c r="Q439" s="156">
        <f>ROUND((Q52+Q365)*G439/100,2)</f>
        <v>3924.41</v>
      </c>
    </row>
    <row r="440" spans="1:17" ht="30" hidden="1" x14ac:dyDescent="0.25">
      <c r="A440" s="168"/>
      <c r="B440" s="133" t="str">
        <f>'Công trình'!B202</f>
        <v>AF.61711</v>
      </c>
      <c r="C440" s="34"/>
      <c r="D440" s="133" t="str">
        <f>'Công trình'!C202</f>
        <v>Sản xuất, lắp dựng cốt thép mặt cầu đường kính &lt;=10mm, chiều cao &lt;=16m</v>
      </c>
      <c r="E440" s="168"/>
      <c r="F440" s="20">
        <v>1</v>
      </c>
      <c r="G440" s="45">
        <f>'Hao phí vật tư'!I1571</f>
        <v>2</v>
      </c>
      <c r="H440" s="166"/>
      <c r="I440" s="156">
        <f>ROUND((I209)*G440/100,2)</f>
        <v>155.97999999999999</v>
      </c>
      <c r="J440" s="20" t="str">
        <f>'Công trình'!X202</f>
        <v>HCM_2016_QD_3384_XD</v>
      </c>
      <c r="K440" s="166"/>
      <c r="L440" s="156">
        <f>ROUND((L209)*G440/100,2)</f>
        <v>155.97999999999999</v>
      </c>
      <c r="M440" s="166"/>
      <c r="N440" s="166"/>
      <c r="O440" s="166"/>
      <c r="P440" s="156">
        <f>ROUND((P209)*G440/100,2)</f>
        <v>0</v>
      </c>
      <c r="Q440" s="156">
        <f>ROUND((Q209)*G440/100,2)</f>
        <v>155.97999999999999</v>
      </c>
    </row>
    <row r="441" spans="1:17" ht="30" hidden="1" x14ac:dyDescent="0.25">
      <c r="A441" s="168"/>
      <c r="B441" s="133" t="str">
        <f>'Công trình'!B204</f>
        <v>AF.61721</v>
      </c>
      <c r="C441" s="34"/>
      <c r="D441" s="133" t="str">
        <f>'Công trình'!C204</f>
        <v>Sản xuất, lắp dựng cốt thép mặt cầu đường kính &gt;10mm, chiều cao &lt;=16m</v>
      </c>
      <c r="E441" s="168"/>
      <c r="F441" s="20">
        <v>1</v>
      </c>
      <c r="G441" s="45">
        <f>'Hao phí vật tư'!I1583</f>
        <v>2</v>
      </c>
      <c r="H441" s="166"/>
      <c r="I441" s="156">
        <f>ROUND((I53+I210+I366)*G441/100,2)</f>
        <v>93513.78</v>
      </c>
      <c r="J441" s="20" t="str">
        <f>'Công trình'!X204</f>
        <v>HCM_2016_QD_3384_XD</v>
      </c>
      <c r="K441" s="166"/>
      <c r="L441" s="156">
        <f>ROUND((L53+L210+L366)*G441/100,2)</f>
        <v>93513.78</v>
      </c>
      <c r="M441" s="166"/>
      <c r="N441" s="166"/>
      <c r="O441" s="166"/>
      <c r="P441" s="156">
        <f>ROUND((P53+P210+P366)*G441/100,2)</f>
        <v>0</v>
      </c>
      <c r="Q441" s="156">
        <f>ROUND((Q53+Q210+Q366)*G441/100,2)</f>
        <v>93513.78</v>
      </c>
    </row>
    <row r="442" spans="1:17" ht="30" hidden="1" x14ac:dyDescent="0.25">
      <c r="A442" s="168"/>
      <c r="B442" s="133" t="str">
        <f>'Công trình'!B225</f>
        <v>AG.11125</v>
      </c>
      <c r="C442" s="34"/>
      <c r="D442" s="133" t="str">
        <f>'Công trình'!C225</f>
        <v>Sản xuất bê tông cọc cừ đúc sẵn đá 1x2, vữa BT mác 300</v>
      </c>
      <c r="E442" s="168"/>
      <c r="F442" s="20">
        <v>1</v>
      </c>
      <c r="G442" s="45">
        <f>'Hao phí vật tư'!I1692</f>
        <v>10</v>
      </c>
      <c r="H442" s="166"/>
      <c r="I442" s="156">
        <f>ROUND((I245+I324)*G442/100,2)</f>
        <v>420586.74</v>
      </c>
      <c r="J442" s="20" t="str">
        <f>'Công trình'!X225</f>
        <v>HCM_2016_QD_3384_XD</v>
      </c>
      <c r="K442" s="166"/>
      <c r="L442" s="156">
        <f>ROUND((L245+L324)*G442/100,2)</f>
        <v>420586.74</v>
      </c>
      <c r="M442" s="166"/>
      <c r="N442" s="166"/>
      <c r="O442" s="166"/>
      <c r="P442" s="156">
        <f>ROUND((P245+P324)*G442/100,2)</f>
        <v>0</v>
      </c>
      <c r="Q442" s="156">
        <f>ROUND((Q245+Q324)*G442/100,2)</f>
        <v>420586.74</v>
      </c>
    </row>
    <row r="443" spans="1:17" ht="30" hidden="1" x14ac:dyDescent="0.25">
      <c r="A443" s="168"/>
      <c r="B443" s="133" t="str">
        <f>'Công trình'!B229</f>
        <v>AI.13111</v>
      </c>
      <c r="C443" s="34"/>
      <c r="D443" s="133" t="str">
        <f>'Công trình'!C229</f>
        <v>Sản xuất cấu kiện thép đặt sẵn trong bê tông, khối lượng &lt;=10kg/cấu kiện</v>
      </c>
      <c r="E443" s="168"/>
      <c r="F443" s="20">
        <v>1</v>
      </c>
      <c r="G443" s="45">
        <f>'Hao phí vật tư'!I1736</f>
        <v>2</v>
      </c>
      <c r="H443" s="166"/>
      <c r="I443" s="156">
        <f>ROUND((I60+I279+I291)*G443/100,2)</f>
        <v>35811.300000000003</v>
      </c>
      <c r="J443" s="20" t="str">
        <f>'Công trình'!X229</f>
        <v>HCM_2016_QD_3384_XD</v>
      </c>
      <c r="K443" s="166"/>
      <c r="L443" s="156">
        <f>ROUND((L60+L279+L291)*G443/100,2)</f>
        <v>35811.300000000003</v>
      </c>
      <c r="M443" s="166"/>
      <c r="N443" s="166"/>
      <c r="O443" s="166"/>
      <c r="P443" s="156">
        <f>ROUND((P60+P279+P291)*G443/100,2)</f>
        <v>0</v>
      </c>
      <c r="Q443" s="156">
        <f>ROUND((Q60+Q279+Q291)*G443/100,2)</f>
        <v>35811.300000000003</v>
      </c>
    </row>
    <row r="444" spans="1:17" ht="30" hidden="1" x14ac:dyDescent="0.25">
      <c r="A444" s="168"/>
      <c r="B444" s="133" t="str">
        <f>'Công trình'!B231</f>
        <v>AI.52211</v>
      </c>
      <c r="C444" s="34"/>
      <c r="D444" s="133" t="str">
        <f>'Công trình'!C231</f>
        <v>Thép hình hộp nối cọc</v>
      </c>
      <c r="E444" s="168"/>
      <c r="F444" s="20">
        <v>1</v>
      </c>
      <c r="G444" s="45">
        <f>'Hao phí vật tư'!I1763</f>
        <v>5</v>
      </c>
      <c r="H444" s="166"/>
      <c r="I444" s="156">
        <f>ROUND((I61+I280+I292)*G444/100,2)</f>
        <v>233952.32</v>
      </c>
      <c r="J444" s="20" t="str">
        <f>'Công trình'!X231</f>
        <v>HCM_2016_QD_3384_XD</v>
      </c>
      <c r="K444" s="166"/>
      <c r="L444" s="156">
        <f>ROUND((L61+L280+L292)*G444/100,2)</f>
        <v>233952.32</v>
      </c>
      <c r="M444" s="166"/>
      <c r="N444" s="166"/>
      <c r="O444" s="166"/>
      <c r="P444" s="156">
        <f>ROUND((P61+P280+P292)*G444/100,2)</f>
        <v>0</v>
      </c>
      <c r="Q444" s="156">
        <f>ROUND((Q61+Q280+Q292)*G444/100,2)</f>
        <v>233952.32</v>
      </c>
    </row>
    <row r="445" spans="1:17" ht="30" hidden="1" x14ac:dyDescent="0.25">
      <c r="A445" s="168"/>
      <c r="B445" s="133" t="str">
        <f>'Công trình'!B232</f>
        <v>AC.14114</v>
      </c>
      <c r="C445" s="34"/>
      <c r="D445" s="133" t="str">
        <f>'Công trình'!C232</f>
        <v>Đóng cọc BTCT 35x35 chiều dài &lt;=24m trên mặt đất, trọng lượng đầu búa 1,8T, đất cấp I</v>
      </c>
      <c r="E445" s="168"/>
      <c r="F445" s="20">
        <v>1</v>
      </c>
      <c r="G445" s="45">
        <f>'Hao phí vật tư'!I1772</f>
        <v>6</v>
      </c>
      <c r="H445" s="166"/>
      <c r="I445" s="156">
        <f>ROUND((I95)*G445/100,2)</f>
        <v>853316.8</v>
      </c>
      <c r="J445" s="20" t="str">
        <f>'Công trình'!X232</f>
        <v>HCM_2016_QD_3384_XD</v>
      </c>
      <c r="K445" s="166"/>
      <c r="L445" s="156">
        <f>ROUND((L95)*G445/100,2)</f>
        <v>853316.8</v>
      </c>
      <c r="M445" s="166"/>
      <c r="N445" s="166"/>
      <c r="O445" s="166"/>
      <c r="P445" s="156">
        <f>ROUND((P95)*G445/100,2)</f>
        <v>0</v>
      </c>
      <c r="Q445" s="156">
        <f>ROUND((Q95)*G445/100,2)</f>
        <v>853316.8</v>
      </c>
    </row>
    <row r="446" spans="1:17" ht="45" hidden="1" x14ac:dyDescent="0.25">
      <c r="A446" s="168"/>
      <c r="B446" s="133" t="str">
        <f>'Công trình'!B233</f>
        <v>AC.14114</v>
      </c>
      <c r="C446" s="34"/>
      <c r="D446" s="133" t="str">
        <f>'Công trình'!C233</f>
        <v>Đóng cọc xiên BTCT 35x35 chiều dài &lt;=24m trên mặt đất, trọng lượng đầu búa 1,8T, đất cấp I (HS NC, MTC x 1,22)</v>
      </c>
      <c r="E446" s="168"/>
      <c r="F446" s="20">
        <v>1</v>
      </c>
      <c r="G446" s="45">
        <f>'Hao phí vật tư'!I1781</f>
        <v>6</v>
      </c>
      <c r="H446" s="166"/>
      <c r="I446" s="156">
        <f>ROUND((I96)*G446/100,2)</f>
        <v>2082097.71</v>
      </c>
      <c r="J446" s="20" t="str">
        <f>'Công trình'!X233</f>
        <v>HCM_2016_QD_3384_XD</v>
      </c>
      <c r="K446" s="166"/>
      <c r="L446" s="156">
        <f>ROUND((L96)*G446/100,2)</f>
        <v>2082097.71</v>
      </c>
      <c r="M446" s="166"/>
      <c r="N446" s="166"/>
      <c r="O446" s="166"/>
      <c r="P446" s="156">
        <f>ROUND((P96)*G446/100,2)</f>
        <v>0</v>
      </c>
      <c r="Q446" s="156">
        <f>ROUND((Q96)*G446/100,2)</f>
        <v>2082097.71</v>
      </c>
    </row>
    <row r="447" spans="1:17" ht="30" hidden="1" x14ac:dyDescent="0.25">
      <c r="A447" s="168"/>
      <c r="B447" s="133" t="str">
        <f>'Công trình'!B234</f>
        <v>AC.29341</v>
      </c>
      <c r="C447" s="34"/>
      <c r="D447" s="133" t="str">
        <f>'Công trình'!C234</f>
        <v>Nối cọc BTCT 35x35cm</v>
      </c>
      <c r="E447" s="168"/>
      <c r="F447" s="20">
        <v>1</v>
      </c>
      <c r="G447" s="45">
        <f>'Hao phí vật tư'!I1791</f>
        <v>3</v>
      </c>
      <c r="H447" s="166"/>
      <c r="I447" s="156">
        <f>ROUND((I63)*G447/100,2)</f>
        <v>54759.24</v>
      </c>
      <c r="J447" s="20" t="str">
        <f>'Công trình'!X234</f>
        <v>HCM_2016_QD_3384_XD</v>
      </c>
      <c r="K447" s="166"/>
      <c r="L447" s="156">
        <f>ROUND((L63)*G447/100,2)</f>
        <v>54759.24</v>
      </c>
      <c r="M447" s="166"/>
      <c r="N447" s="166"/>
      <c r="O447" s="166"/>
      <c r="P447" s="156">
        <f>ROUND((P63)*G447/100,2)</f>
        <v>0</v>
      </c>
      <c r="Q447" s="156">
        <f>ROUND((Q63)*G447/100,2)</f>
        <v>54759.24</v>
      </c>
    </row>
    <row r="448" spans="1:17" ht="30" hidden="1" x14ac:dyDescent="0.25">
      <c r="A448" s="168"/>
      <c r="B448" s="133" t="str">
        <f>'Công trình'!B236</f>
        <v>AC.14114</v>
      </c>
      <c r="C448" s="34"/>
      <c r="D448" s="133" t="str">
        <f>'Công trình'!C236</f>
        <v>Đóng cọc âm chiều dài &lt;=24m trên mặt đất, trọng lượng đầu búa 1,8T, đất cấp I</v>
      </c>
      <c r="E448" s="168"/>
      <c r="F448" s="20">
        <v>1</v>
      </c>
      <c r="G448" s="45">
        <f>'Hao phí vật tư'!I1810</f>
        <v>6</v>
      </c>
      <c r="H448" s="166"/>
      <c r="I448" s="156">
        <f>ROUND((I97)*G448/100,2)</f>
        <v>127997.52</v>
      </c>
      <c r="J448" s="20" t="str">
        <f>'Công trình'!X236</f>
        <v>HCM_2016_QD_3384_XD</v>
      </c>
      <c r="K448" s="166"/>
      <c r="L448" s="156">
        <f>ROUND((L97)*G448/100,2)</f>
        <v>127997.52</v>
      </c>
      <c r="M448" s="166"/>
      <c r="N448" s="166"/>
      <c r="O448" s="166"/>
      <c r="P448" s="156">
        <f>ROUND((P97)*G448/100,2)</f>
        <v>0</v>
      </c>
      <c r="Q448" s="156">
        <f>ROUND((Q97)*G448/100,2)</f>
        <v>127997.52</v>
      </c>
    </row>
    <row r="449" spans="1:17" ht="30" hidden="1" x14ac:dyDescent="0.25">
      <c r="A449" s="168"/>
      <c r="B449" s="133" t="str">
        <f>'Công trình'!B241</f>
        <v>AD.11222</v>
      </c>
      <c r="C449" s="34"/>
      <c r="D449" s="133" t="str">
        <f>'Công trình'!C241</f>
        <v>Làm móng lớp trên cấp phối đá dăm, đường làm mới</v>
      </c>
      <c r="E449" s="168"/>
      <c r="F449" s="20">
        <v>1</v>
      </c>
      <c r="G449" s="45">
        <f>'Hao phí vật tư'!I1832</f>
        <v>0.5</v>
      </c>
      <c r="H449" s="166"/>
      <c r="I449" s="156">
        <f>ROUND((I160+I169+I263+I302+I376)*G449/100,2)</f>
        <v>13706.98</v>
      </c>
      <c r="J449" s="20" t="str">
        <f>'Công trình'!X241</f>
        <v>HCM_2016_QD_3384_XD</v>
      </c>
      <c r="K449" s="166"/>
      <c r="L449" s="156">
        <f>ROUND((L160+L169+L263+L302+L376)*G449/100,2)</f>
        <v>13706.98</v>
      </c>
      <c r="M449" s="166"/>
      <c r="N449" s="166"/>
      <c r="O449" s="166"/>
      <c r="P449" s="156">
        <f>ROUND((P160+P169+P263+P302+P376)*G449/100,2)</f>
        <v>0</v>
      </c>
      <c r="Q449" s="156">
        <f>ROUND((Q160+Q169+Q263+Q302+Q376)*G449/100,2)</f>
        <v>13706.98</v>
      </c>
    </row>
    <row r="450" spans="1:17" ht="30" hidden="1" x14ac:dyDescent="0.25">
      <c r="A450" s="168"/>
      <c r="B450" s="133" t="str">
        <f>'Công trình'!B242</f>
        <v>AB.66114</v>
      </c>
      <c r="C450" s="34"/>
      <c r="D450" s="133" t="str">
        <f>'Công trình'!C242</f>
        <v>Đắp cát công trình bằng máy đầm 9T, độ chặt K=0,98</v>
      </c>
      <c r="E450" s="168"/>
      <c r="F450" s="20">
        <v>1</v>
      </c>
      <c r="G450" s="45">
        <f>'Hao phí vật tư'!I1841</f>
        <v>1.5</v>
      </c>
      <c r="H450" s="166"/>
      <c r="I450" s="156">
        <f>ROUND((I165+I354)*G450/100,2)</f>
        <v>223408.23</v>
      </c>
      <c r="J450" s="20" t="str">
        <f>'Công trình'!X242</f>
        <v>HCM_2016_QD_3384_XD</v>
      </c>
      <c r="K450" s="166"/>
      <c r="L450" s="156">
        <f>ROUND((L165+L354)*G450/100,2)</f>
        <v>223408.23</v>
      </c>
      <c r="M450" s="166"/>
      <c r="N450" s="166"/>
      <c r="O450" s="166"/>
      <c r="P450" s="156">
        <f>ROUND((P165+P354)*G450/100,2)</f>
        <v>0</v>
      </c>
      <c r="Q450" s="156">
        <f>ROUND((Q165+Q354)*G450/100,2)</f>
        <v>223408.23</v>
      </c>
    </row>
    <row r="451" spans="1:17" ht="30" hidden="1" x14ac:dyDescent="0.25">
      <c r="A451" s="168"/>
      <c r="B451" s="133" t="str">
        <f>'Công trình'!B249</f>
        <v>AF.82111</v>
      </c>
      <c r="C451" s="34"/>
      <c r="D451" s="133" t="str">
        <f>'Công trình'!C249</f>
        <v>Sản xuất, lắp dựng tháo dỡ ván khuôn thép, cây chống gỗ dầm, giằng, chiều cao &lt;=16m</v>
      </c>
      <c r="E451" s="168"/>
      <c r="F451" s="20">
        <v>1</v>
      </c>
      <c r="G451" s="45">
        <f>'Hao phí vật tư'!I1897</f>
        <v>2</v>
      </c>
      <c r="H451" s="166"/>
      <c r="I451" s="156">
        <f>ROUND((I64+I368)*G451/100,2)</f>
        <v>7236.33</v>
      </c>
      <c r="J451" s="20" t="str">
        <f>'Công trình'!X249</f>
        <v>HCM_2016_QD_3384_XD</v>
      </c>
      <c r="K451" s="166"/>
      <c r="L451" s="156">
        <f>ROUND((L64+L368)*G451/100,2)</f>
        <v>7236.33</v>
      </c>
      <c r="M451" s="166"/>
      <c r="N451" s="166"/>
      <c r="O451" s="166"/>
      <c r="P451" s="156">
        <f>ROUND((P64+P368)*G451/100,2)</f>
        <v>0</v>
      </c>
      <c r="Q451" s="156">
        <f>ROUND((Q64+Q368)*G451/100,2)</f>
        <v>7236.33</v>
      </c>
    </row>
    <row r="452" spans="1:17" ht="30" hidden="1" x14ac:dyDescent="0.25">
      <c r="A452" s="168"/>
      <c r="B452" s="133" t="str">
        <f>'Công trình'!B255</f>
        <v>AF.14325</v>
      </c>
      <c r="C452" s="34"/>
      <c r="D452" s="133" t="str">
        <f>'Công trình'!C255</f>
        <v>Bê tông lan can, gờ chắn đá 1x2, vữa BT mác 300</v>
      </c>
      <c r="E452" s="168"/>
      <c r="F452" s="20">
        <v>1</v>
      </c>
      <c r="G452" s="45">
        <f>'Hao phí vật tư'!I1945</f>
        <v>5</v>
      </c>
      <c r="H452" s="166"/>
      <c r="I452" s="156">
        <f>ROUND((I327)*G452/100,2)</f>
        <v>33997.81</v>
      </c>
      <c r="J452" s="20" t="str">
        <f>'Công trình'!X255</f>
        <v>HCM_2016_QD_3384_XD</v>
      </c>
      <c r="K452" s="166"/>
      <c r="L452" s="156">
        <f>ROUND((L327)*G452/100,2)</f>
        <v>33997.81</v>
      </c>
      <c r="M452" s="166"/>
      <c r="N452" s="166"/>
      <c r="O452" s="166"/>
      <c r="P452" s="156">
        <f>ROUND((P327)*G452/100,2)</f>
        <v>0</v>
      </c>
      <c r="Q452" s="156">
        <f>ROUND((Q327)*G452/100,2)</f>
        <v>33997.81</v>
      </c>
    </row>
    <row r="453" spans="1:17" ht="30" hidden="1" x14ac:dyDescent="0.25">
      <c r="A453" s="168"/>
      <c r="B453" s="133" t="str">
        <f>'Công trình'!B256</f>
        <v>AF.82111</v>
      </c>
      <c r="C453" s="34"/>
      <c r="D453" s="133" t="str">
        <f>'Công trình'!C256</f>
        <v>Sản xuất, lắp dựng tháo dỡ ván khuôn thép lan can</v>
      </c>
      <c r="E453" s="168"/>
      <c r="F453" s="20">
        <v>1</v>
      </c>
      <c r="G453" s="45">
        <f>'Hao phí vật tư'!I1958</f>
        <v>2</v>
      </c>
      <c r="H453" s="166"/>
      <c r="I453" s="156">
        <f>ROUND((I65+I369)*G453/100,2)</f>
        <v>15513.09</v>
      </c>
      <c r="J453" s="20" t="str">
        <f>'Công trình'!X256</f>
        <v>HCM_2016_QD_3384_XD</v>
      </c>
      <c r="K453" s="166"/>
      <c r="L453" s="156">
        <f>ROUND((L65+L369)*G453/100,2)</f>
        <v>15513.09</v>
      </c>
      <c r="M453" s="166"/>
      <c r="N453" s="166"/>
      <c r="O453" s="166"/>
      <c r="P453" s="156">
        <f>ROUND((P65+P369)*G453/100,2)</f>
        <v>0</v>
      </c>
      <c r="Q453" s="156">
        <f>ROUND((Q65+Q369)*G453/100,2)</f>
        <v>15513.09</v>
      </c>
    </row>
    <row r="454" spans="1:17" ht="30" hidden="1" x14ac:dyDescent="0.25">
      <c r="A454" s="168"/>
      <c r="B454" s="133" t="str">
        <f>'Công trình'!B268</f>
        <v>BB.14211</v>
      </c>
      <c r="C454" s="34"/>
      <c r="D454" s="133" t="str">
        <f>'Công trình'!C268</f>
        <v>Ống thép Þ120 dày 2 mm</v>
      </c>
      <c r="E454" s="168"/>
      <c r="F454" s="20">
        <v>1</v>
      </c>
      <c r="G454" s="45">
        <f>'Hao phí vật tư'!I2050</f>
        <v>5</v>
      </c>
      <c r="H454" s="166"/>
      <c r="I454" s="156">
        <f>ROUND((I68)*G454/100,2)</f>
        <v>6599.84</v>
      </c>
      <c r="J454" s="20" t="str">
        <f>'Công trình'!X268</f>
        <v>HCM_2016_QD_3384_LD</v>
      </c>
      <c r="K454" s="166"/>
      <c r="L454" s="156">
        <f>ROUND((L68)*G454/100,2)</f>
        <v>6599.84</v>
      </c>
      <c r="M454" s="166"/>
      <c r="N454" s="166"/>
      <c r="O454" s="166"/>
      <c r="P454" s="156">
        <f>ROUND((P68)*G454/100,2)</f>
        <v>0</v>
      </c>
      <c r="Q454" s="156">
        <f>ROUND((Q68)*G454/100,2)</f>
        <v>6599.84</v>
      </c>
    </row>
    <row r="455" spans="1:17" ht="30" hidden="1" x14ac:dyDescent="0.25">
      <c r="A455" s="168"/>
      <c r="B455" s="133" t="str">
        <f>'Công trình'!B300</f>
        <v>AG.11113</v>
      </c>
      <c r="C455" s="34"/>
      <c r="D455" s="133" t="str">
        <f>'Công trình'!C300</f>
        <v>Sản xuất bê tông cọc, cột đúc sẵn đá 1x2, vữa BT mác 200</v>
      </c>
      <c r="E455" s="168"/>
      <c r="F455" s="20">
        <v>1</v>
      </c>
      <c r="G455" s="45">
        <f>'Hao phí vật tư'!I2250</f>
        <v>10</v>
      </c>
      <c r="H455" s="166"/>
      <c r="I455" s="156">
        <f>ROUND((I252+I333)*G455/100,2)</f>
        <v>6123.62</v>
      </c>
      <c r="J455" s="20" t="str">
        <f>'Công trình'!X300</f>
        <v>HCM_2016_QD_3384_XD</v>
      </c>
      <c r="K455" s="166"/>
      <c r="L455" s="156">
        <f>ROUND((L252+L333)*G455/100,2)</f>
        <v>6123.62</v>
      </c>
      <c r="M455" s="166"/>
      <c r="N455" s="166"/>
      <c r="O455" s="166"/>
      <c r="P455" s="156">
        <f>ROUND((P252+P333)*G455/100,2)</f>
        <v>0</v>
      </c>
      <c r="Q455" s="156">
        <f>ROUND((Q252+Q333)*G455/100,2)</f>
        <v>6123.62</v>
      </c>
    </row>
    <row r="456" spans="1:17" ht="30" hidden="1" x14ac:dyDescent="0.25">
      <c r="A456" s="168"/>
      <c r="B456" s="133" t="str">
        <f>'Công trình'!B179</f>
        <v>AF.87211</v>
      </c>
      <c r="C456" s="34"/>
      <c r="D456" s="133" t="str">
        <f>'Công trình'!C179</f>
        <v>Sản xuất, lắp dựng, tháo dỡ ván khuôn mố, trụ cầu trên cạn</v>
      </c>
      <c r="E456" s="168"/>
      <c r="F456" s="20">
        <v>1</v>
      </c>
      <c r="G456" s="45">
        <f>'Hao phí vật tư'!I1365</f>
        <v>1.5</v>
      </c>
      <c r="H456" s="166"/>
      <c r="I456" s="156">
        <f>ROUND((I69+I133+I182)*G456/100,2)</f>
        <v>92460.41</v>
      </c>
      <c r="J456" s="20" t="str">
        <f>'Công trình'!X179</f>
        <v>HCM_2016_QD_3384_XD</v>
      </c>
      <c r="K456" s="166"/>
      <c r="L456" s="156">
        <f>ROUND((L69+L133+L182)*G456/100,2)</f>
        <v>92460.41</v>
      </c>
      <c r="M456" s="166"/>
      <c r="N456" s="166"/>
      <c r="O456" s="166"/>
      <c r="P456" s="156">
        <f>ROUND((P69+P133+P182)*G456/100,2)</f>
        <v>0</v>
      </c>
      <c r="Q456" s="156">
        <f>ROUND((Q69+Q133+Q182)*G456/100,2)</f>
        <v>92460.41</v>
      </c>
    </row>
    <row r="457" spans="1:17" ht="30" hidden="1" x14ac:dyDescent="0.25">
      <c r="A457" s="168"/>
      <c r="B457" s="133" t="str">
        <f>'Công trình'!B189</f>
        <v>AF.87211</v>
      </c>
      <c r="C457" s="34"/>
      <c r="D457" s="133" t="str">
        <f>'Công trình'!C189</f>
        <v>Sản xuất, lắp dựng, tháo dỡ ván khuôn mố, trụ cầu trên cạn</v>
      </c>
      <c r="E457" s="168"/>
      <c r="F457" s="20">
        <v>1</v>
      </c>
      <c r="G457" s="45">
        <f>'Hao phí vật tư'!I1456</f>
        <v>1.5</v>
      </c>
      <c r="H457" s="166"/>
      <c r="I457" s="156">
        <f>ROUND((I70+I134+I183)*G457/100,2)</f>
        <v>26492.93</v>
      </c>
      <c r="J457" s="20" t="str">
        <f>'Công trình'!X189</f>
        <v>HCM_2016_QD_3384_XD</v>
      </c>
      <c r="K457" s="166"/>
      <c r="L457" s="156">
        <f>ROUND((L70+L134+L183)*G457/100,2)</f>
        <v>26492.93</v>
      </c>
      <c r="M457" s="166"/>
      <c r="N457" s="166"/>
      <c r="O457" s="166"/>
      <c r="P457" s="156">
        <f>ROUND((P70+P134+P183)*G457/100,2)</f>
        <v>0</v>
      </c>
      <c r="Q457" s="156">
        <f>ROUND((Q70+Q134+Q183)*G457/100,2)</f>
        <v>26492.93</v>
      </c>
    </row>
    <row r="458" spans="1:17" ht="45" hidden="1" x14ac:dyDescent="0.25">
      <c r="A458" s="168"/>
      <c r="B458" s="133" t="str">
        <f>'Công trình'!B193</f>
        <v>TT</v>
      </c>
      <c r="C458" s="34"/>
      <c r="D458" s="133" t="str">
        <f>'Công trình'!C193</f>
        <v xml:space="preserve">Lắp dựng dầm cầu I DƯL bản  (TT theo MHĐM ĐQ.30010 Quyết định số 2204/QĐ-BGTVT ngày 29/07/2013) </v>
      </c>
      <c r="E458" s="168"/>
      <c r="F458" s="20">
        <v>1</v>
      </c>
      <c r="G458" s="45">
        <f>'Hao phí vật tư'!I1487</f>
        <v>5</v>
      </c>
      <c r="H458" s="166"/>
      <c r="I458" s="156">
        <f>ROUND((I147)*G458/100,2)</f>
        <v>1287670.05</v>
      </c>
      <c r="J458" s="20">
        <f>'Công trình'!X193</f>
        <v>0</v>
      </c>
      <c r="K458" s="166"/>
      <c r="L458" s="156">
        <f>ROUND((L147)*G458/100,2)</f>
        <v>1287670.05</v>
      </c>
      <c r="M458" s="166"/>
      <c r="N458" s="166"/>
      <c r="O458" s="166"/>
      <c r="P458" s="156">
        <f>ROUND((P147)*G458/100,2)</f>
        <v>0</v>
      </c>
      <c r="Q458" s="156">
        <f>ROUND((Q147)*G458/100,2)</f>
        <v>1287670.05</v>
      </c>
    </row>
    <row r="459" spans="1:17" ht="30" hidden="1" x14ac:dyDescent="0.25">
      <c r="A459" s="168"/>
      <c r="B459" s="133" t="str">
        <f>'Công trình'!B201</f>
        <v>AF.82311</v>
      </c>
      <c r="C459" s="34"/>
      <c r="D459" s="133" t="str">
        <f>'Công trình'!C201</f>
        <v>Sản xuất, lắp dựng tháo dỡ ván khuôn thép, cây chống gỗ mặt cầu, chiều cao &lt;=16m</v>
      </c>
      <c r="E459" s="168"/>
      <c r="F459" s="20">
        <v>1</v>
      </c>
      <c r="G459" s="45">
        <f>'Hao phí vật tư'!I1562</f>
        <v>2</v>
      </c>
      <c r="H459" s="166"/>
      <c r="I459" s="156">
        <f>ROUND((I71+I371)*G459/100,2)</f>
        <v>25627.32</v>
      </c>
      <c r="J459" s="20" t="str">
        <f>'Công trình'!X201</f>
        <v>HCM_2016_QD_3384_XD</v>
      </c>
      <c r="K459" s="166"/>
      <c r="L459" s="156">
        <f>ROUND((L71+L371)*G459/100,2)</f>
        <v>25627.32</v>
      </c>
      <c r="M459" s="166"/>
      <c r="N459" s="166"/>
      <c r="O459" s="166"/>
      <c r="P459" s="156">
        <f>ROUND((P71+P371)*G459/100,2)</f>
        <v>0</v>
      </c>
      <c r="Q459" s="156">
        <f>ROUND((Q71+Q371)*G459/100,2)</f>
        <v>25627.32</v>
      </c>
    </row>
    <row r="460" spans="1:17" ht="30" hidden="1" x14ac:dyDescent="0.25">
      <c r="A460" s="168"/>
      <c r="B460" s="133" t="str">
        <f>'Công trình'!B93</f>
        <v>AD.11212</v>
      </c>
      <c r="C460" s="34"/>
      <c r="D460" s="133" t="str">
        <f>'Công trình'!C93</f>
        <v>Cấp phối đá 0x4</v>
      </c>
      <c r="E460" s="168"/>
      <c r="F460" s="20">
        <v>1</v>
      </c>
      <c r="G460" s="45">
        <f>'Hao phí vật tư'!I765</f>
        <v>0.5</v>
      </c>
      <c r="H460" s="166"/>
      <c r="I460" s="156">
        <f>ROUND((I161+I170+I264+I305+I356+I377)*G460/100,2)</f>
        <v>9340.17</v>
      </c>
      <c r="J460" s="20" t="str">
        <f>'Công trình'!X93</f>
        <v>HCM_2016_QD_3384_XD</v>
      </c>
      <c r="K460" s="166"/>
      <c r="L460" s="156">
        <f>ROUND((L161+L170+L264+L305+L356+L377)*G460/100,2)</f>
        <v>9340.17</v>
      </c>
      <c r="M460" s="166"/>
      <c r="N460" s="166"/>
      <c r="O460" s="166"/>
      <c r="P460" s="156">
        <f>ROUND((P161+P170+P264+P305+P356+P377)*G460/100,2)</f>
        <v>0</v>
      </c>
      <c r="Q460" s="156">
        <f>ROUND((Q161+Q170+Q264+Q305+Q356+Q377)*G460/100,2)</f>
        <v>9340.17</v>
      </c>
    </row>
    <row r="461" spans="1:17" ht="30" hidden="1" x14ac:dyDescent="0.25">
      <c r="A461" s="168"/>
      <c r="B461" s="133" t="str">
        <f>'Công trình'!B135</f>
        <v>AC.23210</v>
      </c>
      <c r="C461" s="34"/>
      <c r="D461" s="133" t="str">
        <f>'Công trình'!C135</f>
        <v>Nhổ cọc cừ Larsen 3, larsen 4 trên cạn bằng búa rung, cần cẩu 25T</v>
      </c>
      <c r="E461" s="168"/>
      <c r="F461" s="20">
        <v>1</v>
      </c>
      <c r="G461" s="45">
        <f>'Hao phí vật tư'!I1035</f>
        <v>3</v>
      </c>
      <c r="H461" s="166"/>
      <c r="I461" s="156">
        <f>ROUND((I106+I143)*G461/100,2)</f>
        <v>8708191.0600000005</v>
      </c>
      <c r="J461" s="20" t="str">
        <f>'Công trình'!X135</f>
        <v>HCM_2016_QD_3384_XD</v>
      </c>
      <c r="K461" s="166"/>
      <c r="L461" s="156">
        <f>ROUND((L106+L143)*G461/100,2)</f>
        <v>8708191.0600000005</v>
      </c>
      <c r="M461" s="166"/>
      <c r="N461" s="166"/>
      <c r="O461" s="166"/>
      <c r="P461" s="156">
        <f>ROUND((P106+P143)*G461/100,2)</f>
        <v>0</v>
      </c>
      <c r="Q461" s="156">
        <f>ROUND((Q106+Q143)*G461/100,2)</f>
        <v>8708191.0600000005</v>
      </c>
    </row>
    <row r="462" spans="1:17" ht="30" hidden="1" x14ac:dyDescent="0.25">
      <c r="A462" s="168"/>
      <c r="B462" s="133" t="str">
        <f>'Công trình'!B230</f>
        <v>AG.32321</v>
      </c>
      <c r="C462" s="34"/>
      <c r="D462" s="133" t="str">
        <f>'Công trình'!C230</f>
        <v>Sản xuất, lắp dựng, tháo dỡ ván khuôn thép bê tông đúc sẵn cọc, cột</v>
      </c>
      <c r="E462" s="168"/>
      <c r="F462" s="20">
        <v>1</v>
      </c>
      <c r="G462" s="45">
        <f>'Hao phí vật tư'!I1747</f>
        <v>10</v>
      </c>
      <c r="H462" s="166"/>
      <c r="I462" s="156">
        <f>ROUND((I72)*G462/100,2)</f>
        <v>66681.210000000006</v>
      </c>
      <c r="J462" s="20" t="str">
        <f>'Công trình'!X230</f>
        <v>HCM_2016_QD_3384_XD</v>
      </c>
      <c r="K462" s="166"/>
      <c r="L462" s="156">
        <f>ROUND((L72)*G462/100,2)</f>
        <v>66681.210000000006</v>
      </c>
      <c r="M462" s="166"/>
      <c r="N462" s="166"/>
      <c r="O462" s="166"/>
      <c r="P462" s="156">
        <f>ROUND((P72)*G462/100,2)</f>
        <v>0</v>
      </c>
      <c r="Q462" s="156">
        <f>ROUND((Q72)*G462/100,2)</f>
        <v>66681.210000000006</v>
      </c>
    </row>
    <row r="463" spans="1:17" ht="30" hidden="1" x14ac:dyDescent="0.25">
      <c r="A463" s="168"/>
      <c r="B463" s="133" t="str">
        <f>'Công trình'!B56</f>
        <v>AG.32511</v>
      </c>
      <c r="C463" s="34"/>
      <c r="D463" s="133" t="str">
        <f>'Công trình'!C56</f>
        <v>Sản xuất, lắp dựng, tháo dỡ ván khuôn thép bê tông đúc sẵn tấm tự chèn</v>
      </c>
      <c r="E463" s="168"/>
      <c r="F463" s="20">
        <v>1</v>
      </c>
      <c r="G463" s="45">
        <f>'Hao phí vật tư'!I417</f>
        <v>10</v>
      </c>
      <c r="H463" s="166"/>
      <c r="I463" s="156">
        <f>ROUND((I73)*G463/100,2)</f>
        <v>144912.54999999999</v>
      </c>
      <c r="J463" s="20" t="str">
        <f>'Công trình'!X56</f>
        <v>HCM_2016_QD_3384_XD</v>
      </c>
      <c r="K463" s="166"/>
      <c r="L463" s="156">
        <f>ROUND((L73)*G463/100,2)</f>
        <v>144912.54999999999</v>
      </c>
      <c r="M463" s="166"/>
      <c r="N463" s="166"/>
      <c r="O463" s="166"/>
      <c r="P463" s="156">
        <f>ROUND((P73)*G463/100,2)</f>
        <v>0</v>
      </c>
      <c r="Q463" s="156">
        <f>ROUND((Q73)*G463/100,2)</f>
        <v>144912.54999999999</v>
      </c>
    </row>
    <row r="464" spans="1:17" ht="30" hidden="1" x14ac:dyDescent="0.25">
      <c r="A464" s="168"/>
      <c r="B464" s="133" t="str">
        <f>'Công trình'!B245</f>
        <v>AB.64112</v>
      </c>
      <c r="C464" s="34"/>
      <c r="D464" s="133" t="str">
        <f>'Công trình'!C245</f>
        <v>Đắp nền đường bằng máy đầm 9T, độ chặt K=0,90</v>
      </c>
      <c r="E464" s="168"/>
      <c r="F464" s="20">
        <v>1</v>
      </c>
      <c r="G464" s="45">
        <f>'Hao phí vật tư'!I1859</f>
        <v>1.5</v>
      </c>
      <c r="H464" s="166"/>
      <c r="I464" s="156">
        <f>ROUND((I166+I357)*G464/100,2)</f>
        <v>189546.42</v>
      </c>
      <c r="J464" s="20" t="str">
        <f>'Công trình'!X245</f>
        <v>HCM_2016_QD_3384_XD</v>
      </c>
      <c r="K464" s="166"/>
      <c r="L464" s="156">
        <f>ROUND((L166+L357)*G464/100,2)</f>
        <v>189546.42</v>
      </c>
      <c r="M464" s="166"/>
      <c r="N464" s="166"/>
      <c r="O464" s="166"/>
      <c r="P464" s="156">
        <f>ROUND((P166+P357)*G464/100,2)</f>
        <v>0</v>
      </c>
      <c r="Q464" s="156">
        <f>ROUND((Q166+Q357)*G464/100,2)</f>
        <v>189546.42</v>
      </c>
    </row>
    <row r="465" spans="1:17" ht="30" hidden="1" x14ac:dyDescent="0.25">
      <c r="A465" s="168"/>
      <c r="B465" s="133" t="str">
        <f>'Công trình'!B251</f>
        <v>AG.32511</v>
      </c>
      <c r="C465" s="34"/>
      <c r="D465" s="133" t="str">
        <f>'Công trình'!C251</f>
        <v>Sản xuất, lắp dựng, tháo dỡ ván khuôn thép bê tông đúc sẵn nắp đan, tấm chớp</v>
      </c>
      <c r="E465" s="168"/>
      <c r="F465" s="20">
        <v>1</v>
      </c>
      <c r="G465" s="45">
        <f>'Hao phí vật tư'!I1919</f>
        <v>10</v>
      </c>
      <c r="H465" s="166"/>
      <c r="I465" s="156">
        <f>ROUND((I74)*G465/100,2)</f>
        <v>185123.41</v>
      </c>
      <c r="J465" s="20" t="str">
        <f>'Công trình'!X251</f>
        <v>HCM_2016_QD_3384_XD</v>
      </c>
      <c r="K465" s="166"/>
      <c r="L465" s="156">
        <f>ROUND((L74)*G465/100,2)</f>
        <v>185123.41</v>
      </c>
      <c r="M465" s="166"/>
      <c r="N465" s="166"/>
      <c r="O465" s="166"/>
      <c r="P465" s="156">
        <f>ROUND((P74)*G465/100,2)</f>
        <v>0</v>
      </c>
      <c r="Q465" s="156">
        <f>ROUND((Q74)*G465/100,2)</f>
        <v>185123.41</v>
      </c>
    </row>
    <row r="466" spans="1:17" ht="30" hidden="1" x14ac:dyDescent="0.25">
      <c r="A466" s="168"/>
      <c r="B466" s="133" t="str">
        <f>'Công trình'!B262</f>
        <v>AI.21152</v>
      </c>
      <c r="C466" s="34"/>
      <c r="D466" s="133" t="str">
        <f>'Công trình'!C262</f>
        <v>Sản xuất kết cấu thép lan can cầu đường bộ</v>
      </c>
      <c r="E466" s="168"/>
      <c r="F466" s="20">
        <v>1</v>
      </c>
      <c r="G466" s="45">
        <f>'Hao phí vật tư'!I2005</f>
        <v>1</v>
      </c>
      <c r="H466" s="166"/>
      <c r="I466" s="156">
        <f>ROUND((I75+I284+I296)*G466/100,2)</f>
        <v>255897.28</v>
      </c>
      <c r="J466" s="20" t="str">
        <f>'Công trình'!X262</f>
        <v>HCM_2016_QD_3384_XD</v>
      </c>
      <c r="K466" s="166"/>
      <c r="L466" s="156">
        <f>ROUND((L75+L284+L296)*G466/100,2)</f>
        <v>255897.28</v>
      </c>
      <c r="M466" s="166"/>
      <c r="N466" s="166"/>
      <c r="O466" s="166"/>
      <c r="P466" s="156">
        <f>ROUND((P75+P284+P296)*G466/100,2)</f>
        <v>0</v>
      </c>
      <c r="Q466" s="156">
        <f>ROUND((Q75+Q284+Q296)*G466/100,2)</f>
        <v>255897.28</v>
      </c>
    </row>
    <row r="467" spans="1:17" ht="30" hidden="1" x14ac:dyDescent="0.25">
      <c r="A467" s="168"/>
      <c r="B467" s="133" t="str">
        <f>'Công trình'!B73</f>
        <v>AG.32321</v>
      </c>
      <c r="C467" s="34"/>
      <c r="D467" s="133" t="str">
        <f>'Công trình'!C73</f>
        <v>Sản xuất, lắp dựng, tháo dỡ ván khuôn thép bê tông đúc sẵn cọc</v>
      </c>
      <c r="E467" s="168"/>
      <c r="F467" s="20">
        <v>1</v>
      </c>
      <c r="G467" s="45">
        <f>'Hao phí vật tư'!I571</f>
        <v>10</v>
      </c>
      <c r="H467" s="166"/>
      <c r="I467" s="156">
        <f>ROUND((I76)*G467/100,2)</f>
        <v>61634.57</v>
      </c>
      <c r="J467" s="20" t="str">
        <f>'Công trình'!X73</f>
        <v>HCM_2016_QD_3384_XD</v>
      </c>
      <c r="K467" s="166"/>
      <c r="L467" s="156">
        <f>ROUND((L76)*G467/100,2)</f>
        <v>61634.57</v>
      </c>
      <c r="M467" s="166"/>
      <c r="N467" s="166"/>
      <c r="O467" s="166"/>
      <c r="P467" s="156">
        <f>ROUND((P76)*G467/100,2)</f>
        <v>0</v>
      </c>
      <c r="Q467" s="156">
        <f>ROUND((Q76)*G467/100,2)</f>
        <v>61634.57</v>
      </c>
    </row>
    <row r="468" spans="1:17" ht="30" hidden="1" x14ac:dyDescent="0.25">
      <c r="A468" s="168"/>
      <c r="B468" s="133" t="str">
        <f>'Công trình'!B84</f>
        <v>AG.32321</v>
      </c>
      <c r="C468" s="34"/>
      <c r="D468" s="133" t="str">
        <f>'Công trình'!C84</f>
        <v>Sản xuất, lắp dựng, tháo dỡ ván khuôn thép bê tông đúc sẵn cọc</v>
      </c>
      <c r="E468" s="168"/>
      <c r="F468" s="20">
        <v>1</v>
      </c>
      <c r="G468" s="45">
        <f>'Hao phí vật tư'!I687</f>
        <v>10</v>
      </c>
      <c r="H468" s="166"/>
      <c r="I468" s="156">
        <f>ROUND((I77)*G468/100,2)</f>
        <v>27890.03</v>
      </c>
      <c r="J468" s="20" t="str">
        <f>'Công trình'!X84</f>
        <v>HCM_2016_QD_3384_XD</v>
      </c>
      <c r="K468" s="166"/>
      <c r="L468" s="156">
        <f>ROUND((L77)*G468/100,2)</f>
        <v>27890.03</v>
      </c>
      <c r="M468" s="166"/>
      <c r="N468" s="166"/>
      <c r="O468" s="166"/>
      <c r="P468" s="156">
        <f>ROUND((P77)*G468/100,2)</f>
        <v>0</v>
      </c>
      <c r="Q468" s="156">
        <f>ROUND((Q77)*G468/100,2)</f>
        <v>27890.03</v>
      </c>
    </row>
    <row r="469" spans="1:17" ht="45" hidden="1" x14ac:dyDescent="0.25">
      <c r="A469" s="57"/>
      <c r="B469" s="12" t="str">
        <f>'Công trình'!B35</f>
        <v>AF.82111</v>
      </c>
      <c r="C469" s="89"/>
      <c r="D469" s="12" t="str">
        <f>'Công trình'!C35</f>
        <v>Sản xuất, lắp dựng tháo dỡ ván khuôn thép, cây chống gỗ tường, cột vuông (chữ nhật), xà dầm, giằng, chiều cao &lt;=16m</v>
      </c>
      <c r="E469" s="57"/>
      <c r="F469" s="79">
        <v>1</v>
      </c>
      <c r="G469" s="103">
        <f>'Hao phí vật tư'!I270</f>
        <v>2</v>
      </c>
      <c r="H469" s="51"/>
      <c r="I469" s="38">
        <f>ROUND((I79+I373)*G469/100,2)</f>
        <v>5897.77</v>
      </c>
      <c r="J469" s="79" t="str">
        <f>'Công trình'!X35</f>
        <v>HCM_2016_QD_3384_XD</v>
      </c>
      <c r="K469" s="51"/>
      <c r="L469" s="38">
        <f>ROUND((L79+L373)*G469/100,2)</f>
        <v>5897.77</v>
      </c>
      <c r="M469" s="51"/>
      <c r="N469" s="51"/>
      <c r="O469" s="51"/>
      <c r="P469" s="38">
        <f>ROUND((P79+P373)*G469/100,2)</f>
        <v>0</v>
      </c>
      <c r="Q469" s="38">
        <f>ROUND((Q79+Q373)*G469/100,2)</f>
        <v>5897.77</v>
      </c>
    </row>
    <row r="470" spans="1:17" ht="18" customHeight="1" x14ac:dyDescent="0.25">
      <c r="A470" s="40"/>
      <c r="B470" s="5"/>
      <c r="C470" s="157"/>
      <c r="D470" s="5" t="s">
        <v>513</v>
      </c>
      <c r="E470" s="40"/>
      <c r="F470" s="86"/>
      <c r="G470" s="99"/>
      <c r="H470" s="33"/>
      <c r="I470" s="33">
        <f>ROUND(SUMIF(C6:C469,"&gt;0",I6:I469),0)</f>
        <v>2847962515</v>
      </c>
      <c r="J470" s="157"/>
      <c r="K470" s="44"/>
      <c r="L470" s="33">
        <f>ROUND(SUMIF(C6:C469,"&gt;0",L6:L469),0)</f>
        <v>2847962515</v>
      </c>
      <c r="M470" s="33"/>
      <c r="N470" s="33"/>
      <c r="O470" s="33"/>
      <c r="P470" s="33">
        <f>ROUND(SUMIF(C6:C469,"&gt;0",P6:P469),0)</f>
        <v>0</v>
      </c>
      <c r="Q470" s="33">
        <f>ROUND(SUMIF(C6:C469,"&gt;0",Q6:Q469),0)</f>
        <v>2847962515</v>
      </c>
    </row>
    <row r="471" spans="1:17" ht="16.5" customHeight="1" x14ac:dyDescent="0.25">
      <c r="A471" s="2"/>
      <c r="B471" s="146"/>
      <c r="C471" s="36"/>
      <c r="D471" s="146"/>
      <c r="E471" s="2"/>
      <c r="F471" s="146"/>
      <c r="G471" s="36"/>
      <c r="H471" s="36"/>
      <c r="I471" s="36"/>
      <c r="J471" s="36"/>
      <c r="K471" s="146"/>
      <c r="L471" s="36"/>
      <c r="M471" s="36"/>
      <c r="N471" s="36"/>
      <c r="O471" s="36"/>
      <c r="P471" s="146"/>
      <c r="Q471" s="36"/>
    </row>
    <row r="473" spans="1:17" ht="22.5" customHeight="1" x14ac:dyDescent="0.25">
      <c r="A473" s="310" t="s">
        <v>12</v>
      </c>
      <c r="B473" s="310"/>
      <c r="C473" s="310"/>
      <c r="D473" s="310"/>
      <c r="E473" s="310"/>
      <c r="F473" s="310"/>
      <c r="G473" s="310"/>
      <c r="H473" s="310"/>
      <c r="I473" s="310"/>
      <c r="J473" s="310"/>
      <c r="K473" s="310"/>
      <c r="L473" s="310"/>
      <c r="M473" s="310"/>
      <c r="N473" s="310"/>
      <c r="O473" s="310"/>
      <c r="P473" s="310"/>
      <c r="Q473" s="36"/>
    </row>
    <row r="474" spans="1:17" ht="19.5" customHeight="1" x14ac:dyDescent="0.25">
      <c r="A474" s="309" t="s">
        <v>421</v>
      </c>
      <c r="B474" s="309"/>
      <c r="C474" s="309"/>
      <c r="D474" s="309"/>
      <c r="E474" s="309"/>
      <c r="F474" s="309"/>
      <c r="G474" s="309"/>
      <c r="H474" s="309"/>
      <c r="I474" s="309"/>
      <c r="J474" s="309"/>
      <c r="K474" s="309"/>
      <c r="L474" s="309"/>
      <c r="M474" s="309"/>
      <c r="N474" s="309"/>
      <c r="O474" s="309"/>
      <c r="P474" s="309"/>
      <c r="Q474" s="36"/>
    </row>
    <row r="475" spans="1:17" ht="18" customHeight="1" x14ac:dyDescent="0.25">
      <c r="A475" s="311" t="s">
        <v>594</v>
      </c>
      <c r="B475" s="311"/>
      <c r="C475" s="311"/>
      <c r="D475" s="311"/>
      <c r="E475" s="311"/>
      <c r="F475" s="311"/>
      <c r="G475" s="311"/>
      <c r="H475" s="311"/>
      <c r="I475" s="311"/>
      <c r="J475" s="311"/>
      <c r="K475" s="311"/>
      <c r="L475" s="311"/>
      <c r="M475" s="311"/>
      <c r="N475" s="311"/>
      <c r="O475" s="311"/>
      <c r="P475" s="311"/>
      <c r="Q475" s="36"/>
    </row>
    <row r="476" spans="1:17" ht="16.5" customHeight="1" x14ac:dyDescent="0.25">
      <c r="A476" s="2"/>
      <c r="B476" s="146"/>
      <c r="C476" s="36"/>
      <c r="D476" s="146"/>
      <c r="E476" s="2"/>
      <c r="F476" s="146"/>
      <c r="G476" s="36"/>
      <c r="H476" s="36"/>
      <c r="I476" s="36"/>
      <c r="J476" s="36"/>
      <c r="K476" s="146"/>
      <c r="L476" s="36"/>
      <c r="M476" s="36"/>
      <c r="N476" s="36"/>
      <c r="O476" s="313" t="s">
        <v>919</v>
      </c>
      <c r="P476" s="313"/>
      <c r="Q476" s="313"/>
    </row>
    <row r="477" spans="1:17" ht="18.75" customHeight="1" x14ac:dyDescent="0.25">
      <c r="A477" s="105" t="s">
        <v>761</v>
      </c>
      <c r="B477" s="50" t="s">
        <v>178</v>
      </c>
      <c r="C477" s="140" t="s">
        <v>993</v>
      </c>
      <c r="D477" s="105" t="s">
        <v>850</v>
      </c>
      <c r="E477" s="105" t="s">
        <v>971</v>
      </c>
      <c r="F477" s="140" t="s">
        <v>639</v>
      </c>
      <c r="G477" s="134" t="s">
        <v>1192</v>
      </c>
      <c r="H477" s="67" t="s">
        <v>944</v>
      </c>
      <c r="I477" s="92" t="s">
        <v>1015</v>
      </c>
      <c r="J477" s="141" t="s">
        <v>1006</v>
      </c>
      <c r="K477" s="67" t="s">
        <v>731</v>
      </c>
      <c r="L477" s="92" t="s">
        <v>125</v>
      </c>
      <c r="M477" s="67" t="s">
        <v>893</v>
      </c>
      <c r="N477" s="67" t="s">
        <v>239</v>
      </c>
      <c r="O477" s="67" t="s">
        <v>401</v>
      </c>
      <c r="P477" s="67" t="s">
        <v>144</v>
      </c>
      <c r="Q477" s="67" t="s">
        <v>563</v>
      </c>
    </row>
    <row r="478" spans="1:17" x14ac:dyDescent="0.25">
      <c r="A478" s="65">
        <v>1</v>
      </c>
      <c r="B478" s="154" t="s">
        <v>684</v>
      </c>
      <c r="C478" s="94">
        <v>892</v>
      </c>
      <c r="D478" s="31" t="s">
        <v>1100</v>
      </c>
      <c r="E478" s="65" t="s">
        <v>76</v>
      </c>
      <c r="F478" s="94"/>
      <c r="G478" s="126">
        <f>SUM(G479:G483)</f>
        <v>23.103100000000001</v>
      </c>
      <c r="H478" s="54">
        <v>338020</v>
      </c>
      <c r="I478" s="54">
        <f>ROUND(G478*H478,0)</f>
        <v>7809310</v>
      </c>
      <c r="J478" s="94">
        <v>1</v>
      </c>
      <c r="K478" s="54">
        <f>'Tổng hợp VL,NC,M'!I1197</f>
        <v>338020</v>
      </c>
      <c r="L478" s="54">
        <f>ROUND(G478*K478,0)</f>
        <v>7809310</v>
      </c>
      <c r="M478" s="54"/>
      <c r="N478" s="54">
        <f>K478+M478</f>
        <v>338020</v>
      </c>
      <c r="O478" s="54">
        <f>N478-H478</f>
        <v>0</v>
      </c>
      <c r="P478" s="54">
        <f>ROUND(G478*O478,0)</f>
        <v>0</v>
      </c>
      <c r="Q478" s="54">
        <f>ROUND(G478*N478,0)</f>
        <v>7809310</v>
      </c>
    </row>
    <row r="479" spans="1:17" ht="30" hidden="1" x14ac:dyDescent="0.25">
      <c r="A479" s="168"/>
      <c r="B479" s="133" t="str">
        <f>'Công trình'!B322</f>
        <v>AI.65411</v>
      </c>
      <c r="C479" s="34"/>
      <c r="D479" s="133" t="str">
        <f>'Công trình'!C322</f>
        <v>Lắp đặt kết cấu thép khe van, khe phai</v>
      </c>
      <c r="E479" s="168"/>
      <c r="F479" s="20">
        <v>1</v>
      </c>
      <c r="G479" s="45">
        <f>'Hao phí vật tư'!L2417</f>
        <v>9.2346000000000004</v>
      </c>
      <c r="H479" s="166"/>
      <c r="I479" s="156">
        <f>ROUND(G479*H478,2)</f>
        <v>3121479.49</v>
      </c>
      <c r="J479" s="20" t="str">
        <f>'Công trình'!X322</f>
        <v>HCM_2016_QD_3384_XD</v>
      </c>
      <c r="K479" s="166"/>
      <c r="L479" s="156">
        <f>ROUND(G479*K478,2)</f>
        <v>3121479.49</v>
      </c>
      <c r="M479" s="166"/>
      <c r="N479" s="166"/>
      <c r="O479" s="166"/>
      <c r="P479" s="156">
        <f>ROUND(G479*O478,2)</f>
        <v>0</v>
      </c>
      <c r="Q479" s="156">
        <f>ROUND(G479*N478,2)</f>
        <v>3121479.49</v>
      </c>
    </row>
    <row r="480" spans="1:17" ht="30" hidden="1" x14ac:dyDescent="0.25">
      <c r="A480" s="168"/>
      <c r="B480" s="133" t="str">
        <f>'Công trình'!B316</f>
        <v>AI.52211</v>
      </c>
      <c r="C480" s="34"/>
      <c r="D480" s="133" t="str">
        <f>'Công trình'!C316</f>
        <v>Sản xuất kết cấu thép khe phai - thép CT3</v>
      </c>
      <c r="E480" s="168"/>
      <c r="F480" s="20">
        <v>1</v>
      </c>
      <c r="G480" s="45">
        <f>'Hao phí vật tư'!L2317</f>
        <v>2.778</v>
      </c>
      <c r="H480" s="166"/>
      <c r="I480" s="156">
        <f>ROUND(G480*H478,2)</f>
        <v>939019.56</v>
      </c>
      <c r="J480" s="20" t="str">
        <f>'Công trình'!X316</f>
        <v>HCM_2016_QD_3384_XD</v>
      </c>
      <c r="K480" s="166"/>
      <c r="L480" s="156">
        <f>ROUND(G480*K478,2)</f>
        <v>939019.56</v>
      </c>
      <c r="M480" s="166"/>
      <c r="N480" s="166"/>
      <c r="O480" s="166"/>
      <c r="P480" s="156">
        <f>ROUND(G480*O478,2)</f>
        <v>0</v>
      </c>
      <c r="Q480" s="156">
        <f>ROUND(G480*N478,2)</f>
        <v>939019.56</v>
      </c>
    </row>
    <row r="481" spans="1:17" ht="30" hidden="1" x14ac:dyDescent="0.25">
      <c r="A481" s="168"/>
      <c r="B481" s="133" t="str">
        <f>'Công trình'!B317</f>
        <v>AI.52211</v>
      </c>
      <c r="C481" s="34"/>
      <c r="D481" s="133" t="str">
        <f>'Công trình'!C317</f>
        <v>Sản xuất kết cấu thép khe phai - thép SUS304</v>
      </c>
      <c r="E481" s="168"/>
      <c r="F481" s="20">
        <v>1</v>
      </c>
      <c r="G481" s="45">
        <f>'Hao phí vật tư'!L2332</f>
        <v>3.7972000000000001</v>
      </c>
      <c r="H481" s="166"/>
      <c r="I481" s="156">
        <f>ROUND(G481*H478,2)</f>
        <v>1283529.54</v>
      </c>
      <c r="J481" s="20" t="str">
        <f>'Công trình'!X317</f>
        <v>HCM_2016_QD_3384_XD</v>
      </c>
      <c r="K481" s="166"/>
      <c r="L481" s="156">
        <f>ROUND(G481*K478,2)</f>
        <v>1283529.54</v>
      </c>
      <c r="M481" s="166"/>
      <c r="N481" s="166"/>
      <c r="O481" s="166"/>
      <c r="P481" s="156">
        <f>ROUND(G481*O478,2)</f>
        <v>0</v>
      </c>
      <c r="Q481" s="156">
        <f>ROUND(G481*N478,2)</f>
        <v>1283529.54</v>
      </c>
    </row>
    <row r="482" spans="1:17" ht="30" hidden="1" x14ac:dyDescent="0.25">
      <c r="A482" s="168"/>
      <c r="B482" s="133" t="str">
        <f>'Công trình'!B318</f>
        <v>AI.52211</v>
      </c>
      <c r="C482" s="34"/>
      <c r="D482" s="133" t="str">
        <f>'Công trình'!C318</f>
        <v>Sản xuất kết cấu thép khe cửa - thép CT3</v>
      </c>
      <c r="E482" s="168"/>
      <c r="F482" s="20">
        <v>1</v>
      </c>
      <c r="G482" s="45">
        <f>'Hao phí vật tư'!L2348</f>
        <v>2.8088000000000002</v>
      </c>
      <c r="H482" s="166"/>
      <c r="I482" s="156">
        <f>ROUND(G482*H478,2)</f>
        <v>949430.58</v>
      </c>
      <c r="J482" s="20" t="str">
        <f>'Công trình'!X318</f>
        <v>HCM_2016_QD_3384_XD</v>
      </c>
      <c r="K482" s="166"/>
      <c r="L482" s="156">
        <f>ROUND(G482*K478,2)</f>
        <v>949430.58</v>
      </c>
      <c r="M482" s="166"/>
      <c r="N482" s="166"/>
      <c r="O482" s="166"/>
      <c r="P482" s="156">
        <f>ROUND(G482*O478,2)</f>
        <v>0</v>
      </c>
      <c r="Q482" s="156">
        <f>ROUND(G482*N478,2)</f>
        <v>949430.58</v>
      </c>
    </row>
    <row r="483" spans="1:17" ht="30" hidden="1" x14ac:dyDescent="0.25">
      <c r="A483" s="168"/>
      <c r="B483" s="133" t="str">
        <f>'Công trình'!B319</f>
        <v>AI.52211</v>
      </c>
      <c r="C483" s="34"/>
      <c r="D483" s="133" t="str">
        <f>'Công trình'!C319</f>
        <v>Sản xuất kết cấu thép khe cửa- thép SUS304</v>
      </c>
      <c r="E483" s="168"/>
      <c r="F483" s="20">
        <v>1</v>
      </c>
      <c r="G483" s="45">
        <f>'Hao phí vật tư'!L2363</f>
        <v>4.4844999999999997</v>
      </c>
      <c r="H483" s="166"/>
      <c r="I483" s="156">
        <f>ROUND(G483*H478,2)</f>
        <v>1515850.69</v>
      </c>
      <c r="J483" s="20" t="str">
        <f>'Công trình'!X319</f>
        <v>HCM_2016_QD_3384_XD</v>
      </c>
      <c r="K483" s="166"/>
      <c r="L483" s="156">
        <f>ROUND(G483*K478,2)</f>
        <v>1515850.69</v>
      </c>
      <c r="M483" s="166"/>
      <c r="N483" s="166"/>
      <c r="O483" s="166"/>
      <c r="P483" s="156">
        <f>ROUND(G483*O478,2)</f>
        <v>0</v>
      </c>
      <c r="Q483" s="156">
        <f>ROUND(G483*N478,2)</f>
        <v>1515850.69</v>
      </c>
    </row>
    <row r="484" spans="1:17" x14ac:dyDescent="0.25">
      <c r="A484" s="168">
        <v>2</v>
      </c>
      <c r="B484" s="84" t="s">
        <v>379</v>
      </c>
      <c r="C484" s="34">
        <v>840</v>
      </c>
      <c r="D484" s="144" t="s">
        <v>28</v>
      </c>
      <c r="E484" s="168" t="s">
        <v>76</v>
      </c>
      <c r="F484" s="34"/>
      <c r="G484" s="60">
        <f>SUM(G485:G485)</f>
        <v>6.0274000000000001</v>
      </c>
      <c r="H484" s="166">
        <v>4899367</v>
      </c>
      <c r="I484" s="166">
        <f>ROUND(G484*H484,0)</f>
        <v>29530445</v>
      </c>
      <c r="J484" s="34">
        <v>1</v>
      </c>
      <c r="K484" s="166">
        <f>'Tổng hợp VL,NC,M'!I1307</f>
        <v>4899367</v>
      </c>
      <c r="L484" s="166">
        <f>ROUND(G484*K484,0)</f>
        <v>29530445</v>
      </c>
      <c r="M484" s="166"/>
      <c r="N484" s="166">
        <f>K484+M484</f>
        <v>4899367</v>
      </c>
      <c r="O484" s="166">
        <f>N484-H484</f>
        <v>0</v>
      </c>
      <c r="P484" s="166">
        <f>ROUND(G484*O484,0)</f>
        <v>0</v>
      </c>
      <c r="Q484" s="166">
        <f>ROUND(G484*N484,0)</f>
        <v>29530445</v>
      </c>
    </row>
    <row r="485" spans="1:17" ht="30" hidden="1" x14ac:dyDescent="0.25">
      <c r="A485" s="168"/>
      <c r="B485" s="133" t="str">
        <f>'Công trình'!B321</f>
        <v>CV.0202</v>
      </c>
      <c r="C485" s="34"/>
      <c r="D485" s="133" t="str">
        <f>'Công trình'!C321</f>
        <v>Lắp đặt cửa van bằng thép không gỉ, chiều rộng cống (B) &lt;= 8m</v>
      </c>
      <c r="E485" s="168"/>
      <c r="F485" s="20">
        <v>1</v>
      </c>
      <c r="G485" s="45">
        <f>'Hao phí vật tư'!L2400</f>
        <v>6.0274000000000001</v>
      </c>
      <c r="H485" s="166"/>
      <c r="I485" s="156">
        <f>ROUND(G485*H484,2)</f>
        <v>29530444.66</v>
      </c>
      <c r="J485" s="20" t="str">
        <f>'Công trình'!X321</f>
        <v>TL_2013_QD_1751</v>
      </c>
      <c r="K485" s="166"/>
      <c r="L485" s="156">
        <f>ROUND(G485*K484,2)</f>
        <v>29530444.66</v>
      </c>
      <c r="M485" s="166"/>
      <c r="N485" s="166"/>
      <c r="O485" s="166"/>
      <c r="P485" s="156">
        <f>ROUND(G485*O484,2)</f>
        <v>0</v>
      </c>
      <c r="Q485" s="156">
        <f>ROUND(G485*N484,2)</f>
        <v>29530444.66</v>
      </c>
    </row>
    <row r="486" spans="1:17" x14ac:dyDescent="0.25">
      <c r="A486" s="168">
        <v>3</v>
      </c>
      <c r="B486" s="84" t="s">
        <v>1083</v>
      </c>
      <c r="C486" s="34">
        <v>895</v>
      </c>
      <c r="D486" s="144" t="s">
        <v>980</v>
      </c>
      <c r="E486" s="168" t="s">
        <v>76</v>
      </c>
      <c r="F486" s="34"/>
      <c r="G486" s="60">
        <f>SUM(G487:G487)</f>
        <v>0.36670000000000003</v>
      </c>
      <c r="H486" s="166">
        <v>2204647</v>
      </c>
      <c r="I486" s="166">
        <f>ROUND(G486*H486,0)</f>
        <v>808444</v>
      </c>
      <c r="J486" s="34">
        <v>1</v>
      </c>
      <c r="K486" s="166">
        <f>'Tổng hợp VL,NC,M'!I1318</f>
        <v>2204647</v>
      </c>
      <c r="L486" s="166">
        <f>ROUND(G486*K486,0)</f>
        <v>808444</v>
      </c>
      <c r="M486" s="166"/>
      <c r="N486" s="166">
        <f>K486+M486</f>
        <v>2204647</v>
      </c>
      <c r="O486" s="166">
        <f>N486-H486</f>
        <v>0</v>
      </c>
      <c r="P486" s="166">
        <f>ROUND(G486*O486,0)</f>
        <v>0</v>
      </c>
      <c r="Q486" s="166">
        <f>ROUND(G486*N486,0)</f>
        <v>808444</v>
      </c>
    </row>
    <row r="487" spans="1:17" ht="30" hidden="1" x14ac:dyDescent="0.25">
      <c r="A487" s="168"/>
      <c r="B487" s="133" t="str">
        <f>'Công trình'!B322</f>
        <v>AI.65411</v>
      </c>
      <c r="C487" s="34"/>
      <c r="D487" s="133" t="str">
        <f>'Công trình'!C322</f>
        <v>Lắp đặt kết cấu thép khe van, khe phai</v>
      </c>
      <c r="E487" s="168"/>
      <c r="F487" s="20">
        <v>1</v>
      </c>
      <c r="G487" s="45">
        <f>'Hao phí vật tư'!L2416</f>
        <v>0.36670000000000003</v>
      </c>
      <c r="H487" s="166"/>
      <c r="I487" s="156">
        <f>ROUND(G487*H486,2)</f>
        <v>808444.05</v>
      </c>
      <c r="J487" s="20" t="str">
        <f>'Công trình'!X322</f>
        <v>HCM_2016_QD_3384_XD</v>
      </c>
      <c r="K487" s="166"/>
      <c r="L487" s="156">
        <f>ROUND(G487*K486,2)</f>
        <v>808444.05</v>
      </c>
      <c r="M487" s="166"/>
      <c r="N487" s="166"/>
      <c r="O487" s="166"/>
      <c r="P487" s="156">
        <f>ROUND(G487*O486,2)</f>
        <v>0</v>
      </c>
      <c r="Q487" s="156">
        <f>ROUND(G487*N486,2)</f>
        <v>808444.05</v>
      </c>
    </row>
    <row r="488" spans="1:17" x14ac:dyDescent="0.25">
      <c r="A488" s="168">
        <v>4</v>
      </c>
      <c r="B488" s="84" t="s">
        <v>480</v>
      </c>
      <c r="C488" s="34">
        <v>903</v>
      </c>
      <c r="D488" s="144" t="s">
        <v>820</v>
      </c>
      <c r="E488" s="168" t="s">
        <v>76</v>
      </c>
      <c r="F488" s="34"/>
      <c r="G488" s="60">
        <f>SUM(G489:G489)</f>
        <v>1.7221</v>
      </c>
      <c r="H488" s="166">
        <v>1446674</v>
      </c>
      <c r="I488" s="166">
        <f>ROUND(G488*H488,0)</f>
        <v>2491317</v>
      </c>
      <c r="J488" s="34">
        <v>1</v>
      </c>
      <c r="K488" s="166">
        <f>'Tổng hợp VL,NC,M'!I1320</f>
        <v>1446674</v>
      </c>
      <c r="L488" s="166">
        <f>ROUND(G488*K488,0)</f>
        <v>2491317</v>
      </c>
      <c r="M488" s="166"/>
      <c r="N488" s="166">
        <f>K488+M488</f>
        <v>1446674</v>
      </c>
      <c r="O488" s="166">
        <f>N488-H488</f>
        <v>0</v>
      </c>
      <c r="P488" s="166">
        <f>ROUND(G488*O488,0)</f>
        <v>0</v>
      </c>
      <c r="Q488" s="166">
        <f>ROUND(G488*N488,0)</f>
        <v>2491317</v>
      </c>
    </row>
    <row r="489" spans="1:17" ht="30" hidden="1" x14ac:dyDescent="0.25">
      <c r="A489" s="168"/>
      <c r="B489" s="133" t="str">
        <f>'Công trình'!B320</f>
        <v>CV.0102</v>
      </c>
      <c r="C489" s="34"/>
      <c r="D489" s="133" t="str">
        <f>'Công trình'!C320</f>
        <v>Sản xuất cửa van bằng thép không gỉ, chiều rộng cống (B) &lt;= 8m</v>
      </c>
      <c r="E489" s="168"/>
      <c r="F489" s="20">
        <v>1</v>
      </c>
      <c r="G489" s="45">
        <f>'Hao phí vật tư'!L2379</f>
        <v>1.7221</v>
      </c>
      <c r="H489" s="166"/>
      <c r="I489" s="156">
        <f>ROUND(G489*H488,2)</f>
        <v>2491317.2999999998</v>
      </c>
      <c r="J489" s="20" t="str">
        <f>'Công trình'!X320</f>
        <v>TL_2013_QD_1751</v>
      </c>
      <c r="K489" s="166"/>
      <c r="L489" s="156">
        <f>ROUND(G489*K488,2)</f>
        <v>2491317.2999999998</v>
      </c>
      <c r="M489" s="166"/>
      <c r="N489" s="166"/>
      <c r="O489" s="166"/>
      <c r="P489" s="156">
        <f>ROUND(G489*O488,2)</f>
        <v>0</v>
      </c>
      <c r="Q489" s="156">
        <f>ROUND(G489*N488,2)</f>
        <v>2491317.2999999998</v>
      </c>
    </row>
    <row r="490" spans="1:17" x14ac:dyDescent="0.25">
      <c r="A490" s="168">
        <v>5</v>
      </c>
      <c r="B490" s="84" t="s">
        <v>774</v>
      </c>
      <c r="C490" s="34">
        <v>866</v>
      </c>
      <c r="D490" s="144" t="s">
        <v>794</v>
      </c>
      <c r="E490" s="168" t="s">
        <v>76</v>
      </c>
      <c r="F490" s="34"/>
      <c r="G490" s="60">
        <f>SUM(G491:G491)</f>
        <v>96.437600000000003</v>
      </c>
      <c r="H490" s="166">
        <v>277290</v>
      </c>
      <c r="I490" s="166">
        <f>ROUND(G490*H490,0)</f>
        <v>26741182</v>
      </c>
      <c r="J490" s="34">
        <v>1</v>
      </c>
      <c r="K490" s="166">
        <f>'Tổng hợp VL,NC,M'!I1386</f>
        <v>277290</v>
      </c>
      <c r="L490" s="166">
        <f>ROUND(G490*K490,0)</f>
        <v>26741182</v>
      </c>
      <c r="M490" s="166"/>
      <c r="N490" s="166">
        <f>K490+M490</f>
        <v>277290</v>
      </c>
      <c r="O490" s="166">
        <f>N490-H490</f>
        <v>0</v>
      </c>
      <c r="P490" s="166">
        <f>ROUND(G490*O490,0)</f>
        <v>0</v>
      </c>
      <c r="Q490" s="166">
        <f>ROUND(G490*N490,0)</f>
        <v>26741182</v>
      </c>
    </row>
    <row r="491" spans="1:17" ht="30" hidden="1" x14ac:dyDescent="0.25">
      <c r="A491" s="168"/>
      <c r="B491" s="133" t="str">
        <f>'Công trình'!B320</f>
        <v>CV.0102</v>
      </c>
      <c r="C491" s="34"/>
      <c r="D491" s="133" t="str">
        <f>'Công trình'!C320</f>
        <v>Sản xuất cửa van bằng thép không gỉ, chiều rộng cống (B) &lt;= 8m</v>
      </c>
      <c r="E491" s="168"/>
      <c r="F491" s="20">
        <v>1</v>
      </c>
      <c r="G491" s="45">
        <f>'Hao phí vật tư'!L2377</f>
        <v>96.437600000000003</v>
      </c>
      <c r="H491" s="166"/>
      <c r="I491" s="156">
        <f>ROUND(G491*H490,2)</f>
        <v>26741182.100000001</v>
      </c>
      <c r="J491" s="20" t="str">
        <f>'Công trình'!X320</f>
        <v>TL_2013_QD_1751</v>
      </c>
      <c r="K491" s="166"/>
      <c r="L491" s="156">
        <f>ROUND(G491*K490,2)</f>
        <v>26741182.100000001</v>
      </c>
      <c r="M491" s="166"/>
      <c r="N491" s="166"/>
      <c r="O491" s="166"/>
      <c r="P491" s="156">
        <f>ROUND(G491*O490,2)</f>
        <v>0</v>
      </c>
      <c r="Q491" s="156">
        <f>ROUND(G491*N490,2)</f>
        <v>26741182.100000001</v>
      </c>
    </row>
    <row r="492" spans="1:17" x14ac:dyDescent="0.25">
      <c r="A492" s="168">
        <v>6</v>
      </c>
      <c r="B492" s="84" t="s">
        <v>514</v>
      </c>
      <c r="C492" s="34">
        <v>880</v>
      </c>
      <c r="D492" s="144" t="s">
        <v>1048</v>
      </c>
      <c r="E492" s="168" t="s">
        <v>76</v>
      </c>
      <c r="F492" s="34"/>
      <c r="G492" s="60">
        <f>SUM(G493:G493)</f>
        <v>80.938699999999997</v>
      </c>
      <c r="H492" s="166">
        <v>232342</v>
      </c>
      <c r="I492" s="166">
        <f>ROUND(G492*H492,0)</f>
        <v>18805459</v>
      </c>
      <c r="J492" s="34">
        <v>1</v>
      </c>
      <c r="K492" s="166">
        <f>'Tổng hợp VL,NC,M'!I1430</f>
        <v>232342</v>
      </c>
      <c r="L492" s="166">
        <f>ROUND(G492*K492,0)</f>
        <v>18805459</v>
      </c>
      <c r="M492" s="166"/>
      <c r="N492" s="166">
        <f>K492+M492</f>
        <v>232342</v>
      </c>
      <c r="O492" s="166">
        <f>N492-H492</f>
        <v>0</v>
      </c>
      <c r="P492" s="166">
        <f>ROUND(G492*O492,0)</f>
        <v>0</v>
      </c>
      <c r="Q492" s="166">
        <f>ROUND(G492*N492,0)</f>
        <v>18805459</v>
      </c>
    </row>
    <row r="493" spans="1:17" ht="30" hidden="1" x14ac:dyDescent="0.25">
      <c r="A493" s="168"/>
      <c r="B493" s="133" t="str">
        <f>'Công trình'!B320</f>
        <v>CV.0102</v>
      </c>
      <c r="C493" s="34"/>
      <c r="D493" s="133" t="str">
        <f>'Công trình'!C320</f>
        <v>Sản xuất cửa van bằng thép không gỉ, chiều rộng cống (B) &lt;= 8m</v>
      </c>
      <c r="E493" s="168"/>
      <c r="F493" s="20">
        <v>1</v>
      </c>
      <c r="G493" s="45">
        <f>'Hao phí vật tư'!L2381</f>
        <v>80.938699999999997</v>
      </c>
      <c r="H493" s="166"/>
      <c r="I493" s="156">
        <f>ROUND(G493*H492,2)</f>
        <v>18805459.440000001</v>
      </c>
      <c r="J493" s="20" t="str">
        <f>'Công trình'!X320</f>
        <v>TL_2013_QD_1751</v>
      </c>
      <c r="K493" s="166"/>
      <c r="L493" s="156">
        <f>ROUND(G493*K492,2)</f>
        <v>18805459.440000001</v>
      </c>
      <c r="M493" s="166"/>
      <c r="N493" s="166"/>
      <c r="O493" s="166"/>
      <c r="P493" s="156">
        <f>ROUND(G493*O492,2)</f>
        <v>0</v>
      </c>
      <c r="Q493" s="156">
        <f>ROUND(G493*N492,2)</f>
        <v>18805459.440000001</v>
      </c>
    </row>
    <row r="494" spans="1:17" x14ac:dyDescent="0.25">
      <c r="A494" s="168">
        <v>7</v>
      </c>
      <c r="B494" s="84" t="s">
        <v>32</v>
      </c>
      <c r="C494" s="34">
        <v>842</v>
      </c>
      <c r="D494" s="144" t="s">
        <v>223</v>
      </c>
      <c r="E494" s="168" t="s">
        <v>76</v>
      </c>
      <c r="F494" s="34"/>
      <c r="G494" s="60">
        <f>SUM(G495:G496)</f>
        <v>157.91660000000002</v>
      </c>
      <c r="H494" s="166">
        <v>338020</v>
      </c>
      <c r="I494" s="166">
        <f>ROUND(G494*H494,0)</f>
        <v>53378969</v>
      </c>
      <c r="J494" s="34">
        <v>1</v>
      </c>
      <c r="K494" s="166">
        <f>'Tổng hợp VL,NC,M'!I1479</f>
        <v>338020</v>
      </c>
      <c r="L494" s="166">
        <f>ROUND(G494*K494,0)</f>
        <v>53378969</v>
      </c>
      <c r="M494" s="166"/>
      <c r="N494" s="166">
        <f>K494+M494</f>
        <v>338020</v>
      </c>
      <c r="O494" s="166">
        <f>N494-H494</f>
        <v>0</v>
      </c>
      <c r="P494" s="166">
        <f>ROUND(G494*O494,0)</f>
        <v>0</v>
      </c>
      <c r="Q494" s="166">
        <f>ROUND(G494*N494,0)</f>
        <v>53378969</v>
      </c>
    </row>
    <row r="495" spans="1:17" ht="30" hidden="1" x14ac:dyDescent="0.25">
      <c r="A495" s="168"/>
      <c r="B495" s="133" t="str">
        <f>'Công trình'!B320</f>
        <v>CV.0102</v>
      </c>
      <c r="C495" s="34"/>
      <c r="D495" s="133" t="str">
        <f>'Công trình'!C320</f>
        <v>Sản xuất cửa van bằng thép không gỉ, chiều rộng cống (B) &lt;= 8m</v>
      </c>
      <c r="E495" s="168"/>
      <c r="F495" s="20">
        <v>1</v>
      </c>
      <c r="G495" s="45">
        <f>'Hao phí vật tư'!L2384</f>
        <v>134.32380000000001</v>
      </c>
      <c r="H495" s="166"/>
      <c r="I495" s="156">
        <f>ROUND(G495*H494,2)</f>
        <v>45404130.880000003</v>
      </c>
      <c r="J495" s="20" t="str">
        <f>'Công trình'!X320</f>
        <v>TL_2013_QD_1751</v>
      </c>
      <c r="K495" s="166"/>
      <c r="L495" s="156">
        <f>ROUND(G495*K494,2)</f>
        <v>45404130.880000003</v>
      </c>
      <c r="M495" s="166"/>
      <c r="N495" s="166"/>
      <c r="O495" s="166"/>
      <c r="P495" s="156">
        <f>ROUND(G495*O494,2)</f>
        <v>0</v>
      </c>
      <c r="Q495" s="156">
        <f>ROUND(G495*N494,2)</f>
        <v>45404130.880000003</v>
      </c>
    </row>
    <row r="496" spans="1:17" ht="30" hidden="1" x14ac:dyDescent="0.25">
      <c r="A496" s="168"/>
      <c r="B496" s="133" t="str">
        <f>'Công trình'!B321</f>
        <v>CV.0202</v>
      </c>
      <c r="C496" s="34"/>
      <c r="D496" s="133" t="str">
        <f>'Công trình'!C321</f>
        <v>Lắp đặt cửa van bằng thép không gỉ, chiều rộng cống (B) &lt;= 8m</v>
      </c>
      <c r="E496" s="168"/>
      <c r="F496" s="20">
        <v>1</v>
      </c>
      <c r="G496" s="45">
        <f>'Hao phí vật tư'!L2399</f>
        <v>23.5928</v>
      </c>
      <c r="H496" s="166"/>
      <c r="I496" s="156">
        <f>ROUND(G496*H494,2)</f>
        <v>7974838.2599999998</v>
      </c>
      <c r="J496" s="20" t="str">
        <f>'Công trình'!X321</f>
        <v>TL_2013_QD_1751</v>
      </c>
      <c r="K496" s="166"/>
      <c r="L496" s="156">
        <f>ROUND(G496*K494,2)</f>
        <v>7974838.2599999998</v>
      </c>
      <c r="M496" s="166"/>
      <c r="N496" s="166"/>
      <c r="O496" s="166"/>
      <c r="P496" s="156">
        <f>ROUND(G496*O494,2)</f>
        <v>0</v>
      </c>
      <c r="Q496" s="156">
        <f>ROUND(G496*N494,2)</f>
        <v>7974838.2599999998</v>
      </c>
    </row>
    <row r="497" spans="1:17" x14ac:dyDescent="0.25">
      <c r="A497" s="168">
        <v>8</v>
      </c>
      <c r="B497" s="84" t="s">
        <v>826</v>
      </c>
      <c r="C497" s="34">
        <v>882</v>
      </c>
      <c r="D497" s="144" t="s">
        <v>987</v>
      </c>
      <c r="E497" s="168" t="s">
        <v>76</v>
      </c>
      <c r="F497" s="34"/>
      <c r="G497" s="60">
        <f>SUM(G498:G498)</f>
        <v>10.332599999999999</v>
      </c>
      <c r="H497" s="166">
        <v>247705</v>
      </c>
      <c r="I497" s="166">
        <f>ROUND(G497*H497,0)</f>
        <v>2559437</v>
      </c>
      <c r="J497" s="34">
        <v>1</v>
      </c>
      <c r="K497" s="166">
        <f>'Tổng hợp VL,NC,M'!I1482</f>
        <v>247705</v>
      </c>
      <c r="L497" s="166">
        <f>ROUND(G497*K497,0)</f>
        <v>2559437</v>
      </c>
      <c r="M497" s="166"/>
      <c r="N497" s="166">
        <f>K497+M497</f>
        <v>247705</v>
      </c>
      <c r="O497" s="166">
        <f>N497-H497</f>
        <v>0</v>
      </c>
      <c r="P497" s="166">
        <f>ROUND(G497*O497,0)</f>
        <v>0</v>
      </c>
      <c r="Q497" s="166">
        <f>ROUND(G497*N497,0)</f>
        <v>2559437</v>
      </c>
    </row>
    <row r="498" spans="1:17" ht="30" hidden="1" x14ac:dyDescent="0.25">
      <c r="A498" s="168"/>
      <c r="B498" s="133" t="str">
        <f>'Công trình'!B320</f>
        <v>CV.0102</v>
      </c>
      <c r="C498" s="34"/>
      <c r="D498" s="133" t="str">
        <f>'Công trình'!C320</f>
        <v>Sản xuất cửa van bằng thép không gỉ, chiều rộng cống (B) &lt;= 8m</v>
      </c>
      <c r="E498" s="168"/>
      <c r="F498" s="20">
        <v>1</v>
      </c>
      <c r="G498" s="45">
        <f>'Hao phí vật tư'!L2376</f>
        <v>10.332599999999999</v>
      </c>
      <c r="H498" s="166"/>
      <c r="I498" s="156">
        <f>ROUND(G498*H497,2)</f>
        <v>2559436.6800000002</v>
      </c>
      <c r="J498" s="20" t="str">
        <f>'Công trình'!X320</f>
        <v>TL_2013_QD_1751</v>
      </c>
      <c r="K498" s="166"/>
      <c r="L498" s="156">
        <f>ROUND(G498*K497,2)</f>
        <v>2559436.6800000002</v>
      </c>
      <c r="M498" s="166"/>
      <c r="N498" s="166"/>
      <c r="O498" s="166"/>
      <c r="P498" s="156">
        <f>ROUND(G498*O497,2)</f>
        <v>0</v>
      </c>
      <c r="Q498" s="156">
        <f>ROUND(G498*N497,2)</f>
        <v>2559436.6800000002</v>
      </c>
    </row>
    <row r="499" spans="1:17" x14ac:dyDescent="0.25">
      <c r="A499" s="168">
        <v>9</v>
      </c>
      <c r="B499" s="84" t="s">
        <v>174</v>
      </c>
      <c r="C499" s="34">
        <v>878</v>
      </c>
      <c r="D499" s="144" t="s">
        <v>953</v>
      </c>
      <c r="E499" s="168" t="s">
        <v>76</v>
      </c>
      <c r="F499" s="34"/>
      <c r="G499" s="60">
        <f>SUM(G500:G500)</f>
        <v>75.772400000000005</v>
      </c>
      <c r="H499" s="166">
        <v>268963</v>
      </c>
      <c r="I499" s="166">
        <f>ROUND(G499*H499,0)</f>
        <v>20379972</v>
      </c>
      <c r="J499" s="34">
        <v>1</v>
      </c>
      <c r="K499" s="166">
        <f>'Tổng hợp VL,NC,M'!I1484</f>
        <v>268963</v>
      </c>
      <c r="L499" s="166">
        <f>ROUND(G499*K499,0)</f>
        <v>20379972</v>
      </c>
      <c r="M499" s="166"/>
      <c r="N499" s="166">
        <f>K499+M499</f>
        <v>268963</v>
      </c>
      <c r="O499" s="166">
        <f>N499-H499</f>
        <v>0</v>
      </c>
      <c r="P499" s="166">
        <f>ROUND(G499*O499,0)</f>
        <v>0</v>
      </c>
      <c r="Q499" s="166">
        <f>ROUND(G499*N499,0)</f>
        <v>20379972</v>
      </c>
    </row>
    <row r="500" spans="1:17" ht="30" hidden="1" x14ac:dyDescent="0.25">
      <c r="A500" s="168"/>
      <c r="B500" s="133" t="str">
        <f>'Công trình'!B320</f>
        <v>CV.0102</v>
      </c>
      <c r="C500" s="34"/>
      <c r="D500" s="133" t="str">
        <f>'Công trình'!C320</f>
        <v>Sản xuất cửa van bằng thép không gỉ, chiều rộng cống (B) &lt;= 8m</v>
      </c>
      <c r="E500" s="168"/>
      <c r="F500" s="20">
        <v>1</v>
      </c>
      <c r="G500" s="45">
        <f>'Hao phí vật tư'!L2378</f>
        <v>75.772400000000005</v>
      </c>
      <c r="H500" s="166"/>
      <c r="I500" s="156">
        <f>ROUND(G500*H499,2)</f>
        <v>20379972.02</v>
      </c>
      <c r="J500" s="20" t="str">
        <f>'Công trình'!X320</f>
        <v>TL_2013_QD_1751</v>
      </c>
      <c r="K500" s="166"/>
      <c r="L500" s="156">
        <f>ROUND(G500*K499,2)</f>
        <v>20379972.02</v>
      </c>
      <c r="M500" s="166"/>
      <c r="N500" s="166"/>
      <c r="O500" s="166"/>
      <c r="P500" s="156">
        <f>ROUND(G500*O499,2)</f>
        <v>0</v>
      </c>
      <c r="Q500" s="156">
        <f>ROUND(G500*N499,2)</f>
        <v>20379972.02</v>
      </c>
    </row>
    <row r="501" spans="1:17" x14ac:dyDescent="0.25">
      <c r="A501" s="168">
        <v>10</v>
      </c>
      <c r="B501" s="84" t="s">
        <v>1047</v>
      </c>
      <c r="C501" s="34">
        <v>867</v>
      </c>
      <c r="D501" s="144" t="s">
        <v>274</v>
      </c>
      <c r="E501" s="168" t="s">
        <v>76</v>
      </c>
      <c r="F501" s="34"/>
      <c r="G501" s="60">
        <f>SUM(G502:G505)</f>
        <v>3.5339</v>
      </c>
      <c r="H501" s="166">
        <v>247705</v>
      </c>
      <c r="I501" s="166">
        <f>ROUND(G501*H501,0)</f>
        <v>875365</v>
      </c>
      <c r="J501" s="34">
        <v>1</v>
      </c>
      <c r="K501" s="166">
        <f>'Tổng hợp VL,NC,M'!I1486</f>
        <v>247705</v>
      </c>
      <c r="L501" s="166">
        <f>ROUND(G501*K501,0)</f>
        <v>875365</v>
      </c>
      <c r="M501" s="166"/>
      <c r="N501" s="166">
        <f>K501+M501</f>
        <v>247705</v>
      </c>
      <c r="O501" s="166">
        <f>N501-H501</f>
        <v>0</v>
      </c>
      <c r="P501" s="166">
        <f>ROUND(G501*O501,0)</f>
        <v>0</v>
      </c>
      <c r="Q501" s="166">
        <f>ROUND(G501*N501,0)</f>
        <v>875365</v>
      </c>
    </row>
    <row r="502" spans="1:17" ht="30" hidden="1" x14ac:dyDescent="0.25">
      <c r="A502" s="168"/>
      <c r="B502" s="133" t="str">
        <f>'Công trình'!B316</f>
        <v>AI.52211</v>
      </c>
      <c r="C502" s="34"/>
      <c r="D502" s="133" t="str">
        <f>'Công trình'!C316</f>
        <v>Sản xuất kết cấu thép khe phai - thép CT3</v>
      </c>
      <c r="E502" s="168"/>
      <c r="F502" s="20">
        <v>1</v>
      </c>
      <c r="G502" s="45">
        <f>'Hao phí vật tư'!L2316</f>
        <v>0.70789999999999997</v>
      </c>
      <c r="H502" s="166"/>
      <c r="I502" s="156">
        <f>ROUND(G502*H501,2)</f>
        <v>175350.37</v>
      </c>
      <c r="J502" s="20" t="str">
        <f>'Công trình'!X316</f>
        <v>HCM_2016_QD_3384_XD</v>
      </c>
      <c r="K502" s="166"/>
      <c r="L502" s="156">
        <f>ROUND(G502*K501,2)</f>
        <v>175350.37</v>
      </c>
      <c r="M502" s="166"/>
      <c r="N502" s="166"/>
      <c r="O502" s="166"/>
      <c r="P502" s="156">
        <f>ROUND(G502*O501,2)</f>
        <v>0</v>
      </c>
      <c r="Q502" s="156">
        <f>ROUND(G502*N501,2)</f>
        <v>175350.37</v>
      </c>
    </row>
    <row r="503" spans="1:17" ht="30" hidden="1" x14ac:dyDescent="0.25">
      <c r="A503" s="168"/>
      <c r="B503" s="133" t="str">
        <f>'Công trình'!B317</f>
        <v>AI.52211</v>
      </c>
      <c r="C503" s="34"/>
      <c r="D503" s="133" t="str">
        <f>'Công trình'!C317</f>
        <v>Sản xuất kết cấu thép khe phai - thép SUS304</v>
      </c>
      <c r="E503" s="168"/>
      <c r="F503" s="20">
        <v>1</v>
      </c>
      <c r="G503" s="45">
        <f>'Hao phí vật tư'!L2331</f>
        <v>0.96760000000000002</v>
      </c>
      <c r="H503" s="166"/>
      <c r="I503" s="156">
        <f>ROUND(G503*H501,2)</f>
        <v>239679.35999999999</v>
      </c>
      <c r="J503" s="20" t="str">
        <f>'Công trình'!X317</f>
        <v>HCM_2016_QD_3384_XD</v>
      </c>
      <c r="K503" s="166"/>
      <c r="L503" s="156">
        <f>ROUND(G503*K501,2)</f>
        <v>239679.35999999999</v>
      </c>
      <c r="M503" s="166"/>
      <c r="N503" s="166"/>
      <c r="O503" s="166"/>
      <c r="P503" s="156">
        <f>ROUND(G503*O501,2)</f>
        <v>0</v>
      </c>
      <c r="Q503" s="156">
        <f>ROUND(G503*N501,2)</f>
        <v>239679.35999999999</v>
      </c>
    </row>
    <row r="504" spans="1:17" ht="30" hidden="1" x14ac:dyDescent="0.25">
      <c r="A504" s="168"/>
      <c r="B504" s="133" t="str">
        <f>'Công trình'!B318</f>
        <v>AI.52211</v>
      </c>
      <c r="C504" s="34"/>
      <c r="D504" s="133" t="str">
        <f>'Công trình'!C318</f>
        <v>Sản xuất kết cấu thép khe cửa - thép CT3</v>
      </c>
      <c r="E504" s="168"/>
      <c r="F504" s="20">
        <v>1</v>
      </c>
      <c r="G504" s="45">
        <f>'Hao phí vật tư'!L2347</f>
        <v>0.7157</v>
      </c>
      <c r="H504" s="166"/>
      <c r="I504" s="156">
        <f>ROUND(G504*H501,2)</f>
        <v>177282.47</v>
      </c>
      <c r="J504" s="20" t="str">
        <f>'Công trình'!X318</f>
        <v>HCM_2016_QD_3384_XD</v>
      </c>
      <c r="K504" s="166"/>
      <c r="L504" s="156">
        <f>ROUND(G504*K501,2)</f>
        <v>177282.47</v>
      </c>
      <c r="M504" s="166"/>
      <c r="N504" s="166"/>
      <c r="O504" s="166"/>
      <c r="P504" s="156">
        <f>ROUND(G504*O501,2)</f>
        <v>0</v>
      </c>
      <c r="Q504" s="156">
        <f>ROUND(G504*N501,2)</f>
        <v>177282.47</v>
      </c>
    </row>
    <row r="505" spans="1:17" ht="30" hidden="1" x14ac:dyDescent="0.25">
      <c r="A505" s="168"/>
      <c r="B505" s="133" t="str">
        <f>'Công trình'!B319</f>
        <v>AI.52211</v>
      </c>
      <c r="C505" s="34"/>
      <c r="D505" s="133" t="str">
        <f>'Công trình'!C319</f>
        <v>Sản xuất kết cấu thép khe cửa- thép SUS304</v>
      </c>
      <c r="E505" s="168"/>
      <c r="F505" s="20">
        <v>1</v>
      </c>
      <c r="G505" s="45">
        <f>'Hao phí vật tư'!L2362</f>
        <v>1.1427</v>
      </c>
      <c r="H505" s="166"/>
      <c r="I505" s="156">
        <f>ROUND(G505*H501,2)</f>
        <v>283052.5</v>
      </c>
      <c r="J505" s="20" t="str">
        <f>'Công trình'!X319</f>
        <v>HCM_2016_QD_3384_XD</v>
      </c>
      <c r="K505" s="166"/>
      <c r="L505" s="156">
        <f>ROUND(G505*K501,2)</f>
        <v>283052.5</v>
      </c>
      <c r="M505" s="166"/>
      <c r="N505" s="166"/>
      <c r="O505" s="166"/>
      <c r="P505" s="156">
        <f>ROUND(G505*O501,2)</f>
        <v>0</v>
      </c>
      <c r="Q505" s="156">
        <f>ROUND(G505*N501,2)</f>
        <v>283052.5</v>
      </c>
    </row>
    <row r="506" spans="1:17" x14ac:dyDescent="0.25">
      <c r="A506" s="168">
        <v>11</v>
      </c>
      <c r="B506" s="84" t="s">
        <v>1085</v>
      </c>
      <c r="C506" s="34">
        <v>874</v>
      </c>
      <c r="D506" s="144" t="s">
        <v>320</v>
      </c>
      <c r="E506" s="168" t="s">
        <v>76</v>
      </c>
      <c r="F506" s="34"/>
      <c r="G506" s="60">
        <f>SUM(G507:G511)</f>
        <v>8.134500000000001</v>
      </c>
      <c r="H506" s="166">
        <v>213347</v>
      </c>
      <c r="I506" s="166">
        <f>ROUND(G506*H506,0)</f>
        <v>1735471</v>
      </c>
      <c r="J506" s="34">
        <v>1</v>
      </c>
      <c r="K506" s="166">
        <f>'Tổng hợp VL,NC,M'!I1502</f>
        <v>213347</v>
      </c>
      <c r="L506" s="166">
        <f>ROUND(G506*K506,0)</f>
        <v>1735471</v>
      </c>
      <c r="M506" s="166"/>
      <c r="N506" s="166">
        <f>K506+M506</f>
        <v>213347</v>
      </c>
      <c r="O506" s="166">
        <f>N506-H506</f>
        <v>0</v>
      </c>
      <c r="P506" s="166">
        <f>ROUND(G506*O506,0)</f>
        <v>0</v>
      </c>
      <c r="Q506" s="166">
        <f>ROUND(G506*N506,0)</f>
        <v>1735471</v>
      </c>
    </row>
    <row r="507" spans="1:17" ht="30" hidden="1" x14ac:dyDescent="0.25">
      <c r="A507" s="168"/>
      <c r="B507" s="133" t="str">
        <f>'Công trình'!B322</f>
        <v>AI.65411</v>
      </c>
      <c r="C507" s="34"/>
      <c r="D507" s="133" t="str">
        <f>'Công trình'!C322</f>
        <v>Lắp đặt kết cấu thép khe van, khe phai</v>
      </c>
      <c r="E507" s="168"/>
      <c r="F507" s="20">
        <v>1</v>
      </c>
      <c r="G507" s="45">
        <f>'Hao phí vật tư'!L2415</f>
        <v>4.6006</v>
      </c>
      <c r="H507" s="166"/>
      <c r="I507" s="156">
        <f>ROUND(G507*H506,2)</f>
        <v>981524.21</v>
      </c>
      <c r="J507" s="20" t="str">
        <f>'Công trình'!X322</f>
        <v>HCM_2016_QD_3384_XD</v>
      </c>
      <c r="K507" s="166"/>
      <c r="L507" s="156">
        <f>ROUND(G507*K506,2)</f>
        <v>981524.21</v>
      </c>
      <c r="M507" s="166"/>
      <c r="N507" s="166"/>
      <c r="O507" s="166"/>
      <c r="P507" s="156">
        <f>ROUND(G507*O506,2)</f>
        <v>0</v>
      </c>
      <c r="Q507" s="156">
        <f>ROUND(G507*N506,2)</f>
        <v>981524.21</v>
      </c>
    </row>
    <row r="508" spans="1:17" ht="30" hidden="1" x14ac:dyDescent="0.25">
      <c r="A508" s="168"/>
      <c r="B508" s="133" t="str">
        <f>'Công trình'!B316</f>
        <v>AI.52211</v>
      </c>
      <c r="C508" s="34"/>
      <c r="D508" s="133" t="str">
        <f>'Công trình'!C316</f>
        <v>Sản xuất kết cấu thép khe phai - thép CT3</v>
      </c>
      <c r="E508" s="168"/>
      <c r="F508" s="20">
        <v>1</v>
      </c>
      <c r="G508" s="45">
        <f>'Hao phí vật tư'!L2318</f>
        <v>0.70789999999999997</v>
      </c>
      <c r="H508" s="166"/>
      <c r="I508" s="156">
        <f>ROUND(G508*H506,2)</f>
        <v>151028.34</v>
      </c>
      <c r="J508" s="20" t="str">
        <f>'Công trình'!X316</f>
        <v>HCM_2016_QD_3384_XD</v>
      </c>
      <c r="K508" s="166"/>
      <c r="L508" s="156">
        <f>ROUND(G508*K506,2)</f>
        <v>151028.34</v>
      </c>
      <c r="M508" s="166"/>
      <c r="N508" s="166"/>
      <c r="O508" s="166"/>
      <c r="P508" s="156">
        <f>ROUND(G508*O506,2)</f>
        <v>0</v>
      </c>
      <c r="Q508" s="156">
        <f>ROUND(G508*N506,2)</f>
        <v>151028.34</v>
      </c>
    </row>
    <row r="509" spans="1:17" ht="30" hidden="1" x14ac:dyDescent="0.25">
      <c r="A509" s="168"/>
      <c r="B509" s="133" t="str">
        <f>'Công trình'!B317</f>
        <v>AI.52211</v>
      </c>
      <c r="C509" s="34"/>
      <c r="D509" s="133" t="str">
        <f>'Công trình'!C317</f>
        <v>Sản xuất kết cấu thép khe phai - thép SUS304</v>
      </c>
      <c r="E509" s="168"/>
      <c r="F509" s="20">
        <v>1</v>
      </c>
      <c r="G509" s="45">
        <f>'Hao phí vật tư'!L2333</f>
        <v>0.96760000000000002</v>
      </c>
      <c r="H509" s="166"/>
      <c r="I509" s="156">
        <f>ROUND(G509*H506,2)</f>
        <v>206434.56</v>
      </c>
      <c r="J509" s="20" t="str">
        <f>'Công trình'!X317</f>
        <v>HCM_2016_QD_3384_XD</v>
      </c>
      <c r="K509" s="166"/>
      <c r="L509" s="156">
        <f>ROUND(G509*K506,2)</f>
        <v>206434.56</v>
      </c>
      <c r="M509" s="166"/>
      <c r="N509" s="166"/>
      <c r="O509" s="166"/>
      <c r="P509" s="156">
        <f>ROUND(G509*O506,2)</f>
        <v>0</v>
      </c>
      <c r="Q509" s="156">
        <f>ROUND(G509*N506,2)</f>
        <v>206434.56</v>
      </c>
    </row>
    <row r="510" spans="1:17" ht="30" hidden="1" x14ac:dyDescent="0.25">
      <c r="A510" s="168"/>
      <c r="B510" s="133" t="str">
        <f>'Công trình'!B318</f>
        <v>AI.52211</v>
      </c>
      <c r="C510" s="34"/>
      <c r="D510" s="133" t="str">
        <f>'Công trình'!C318</f>
        <v>Sản xuất kết cấu thép khe cửa - thép CT3</v>
      </c>
      <c r="E510" s="168"/>
      <c r="F510" s="20">
        <v>1</v>
      </c>
      <c r="G510" s="45">
        <f>'Hao phí vật tư'!L2349</f>
        <v>0.7157</v>
      </c>
      <c r="H510" s="166"/>
      <c r="I510" s="156">
        <f>ROUND(G510*H506,2)</f>
        <v>152692.45000000001</v>
      </c>
      <c r="J510" s="20" t="str">
        <f>'Công trình'!X318</f>
        <v>HCM_2016_QD_3384_XD</v>
      </c>
      <c r="K510" s="166"/>
      <c r="L510" s="156">
        <f>ROUND(G510*K506,2)</f>
        <v>152692.45000000001</v>
      </c>
      <c r="M510" s="166"/>
      <c r="N510" s="166"/>
      <c r="O510" s="166"/>
      <c r="P510" s="156">
        <f>ROUND(G510*O506,2)</f>
        <v>0</v>
      </c>
      <c r="Q510" s="156">
        <f>ROUND(G510*N506,2)</f>
        <v>152692.45000000001</v>
      </c>
    </row>
    <row r="511" spans="1:17" ht="30" hidden="1" x14ac:dyDescent="0.25">
      <c r="A511" s="168"/>
      <c r="B511" s="133" t="str">
        <f>'Công trình'!B319</f>
        <v>AI.52211</v>
      </c>
      <c r="C511" s="34"/>
      <c r="D511" s="133" t="str">
        <f>'Công trình'!C319</f>
        <v>Sản xuất kết cấu thép khe cửa- thép SUS304</v>
      </c>
      <c r="E511" s="168"/>
      <c r="F511" s="20">
        <v>1</v>
      </c>
      <c r="G511" s="45">
        <f>'Hao phí vật tư'!L2364</f>
        <v>1.1427</v>
      </c>
      <c r="H511" s="166"/>
      <c r="I511" s="156">
        <f>ROUND(G511*H506,2)</f>
        <v>243791.62</v>
      </c>
      <c r="J511" s="20" t="str">
        <f>'Công trình'!X319</f>
        <v>HCM_2016_QD_3384_XD</v>
      </c>
      <c r="K511" s="166"/>
      <c r="L511" s="156">
        <f>ROUND(G511*K506,2)</f>
        <v>243791.62</v>
      </c>
      <c r="M511" s="166"/>
      <c r="N511" s="166"/>
      <c r="O511" s="166"/>
      <c r="P511" s="156">
        <f>ROUND(G511*O506,2)</f>
        <v>0</v>
      </c>
      <c r="Q511" s="156">
        <f>ROUND(G511*N506,2)</f>
        <v>243791.62</v>
      </c>
    </row>
    <row r="512" spans="1:17" x14ac:dyDescent="0.25">
      <c r="A512" s="168">
        <v>12</v>
      </c>
      <c r="B512" s="84" t="s">
        <v>128</v>
      </c>
      <c r="C512" s="34">
        <v>876</v>
      </c>
      <c r="D512" s="144" t="s">
        <v>998</v>
      </c>
      <c r="E512" s="168" t="s">
        <v>76</v>
      </c>
      <c r="F512" s="34"/>
      <c r="G512" s="60">
        <f>SUM(G513:G514)</f>
        <v>35.130800000000001</v>
      </c>
      <c r="H512" s="166">
        <v>213347</v>
      </c>
      <c r="I512" s="166">
        <f>ROUND(G512*H512,0)</f>
        <v>7495051</v>
      </c>
      <c r="J512" s="34">
        <v>1</v>
      </c>
      <c r="K512" s="166">
        <f>'Tổng hợp VL,NC,M'!I1515</f>
        <v>213347</v>
      </c>
      <c r="L512" s="166">
        <f>ROUND(G512*K512,0)</f>
        <v>7495051</v>
      </c>
      <c r="M512" s="166"/>
      <c r="N512" s="166">
        <f>K512+M512</f>
        <v>213347</v>
      </c>
      <c r="O512" s="166">
        <f>N512-H512</f>
        <v>0</v>
      </c>
      <c r="P512" s="166">
        <f>ROUND(G512*O512,0)</f>
        <v>0</v>
      </c>
      <c r="Q512" s="166">
        <f>ROUND(G512*N512,0)</f>
        <v>7495051</v>
      </c>
    </row>
    <row r="513" spans="1:17" ht="30" hidden="1" x14ac:dyDescent="0.25">
      <c r="A513" s="168"/>
      <c r="B513" s="133" t="str">
        <f>'Công trình'!B320</f>
        <v>CV.0102</v>
      </c>
      <c r="C513" s="34"/>
      <c r="D513" s="133" t="str">
        <f>'Công trình'!C320</f>
        <v>Sản xuất cửa van bằng thép không gỉ, chiều rộng cống (B) &lt;= 8m</v>
      </c>
      <c r="E513" s="168"/>
      <c r="F513" s="20">
        <v>1</v>
      </c>
      <c r="G513" s="45">
        <f>'Hao phí vật tư'!L2383</f>
        <v>30.997800000000002</v>
      </c>
      <c r="H513" s="166"/>
      <c r="I513" s="156">
        <f>ROUND(G513*H512,2)</f>
        <v>6613287.6399999997</v>
      </c>
      <c r="J513" s="20" t="str">
        <f>'Công trình'!X320</f>
        <v>TL_2013_QD_1751</v>
      </c>
      <c r="K513" s="166"/>
      <c r="L513" s="156">
        <f>ROUND(G513*K512,2)</f>
        <v>6613287.6399999997</v>
      </c>
      <c r="M513" s="166"/>
      <c r="N513" s="166"/>
      <c r="O513" s="166"/>
      <c r="P513" s="156">
        <f>ROUND(G513*O512,2)</f>
        <v>0</v>
      </c>
      <c r="Q513" s="156">
        <f>ROUND(G513*N512,2)</f>
        <v>6613287.6399999997</v>
      </c>
    </row>
    <row r="514" spans="1:17" ht="30" hidden="1" x14ac:dyDescent="0.25">
      <c r="A514" s="168"/>
      <c r="B514" s="133" t="str">
        <f>'Công trình'!B321</f>
        <v>CV.0202</v>
      </c>
      <c r="C514" s="34"/>
      <c r="D514" s="133" t="str">
        <f>'Công trình'!C321</f>
        <v>Lắp đặt cửa van bằng thép không gỉ, chiều rộng cống (B) &lt;= 8m</v>
      </c>
      <c r="E514" s="168"/>
      <c r="F514" s="20">
        <v>1</v>
      </c>
      <c r="G514" s="45">
        <f>'Hao phí vật tư'!L2398</f>
        <v>4.133</v>
      </c>
      <c r="H514" s="166"/>
      <c r="I514" s="156">
        <f>ROUND(G514*H512,2)</f>
        <v>881763.15</v>
      </c>
      <c r="J514" s="20" t="str">
        <f>'Công trình'!X321</f>
        <v>TL_2013_QD_1751</v>
      </c>
      <c r="K514" s="166"/>
      <c r="L514" s="156">
        <f>ROUND(G514*K512,2)</f>
        <v>881763.15</v>
      </c>
      <c r="M514" s="166"/>
      <c r="N514" s="166"/>
      <c r="O514" s="166"/>
      <c r="P514" s="156">
        <f>ROUND(G514*O512,2)</f>
        <v>0</v>
      </c>
      <c r="Q514" s="156">
        <f>ROUND(G514*N512,2)</f>
        <v>881763.15</v>
      </c>
    </row>
    <row r="515" spans="1:17" x14ac:dyDescent="0.25">
      <c r="A515" s="168">
        <v>13</v>
      </c>
      <c r="B515" s="84" t="s">
        <v>994</v>
      </c>
      <c r="C515" s="34">
        <v>884</v>
      </c>
      <c r="D515" s="144" t="s">
        <v>867</v>
      </c>
      <c r="E515" s="168" t="s">
        <v>76</v>
      </c>
      <c r="F515" s="34"/>
      <c r="G515" s="60">
        <f>SUM(G516:G516)</f>
        <v>46.496699999999997</v>
      </c>
      <c r="H515" s="166">
        <v>303283</v>
      </c>
      <c r="I515" s="166">
        <f>ROUND(G515*H515,0)</f>
        <v>14101659</v>
      </c>
      <c r="J515" s="34">
        <v>1</v>
      </c>
      <c r="K515" s="166">
        <f>'Tổng hợp VL,NC,M'!I1526</f>
        <v>303283</v>
      </c>
      <c r="L515" s="166">
        <f>ROUND(G515*K515,0)</f>
        <v>14101659</v>
      </c>
      <c r="M515" s="166"/>
      <c r="N515" s="166">
        <f>K515+M515</f>
        <v>303283</v>
      </c>
      <c r="O515" s="166">
        <f>N515-H515</f>
        <v>0</v>
      </c>
      <c r="P515" s="166">
        <f>ROUND(G515*O515,0)</f>
        <v>0</v>
      </c>
      <c r="Q515" s="166">
        <f>ROUND(G515*N515,0)</f>
        <v>14101659</v>
      </c>
    </row>
    <row r="516" spans="1:17" ht="30" hidden="1" x14ac:dyDescent="0.25">
      <c r="A516" s="168"/>
      <c r="B516" s="133" t="str">
        <f>'Công trình'!B320</f>
        <v>CV.0102</v>
      </c>
      <c r="C516" s="34"/>
      <c r="D516" s="133" t="str">
        <f>'Công trình'!C320</f>
        <v>Sản xuất cửa van bằng thép không gỉ, chiều rộng cống (B) &lt;= 8m</v>
      </c>
      <c r="E516" s="168"/>
      <c r="F516" s="20">
        <v>1</v>
      </c>
      <c r="G516" s="45">
        <f>'Hao phí vật tư'!L2382</f>
        <v>46.496699999999997</v>
      </c>
      <c r="H516" s="166"/>
      <c r="I516" s="156">
        <f>ROUND(G516*H515,2)</f>
        <v>14101658.67</v>
      </c>
      <c r="J516" s="20" t="str">
        <f>'Công trình'!X320</f>
        <v>TL_2013_QD_1751</v>
      </c>
      <c r="K516" s="166"/>
      <c r="L516" s="156">
        <f>ROUND(G516*K515,2)</f>
        <v>14101658.67</v>
      </c>
      <c r="M516" s="166"/>
      <c r="N516" s="166"/>
      <c r="O516" s="166"/>
      <c r="P516" s="156">
        <f>ROUND(G516*O515,2)</f>
        <v>0</v>
      </c>
      <c r="Q516" s="156">
        <f>ROUND(G516*N515,2)</f>
        <v>14101658.67</v>
      </c>
    </row>
    <row r="517" spans="1:17" x14ac:dyDescent="0.25">
      <c r="A517" s="168">
        <v>14</v>
      </c>
      <c r="B517" s="84" t="s">
        <v>956</v>
      </c>
      <c r="C517" s="34">
        <v>886</v>
      </c>
      <c r="D517" s="144" t="s">
        <v>1094</v>
      </c>
      <c r="E517" s="168" t="s">
        <v>76</v>
      </c>
      <c r="F517" s="34"/>
      <c r="G517" s="60">
        <f>SUM(G518:G518)</f>
        <v>53.385100000000001</v>
      </c>
      <c r="H517" s="166">
        <v>330723</v>
      </c>
      <c r="I517" s="166">
        <f>ROUND(G517*H517,0)</f>
        <v>17655680</v>
      </c>
      <c r="J517" s="34">
        <v>1</v>
      </c>
      <c r="K517" s="166">
        <f>'Tổng hợp VL,NC,M'!I1533</f>
        <v>330723</v>
      </c>
      <c r="L517" s="166">
        <f>ROUND(G517*K517,0)</f>
        <v>17655680</v>
      </c>
      <c r="M517" s="166"/>
      <c r="N517" s="166">
        <f>K517+M517</f>
        <v>330723</v>
      </c>
      <c r="O517" s="166">
        <f>N517-H517</f>
        <v>0</v>
      </c>
      <c r="P517" s="166">
        <f>ROUND(G517*O517,0)</f>
        <v>0</v>
      </c>
      <c r="Q517" s="166">
        <f>ROUND(G517*N517,0)</f>
        <v>17655680</v>
      </c>
    </row>
    <row r="518" spans="1:17" ht="30" hidden="1" x14ac:dyDescent="0.25">
      <c r="A518" s="168"/>
      <c r="B518" s="133" t="str">
        <f>'Công trình'!B320</f>
        <v>CV.0102</v>
      </c>
      <c r="C518" s="34"/>
      <c r="D518" s="133" t="str">
        <f>'Công trình'!C320</f>
        <v>Sản xuất cửa van bằng thép không gỉ, chiều rộng cống (B) &lt;= 8m</v>
      </c>
      <c r="E518" s="168"/>
      <c r="F518" s="20">
        <v>1</v>
      </c>
      <c r="G518" s="45">
        <f>'Hao phí vật tư'!L2380</f>
        <v>53.385100000000001</v>
      </c>
      <c r="H518" s="166"/>
      <c r="I518" s="156">
        <f>ROUND(G518*H517,2)</f>
        <v>17655680.43</v>
      </c>
      <c r="J518" s="20" t="str">
        <f>'Công trình'!X320</f>
        <v>TL_2013_QD_1751</v>
      </c>
      <c r="K518" s="166"/>
      <c r="L518" s="156">
        <f>ROUND(G518*K517,2)</f>
        <v>17655680.43</v>
      </c>
      <c r="M518" s="166"/>
      <c r="N518" s="166"/>
      <c r="O518" s="166"/>
      <c r="P518" s="156">
        <f>ROUND(G518*O517,2)</f>
        <v>0</v>
      </c>
      <c r="Q518" s="156">
        <f>ROUND(G518*N517,2)</f>
        <v>17655680.43</v>
      </c>
    </row>
    <row r="519" spans="1:17" x14ac:dyDescent="0.25">
      <c r="A519" s="168">
        <v>15</v>
      </c>
      <c r="B519" s="84" t="s">
        <v>1056</v>
      </c>
      <c r="C519" s="34">
        <v>901</v>
      </c>
      <c r="D519" s="144" t="s">
        <v>331</v>
      </c>
      <c r="E519" s="168" t="s">
        <v>76</v>
      </c>
      <c r="F519" s="34"/>
      <c r="G519" s="60">
        <f>SUM(G520:G520)</f>
        <v>4.6006</v>
      </c>
      <c r="H519" s="166">
        <v>206407</v>
      </c>
      <c r="I519" s="166">
        <f>ROUND(G519*H519,0)</f>
        <v>949596</v>
      </c>
      <c r="J519" s="34">
        <v>1</v>
      </c>
      <c r="K519" s="166">
        <f>'Tổng hợp VL,NC,M'!I1611</f>
        <v>206407</v>
      </c>
      <c r="L519" s="166">
        <f>ROUND(G519*K519,0)</f>
        <v>949596</v>
      </c>
      <c r="M519" s="166"/>
      <c r="N519" s="166">
        <f>K519+M519</f>
        <v>206407</v>
      </c>
      <c r="O519" s="166">
        <f>N519-H519</f>
        <v>0</v>
      </c>
      <c r="P519" s="166">
        <f>ROUND(G519*O519,0)</f>
        <v>0</v>
      </c>
      <c r="Q519" s="166">
        <f>ROUND(G519*N519,0)</f>
        <v>949596</v>
      </c>
    </row>
    <row r="520" spans="1:17" ht="30" hidden="1" x14ac:dyDescent="0.25">
      <c r="A520" s="168"/>
      <c r="B520" s="133" t="str">
        <f>'Công trình'!B322</f>
        <v>AI.65411</v>
      </c>
      <c r="C520" s="34"/>
      <c r="D520" s="133" t="str">
        <f>'Công trình'!C322</f>
        <v>Lắp đặt kết cấu thép khe van, khe phai</v>
      </c>
      <c r="E520" s="168"/>
      <c r="F520" s="20">
        <v>1</v>
      </c>
      <c r="G520" s="45">
        <f>'Hao phí vật tư'!L2418</f>
        <v>4.6006</v>
      </c>
      <c r="H520" s="166"/>
      <c r="I520" s="156">
        <f>ROUND(G520*H519,2)</f>
        <v>949596.04</v>
      </c>
      <c r="J520" s="20" t="str">
        <f>'Công trình'!X322</f>
        <v>HCM_2016_QD_3384_XD</v>
      </c>
      <c r="K520" s="166"/>
      <c r="L520" s="156">
        <f>ROUND(G520*K519,2)</f>
        <v>949596.04</v>
      </c>
      <c r="M520" s="166"/>
      <c r="N520" s="166"/>
      <c r="O520" s="166"/>
      <c r="P520" s="156">
        <f>ROUND(G520*O519,2)</f>
        <v>0</v>
      </c>
      <c r="Q520" s="156">
        <f>ROUND(G520*N519,2)</f>
        <v>949596.04</v>
      </c>
    </row>
    <row r="521" spans="1:17" x14ac:dyDescent="0.25">
      <c r="A521" s="168">
        <v>16</v>
      </c>
      <c r="B521" s="84" t="s">
        <v>1184</v>
      </c>
      <c r="C521" s="34">
        <v>889</v>
      </c>
      <c r="D521" s="144" t="s">
        <v>188</v>
      </c>
      <c r="E521" s="168" t="s">
        <v>76</v>
      </c>
      <c r="F521" s="34"/>
      <c r="G521" s="60">
        <f>SUM(G522:G522)</f>
        <v>9.8160000000000007</v>
      </c>
      <c r="H521" s="166">
        <v>206407</v>
      </c>
      <c r="I521" s="166">
        <f>ROUND(G521*H521,0)</f>
        <v>2026091</v>
      </c>
      <c r="J521" s="34">
        <v>1</v>
      </c>
      <c r="K521" s="166">
        <f>'Tổng hợp VL,NC,M'!I1613</f>
        <v>206407</v>
      </c>
      <c r="L521" s="166">
        <f>ROUND(G521*K521,0)</f>
        <v>2026091</v>
      </c>
      <c r="M521" s="166"/>
      <c r="N521" s="166">
        <f>K521+M521</f>
        <v>206407</v>
      </c>
      <c r="O521" s="166">
        <f>N521-H521</f>
        <v>0</v>
      </c>
      <c r="P521" s="166">
        <f>ROUND(G521*O521,0)</f>
        <v>0</v>
      </c>
      <c r="Q521" s="166">
        <f>ROUND(G521*N521,0)</f>
        <v>2026091</v>
      </c>
    </row>
    <row r="522" spans="1:17" ht="30" hidden="1" x14ac:dyDescent="0.25">
      <c r="A522" s="168"/>
      <c r="B522" s="133" t="str">
        <f>'Công trình'!B321</f>
        <v>CV.0202</v>
      </c>
      <c r="C522" s="34"/>
      <c r="D522" s="133" t="str">
        <f>'Công trình'!C321</f>
        <v>Lắp đặt cửa van bằng thép không gỉ, chiều rộng cống (B) &lt;= 8m</v>
      </c>
      <c r="E522" s="168"/>
      <c r="F522" s="20">
        <v>1</v>
      </c>
      <c r="G522" s="45">
        <f>'Hao phí vật tư'!L2397</f>
        <v>9.8160000000000007</v>
      </c>
      <c r="H522" s="166"/>
      <c r="I522" s="156">
        <f>ROUND(G522*H521,2)</f>
        <v>2026091.11</v>
      </c>
      <c r="J522" s="20" t="str">
        <f>'Công trình'!X321</f>
        <v>TL_2013_QD_1751</v>
      </c>
      <c r="K522" s="166"/>
      <c r="L522" s="156">
        <f>ROUND(G522*K521,2)</f>
        <v>2026091.11</v>
      </c>
      <c r="M522" s="166"/>
      <c r="N522" s="166"/>
      <c r="O522" s="166"/>
      <c r="P522" s="156">
        <f>ROUND(G522*O521,2)</f>
        <v>0</v>
      </c>
      <c r="Q522" s="156">
        <f>ROUND(G522*N521,2)</f>
        <v>2026091.11</v>
      </c>
    </row>
    <row r="523" spans="1:17" x14ac:dyDescent="0.25">
      <c r="A523" s="168">
        <v>17</v>
      </c>
      <c r="B523" s="84" t="s">
        <v>955</v>
      </c>
      <c r="C523" s="34">
        <v>904</v>
      </c>
      <c r="D523" s="144" t="s">
        <v>1035</v>
      </c>
      <c r="E523" s="168" t="s">
        <v>76</v>
      </c>
      <c r="F523" s="34"/>
      <c r="G523" s="60">
        <f>SUM(G524:G524)</f>
        <v>9.8160000000000007</v>
      </c>
      <c r="H523" s="166">
        <v>254257</v>
      </c>
      <c r="I523" s="166">
        <f>ROUND(G523*H523,0)</f>
        <v>2495787</v>
      </c>
      <c r="J523" s="34">
        <v>1</v>
      </c>
      <c r="K523" s="166">
        <f>'Tổng hợp VL,NC,M'!I1615</f>
        <v>254257</v>
      </c>
      <c r="L523" s="166">
        <f>ROUND(G523*K523,0)</f>
        <v>2495787</v>
      </c>
      <c r="M523" s="166"/>
      <c r="N523" s="166">
        <f>K523+M523</f>
        <v>254257</v>
      </c>
      <c r="O523" s="166">
        <f>N523-H523</f>
        <v>0</v>
      </c>
      <c r="P523" s="166">
        <f>ROUND(G523*O523,0)</f>
        <v>0</v>
      </c>
      <c r="Q523" s="166">
        <f>ROUND(G523*N523,0)</f>
        <v>2495787</v>
      </c>
    </row>
    <row r="524" spans="1:17" ht="30" hidden="1" x14ac:dyDescent="0.25">
      <c r="A524" s="168"/>
      <c r="B524" s="133" t="str">
        <f>'Công trình'!B321</f>
        <v>CV.0202</v>
      </c>
      <c r="C524" s="34"/>
      <c r="D524" s="133" t="str">
        <f>'Công trình'!C321</f>
        <v>Lắp đặt cửa van bằng thép không gỉ, chiều rộng cống (B) &lt;= 8m</v>
      </c>
      <c r="E524" s="168"/>
      <c r="F524" s="20">
        <v>1</v>
      </c>
      <c r="G524" s="45">
        <f>'Hao phí vật tư'!L2401</f>
        <v>9.8160000000000007</v>
      </c>
      <c r="H524" s="166"/>
      <c r="I524" s="156">
        <f>ROUND(G524*H523,2)</f>
        <v>2495786.71</v>
      </c>
      <c r="J524" s="20" t="str">
        <f>'Công trình'!X321</f>
        <v>TL_2013_QD_1751</v>
      </c>
      <c r="K524" s="166"/>
      <c r="L524" s="156">
        <f>ROUND(G524*K523,2)</f>
        <v>2495786.71</v>
      </c>
      <c r="M524" s="166"/>
      <c r="N524" s="166"/>
      <c r="O524" s="166"/>
      <c r="P524" s="156">
        <f>ROUND(G524*O523,2)</f>
        <v>0</v>
      </c>
      <c r="Q524" s="156">
        <f>ROUND(G524*N523,2)</f>
        <v>2495786.71</v>
      </c>
    </row>
    <row r="525" spans="1:17" x14ac:dyDescent="0.25">
      <c r="A525" s="168">
        <v>18</v>
      </c>
      <c r="B525" s="84" t="s">
        <v>574</v>
      </c>
      <c r="C525" s="34">
        <v>902</v>
      </c>
      <c r="D525" s="144" t="s">
        <v>762</v>
      </c>
      <c r="E525" s="168" t="s">
        <v>76</v>
      </c>
      <c r="F525" s="34"/>
      <c r="G525" s="60">
        <f>SUM(G526:G526)</f>
        <v>4.6006</v>
      </c>
      <c r="H525" s="166">
        <v>271557</v>
      </c>
      <c r="I525" s="166">
        <f>ROUND(G525*H525,0)</f>
        <v>1249325</v>
      </c>
      <c r="J525" s="34">
        <v>1</v>
      </c>
      <c r="K525" s="166">
        <f>'Tổng hợp VL,NC,M'!I1631</f>
        <v>271557</v>
      </c>
      <c r="L525" s="166">
        <f>ROUND(G525*K525,0)</f>
        <v>1249325</v>
      </c>
      <c r="M525" s="166"/>
      <c r="N525" s="166">
        <f>K525+M525</f>
        <v>271557</v>
      </c>
      <c r="O525" s="166">
        <f>N525-H525</f>
        <v>0</v>
      </c>
      <c r="P525" s="166">
        <f>ROUND(G525*O525,0)</f>
        <v>0</v>
      </c>
      <c r="Q525" s="166">
        <f>ROUND(G525*N525,0)</f>
        <v>1249325</v>
      </c>
    </row>
    <row r="526" spans="1:17" ht="30" hidden="1" x14ac:dyDescent="0.25">
      <c r="A526" s="168"/>
      <c r="B526" s="133" t="str">
        <f>'Công trình'!B322</f>
        <v>AI.65411</v>
      </c>
      <c r="C526" s="34"/>
      <c r="D526" s="133" t="str">
        <f>'Công trình'!C322</f>
        <v>Lắp đặt kết cấu thép khe van, khe phai</v>
      </c>
      <c r="E526" s="168"/>
      <c r="F526" s="20">
        <v>1</v>
      </c>
      <c r="G526" s="45">
        <f>'Hao phí vật tư'!L2419</f>
        <v>4.6006</v>
      </c>
      <c r="H526" s="166"/>
      <c r="I526" s="156">
        <f>ROUND(G526*H525,2)</f>
        <v>1249325.1299999999</v>
      </c>
      <c r="J526" s="20" t="str">
        <f>'Công trình'!X322</f>
        <v>HCM_2016_QD_3384_XD</v>
      </c>
      <c r="K526" s="166"/>
      <c r="L526" s="156">
        <f>ROUND(G526*K525,2)</f>
        <v>1249325.1299999999</v>
      </c>
      <c r="M526" s="166"/>
      <c r="N526" s="166"/>
      <c r="O526" s="166"/>
      <c r="P526" s="156">
        <f>ROUND(G526*O525,2)</f>
        <v>0</v>
      </c>
      <c r="Q526" s="156">
        <f>ROUND(G526*N525,2)</f>
        <v>1249325.1299999999</v>
      </c>
    </row>
    <row r="527" spans="1:17" x14ac:dyDescent="0.25">
      <c r="A527" s="168">
        <v>19</v>
      </c>
      <c r="B527" s="84" t="s">
        <v>1189</v>
      </c>
      <c r="C527" s="34">
        <v>847</v>
      </c>
      <c r="D527" s="144" t="s">
        <v>261</v>
      </c>
      <c r="E527" s="7" t="s">
        <v>584</v>
      </c>
      <c r="F527" s="34"/>
      <c r="G527" s="60"/>
      <c r="H527" s="166"/>
      <c r="I527" s="166">
        <f>ROUND(SUM(I528:I534),0)</f>
        <v>4840375</v>
      </c>
      <c r="J527" s="34">
        <v>1</v>
      </c>
      <c r="K527" s="166"/>
      <c r="L527" s="166">
        <f>ROUND(SUM(L528:L534),0)</f>
        <v>4840375</v>
      </c>
      <c r="M527" s="166"/>
      <c r="N527" s="166">
        <f>K527+M527</f>
        <v>0</v>
      </c>
      <c r="O527" s="166"/>
      <c r="P527" s="166">
        <f>ROUND(SUM(P528:P534),0)</f>
        <v>0</v>
      </c>
      <c r="Q527" s="166">
        <f>ROUND(SUM(Q528:Q534),0)</f>
        <v>4840375</v>
      </c>
    </row>
    <row r="528" spans="1:17" ht="30" hidden="1" x14ac:dyDescent="0.25">
      <c r="A528" s="168"/>
      <c r="B528" s="133" t="str">
        <f>'Công trình'!B322</f>
        <v>AI.65411</v>
      </c>
      <c r="C528" s="34"/>
      <c r="D528" s="133" t="str">
        <f>'Công trình'!C322</f>
        <v>Lắp đặt kết cấu thép khe van, khe phai</v>
      </c>
      <c r="E528" s="168"/>
      <c r="F528" s="20">
        <v>1</v>
      </c>
      <c r="G528" s="45">
        <f>'Hao phí vật tư'!I2420</f>
        <v>2</v>
      </c>
      <c r="H528" s="166"/>
      <c r="I528" s="156">
        <f>ROUND((I479+I487+I507+I520+I526)*G528/100,2)</f>
        <v>142207.38</v>
      </c>
      <c r="J528" s="20" t="str">
        <f>'Công trình'!X322</f>
        <v>HCM_2016_QD_3384_XD</v>
      </c>
      <c r="K528" s="166"/>
      <c r="L528" s="156">
        <f>ROUND((L479+L487+L507+L520+L526)*G528/100,2)</f>
        <v>142207.38</v>
      </c>
      <c r="M528" s="166"/>
      <c r="N528" s="166"/>
      <c r="O528" s="166"/>
      <c r="P528" s="156">
        <f>ROUND((P479+P487+P507+P520+P526)*G528/100,2)</f>
        <v>0</v>
      </c>
      <c r="Q528" s="156">
        <f>ROUND((Q479+Q487+Q507+Q520+Q526)*G528/100,2)</f>
        <v>142207.38</v>
      </c>
    </row>
    <row r="529" spans="1:17" ht="30" hidden="1" x14ac:dyDescent="0.25">
      <c r="A529" s="168"/>
      <c r="B529" s="133" t="str">
        <f>'Công trình'!B316</f>
        <v>AI.52211</v>
      </c>
      <c r="C529" s="34"/>
      <c r="D529" s="133" t="str">
        <f>'Công trình'!C316</f>
        <v>Sản xuất kết cấu thép khe phai - thép CT3</v>
      </c>
      <c r="E529" s="168"/>
      <c r="F529" s="20">
        <v>1</v>
      </c>
      <c r="G529" s="45">
        <f>'Hao phí vật tư'!I2319</f>
        <v>5</v>
      </c>
      <c r="H529" s="166"/>
      <c r="I529" s="156">
        <f>ROUND((I480+I502+I508)*G529/100,2)</f>
        <v>63269.91</v>
      </c>
      <c r="J529" s="20" t="str">
        <f>'Công trình'!X316</f>
        <v>HCM_2016_QD_3384_XD</v>
      </c>
      <c r="K529" s="166"/>
      <c r="L529" s="156">
        <f>ROUND((L480+L502+L508)*G529/100,2)</f>
        <v>63269.91</v>
      </c>
      <c r="M529" s="166"/>
      <c r="N529" s="166"/>
      <c r="O529" s="166"/>
      <c r="P529" s="156">
        <f>ROUND((P480+P502+P508)*G529/100,2)</f>
        <v>0</v>
      </c>
      <c r="Q529" s="156">
        <f>ROUND((Q480+Q502+Q508)*G529/100,2)</f>
        <v>63269.91</v>
      </c>
    </row>
    <row r="530" spans="1:17" ht="30" hidden="1" x14ac:dyDescent="0.25">
      <c r="A530" s="168"/>
      <c r="B530" s="133" t="str">
        <f>'Công trình'!B317</f>
        <v>AI.52211</v>
      </c>
      <c r="C530" s="34"/>
      <c r="D530" s="133" t="str">
        <f>'Công trình'!C317</f>
        <v>Sản xuất kết cấu thép khe phai - thép SUS304</v>
      </c>
      <c r="E530" s="168"/>
      <c r="F530" s="20">
        <v>1</v>
      </c>
      <c r="G530" s="45">
        <f>'Hao phí vật tư'!I2334</f>
        <v>5</v>
      </c>
      <c r="H530" s="166"/>
      <c r="I530" s="156">
        <f>ROUND((I481+I503+I509)*G530/100,2)</f>
        <v>86482.17</v>
      </c>
      <c r="J530" s="20" t="str">
        <f>'Công trình'!X317</f>
        <v>HCM_2016_QD_3384_XD</v>
      </c>
      <c r="K530" s="166"/>
      <c r="L530" s="156">
        <f>ROUND((L481+L503+L509)*G530/100,2)</f>
        <v>86482.17</v>
      </c>
      <c r="M530" s="166"/>
      <c r="N530" s="166"/>
      <c r="O530" s="166"/>
      <c r="P530" s="156">
        <f>ROUND((P481+P503+P509)*G530/100,2)</f>
        <v>0</v>
      </c>
      <c r="Q530" s="156">
        <f>ROUND((Q481+Q503+Q509)*G530/100,2)</f>
        <v>86482.17</v>
      </c>
    </row>
    <row r="531" spans="1:17" ht="30" hidden="1" x14ac:dyDescent="0.25">
      <c r="A531" s="168"/>
      <c r="B531" s="133" t="str">
        <f>'Công trình'!B318</f>
        <v>AI.52211</v>
      </c>
      <c r="C531" s="34"/>
      <c r="D531" s="133" t="str">
        <f>'Công trình'!C318</f>
        <v>Sản xuất kết cấu thép khe cửa - thép CT3</v>
      </c>
      <c r="E531" s="168"/>
      <c r="F531" s="20">
        <v>1</v>
      </c>
      <c r="G531" s="45">
        <f>'Hao phí vật tư'!I2350</f>
        <v>5</v>
      </c>
      <c r="H531" s="166"/>
      <c r="I531" s="156">
        <f>ROUND((I482+I504+I510)*G531/100,2)</f>
        <v>63970.28</v>
      </c>
      <c r="J531" s="20" t="str">
        <f>'Công trình'!X318</f>
        <v>HCM_2016_QD_3384_XD</v>
      </c>
      <c r="K531" s="166"/>
      <c r="L531" s="156">
        <f>ROUND((L482+L504+L510)*G531/100,2)</f>
        <v>63970.28</v>
      </c>
      <c r="M531" s="166"/>
      <c r="N531" s="166"/>
      <c r="O531" s="166"/>
      <c r="P531" s="156">
        <f>ROUND((P482+P504+P510)*G531/100,2)</f>
        <v>0</v>
      </c>
      <c r="Q531" s="156">
        <f>ROUND((Q482+Q504+Q510)*G531/100,2)</f>
        <v>63970.28</v>
      </c>
    </row>
    <row r="532" spans="1:17" ht="30" hidden="1" x14ac:dyDescent="0.25">
      <c r="A532" s="168"/>
      <c r="B532" s="133" t="str">
        <f>'Công trình'!B319</f>
        <v>AI.52211</v>
      </c>
      <c r="C532" s="34"/>
      <c r="D532" s="133" t="str">
        <f>'Công trình'!C319</f>
        <v>Sản xuất kết cấu thép khe cửa- thép SUS304</v>
      </c>
      <c r="E532" s="168"/>
      <c r="F532" s="20">
        <v>1</v>
      </c>
      <c r="G532" s="45">
        <f>'Hao phí vật tư'!I2365</f>
        <v>5</v>
      </c>
      <c r="H532" s="166"/>
      <c r="I532" s="156">
        <f>ROUND((I483+I505+I511)*G532/100,2)</f>
        <v>102134.74</v>
      </c>
      <c r="J532" s="20" t="str">
        <f>'Công trình'!X319</f>
        <v>HCM_2016_QD_3384_XD</v>
      </c>
      <c r="K532" s="166"/>
      <c r="L532" s="156">
        <f>ROUND((L483+L505+L511)*G532/100,2)</f>
        <v>102134.74</v>
      </c>
      <c r="M532" s="166"/>
      <c r="N532" s="166"/>
      <c r="O532" s="166"/>
      <c r="P532" s="156">
        <f>ROUND((P483+P505+P511)*G532/100,2)</f>
        <v>0</v>
      </c>
      <c r="Q532" s="156">
        <f>ROUND((Q483+Q505+Q511)*G532/100,2)</f>
        <v>102134.74</v>
      </c>
    </row>
    <row r="533" spans="1:17" ht="30" hidden="1" x14ac:dyDescent="0.25">
      <c r="A533" s="168"/>
      <c r="B533" s="133" t="str">
        <f>'Công trình'!B320</f>
        <v>CV.0102</v>
      </c>
      <c r="C533" s="34"/>
      <c r="D533" s="133" t="str">
        <f>'Công trình'!C320</f>
        <v>Sản xuất cửa van bằng thép không gỉ, chiều rộng cống (B) &lt;= 8m</v>
      </c>
      <c r="E533" s="168"/>
      <c r="F533" s="20">
        <v>1</v>
      </c>
      <c r="G533" s="45">
        <f>'Hao phí vật tư'!I2385</f>
        <v>2</v>
      </c>
      <c r="H533" s="166"/>
      <c r="I533" s="156">
        <f>ROUND((I489+I491+I493+I495+I498+I500+I513+I516+I518)*G533/100,2)</f>
        <v>3095042.5</v>
      </c>
      <c r="J533" s="20" t="str">
        <f>'Công trình'!X320</f>
        <v>TL_2013_QD_1751</v>
      </c>
      <c r="K533" s="166"/>
      <c r="L533" s="156">
        <f>ROUND((L489+L491+L493+L495+L498+L500+L513+L516+L518)*G533/100,2)</f>
        <v>3095042.5</v>
      </c>
      <c r="M533" s="166"/>
      <c r="N533" s="166"/>
      <c r="O533" s="166"/>
      <c r="P533" s="156">
        <f>ROUND((P489+P491+P493+P495+P498+P500+P513+P516+P518)*G533/100,2)</f>
        <v>0</v>
      </c>
      <c r="Q533" s="156">
        <f>ROUND((Q489+Q491+Q493+Q495+Q498+Q500+Q513+Q516+Q518)*G533/100,2)</f>
        <v>3095042.5</v>
      </c>
    </row>
    <row r="534" spans="1:17" ht="30" hidden="1" x14ac:dyDescent="0.25">
      <c r="A534" s="57"/>
      <c r="B534" s="12" t="str">
        <f>'Công trình'!B321</f>
        <v>CV.0202</v>
      </c>
      <c r="C534" s="89"/>
      <c r="D534" s="12" t="str">
        <f>'Công trình'!C321</f>
        <v>Lắp đặt cửa van bằng thép không gỉ, chiều rộng cống (B) &lt;= 8m</v>
      </c>
      <c r="E534" s="57"/>
      <c r="F534" s="79">
        <v>1</v>
      </c>
      <c r="G534" s="103">
        <f>'Hao phí vật tư'!I2402</f>
        <v>3</v>
      </c>
      <c r="H534" s="51"/>
      <c r="I534" s="38">
        <f>ROUND((I485+I496+I514+I522+I524)*G534/100,2)</f>
        <v>1287267.72</v>
      </c>
      <c r="J534" s="79" t="str">
        <f>'Công trình'!X321</f>
        <v>TL_2013_QD_1751</v>
      </c>
      <c r="K534" s="51"/>
      <c r="L534" s="38">
        <f>ROUND((L485+L496+L514+L522+L524)*G534/100,2)</f>
        <v>1287267.72</v>
      </c>
      <c r="M534" s="51"/>
      <c r="N534" s="51"/>
      <c r="O534" s="51"/>
      <c r="P534" s="38">
        <f>ROUND((P485+P496+P514+P522+P524)*G534/100,2)</f>
        <v>0</v>
      </c>
      <c r="Q534" s="38">
        <f>ROUND((Q485+Q496+Q514+Q522+Q524)*G534/100,2)</f>
        <v>1287267.72</v>
      </c>
    </row>
    <row r="535" spans="1:17" ht="18" customHeight="1" x14ac:dyDescent="0.25">
      <c r="A535" s="40"/>
      <c r="B535" s="5"/>
      <c r="C535" s="157"/>
      <c r="D535" s="5" t="s">
        <v>513</v>
      </c>
      <c r="E535" s="40"/>
      <c r="F535" s="86"/>
      <c r="G535" s="99"/>
      <c r="H535" s="33"/>
      <c r="I535" s="33">
        <f>ROUND(SUMIF(C478:C534,"&gt;0",I478:I534),0)</f>
        <v>215928935</v>
      </c>
      <c r="J535" s="157"/>
      <c r="K535" s="44"/>
      <c r="L535" s="33">
        <f>ROUND(SUMIF(C478:C534,"&gt;0",L478:L534),0)</f>
        <v>215928935</v>
      </c>
      <c r="M535" s="33"/>
      <c r="N535" s="33"/>
      <c r="O535" s="33"/>
      <c r="P535" s="33">
        <f>ROUND(SUMIF(C478:C534,"&gt;0",P478:P534),0)</f>
        <v>0</v>
      </c>
      <c r="Q535" s="33">
        <f>ROUND(SUMIF(C478:C534,"&gt;0",Q478:Q534),0)</f>
        <v>215928935</v>
      </c>
    </row>
    <row r="536" spans="1:17" ht="16.5" customHeight="1" x14ac:dyDescent="0.25">
      <c r="A536" s="2"/>
      <c r="B536" s="146"/>
      <c r="C536" s="36"/>
      <c r="D536" s="146"/>
      <c r="E536" s="2"/>
      <c r="F536" s="146"/>
      <c r="G536" s="36"/>
      <c r="H536" s="36"/>
      <c r="I536" s="36"/>
      <c r="J536" s="36"/>
      <c r="K536" s="146"/>
      <c r="L536" s="36"/>
      <c r="M536" s="36"/>
      <c r="N536" s="36"/>
      <c r="O536" s="36"/>
      <c r="P536" s="146"/>
      <c r="Q536" s="36"/>
    </row>
  </sheetData>
  <mergeCells count="8">
    <mergeCell ref="A475:P475"/>
    <mergeCell ref="O476:Q476"/>
    <mergeCell ref="A1:P1"/>
    <mergeCell ref="A2:P2"/>
    <mergeCell ref="A3:P3"/>
    <mergeCell ref="O4:Q4"/>
    <mergeCell ref="A473:P473"/>
    <mergeCell ref="A474:P474"/>
  </mergeCells>
  <pageMargins left="0.7" right="0.7" top="0.75" bottom="0.75" header="0.3" footer="0.3"/>
  <pageSetup paperSize="9" orientation="landscape"/>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I73"/>
  <sheetViews>
    <sheetView showZeros="0" topLeftCell="A49" workbookViewId="0">
      <selection activeCell="C54" sqref="C54"/>
    </sheetView>
  </sheetViews>
  <sheetFormatPr defaultColWidth="9.140625" defaultRowHeight="15" x14ac:dyDescent="0.25"/>
  <cols>
    <col min="1" max="1" width="6.28515625" style="143" customWidth="1"/>
    <col min="2" max="2" width="40.42578125" style="143" customWidth="1"/>
    <col min="3" max="3" width="45.28515625" style="143" customWidth="1"/>
    <col min="4" max="4" width="17.7109375" style="143" customWidth="1"/>
    <col min="5" max="5" width="11.42578125" style="143" customWidth="1"/>
    <col min="6" max="7" width="10.85546875" style="143" bestFit="1" customWidth="1"/>
    <col min="8" max="8" width="13.5703125" style="143" bestFit="1" customWidth="1"/>
    <col min="9" max="16384" width="9.140625" style="143"/>
  </cols>
  <sheetData>
    <row r="1" spans="1:5" ht="22.5" customHeight="1" x14ac:dyDescent="0.25">
      <c r="A1" s="310" t="s">
        <v>376</v>
      </c>
      <c r="B1" s="310"/>
      <c r="C1" s="310"/>
      <c r="D1" s="310"/>
      <c r="E1" s="310"/>
    </row>
    <row r="2" spans="1:5" ht="19.5" customHeight="1" x14ac:dyDescent="0.25">
      <c r="A2" s="309" t="str">
        <f>'Công trình'!A2</f>
        <v>CÔNG TRÌNH: ĐÊ BAO VEN SÔNG SÀI GÒN ĐOẠN TỪ RẠCH NÀNG ÂM ĐẾN RẠCH LÁNG THE</v>
      </c>
      <c r="B2" s="309"/>
      <c r="C2" s="309"/>
      <c r="D2" s="309"/>
      <c r="E2" s="309"/>
    </row>
    <row r="3" spans="1:5" ht="18" customHeight="1" x14ac:dyDescent="0.25">
      <c r="A3" s="311" t="str">
        <f>'Công trình'!A3</f>
        <v>HẠNG MỤC: CỐNG CẦU LƯỢNG (B=7,5M)</v>
      </c>
      <c r="B3" s="311"/>
      <c r="C3" s="311"/>
      <c r="D3" s="311"/>
      <c r="E3" s="311"/>
    </row>
    <row r="4" spans="1:5" ht="18" customHeight="1" x14ac:dyDescent="0.25">
      <c r="A4" s="2"/>
      <c r="B4" s="146"/>
      <c r="C4" s="313" t="s">
        <v>1126</v>
      </c>
      <c r="D4" s="313"/>
      <c r="E4" s="313"/>
    </row>
    <row r="5" spans="1:5" ht="18.75" customHeight="1" x14ac:dyDescent="0.25">
      <c r="A5" s="140" t="s">
        <v>761</v>
      </c>
      <c r="B5" s="140" t="s">
        <v>60</v>
      </c>
      <c r="C5" s="140" t="s">
        <v>1099</v>
      </c>
      <c r="D5" s="92" t="s">
        <v>903</v>
      </c>
      <c r="E5" s="140" t="s">
        <v>744</v>
      </c>
    </row>
    <row r="6" spans="1:5" x14ac:dyDescent="0.25">
      <c r="A6" s="65" t="s">
        <v>349</v>
      </c>
      <c r="B6" s="31" t="s">
        <v>651</v>
      </c>
      <c r="C6" s="65"/>
      <c r="D6" s="54"/>
      <c r="E6" s="65"/>
    </row>
    <row r="7" spans="1:5" x14ac:dyDescent="0.25">
      <c r="A7" s="159">
        <v>1</v>
      </c>
      <c r="B7" s="130" t="s">
        <v>578</v>
      </c>
      <c r="C7" s="159" t="str">
        <f>"VLHT"</f>
        <v>VLHT</v>
      </c>
      <c r="D7" s="155">
        <f>ROUND(D8,0)</f>
        <v>8999793183</v>
      </c>
      <c r="E7" s="159" t="s">
        <v>1114</v>
      </c>
    </row>
    <row r="8" spans="1:5" x14ac:dyDescent="0.25">
      <c r="A8" s="168"/>
      <c r="B8" s="144" t="s">
        <v>620</v>
      </c>
      <c r="C8" s="168" t="s">
        <v>81</v>
      </c>
      <c r="D8" s="166">
        <f>'Công trình'!Q308+'Công trình'!R308</f>
        <v>8999793183</v>
      </c>
      <c r="E8" s="168" t="s">
        <v>797</v>
      </c>
    </row>
    <row r="9" spans="1:5" x14ac:dyDescent="0.25">
      <c r="A9" s="159">
        <v>2</v>
      </c>
      <c r="B9" s="130" t="s">
        <v>477</v>
      </c>
      <c r="C9" s="159" t="str">
        <f>"NCHT"</f>
        <v>NCHT</v>
      </c>
      <c r="D9" s="155">
        <f>ROUND(D10,0)</f>
        <v>4138281833</v>
      </c>
      <c r="E9" s="159" t="s">
        <v>830</v>
      </c>
    </row>
    <row r="10" spans="1:5" x14ac:dyDescent="0.25">
      <c r="A10" s="168"/>
      <c r="B10" s="144" t="s">
        <v>16</v>
      </c>
      <c r="C10" s="168" t="s">
        <v>81</v>
      </c>
      <c r="D10" s="166">
        <f>'Công trình'!S308</f>
        <v>4138281833</v>
      </c>
      <c r="E10" s="168" t="s">
        <v>435</v>
      </c>
    </row>
    <row r="11" spans="1:5" x14ac:dyDescent="0.25">
      <c r="A11" s="159">
        <v>3</v>
      </c>
      <c r="B11" s="130" t="s">
        <v>757</v>
      </c>
      <c r="C11" s="159" t="str">
        <f>"MHT"</f>
        <v>MHT</v>
      </c>
      <c r="D11" s="155">
        <f>ROUND(D12,0)</f>
        <v>2847961080</v>
      </c>
      <c r="E11" s="159" t="s">
        <v>609</v>
      </c>
    </row>
    <row r="12" spans="1:5" x14ac:dyDescent="0.25">
      <c r="A12" s="168"/>
      <c r="B12" s="144" t="s">
        <v>293</v>
      </c>
      <c r="C12" s="168" t="s">
        <v>81</v>
      </c>
      <c r="D12" s="166">
        <f>'Công trình'!T308</f>
        <v>2847961080</v>
      </c>
      <c r="E12" s="168" t="s">
        <v>753</v>
      </c>
    </row>
    <row r="13" spans="1:5" x14ac:dyDescent="0.25">
      <c r="A13" s="159"/>
      <c r="B13" s="130" t="s">
        <v>236</v>
      </c>
      <c r="C13" s="159" t="str">
        <f>"VL + NC + M"</f>
        <v>VL + NC + M</v>
      </c>
      <c r="D13" s="155">
        <f>ROUND(D7+D9+D11,0)</f>
        <v>15986036096</v>
      </c>
      <c r="E13" s="159" t="s">
        <v>1115</v>
      </c>
    </row>
    <row r="14" spans="1:5" x14ac:dyDescent="0.25">
      <c r="A14" s="168" t="s">
        <v>633</v>
      </c>
      <c r="B14" s="144" t="s">
        <v>1021</v>
      </c>
      <c r="C14" s="168" t="str">
        <f>"T x " &amp; 'Hệ số'!D4*100 &amp; "%"</f>
        <v>T x 4,89%</v>
      </c>
      <c r="D14" s="166">
        <f>ROUND(D13*'Hệ số'!C4,0)</f>
        <v>781717165</v>
      </c>
      <c r="E14" s="168" t="s">
        <v>978</v>
      </c>
    </row>
    <row r="15" spans="1:5" x14ac:dyDescent="0.25">
      <c r="A15" s="168" t="s">
        <v>637</v>
      </c>
      <c r="B15" s="144" t="s">
        <v>851</v>
      </c>
      <c r="C15" s="168" t="str">
        <f>"(T + C) x " &amp; 'Hệ số'!D8*100 &amp; "%"</f>
        <v>(T + C) x 5,5%</v>
      </c>
      <c r="D15" s="166">
        <f>ROUND((D13+D14)*'Hệ số'!C8,0)</f>
        <v>922226429</v>
      </c>
      <c r="E15" s="168" t="s">
        <v>788</v>
      </c>
    </row>
    <row r="16" spans="1:5" x14ac:dyDescent="0.25">
      <c r="A16" s="159"/>
      <c r="B16" s="130" t="s">
        <v>783</v>
      </c>
      <c r="C16" s="159" t="str">
        <f>"T + C + TL"</f>
        <v>T + C + TL</v>
      </c>
      <c r="D16" s="155">
        <f>ROUND(D13+D14+D15,0)</f>
        <v>17689979690</v>
      </c>
      <c r="E16" s="159" t="s">
        <v>3</v>
      </c>
    </row>
    <row r="17" spans="1:5" x14ac:dyDescent="0.25">
      <c r="A17" s="168" t="s">
        <v>539</v>
      </c>
      <c r="B17" s="144" t="s">
        <v>508</v>
      </c>
      <c r="C17" s="168" t="str">
        <f>"G x " &amp; 'Hệ số'!D10*100 &amp; "%"</f>
        <v>G x 10%</v>
      </c>
      <c r="D17" s="166">
        <f>ROUND(D16*'Hệ số'!C10,0)</f>
        <v>1768997969</v>
      </c>
      <c r="E17" s="168" t="s">
        <v>571</v>
      </c>
    </row>
    <row r="18" spans="1:5" x14ac:dyDescent="0.25">
      <c r="A18" s="159"/>
      <c r="B18" s="130" t="s">
        <v>294</v>
      </c>
      <c r="C18" s="159" t="str">
        <f>"G + GTGT"</f>
        <v>G + GTGT</v>
      </c>
      <c r="D18" s="155">
        <f>ROUND(D16+D17,0)</f>
        <v>19458977659</v>
      </c>
      <c r="E18" s="159" t="s">
        <v>1191</v>
      </c>
    </row>
    <row r="19" spans="1:5" x14ac:dyDescent="0.25">
      <c r="A19" s="42"/>
      <c r="B19" s="42" t="s">
        <v>832</v>
      </c>
      <c r="C19" s="42" t="str">
        <f>"Gxd"</f>
        <v>Gxd</v>
      </c>
      <c r="D19" s="35">
        <f>ROUND(D18,0)</f>
        <v>19458977659</v>
      </c>
      <c r="E19" s="42"/>
    </row>
    <row r="20" spans="1:5" ht="18" customHeight="1" x14ac:dyDescent="0.25">
      <c r="A20" s="128"/>
      <c r="B20" s="107" t="s">
        <v>524</v>
      </c>
      <c r="C20" s="128" t="s">
        <v>1142</v>
      </c>
      <c r="D20" s="97">
        <f>ROUND(D19,-3)</f>
        <v>19458978000</v>
      </c>
      <c r="E20" s="128"/>
    </row>
    <row r="21" spans="1:5" ht="18" customHeight="1" x14ac:dyDescent="0.25">
      <c r="A21" s="314" t="e">
        <f ca="1">TienBangChu(D20)</f>
        <v>#NAME?</v>
      </c>
      <c r="B21" s="314"/>
      <c r="C21" s="314"/>
      <c r="D21" s="314"/>
      <c r="E21" s="314"/>
    </row>
    <row r="22" spans="1:5" hidden="1" x14ac:dyDescent="0.25">
      <c r="A22" s="2"/>
      <c r="B22" s="146"/>
      <c r="C22" s="315" t="s">
        <v>296</v>
      </c>
      <c r="D22" s="315"/>
      <c r="E22" s="315"/>
    </row>
    <row r="23" spans="1:5" hidden="1" x14ac:dyDescent="0.25">
      <c r="A23" s="2"/>
      <c r="B23" s="2" t="s">
        <v>1096</v>
      </c>
      <c r="C23" s="316" t="s">
        <v>552</v>
      </c>
      <c r="D23" s="316"/>
      <c r="E23" s="316"/>
    </row>
    <row r="24" spans="1:5" hidden="1" x14ac:dyDescent="0.25">
      <c r="A24" s="2"/>
      <c r="B24" s="2"/>
      <c r="C24" s="2"/>
      <c r="D24" s="36"/>
      <c r="E24" s="2"/>
    </row>
    <row r="25" spans="1:5" hidden="1" x14ac:dyDescent="0.25">
      <c r="A25" s="2"/>
      <c r="B25" s="146"/>
      <c r="C25" s="2"/>
      <c r="D25" s="36"/>
      <c r="E25" s="2"/>
    </row>
    <row r="26" spans="1:5" hidden="1" x14ac:dyDescent="0.25">
      <c r="A26" s="2"/>
      <c r="B26" s="146"/>
      <c r="C26" s="2"/>
      <c r="D26" s="36"/>
      <c r="E26" s="2"/>
    </row>
    <row r="27" spans="1:5" hidden="1" x14ac:dyDescent="0.25">
      <c r="A27" s="2"/>
      <c r="B27" s="146"/>
      <c r="C27" s="2"/>
      <c r="D27" s="36"/>
      <c r="E27" s="2"/>
    </row>
    <row r="28" spans="1:5" hidden="1" x14ac:dyDescent="0.25">
      <c r="A28" s="2"/>
      <c r="B28" s="2" t="s">
        <v>1057</v>
      </c>
      <c r="C28" s="316" t="s">
        <v>1057</v>
      </c>
      <c r="D28" s="316"/>
      <c r="E28" s="316"/>
    </row>
    <row r="29" spans="1:5" hidden="1" x14ac:dyDescent="0.25">
      <c r="A29" s="2"/>
      <c r="B29" s="2" t="s">
        <v>646</v>
      </c>
      <c r="C29" s="316" t="s">
        <v>1012</v>
      </c>
      <c r="D29" s="316"/>
      <c r="E29" s="316"/>
    </row>
    <row r="30" spans="1:5" hidden="1" x14ac:dyDescent="0.25">
      <c r="A30" s="2"/>
      <c r="B30" s="146"/>
      <c r="C30" s="316" t="s">
        <v>195</v>
      </c>
      <c r="D30" s="316"/>
      <c r="E30" s="316"/>
    </row>
    <row r="31" spans="1:5" ht="18" customHeight="1" x14ac:dyDescent="0.25">
      <c r="A31" s="2"/>
      <c r="B31" s="146"/>
      <c r="C31" s="2"/>
      <c r="D31" s="36"/>
      <c r="E31" s="2"/>
    </row>
    <row r="33" spans="1:5" ht="22.5" customHeight="1" x14ac:dyDescent="0.25">
      <c r="A33" s="310" t="s">
        <v>376</v>
      </c>
      <c r="B33" s="310"/>
      <c r="C33" s="310"/>
      <c r="D33" s="310"/>
      <c r="E33" s="310"/>
    </row>
    <row r="34" spans="1:5" ht="19.5" customHeight="1" x14ac:dyDescent="0.25">
      <c r="A34" s="309" t="str">
        <f>'Công trình'!A2</f>
        <v>CÔNG TRÌNH: ĐÊ BAO VEN SÔNG SÀI GÒN ĐOẠN TỪ RẠCH NÀNG ÂM ĐẾN RẠCH LÁNG THE</v>
      </c>
      <c r="B34" s="309"/>
      <c r="C34" s="309"/>
      <c r="D34" s="309"/>
      <c r="E34" s="309"/>
    </row>
    <row r="35" spans="1:5" ht="18" customHeight="1" x14ac:dyDescent="0.25">
      <c r="A35" s="311" t="str">
        <f>'Công trình'!A313</f>
        <v>HẠNG MỤC: CỬA VAN B=7,5M</v>
      </c>
      <c r="B35" s="311"/>
      <c r="C35" s="311"/>
      <c r="D35" s="311"/>
      <c r="E35" s="311"/>
    </row>
    <row r="36" spans="1:5" ht="18" customHeight="1" x14ac:dyDescent="0.25">
      <c r="A36" s="2"/>
      <c r="B36" s="146"/>
      <c r="C36" s="313" t="s">
        <v>1126</v>
      </c>
      <c r="D36" s="313"/>
      <c r="E36" s="313"/>
    </row>
    <row r="37" spans="1:5" ht="18.75" customHeight="1" x14ac:dyDescent="0.25">
      <c r="A37" s="140" t="s">
        <v>761</v>
      </c>
      <c r="B37" s="140" t="s">
        <v>60</v>
      </c>
      <c r="C37" s="140" t="s">
        <v>1099</v>
      </c>
      <c r="D37" s="92" t="s">
        <v>903</v>
      </c>
      <c r="E37" s="140" t="s">
        <v>744</v>
      </c>
    </row>
    <row r="38" spans="1:5" x14ac:dyDescent="0.25">
      <c r="A38" s="65" t="s">
        <v>349</v>
      </c>
      <c r="B38" s="31" t="s">
        <v>651</v>
      </c>
      <c r="C38" s="65"/>
      <c r="D38" s="54"/>
      <c r="E38" s="65"/>
    </row>
    <row r="39" spans="1:5" x14ac:dyDescent="0.25">
      <c r="A39" s="159">
        <v>1</v>
      </c>
      <c r="B39" s="130" t="s">
        <v>578</v>
      </c>
      <c r="C39" s="159" t="str">
        <f>"VLHT"</f>
        <v>VLHT</v>
      </c>
      <c r="D39" s="155">
        <f>ROUND(D40,0)</f>
        <v>1331549446</v>
      </c>
      <c r="E39" s="159" t="s">
        <v>1114</v>
      </c>
    </row>
    <row r="40" spans="1:5" x14ac:dyDescent="0.25">
      <c r="A40" s="168"/>
      <c r="B40" s="144" t="s">
        <v>981</v>
      </c>
      <c r="C40" s="168" t="s">
        <v>976</v>
      </c>
      <c r="D40" s="166">
        <f>'Vật liệu'!AB981</f>
        <v>1331549446</v>
      </c>
      <c r="E40" s="168" t="s">
        <v>797</v>
      </c>
    </row>
    <row r="41" spans="1:5" x14ac:dyDescent="0.25">
      <c r="A41" s="159">
        <v>2</v>
      </c>
      <c r="B41" s="130" t="s">
        <v>477</v>
      </c>
      <c r="C41" s="159" t="str">
        <f>"BNC"</f>
        <v>BNC</v>
      </c>
      <c r="D41" s="155">
        <f>ROUND(D43,0)</f>
        <v>499651363</v>
      </c>
      <c r="E41" s="159" t="s">
        <v>830</v>
      </c>
    </row>
    <row r="42" spans="1:5" x14ac:dyDescent="0.25">
      <c r="A42" s="168"/>
      <c r="B42" s="144" t="s">
        <v>714</v>
      </c>
      <c r="C42" s="168" t="s">
        <v>81</v>
      </c>
      <c r="D42" s="166">
        <f>'Công trình'!S324</f>
        <v>499651363</v>
      </c>
      <c r="E42" s="168" t="s">
        <v>166</v>
      </c>
    </row>
    <row r="43" spans="1:5" x14ac:dyDescent="0.25">
      <c r="A43" s="168"/>
      <c r="B43" s="144" t="s">
        <v>56</v>
      </c>
      <c r="C43" s="168" t="str">
        <f>"NCG x " &amp; 'Hệ số'!D31 &amp; ""</f>
        <v>NCG x 1</v>
      </c>
      <c r="D43" s="166">
        <f>ROUND(D42*'Hệ số'!C31,0)</f>
        <v>499651363</v>
      </c>
      <c r="E43" s="168" t="s">
        <v>173</v>
      </c>
    </row>
    <row r="44" spans="1:5" x14ac:dyDescent="0.25">
      <c r="A44" s="159">
        <v>3</v>
      </c>
      <c r="B44" s="130" t="s">
        <v>757</v>
      </c>
      <c r="C44" s="159" t="str">
        <f>"BM"</f>
        <v>BM</v>
      </c>
      <c r="D44" s="155">
        <f>ROUND(D46,0)</f>
        <v>215928702</v>
      </c>
      <c r="E44" s="159" t="s">
        <v>609</v>
      </c>
    </row>
    <row r="45" spans="1:5" x14ac:dyDescent="0.25">
      <c r="A45" s="168"/>
      <c r="B45" s="144" t="s">
        <v>812</v>
      </c>
      <c r="C45" s="168" t="s">
        <v>81</v>
      </c>
      <c r="D45" s="166">
        <f>'Công trình'!T324</f>
        <v>215928702</v>
      </c>
      <c r="E45" s="168" t="s">
        <v>661</v>
      </c>
    </row>
    <row r="46" spans="1:5" x14ac:dyDescent="0.25">
      <c r="A46" s="168"/>
      <c r="B46" s="144" t="s">
        <v>1044</v>
      </c>
      <c r="C46" s="168" t="str">
        <f>"MG x " &amp; 'Hệ số'!D30 &amp; ""</f>
        <v>MG x 1</v>
      </c>
      <c r="D46" s="166">
        <f>ROUND(D45*'Hệ số'!C30,0)</f>
        <v>215928702</v>
      </c>
      <c r="E46" s="168" t="s">
        <v>176</v>
      </c>
    </row>
    <row r="47" spans="1:5" x14ac:dyDescent="0.25">
      <c r="A47" s="159"/>
      <c r="B47" s="130" t="s">
        <v>236</v>
      </c>
      <c r="C47" s="159" t="str">
        <f>"VL + NC + M"</f>
        <v>VL + NC + M</v>
      </c>
      <c r="D47" s="155">
        <f>ROUND(D39+D41+D44,0)</f>
        <v>2047129511</v>
      </c>
      <c r="E47" s="159" t="s">
        <v>1115</v>
      </c>
    </row>
    <row r="48" spans="1:5" x14ac:dyDescent="0.25">
      <c r="A48" s="168" t="s">
        <v>633</v>
      </c>
      <c r="B48" s="144" t="s">
        <v>1021</v>
      </c>
      <c r="C48" s="168" t="str">
        <f>"T x " &amp; 'Hệ số'!D32*100 &amp; "%"</f>
        <v>T x 4,89%</v>
      </c>
      <c r="D48" s="166">
        <f>ROUND(D47*'Hệ số'!C32,0)</f>
        <v>100104633</v>
      </c>
      <c r="E48" s="168" t="s">
        <v>978</v>
      </c>
    </row>
    <row r="49" spans="1:5" x14ac:dyDescent="0.25">
      <c r="A49" s="168" t="s">
        <v>637</v>
      </c>
      <c r="B49" s="144" t="s">
        <v>851</v>
      </c>
      <c r="C49" s="168" t="str">
        <f>"(T + C) x " &amp; 'Hệ số'!D36*100 &amp; "%"</f>
        <v>(T + C) x 5,5%</v>
      </c>
      <c r="D49" s="166">
        <f>ROUND((D47+D48)*'Hệ số'!C36,0)</f>
        <v>118097878</v>
      </c>
      <c r="E49" s="168" t="s">
        <v>788</v>
      </c>
    </row>
    <row r="50" spans="1:5" x14ac:dyDescent="0.25">
      <c r="A50" s="159"/>
      <c r="B50" s="130" t="s">
        <v>783</v>
      </c>
      <c r="C50" s="159" t="str">
        <f>"T + C + TL"</f>
        <v>T + C + TL</v>
      </c>
      <c r="D50" s="155">
        <f>ROUND(D47+D48+D49,0)</f>
        <v>2265332022</v>
      </c>
      <c r="E50" s="159" t="s">
        <v>3</v>
      </c>
    </row>
    <row r="51" spans="1:5" x14ac:dyDescent="0.25">
      <c r="A51" s="168" t="s">
        <v>539</v>
      </c>
      <c r="B51" s="144" t="s">
        <v>508</v>
      </c>
      <c r="C51" s="168" t="str">
        <f>"G x " &amp; 'Hệ số'!D38*100 &amp; "%"</f>
        <v>G x 10%</v>
      </c>
      <c r="D51" s="166">
        <f>ROUND(D50*'Hệ số'!C38,0)</f>
        <v>226533202</v>
      </c>
      <c r="E51" s="168" t="s">
        <v>571</v>
      </c>
    </row>
    <row r="52" spans="1:5" x14ac:dyDescent="0.25">
      <c r="A52" s="159"/>
      <c r="B52" s="130" t="s">
        <v>294</v>
      </c>
      <c r="C52" s="159" t="str">
        <f>"G + GTGT"</f>
        <v>G + GTGT</v>
      </c>
      <c r="D52" s="155">
        <f>ROUND(D50+D51,0)</f>
        <v>2491865224</v>
      </c>
      <c r="E52" s="159" t="s">
        <v>1191</v>
      </c>
    </row>
    <row r="53" spans="1:5" x14ac:dyDescent="0.25">
      <c r="A53" s="42"/>
      <c r="B53" s="42" t="s">
        <v>832</v>
      </c>
      <c r="C53" s="42" t="str">
        <f>"Gxd"</f>
        <v>Gxd</v>
      </c>
      <c r="D53" s="35">
        <f>ROUND(D52,0)</f>
        <v>2491865224</v>
      </c>
      <c r="E53" s="42"/>
    </row>
    <row r="54" spans="1:5" ht="18" customHeight="1" x14ac:dyDescent="0.25">
      <c r="A54" s="128"/>
      <c r="B54" s="107" t="s">
        <v>524</v>
      </c>
      <c r="C54" s="128" t="s">
        <v>1142</v>
      </c>
      <c r="D54" s="97">
        <f>ROUND(D53,-3)</f>
        <v>2491865000</v>
      </c>
      <c r="E54" s="128"/>
    </row>
    <row r="55" spans="1:5" ht="18.75" customHeight="1" x14ac:dyDescent="0.25">
      <c r="A55" s="314" t="e">
        <f ca="1">TienBangChu(D54)</f>
        <v>#NAME?</v>
      </c>
      <c r="B55" s="314"/>
      <c r="C55" s="314"/>
      <c r="D55" s="314"/>
      <c r="E55" s="314"/>
    </row>
    <row r="56" spans="1:5" hidden="1" x14ac:dyDescent="0.25">
      <c r="A56" s="2"/>
      <c r="B56" s="146"/>
      <c r="C56" s="315" t="s">
        <v>296</v>
      </c>
      <c r="D56" s="315"/>
      <c r="E56" s="315"/>
    </row>
    <row r="57" spans="1:5" hidden="1" x14ac:dyDescent="0.25">
      <c r="A57" s="2"/>
      <c r="B57" s="2" t="s">
        <v>1096</v>
      </c>
      <c r="C57" s="316" t="s">
        <v>552</v>
      </c>
      <c r="D57" s="316"/>
      <c r="E57" s="316"/>
    </row>
    <row r="58" spans="1:5" hidden="1" x14ac:dyDescent="0.25">
      <c r="A58" s="2"/>
      <c r="B58" s="2"/>
      <c r="C58" s="2"/>
      <c r="D58" s="36"/>
      <c r="E58" s="2"/>
    </row>
    <row r="59" spans="1:5" hidden="1" x14ac:dyDescent="0.25">
      <c r="A59" s="2"/>
      <c r="B59" s="146"/>
      <c r="C59" s="2"/>
      <c r="D59" s="36"/>
      <c r="E59" s="2"/>
    </row>
    <row r="60" spans="1:5" hidden="1" x14ac:dyDescent="0.25">
      <c r="A60" s="2"/>
      <c r="B60" s="146"/>
      <c r="C60" s="2"/>
      <c r="D60" s="36"/>
      <c r="E60" s="2"/>
    </row>
    <row r="61" spans="1:5" hidden="1" x14ac:dyDescent="0.25">
      <c r="A61" s="2"/>
      <c r="B61" s="146"/>
      <c r="C61" s="2"/>
      <c r="D61" s="36"/>
      <c r="E61" s="2"/>
    </row>
    <row r="62" spans="1:5" hidden="1" x14ac:dyDescent="0.25">
      <c r="A62" s="2"/>
      <c r="B62" s="2" t="s">
        <v>1057</v>
      </c>
      <c r="C62" s="316" t="s">
        <v>1057</v>
      </c>
      <c r="D62" s="316"/>
      <c r="E62" s="316"/>
    </row>
    <row r="63" spans="1:5" hidden="1" x14ac:dyDescent="0.25">
      <c r="A63" s="2"/>
      <c r="B63" s="2" t="s">
        <v>646</v>
      </c>
      <c r="C63" s="316" t="s">
        <v>1012</v>
      </c>
      <c r="D63" s="316"/>
      <c r="E63" s="316"/>
    </row>
    <row r="64" spans="1:5" hidden="1" x14ac:dyDescent="0.25">
      <c r="A64" s="2"/>
      <c r="B64" s="146"/>
      <c r="C64" s="316" t="s">
        <v>195</v>
      </c>
      <c r="D64" s="316"/>
      <c r="E64" s="316"/>
    </row>
    <row r="65" spans="1:9" ht="17.25" customHeight="1" x14ac:dyDescent="0.25">
      <c r="A65" s="2"/>
      <c r="B65" s="146"/>
      <c r="C65" s="2"/>
      <c r="D65" s="36"/>
      <c r="E65" s="2"/>
    </row>
    <row r="67" spans="1:9" ht="105" x14ac:dyDescent="0.25">
      <c r="F67" s="180" t="str">
        <f>'Hạng mục chung'!C7</f>
        <v>Chi phí xây dựng nhà tạm tại hiện trường để ở và điều hành thi công</v>
      </c>
      <c r="G67" s="180" t="str">
        <f>'Hạng mục chung'!C10</f>
        <v>Chi phí một số công tác không xác định được khối lượng từ thiết kế</v>
      </c>
      <c r="I67" s="177"/>
    </row>
    <row r="68" spans="1:9" x14ac:dyDescent="0.25">
      <c r="D68" s="175">
        <f>D20</f>
        <v>19458978000</v>
      </c>
      <c r="E68" s="177">
        <f>D68/D70</f>
        <v>0.88647975843114546</v>
      </c>
      <c r="F68" s="175">
        <f>'Hạng mục chung'!H8</f>
        <v>194589777</v>
      </c>
      <c r="G68" s="175">
        <f>'Hạng mục chung'!H11</f>
        <v>389179553</v>
      </c>
      <c r="H68" s="175">
        <f>D68+F68+G68</f>
        <v>20042747330</v>
      </c>
      <c r="I68" s="177">
        <f>H68/H70</f>
        <v>0.88647975814568503</v>
      </c>
    </row>
    <row r="69" spans="1:9" x14ac:dyDescent="0.25">
      <c r="D69" s="175">
        <f>D54</f>
        <v>2491865000</v>
      </c>
      <c r="E69" s="177">
        <f>D69/D70</f>
        <v>0.11352024156885455</v>
      </c>
      <c r="F69" s="175">
        <f>'Hạng mục chung'!H9</f>
        <v>24918652</v>
      </c>
      <c r="G69" s="175">
        <f>'Hạng mục chung'!H12</f>
        <v>49837304</v>
      </c>
      <c r="H69" s="175">
        <f>D69+F69+G69</f>
        <v>2566620956</v>
      </c>
      <c r="I69" s="177">
        <f>H69/H70</f>
        <v>0.11352024185431503</v>
      </c>
    </row>
    <row r="70" spans="1:9" x14ac:dyDescent="0.25">
      <c r="D70" s="178">
        <f>D68+D69</f>
        <v>21950843000</v>
      </c>
      <c r="E70" s="177"/>
      <c r="H70" s="178">
        <f>SUM(H68:H69)</f>
        <v>22609368286</v>
      </c>
      <c r="I70" s="177"/>
    </row>
    <row r="71" spans="1:9" x14ac:dyDescent="0.25">
      <c r="E71" s="177"/>
      <c r="I71" s="177"/>
    </row>
    <row r="72" spans="1:9" x14ac:dyDescent="0.25">
      <c r="E72" s="177"/>
    </row>
    <row r="73" spans="1:9" x14ac:dyDescent="0.25">
      <c r="E73" s="177"/>
    </row>
  </sheetData>
  <mergeCells count="20">
    <mergeCell ref="A33:E33"/>
    <mergeCell ref="A34:E34"/>
    <mergeCell ref="C63:E63"/>
    <mergeCell ref="C64:E64"/>
    <mergeCell ref="A35:E35"/>
    <mergeCell ref="C36:E36"/>
    <mergeCell ref="A55:E55"/>
    <mergeCell ref="C56:E56"/>
    <mergeCell ref="C57:E57"/>
    <mergeCell ref="C62:E62"/>
    <mergeCell ref="C22:E22"/>
    <mergeCell ref="C23:E23"/>
    <mergeCell ref="C28:E28"/>
    <mergeCell ref="C29:E29"/>
    <mergeCell ref="C30:E30"/>
    <mergeCell ref="A1:E1"/>
    <mergeCell ref="A2:E2"/>
    <mergeCell ref="A3:E3"/>
    <mergeCell ref="C4:E4"/>
    <mergeCell ref="A21:E21"/>
  </mergeCells>
  <pageMargins left="0.7" right="0.7" top="0.75" bottom="0.75" header="0.3" footer="0.3"/>
  <pageSetup paperSize="9" orientation="landscape"/>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22"/>
  <sheetViews>
    <sheetView showZeros="0" workbookViewId="0">
      <selection activeCell="D9" sqref="D9"/>
    </sheetView>
  </sheetViews>
  <sheetFormatPr defaultColWidth="9.140625" defaultRowHeight="15" x14ac:dyDescent="0.25"/>
  <cols>
    <col min="1" max="1" width="6.5703125" style="143" customWidth="1"/>
    <col min="2" max="2" width="36.7109375" style="143" customWidth="1"/>
    <col min="3" max="3" width="39.5703125" style="143" customWidth="1"/>
    <col min="4" max="4" width="19.28515625" style="143" customWidth="1"/>
    <col min="5" max="5" width="12.85546875" style="143" customWidth="1"/>
    <col min="6" max="6" width="17.42578125" style="143" bestFit="1" customWidth="1"/>
    <col min="7" max="16384" width="9.140625" style="143"/>
  </cols>
  <sheetData>
    <row r="1" spans="1:6" ht="22.5" customHeight="1" x14ac:dyDescent="0.25">
      <c r="A1" s="310" t="s">
        <v>940</v>
      </c>
      <c r="B1" s="310"/>
      <c r="C1" s="310"/>
      <c r="D1" s="310"/>
      <c r="E1" s="310"/>
    </row>
    <row r="2" spans="1:6" ht="20.25" customHeight="1" x14ac:dyDescent="0.25">
      <c r="A2" s="309" t="str">
        <f>'Công trình'!A2</f>
        <v>CÔNG TRÌNH: ĐÊ BAO VEN SÔNG SÀI GÒN ĐOẠN TỪ RẠCH NÀNG ÂM ĐẾN RẠCH LÁNG THE</v>
      </c>
      <c r="B2" s="309"/>
      <c r="C2" s="309"/>
      <c r="D2" s="309"/>
      <c r="E2" s="309"/>
    </row>
    <row r="3" spans="1:6" ht="18" customHeight="1" x14ac:dyDescent="0.25">
      <c r="A3" s="2"/>
      <c r="B3" s="146"/>
      <c r="C3" s="2"/>
      <c r="D3" s="313" t="s">
        <v>1126</v>
      </c>
      <c r="E3" s="313"/>
    </row>
    <row r="4" spans="1:6" ht="18.75" customHeight="1" x14ac:dyDescent="0.25">
      <c r="A4" s="140" t="s">
        <v>761</v>
      </c>
      <c r="B4" s="140" t="s">
        <v>156</v>
      </c>
      <c r="C4" s="140" t="s">
        <v>1099</v>
      </c>
      <c r="D4" s="92" t="s">
        <v>903</v>
      </c>
      <c r="E4" s="140" t="s">
        <v>744</v>
      </c>
    </row>
    <row r="5" spans="1:6" x14ac:dyDescent="0.25">
      <c r="A5" s="65">
        <v>1</v>
      </c>
      <c r="B5" s="14" t="s">
        <v>783</v>
      </c>
      <c r="C5" s="65" t="s">
        <v>780</v>
      </c>
      <c r="D5" s="54">
        <f>SUM(D6:D7)</f>
        <v>19955311712</v>
      </c>
      <c r="E5" s="65" t="s">
        <v>3</v>
      </c>
    </row>
    <row r="6" spans="1:6" x14ac:dyDescent="0.25">
      <c r="A6" s="168"/>
      <c r="B6" s="144" t="s">
        <v>1002</v>
      </c>
      <c r="C6" s="168"/>
      <c r="D6" s="166">
        <f>'TH dự toán hạng mục'!D16</f>
        <v>17689979690</v>
      </c>
      <c r="E6" s="168"/>
      <c r="F6" s="176">
        <f>D6*1.1</f>
        <v>19458977659</v>
      </c>
    </row>
    <row r="7" spans="1:6" x14ac:dyDescent="0.25">
      <c r="A7" s="168"/>
      <c r="B7" s="144" t="s">
        <v>645</v>
      </c>
      <c r="C7" s="168"/>
      <c r="D7" s="166">
        <f>'TH dự toán hạng mục'!D50</f>
        <v>2265332022</v>
      </c>
      <c r="E7" s="168"/>
    </row>
    <row r="8" spans="1:6" x14ac:dyDescent="0.25">
      <c r="A8" s="168">
        <v>2</v>
      </c>
      <c r="B8" s="144" t="s">
        <v>614</v>
      </c>
      <c r="C8" s="168" t="str">
        <f>"G x " &amp; 'Hệ số'!D10*100 &amp; "%"</f>
        <v>G x 10%</v>
      </c>
      <c r="D8" s="166">
        <f>ROUND(D5*'Hệ số'!C10,0)</f>
        <v>1995531171</v>
      </c>
      <c r="E8" s="168" t="s">
        <v>571</v>
      </c>
    </row>
    <row r="9" spans="1:6" x14ac:dyDescent="0.25">
      <c r="A9" s="168">
        <v>3</v>
      </c>
      <c r="B9" s="130" t="s">
        <v>294</v>
      </c>
      <c r="C9" s="168" t="str">
        <f>"G + GTGT"</f>
        <v>G + GTGT</v>
      </c>
      <c r="D9" s="166">
        <f>ROUND(D5+D8,0)</f>
        <v>21950842883</v>
      </c>
      <c r="E9" s="168" t="s">
        <v>1191</v>
      </c>
    </row>
    <row r="10" spans="1:6" x14ac:dyDescent="0.25">
      <c r="A10" s="57"/>
      <c r="B10" s="42" t="s">
        <v>832</v>
      </c>
      <c r="C10" s="57" t="str">
        <f>"Gxd"</f>
        <v>Gxd</v>
      </c>
      <c r="D10" s="35">
        <f>ROUND(D9,0)</f>
        <v>21950842883</v>
      </c>
      <c r="E10" s="42"/>
    </row>
    <row r="11" spans="1:6" ht="18" customHeight="1" x14ac:dyDescent="0.25">
      <c r="A11" s="128"/>
      <c r="B11" s="107" t="s">
        <v>524</v>
      </c>
      <c r="C11" s="128" t="s">
        <v>1142</v>
      </c>
      <c r="D11" s="181">
        <f>ROUND(D10,-3)</f>
        <v>21950843000</v>
      </c>
      <c r="E11" s="128"/>
    </row>
    <row r="12" spans="1:6" ht="18" customHeight="1" x14ac:dyDescent="0.25">
      <c r="A12" s="314" t="e">
        <f ca="1">TienBangChu(D11)</f>
        <v>#NAME?</v>
      </c>
      <c r="B12" s="314"/>
      <c r="C12" s="314"/>
      <c r="D12" s="314"/>
      <c r="E12" s="314"/>
    </row>
    <row r="13" spans="1:6" ht="18" customHeight="1" x14ac:dyDescent="0.25">
      <c r="A13" s="2"/>
      <c r="B13" s="146"/>
      <c r="C13" s="2"/>
      <c r="D13" s="36"/>
      <c r="E13" s="2"/>
    </row>
    <row r="14" spans="1:6" ht="18" customHeight="1" x14ac:dyDescent="0.25">
      <c r="A14" s="2"/>
      <c r="B14" s="2" t="s">
        <v>1096</v>
      </c>
      <c r="C14" s="316" t="s">
        <v>552</v>
      </c>
      <c r="D14" s="316"/>
      <c r="E14" s="316"/>
    </row>
    <row r="15" spans="1:6" ht="18" customHeight="1" x14ac:dyDescent="0.25">
      <c r="A15" s="2"/>
      <c r="B15" s="146"/>
      <c r="C15" s="2"/>
      <c r="D15" s="36"/>
      <c r="E15" s="2"/>
    </row>
    <row r="16" spans="1:6" ht="18" customHeight="1" x14ac:dyDescent="0.25">
      <c r="A16" s="2"/>
      <c r="B16" s="146"/>
      <c r="C16" s="2"/>
      <c r="D16" s="36"/>
      <c r="E16" s="2"/>
    </row>
    <row r="17" spans="1:5" ht="18" customHeight="1" x14ac:dyDescent="0.25">
      <c r="A17" s="2"/>
      <c r="B17" s="146"/>
      <c r="C17" s="2"/>
      <c r="D17" s="36"/>
      <c r="E17" s="2"/>
    </row>
    <row r="18" spans="1:5" ht="18" customHeight="1" x14ac:dyDescent="0.25">
      <c r="A18" s="2"/>
      <c r="B18" s="146"/>
      <c r="C18" s="2"/>
      <c r="D18" s="36"/>
      <c r="E18" s="2"/>
    </row>
    <row r="19" spans="1:5" ht="18" customHeight="1" x14ac:dyDescent="0.25">
      <c r="A19" s="2"/>
      <c r="B19" s="2" t="s">
        <v>1057</v>
      </c>
      <c r="C19" s="316" t="s">
        <v>1057</v>
      </c>
      <c r="D19" s="316"/>
      <c r="E19" s="316"/>
    </row>
    <row r="20" spans="1:5" ht="18" customHeight="1" x14ac:dyDescent="0.25">
      <c r="A20" s="2"/>
      <c r="B20" s="2" t="s">
        <v>646</v>
      </c>
      <c r="C20" s="316" t="s">
        <v>1012</v>
      </c>
      <c r="D20" s="316"/>
      <c r="E20" s="316"/>
    </row>
    <row r="21" spans="1:5" ht="18" customHeight="1" x14ac:dyDescent="0.25">
      <c r="A21" s="2"/>
      <c r="B21" s="146"/>
      <c r="C21" s="316" t="s">
        <v>195</v>
      </c>
      <c r="D21" s="316"/>
      <c r="E21" s="316"/>
    </row>
    <row r="22" spans="1:5" ht="18" customHeight="1" x14ac:dyDescent="0.25">
      <c r="A22" s="2"/>
      <c r="B22" s="146"/>
      <c r="C22" s="2"/>
      <c r="D22" s="36"/>
      <c r="E22" s="2"/>
    </row>
  </sheetData>
  <mergeCells count="8">
    <mergeCell ref="C20:E20"/>
    <mergeCell ref="C21:E21"/>
    <mergeCell ref="A1:E1"/>
    <mergeCell ref="A2:E2"/>
    <mergeCell ref="D3:E3"/>
    <mergeCell ref="A12:E12"/>
    <mergeCell ref="C14:E14"/>
    <mergeCell ref="C19:E19"/>
  </mergeCells>
  <pageMargins left="0.7" right="0.7" top="0.75" bottom="0.75" header="0.3" footer="0.3"/>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J2433"/>
  <sheetViews>
    <sheetView showZeros="0" topLeftCell="A7" workbookViewId="0">
      <selection activeCell="D14" sqref="D14"/>
    </sheetView>
  </sheetViews>
  <sheetFormatPr defaultColWidth="9.140625" defaultRowHeight="15" x14ac:dyDescent="0.25"/>
  <cols>
    <col min="1" max="1" width="6.5703125" style="143" customWidth="1"/>
    <col min="2" max="2" width="11.7109375" style="143" customWidth="1"/>
    <col min="3" max="3" width="11.140625" style="143" hidden="1" customWidth="1"/>
    <col min="4" max="4" width="12.42578125" style="143" customWidth="1"/>
    <col min="5" max="5" width="46.28515625" style="143" customWidth="1"/>
    <col min="6" max="6" width="8.5703125" style="143" customWidth="1"/>
    <col min="7" max="7" width="12.85546875" style="143" customWidth="1"/>
    <col min="8" max="8" width="13.85546875" style="143" customWidth="1"/>
    <col min="9" max="9" width="7.5703125" style="143" hidden="1" customWidth="1"/>
    <col min="10" max="10" width="14.5703125" style="143" customWidth="1"/>
    <col min="11" max="16384" width="9.140625" style="143"/>
  </cols>
  <sheetData>
    <row r="1" spans="1:10" ht="22.5" customHeight="1" x14ac:dyDescent="0.25">
      <c r="A1" s="310" t="s">
        <v>1124</v>
      </c>
      <c r="B1" s="310"/>
      <c r="C1" s="310"/>
      <c r="D1" s="310"/>
      <c r="E1" s="310"/>
      <c r="F1" s="310"/>
      <c r="G1" s="310"/>
      <c r="H1" s="310"/>
      <c r="I1" s="310"/>
      <c r="J1" s="310"/>
    </row>
    <row r="2" spans="1:10" ht="19.5" customHeight="1" x14ac:dyDescent="0.25">
      <c r="A2" s="309" t="s">
        <v>421</v>
      </c>
      <c r="B2" s="309"/>
      <c r="C2" s="309"/>
      <c r="D2" s="309"/>
      <c r="E2" s="309"/>
      <c r="F2" s="309"/>
      <c r="G2" s="309"/>
      <c r="H2" s="309"/>
      <c r="I2" s="309"/>
      <c r="J2" s="309"/>
    </row>
    <row r="3" spans="1:10" ht="18" customHeight="1" x14ac:dyDescent="0.25">
      <c r="A3" s="311" t="s">
        <v>663</v>
      </c>
      <c r="B3" s="311"/>
      <c r="C3" s="311"/>
      <c r="D3" s="311"/>
      <c r="E3" s="311"/>
      <c r="F3" s="311"/>
      <c r="G3" s="311"/>
      <c r="H3" s="311"/>
      <c r="I3" s="311"/>
      <c r="J3" s="311"/>
    </row>
    <row r="4" spans="1:10" ht="17.25" customHeight="1" x14ac:dyDescent="0.25">
      <c r="A4" s="2"/>
      <c r="B4" s="146"/>
      <c r="C4" s="36"/>
      <c r="D4" s="146"/>
      <c r="E4" s="146"/>
      <c r="F4" s="2"/>
      <c r="G4" s="36"/>
      <c r="H4" s="36"/>
      <c r="I4" s="36"/>
      <c r="J4" s="36"/>
    </row>
    <row r="5" spans="1:10" ht="31.5" customHeight="1" x14ac:dyDescent="0.25">
      <c r="A5" s="140" t="s">
        <v>761</v>
      </c>
      <c r="B5" s="83" t="s">
        <v>253</v>
      </c>
      <c r="C5" s="140" t="s">
        <v>993</v>
      </c>
      <c r="D5" s="140" t="s">
        <v>134</v>
      </c>
      <c r="E5" s="140" t="s">
        <v>71</v>
      </c>
      <c r="F5" s="140" t="s">
        <v>971</v>
      </c>
      <c r="G5" s="140" t="s">
        <v>171</v>
      </c>
      <c r="H5" s="92" t="s">
        <v>86</v>
      </c>
      <c r="I5" s="145" t="s">
        <v>639</v>
      </c>
      <c r="J5" s="92" t="s">
        <v>563</v>
      </c>
    </row>
    <row r="6" spans="1:10" ht="28.5" x14ac:dyDescent="0.25">
      <c r="A6" s="65">
        <f>'Công trình'!$A$7</f>
        <v>1</v>
      </c>
      <c r="B6" s="14" t="str">
        <f>'Công trình'!$B$7</f>
        <v>AF.11224</v>
      </c>
      <c r="C6" s="94"/>
      <c r="D6" s="31"/>
      <c r="E6" s="14" t="str">
        <f>'Công trình'!$C$7</f>
        <v>Bê tông móng rộng &gt;250cm đá 1x2, vữa BT mác 250</v>
      </c>
      <c r="F6" s="46" t="str">
        <f>'Công trình'!$D$7</f>
        <v>m3</v>
      </c>
      <c r="G6" s="94"/>
      <c r="H6" s="54"/>
      <c r="I6" s="98"/>
      <c r="J6" s="54"/>
    </row>
    <row r="7" spans="1:10" x14ac:dyDescent="0.25">
      <c r="A7" s="56"/>
      <c r="B7" s="23"/>
      <c r="C7" s="88"/>
      <c r="D7" s="23"/>
      <c r="E7" s="23" t="s">
        <v>479</v>
      </c>
      <c r="F7" s="56"/>
      <c r="G7" s="88"/>
      <c r="H7" s="48"/>
      <c r="I7" s="90"/>
      <c r="J7" s="48">
        <f>ROUND(SUM(J8:J15),0)</f>
        <v>1102139</v>
      </c>
    </row>
    <row r="8" spans="1:10" x14ac:dyDescent="0.25">
      <c r="A8" s="168"/>
      <c r="B8" s="144"/>
      <c r="C8" s="34">
        <v>403</v>
      </c>
      <c r="D8" s="144" t="str">
        <f>'Vật liệu'!$B$275</f>
        <v>V00784</v>
      </c>
      <c r="E8" s="144" t="str">
        <f>" - " &amp; 'Vật liệu'!$D$275</f>
        <v xml:space="preserve"> - Đinh đỉa</v>
      </c>
      <c r="F8" s="168" t="str">
        <f>'Vật liệu'!$E$275</f>
        <v>cái</v>
      </c>
      <c r="G8" s="34">
        <f>'Hao phí vật tư'!$G$9</f>
        <v>0.60299999999999998</v>
      </c>
      <c r="H8" s="68">
        <f>'Vật liệu'!$W$275</f>
        <v>500</v>
      </c>
      <c r="I8" s="37">
        <v>1</v>
      </c>
      <c r="J8" s="166">
        <f t="shared" ref="J8:J14" si="0">ROUND(G8*H8*I8,0)</f>
        <v>302</v>
      </c>
    </row>
    <row r="9" spans="1:10" x14ac:dyDescent="0.25">
      <c r="A9" s="168"/>
      <c r="B9" s="144"/>
      <c r="C9" s="34">
        <v>401</v>
      </c>
      <c r="D9" s="144" t="str">
        <f>'Vật liệu'!$B$268</f>
        <v>V00772</v>
      </c>
      <c r="E9" s="144" t="str">
        <f>" - " &amp; 'Vật liệu'!$D$268</f>
        <v xml:space="preserve"> - Đinh</v>
      </c>
      <c r="F9" s="168" t="str">
        <f>'Vật liệu'!$E$268</f>
        <v>kg</v>
      </c>
      <c r="G9" s="34">
        <f>'Hao phí vật tư'!$G$10</f>
        <v>0.122</v>
      </c>
      <c r="H9" s="68">
        <f>'Vật liệu'!$W$268</f>
        <v>20000</v>
      </c>
      <c r="I9" s="37">
        <v>1</v>
      </c>
      <c r="J9" s="166">
        <f t="shared" si="0"/>
        <v>2440</v>
      </c>
    </row>
    <row r="10" spans="1:10" x14ac:dyDescent="0.25">
      <c r="A10" s="168"/>
      <c r="B10" s="144"/>
      <c r="C10" s="34">
        <v>397</v>
      </c>
      <c r="D10" s="144" t="str">
        <f>'Vật liệu'!$B$721</f>
        <v>V00761</v>
      </c>
      <c r="E10" s="144" t="str">
        <f>" - " &amp; 'Vật liệu'!$D$721</f>
        <v xml:space="preserve"> - Xi măng PC40</v>
      </c>
      <c r="F10" s="168" t="str">
        <f>'Vật liệu'!$E$721</f>
        <v>kg</v>
      </c>
      <c r="G10" s="34">
        <f>'Hao phí vật tư'!$G$11</f>
        <v>335.17500000000001</v>
      </c>
      <c r="H10" s="68">
        <f>'Vật liệu'!$W$721</f>
        <v>1513</v>
      </c>
      <c r="I10" s="37">
        <v>1</v>
      </c>
      <c r="J10" s="166">
        <f t="shared" si="0"/>
        <v>507120</v>
      </c>
    </row>
    <row r="11" spans="1:10" x14ac:dyDescent="0.25">
      <c r="A11" s="168"/>
      <c r="B11" s="144"/>
      <c r="C11" s="34">
        <v>125</v>
      </c>
      <c r="D11" s="144" t="str">
        <f>'Vật liệu'!$B$54</f>
        <v>V00112</v>
      </c>
      <c r="E11" s="144" t="str">
        <f>" - " &amp; 'Vật liệu'!$D$54</f>
        <v xml:space="preserve"> - Cát vàng</v>
      </c>
      <c r="F11" s="168" t="str">
        <f>'Vật liệu'!$E$54</f>
        <v>m3</v>
      </c>
      <c r="G11" s="34">
        <f>'Hao phí vật tư'!$G$12</f>
        <v>0.4869</v>
      </c>
      <c r="H11" s="68">
        <f>'Vật liệu'!$W$54</f>
        <v>420000</v>
      </c>
      <c r="I11" s="37">
        <v>1</v>
      </c>
      <c r="J11" s="166">
        <f t="shared" si="0"/>
        <v>204498</v>
      </c>
    </row>
    <row r="12" spans="1:10" x14ac:dyDescent="0.25">
      <c r="A12" s="168"/>
      <c r="B12" s="144"/>
      <c r="C12" s="34">
        <v>416</v>
      </c>
      <c r="D12" s="144" t="str">
        <f>'Vật liệu'!$B$142</f>
        <v>V05207</v>
      </c>
      <c r="E12" s="144" t="str">
        <f>" - " &amp; 'Vật liệu'!$D$142</f>
        <v xml:space="preserve"> - Đá 1x2</v>
      </c>
      <c r="F12" s="168" t="str">
        <f>'Vật liệu'!$E$142</f>
        <v>m3</v>
      </c>
      <c r="G12" s="34">
        <f>'Hao phí vật tư'!$G$13</f>
        <v>0.90300000000000002</v>
      </c>
      <c r="H12" s="68">
        <f>'Vật liệu'!$W$142</f>
        <v>360886</v>
      </c>
      <c r="I12" s="37">
        <v>1</v>
      </c>
      <c r="J12" s="166">
        <f t="shared" si="0"/>
        <v>325880</v>
      </c>
    </row>
    <row r="13" spans="1:10" x14ac:dyDescent="0.25">
      <c r="A13" s="168"/>
      <c r="B13" s="144"/>
      <c r="C13" s="34">
        <v>148</v>
      </c>
      <c r="D13" s="144" t="str">
        <f>'Vật liệu'!$B$353</f>
        <v>V00494</v>
      </c>
      <c r="E13" s="144" t="str">
        <f>" - " &amp; 'Vật liệu'!$D$353</f>
        <v xml:space="preserve"> - Nước</v>
      </c>
      <c r="F13" s="168" t="str">
        <f>'Vật liệu'!$E$353</f>
        <v>lít</v>
      </c>
      <c r="G13" s="34">
        <f>'Hao phí vật tư'!$G$14</f>
        <v>189.625</v>
      </c>
      <c r="H13" s="68">
        <f>'Vật liệu'!$W$353</f>
        <v>10</v>
      </c>
      <c r="I13" s="37">
        <v>1</v>
      </c>
      <c r="J13" s="166">
        <f t="shared" si="0"/>
        <v>1896</v>
      </c>
    </row>
    <row r="14" spans="1:10" x14ac:dyDescent="0.25">
      <c r="A14" s="168"/>
      <c r="B14" s="144"/>
      <c r="C14" s="34">
        <v>144</v>
      </c>
      <c r="D14" s="144" t="str">
        <f>'Vật liệu'!$B$314</f>
        <v>V00404</v>
      </c>
      <c r="E14" s="144" t="str">
        <f>" - " &amp; 'Vật liệu'!$D$314</f>
        <v xml:space="preserve"> - Gỗ ván cầu công tác</v>
      </c>
      <c r="F14" s="168" t="str">
        <f>'Vật liệu'!$E$314</f>
        <v>m3</v>
      </c>
      <c r="G14" s="34">
        <f>'Hao phí vật tư'!$G$15</f>
        <v>1.4999999999999999E-2</v>
      </c>
      <c r="H14" s="68">
        <f>'Vật liệu'!$W$314</f>
        <v>3272727</v>
      </c>
      <c r="I14" s="37">
        <v>1</v>
      </c>
      <c r="J14" s="166">
        <f t="shared" si="0"/>
        <v>49091</v>
      </c>
    </row>
    <row r="15" spans="1:10" x14ac:dyDescent="0.25">
      <c r="A15" s="168"/>
      <c r="B15" s="144"/>
      <c r="C15" s="34">
        <v>358</v>
      </c>
      <c r="D15" s="144" t="str">
        <f>'Vật liệu'!$B$766</f>
        <v>V00750</v>
      </c>
      <c r="E15" s="144" t="str">
        <f>" - " &amp; 'Vật liệu'!$D$766</f>
        <v xml:space="preserve"> - Vật liệu khác</v>
      </c>
      <c r="F15" s="168" t="str">
        <f>'Vật liệu'!$E$766</f>
        <v>%</v>
      </c>
      <c r="G15" s="34">
        <f>'Hao phí vật tư'!$G$16</f>
        <v>1</v>
      </c>
      <c r="H15" s="166">
        <f>'Vật liệu'!$W$766</f>
        <v>0</v>
      </c>
      <c r="I15" s="37">
        <v>1</v>
      </c>
      <c r="J15" s="166">
        <f>ROUND((J8+J9+J10+J11+J12+J13+J14)*G15*I15/100,0)</f>
        <v>10912</v>
      </c>
    </row>
    <row r="16" spans="1:10" x14ac:dyDescent="0.25">
      <c r="A16" s="56"/>
      <c r="B16" s="23"/>
      <c r="C16" s="88"/>
      <c r="D16" s="23"/>
      <c r="E16" s="23" t="s">
        <v>202</v>
      </c>
      <c r="F16" s="56"/>
      <c r="G16" s="88"/>
      <c r="H16" s="48"/>
      <c r="I16" s="90"/>
      <c r="J16" s="48">
        <f>ROUND(SUM(J17:J17),0)</f>
        <v>384605</v>
      </c>
    </row>
    <row r="17" spans="1:10" x14ac:dyDescent="0.25">
      <c r="A17" s="168"/>
      <c r="B17" s="144"/>
      <c r="C17" s="34">
        <v>545</v>
      </c>
      <c r="D17" s="144" t="str">
        <f>'Nhân công'!$B$6</f>
        <v>N0006</v>
      </c>
      <c r="E17" s="144" t="s">
        <v>256</v>
      </c>
      <c r="F17" s="168" t="str">
        <f>'Nhân công'!$G$6</f>
        <v>công</v>
      </c>
      <c r="G17" s="34">
        <f>'Hao phí vật tư'!$H$18</f>
        <v>1.97</v>
      </c>
      <c r="H17" s="68">
        <f>'Nhân công'!$M$6</f>
        <v>195231</v>
      </c>
      <c r="I17" s="37">
        <v>1</v>
      </c>
      <c r="J17" s="166">
        <f>ROUND(G17*H17*I17,0)</f>
        <v>384605</v>
      </c>
    </row>
    <row r="18" spans="1:10" x14ac:dyDescent="0.25">
      <c r="A18" s="56"/>
      <c r="B18" s="23"/>
      <c r="C18" s="88"/>
      <c r="D18" s="23"/>
      <c r="E18" s="23" t="s">
        <v>378</v>
      </c>
      <c r="F18" s="56"/>
      <c r="G18" s="88"/>
      <c r="H18" s="48"/>
      <c r="I18" s="90"/>
      <c r="J18" s="48">
        <f>ROUND(SUM(J19:J20),0)</f>
        <v>47495</v>
      </c>
    </row>
    <row r="19" spans="1:10" x14ac:dyDescent="0.25">
      <c r="A19" s="168"/>
      <c r="B19" s="144"/>
      <c r="C19" s="34">
        <v>750</v>
      </c>
      <c r="D19" s="144" t="str">
        <f>'Máy thi công'!$B$232</f>
        <v>M9571</v>
      </c>
      <c r="E19" s="144" t="str">
        <f>" - " &amp; 'Máy thi công'!$D$232</f>
        <v xml:space="preserve"> - Máy đầm bê tông, dầm dùi - công suất: 1,5 kW</v>
      </c>
      <c r="F19" s="168" t="str">
        <f>'Máy thi công'!$E$232</f>
        <v>ca</v>
      </c>
      <c r="G19" s="34">
        <f>'Hao phí vật tư'!$I$20</f>
        <v>8.8999999999999996E-2</v>
      </c>
      <c r="H19" s="68">
        <f>'Máy thi công'!$N$232</f>
        <v>225765</v>
      </c>
      <c r="I19" s="37">
        <v>1</v>
      </c>
      <c r="J19" s="166">
        <f>ROUND(G19*H19*I19,0)</f>
        <v>20093</v>
      </c>
    </row>
    <row r="20" spans="1:10" x14ac:dyDescent="0.25">
      <c r="A20" s="168"/>
      <c r="B20" s="144"/>
      <c r="C20" s="34">
        <v>744</v>
      </c>
      <c r="D20" s="144" t="str">
        <f>'Máy thi công'!$B$306</f>
        <v>M9555</v>
      </c>
      <c r="E20" s="144" t="str">
        <f>" - " &amp; 'Máy thi công'!$D$306</f>
        <v xml:space="preserve"> - Máy trộn bê tông - dung tích: 250 lít</v>
      </c>
      <c r="F20" s="168" t="str">
        <f>'Máy thi công'!$E$306</f>
        <v>ca</v>
      </c>
      <c r="G20" s="34">
        <f>'Hao phí vật tư'!$I$21</f>
        <v>9.5000000000000001E-2</v>
      </c>
      <c r="H20" s="68">
        <f>'Máy thi công'!$N$306</f>
        <v>288447</v>
      </c>
      <c r="I20" s="37">
        <v>1</v>
      </c>
      <c r="J20" s="166">
        <f>ROUND(G20*H20*I20,0)</f>
        <v>27402</v>
      </c>
    </row>
    <row r="21" spans="1:10" ht="28.5" x14ac:dyDescent="0.25">
      <c r="A21" s="65">
        <f>'Công trình'!$A$8</f>
        <v>2</v>
      </c>
      <c r="B21" s="14" t="str">
        <f>'Công trình'!$B$8</f>
        <v>AF.12144</v>
      </c>
      <c r="C21" s="94"/>
      <c r="D21" s="31"/>
      <c r="E21" s="14" t="str">
        <f>'Công trình'!$C$8</f>
        <v>Bê tông tường dày &gt;45cm, chiều cao &lt;=16m đá 1x2, vữa BT mác 250</v>
      </c>
      <c r="F21" s="46" t="str">
        <f>'Công trình'!$D$8</f>
        <v>m3</v>
      </c>
      <c r="G21" s="94"/>
      <c r="H21" s="54"/>
      <c r="I21" s="98"/>
      <c r="J21" s="54"/>
    </row>
    <row r="22" spans="1:10" x14ac:dyDescent="0.25">
      <c r="A22" s="56"/>
      <c r="B22" s="23"/>
      <c r="C22" s="88"/>
      <c r="D22" s="23"/>
      <c r="E22" s="23" t="s">
        <v>479</v>
      </c>
      <c r="F22" s="56"/>
      <c r="G22" s="88"/>
      <c r="H22" s="48"/>
      <c r="I22" s="90"/>
      <c r="J22" s="48">
        <f>ROUND(SUM(J23:J30),0)</f>
        <v>1128105</v>
      </c>
    </row>
    <row r="23" spans="1:10" x14ac:dyDescent="0.25">
      <c r="A23" s="168"/>
      <c r="B23" s="144"/>
      <c r="C23" s="34">
        <v>403</v>
      </c>
      <c r="D23" s="144" t="str">
        <f>'Vật liệu'!$B$275</f>
        <v>V00784</v>
      </c>
      <c r="E23" s="144" t="str">
        <f>" - " &amp; 'Vật liệu'!$D$275</f>
        <v xml:space="preserve"> - Đinh đỉa</v>
      </c>
      <c r="F23" s="168" t="str">
        <f>'Vật liệu'!$E$275</f>
        <v>cái</v>
      </c>
      <c r="G23" s="34">
        <f>'Hao phí vật tư'!$G$24</f>
        <v>0.35199999999999998</v>
      </c>
      <c r="H23" s="68">
        <f>'Vật liệu'!$W$275</f>
        <v>500</v>
      </c>
      <c r="I23" s="37">
        <v>1</v>
      </c>
      <c r="J23" s="166">
        <f t="shared" ref="J23:J29" si="1">ROUND(G23*H23*I23,0)</f>
        <v>176</v>
      </c>
    </row>
    <row r="24" spans="1:10" x14ac:dyDescent="0.25">
      <c r="A24" s="168"/>
      <c r="B24" s="144"/>
      <c r="C24" s="34">
        <v>401</v>
      </c>
      <c r="D24" s="144" t="str">
        <f>'Vật liệu'!$B$268</f>
        <v>V00772</v>
      </c>
      <c r="E24" s="144" t="str">
        <f>" - " &amp; 'Vật liệu'!$D$268</f>
        <v xml:space="preserve"> - Đinh</v>
      </c>
      <c r="F24" s="168" t="str">
        <f>'Vật liệu'!$E$268</f>
        <v>kg</v>
      </c>
      <c r="G24" s="34">
        <f>'Hao phí vật tư'!$G$25</f>
        <v>4.8000000000000001E-2</v>
      </c>
      <c r="H24" s="68">
        <f>'Vật liệu'!$W$268</f>
        <v>20000</v>
      </c>
      <c r="I24" s="37">
        <v>1</v>
      </c>
      <c r="J24" s="166">
        <f t="shared" si="1"/>
        <v>960</v>
      </c>
    </row>
    <row r="25" spans="1:10" x14ac:dyDescent="0.25">
      <c r="A25" s="168"/>
      <c r="B25" s="144"/>
      <c r="C25" s="34">
        <v>397</v>
      </c>
      <c r="D25" s="144" t="str">
        <f>'Vật liệu'!$B$721</f>
        <v>V00761</v>
      </c>
      <c r="E25" s="144" t="str">
        <f>" - " &amp; 'Vật liệu'!$D$721</f>
        <v xml:space="preserve"> - Xi măng PC40</v>
      </c>
      <c r="F25" s="168" t="str">
        <f>'Vật liệu'!$E$721</f>
        <v>kg</v>
      </c>
      <c r="G25" s="34">
        <f>'Hao phí vật tư'!$G$26</f>
        <v>335.17500000000001</v>
      </c>
      <c r="H25" s="68">
        <f>'Vật liệu'!$W$721</f>
        <v>1513</v>
      </c>
      <c r="I25" s="37">
        <v>1</v>
      </c>
      <c r="J25" s="166">
        <f t="shared" si="1"/>
        <v>507120</v>
      </c>
    </row>
    <row r="26" spans="1:10" x14ac:dyDescent="0.25">
      <c r="A26" s="168"/>
      <c r="B26" s="144"/>
      <c r="C26" s="34">
        <v>125</v>
      </c>
      <c r="D26" s="144" t="str">
        <f>'Vật liệu'!$B$54</f>
        <v>V00112</v>
      </c>
      <c r="E26" s="144" t="str">
        <f>" - " &amp; 'Vật liệu'!$D$54</f>
        <v xml:space="preserve"> - Cát vàng</v>
      </c>
      <c r="F26" s="168" t="str">
        <f>'Vật liệu'!$E$54</f>
        <v>m3</v>
      </c>
      <c r="G26" s="34">
        <f>'Hao phí vật tư'!$G$27</f>
        <v>0.4869</v>
      </c>
      <c r="H26" s="68">
        <f>'Vật liệu'!$W$54</f>
        <v>420000</v>
      </c>
      <c r="I26" s="37">
        <v>1</v>
      </c>
      <c r="J26" s="166">
        <f t="shared" si="1"/>
        <v>204498</v>
      </c>
    </row>
    <row r="27" spans="1:10" x14ac:dyDescent="0.25">
      <c r="A27" s="168"/>
      <c r="B27" s="144"/>
      <c r="C27" s="34">
        <v>416</v>
      </c>
      <c r="D27" s="144" t="str">
        <f>'Vật liệu'!$B$142</f>
        <v>V05207</v>
      </c>
      <c r="E27" s="144" t="str">
        <f>" - " &amp; 'Vật liệu'!$D$142</f>
        <v xml:space="preserve"> - Đá 1x2</v>
      </c>
      <c r="F27" s="168" t="str">
        <f>'Vật liệu'!$E$142</f>
        <v>m3</v>
      </c>
      <c r="G27" s="34">
        <f>'Hao phí vật tư'!$G$28</f>
        <v>0.90300000000000002</v>
      </c>
      <c r="H27" s="68">
        <f>'Vật liệu'!$W$142</f>
        <v>360886</v>
      </c>
      <c r="I27" s="37">
        <v>1</v>
      </c>
      <c r="J27" s="166">
        <f t="shared" si="1"/>
        <v>325880</v>
      </c>
    </row>
    <row r="28" spans="1:10" x14ac:dyDescent="0.25">
      <c r="A28" s="168"/>
      <c r="B28" s="144"/>
      <c r="C28" s="34">
        <v>148</v>
      </c>
      <c r="D28" s="144" t="str">
        <f>'Vật liệu'!$B$353</f>
        <v>V00494</v>
      </c>
      <c r="E28" s="144" t="str">
        <f>" - " &amp; 'Vật liệu'!$D$353</f>
        <v xml:space="preserve"> - Nước</v>
      </c>
      <c r="F28" s="168" t="str">
        <f>'Vật liệu'!$E$353</f>
        <v>lít</v>
      </c>
      <c r="G28" s="34">
        <f>'Hao phí vật tư'!$G$29</f>
        <v>189.625</v>
      </c>
      <c r="H28" s="68">
        <f>'Vật liệu'!$W$353</f>
        <v>10</v>
      </c>
      <c r="I28" s="37">
        <v>1</v>
      </c>
      <c r="J28" s="166">
        <f t="shared" si="1"/>
        <v>1896</v>
      </c>
    </row>
    <row r="29" spans="1:10" x14ac:dyDescent="0.25">
      <c r="A29" s="168"/>
      <c r="B29" s="144"/>
      <c r="C29" s="34">
        <v>144</v>
      </c>
      <c r="D29" s="144" t="str">
        <f>'Vật liệu'!$B$314</f>
        <v>V00404</v>
      </c>
      <c r="E29" s="144" t="str">
        <f>" - " &amp; 'Vật liệu'!$D$314</f>
        <v xml:space="preserve"> - Gỗ ván cầu công tác</v>
      </c>
      <c r="F29" s="168" t="str">
        <f>'Vật liệu'!$E$314</f>
        <v>m3</v>
      </c>
      <c r="G29" s="34">
        <f>'Hao phí vật tư'!$G$30</f>
        <v>0.02</v>
      </c>
      <c r="H29" s="68">
        <f>'Vật liệu'!$W$314</f>
        <v>3272727</v>
      </c>
      <c r="I29" s="37">
        <v>1</v>
      </c>
      <c r="J29" s="166">
        <f t="shared" si="1"/>
        <v>65455</v>
      </c>
    </row>
    <row r="30" spans="1:10" x14ac:dyDescent="0.25">
      <c r="A30" s="168"/>
      <c r="B30" s="144"/>
      <c r="C30" s="34">
        <v>360</v>
      </c>
      <c r="D30" s="144" t="str">
        <f>'Vật liệu'!$B$766</f>
        <v>V00750</v>
      </c>
      <c r="E30" s="144" t="str">
        <f>" - " &amp; 'Vật liệu'!$D$766</f>
        <v xml:space="preserve"> - Vật liệu khác</v>
      </c>
      <c r="F30" s="168" t="str">
        <f>'Vật liệu'!$E$766</f>
        <v>%</v>
      </c>
      <c r="G30" s="34">
        <f>'Hao phí vật tư'!$G$31</f>
        <v>2</v>
      </c>
      <c r="H30" s="166">
        <f>'Vật liệu'!$W$766</f>
        <v>0</v>
      </c>
      <c r="I30" s="37">
        <v>1</v>
      </c>
      <c r="J30" s="166">
        <f>ROUND((J23+J24+J25+J26+J27+J28+J29)*G30*I30/100,0)</f>
        <v>22120</v>
      </c>
    </row>
    <row r="31" spans="1:10" x14ac:dyDescent="0.25">
      <c r="A31" s="56"/>
      <c r="B31" s="23"/>
      <c r="C31" s="88"/>
      <c r="D31" s="23"/>
      <c r="E31" s="23" t="s">
        <v>202</v>
      </c>
      <c r="F31" s="56"/>
      <c r="G31" s="88"/>
      <c r="H31" s="48"/>
      <c r="I31" s="90"/>
      <c r="J31" s="48">
        <f>ROUND(SUM(J32:J32),0)</f>
        <v>840781</v>
      </c>
    </row>
    <row r="32" spans="1:10" x14ac:dyDescent="0.25">
      <c r="A32" s="168"/>
      <c r="B32" s="144"/>
      <c r="C32" s="34">
        <v>546</v>
      </c>
      <c r="D32" s="144" t="str">
        <f>'Nhân công'!$B$45</f>
        <v>N0009</v>
      </c>
      <c r="E32" s="144" t="s">
        <v>1052</v>
      </c>
      <c r="F32" s="168" t="str">
        <f>'Nhân công'!$G$45</f>
        <v>công</v>
      </c>
      <c r="G32" s="34">
        <f>'Hao phí vật tư'!$H$33</f>
        <v>3.95</v>
      </c>
      <c r="H32" s="68">
        <f>'Nhân công'!$M$45</f>
        <v>212856</v>
      </c>
      <c r="I32" s="37">
        <v>1</v>
      </c>
      <c r="J32" s="166">
        <f>ROUND(G32*H32*I32,0)</f>
        <v>840781</v>
      </c>
    </row>
    <row r="33" spans="1:10" x14ac:dyDescent="0.25">
      <c r="A33" s="56"/>
      <c r="B33" s="23"/>
      <c r="C33" s="88"/>
      <c r="D33" s="23"/>
      <c r="E33" s="23" t="s">
        <v>378</v>
      </c>
      <c r="F33" s="56"/>
      <c r="G33" s="88"/>
      <c r="H33" s="48"/>
      <c r="I33" s="90"/>
      <c r="J33" s="48">
        <f>ROUND(SUM(J34:J36),0)</f>
        <v>109644</v>
      </c>
    </row>
    <row r="34" spans="1:10" x14ac:dyDescent="0.25">
      <c r="A34" s="168"/>
      <c r="B34" s="144"/>
      <c r="C34" s="34">
        <v>746</v>
      </c>
      <c r="D34" s="144" t="str">
        <f>'Máy thi công'!$B$358</f>
        <v>M9560</v>
      </c>
      <c r="E34" s="144" t="str">
        <f>" - " &amp; 'Máy thi công'!$D$358</f>
        <v xml:space="preserve"> - Máy vận thăng - sức nâng: 0,8 t - H nâng 80 m</v>
      </c>
      <c r="F34" s="168" t="str">
        <f>'Máy thi công'!$E$358</f>
        <v>ca</v>
      </c>
      <c r="G34" s="34">
        <f>'Hao phí vật tư'!$I$35</f>
        <v>0.11</v>
      </c>
      <c r="H34" s="68">
        <f>'Máy thi công'!$N$358</f>
        <v>378219</v>
      </c>
      <c r="I34" s="37">
        <v>1</v>
      </c>
      <c r="J34" s="166">
        <f>ROUND(G34*H34*I34,0)</f>
        <v>41604</v>
      </c>
    </row>
    <row r="35" spans="1:10" x14ac:dyDescent="0.25">
      <c r="A35" s="168"/>
      <c r="B35" s="144"/>
      <c r="C35" s="34">
        <v>750</v>
      </c>
      <c r="D35" s="144" t="str">
        <f>'Máy thi công'!$B$232</f>
        <v>M9571</v>
      </c>
      <c r="E35" s="144" t="str">
        <f>" - " &amp; 'Máy thi công'!$D$232</f>
        <v xml:space="preserve"> - Máy đầm bê tông, dầm dùi - công suất: 1,5 kW</v>
      </c>
      <c r="F35" s="168" t="str">
        <f>'Máy thi công'!$E$232</f>
        <v>ca</v>
      </c>
      <c r="G35" s="34">
        <f>'Hao phí vật tư'!$I$36</f>
        <v>0.18</v>
      </c>
      <c r="H35" s="68">
        <f>'Máy thi công'!$N$232</f>
        <v>225765</v>
      </c>
      <c r="I35" s="37">
        <v>1</v>
      </c>
      <c r="J35" s="166">
        <f>ROUND(G35*H35*I35,0)</f>
        <v>40638</v>
      </c>
    </row>
    <row r="36" spans="1:10" x14ac:dyDescent="0.25">
      <c r="A36" s="168"/>
      <c r="B36" s="144"/>
      <c r="C36" s="34">
        <v>744</v>
      </c>
      <c r="D36" s="144" t="str">
        <f>'Máy thi công'!$B$306</f>
        <v>M9555</v>
      </c>
      <c r="E36" s="144" t="str">
        <f>" - " &amp; 'Máy thi công'!$D$306</f>
        <v xml:space="preserve"> - Máy trộn bê tông - dung tích: 250 lít</v>
      </c>
      <c r="F36" s="168" t="str">
        <f>'Máy thi công'!$E$306</f>
        <v>ca</v>
      </c>
      <c r="G36" s="34">
        <f>'Hao phí vật tư'!$I$37</f>
        <v>9.5000000000000001E-2</v>
      </c>
      <c r="H36" s="68">
        <f>'Máy thi công'!$N$306</f>
        <v>288447</v>
      </c>
      <c r="I36" s="37">
        <v>1</v>
      </c>
      <c r="J36" s="166">
        <f>ROUND(G36*H36*I36,0)</f>
        <v>27402</v>
      </c>
    </row>
    <row r="37" spans="1:10" x14ac:dyDescent="0.25">
      <c r="A37" s="65">
        <f>'Công trình'!$A$9</f>
        <v>3</v>
      </c>
      <c r="B37" s="14" t="str">
        <f>'Công trình'!$B$9</f>
        <v>AF.11333</v>
      </c>
      <c r="C37" s="94"/>
      <c r="D37" s="31"/>
      <c r="E37" s="14" t="str">
        <f>'Công trình'!$C$9</f>
        <v>Bê tông bịt đáy đá 4x6, vữa BT mác 200</v>
      </c>
      <c r="F37" s="46" t="str">
        <f>'Công trình'!$D$9</f>
        <v>m3</v>
      </c>
      <c r="G37" s="94"/>
      <c r="H37" s="54"/>
      <c r="I37" s="98"/>
      <c r="J37" s="54"/>
    </row>
    <row r="38" spans="1:10" x14ac:dyDescent="0.25">
      <c r="A38" s="56"/>
      <c r="B38" s="23"/>
      <c r="C38" s="88"/>
      <c r="D38" s="23"/>
      <c r="E38" s="23" t="s">
        <v>479</v>
      </c>
      <c r="F38" s="56"/>
      <c r="G38" s="88"/>
      <c r="H38" s="48"/>
      <c r="I38" s="90"/>
      <c r="J38" s="48">
        <f>ROUND(SUM(J39:J43),0)</f>
        <v>902489</v>
      </c>
    </row>
    <row r="39" spans="1:10" x14ac:dyDescent="0.25">
      <c r="A39" s="168"/>
      <c r="B39" s="144"/>
      <c r="C39" s="34">
        <v>397</v>
      </c>
      <c r="D39" s="144" t="str">
        <f>'Vật liệu'!$B$721</f>
        <v>V00761</v>
      </c>
      <c r="E39" s="144" t="str">
        <f>" - " &amp; 'Vật liệu'!$D$721</f>
        <v xml:space="preserve"> - Xi măng PC40</v>
      </c>
      <c r="F39" s="168" t="str">
        <f>'Vật liệu'!$E$721</f>
        <v>kg</v>
      </c>
      <c r="G39" s="34">
        <f>'Hao phí vật tư'!$G$40</f>
        <v>257.5</v>
      </c>
      <c r="H39" s="68">
        <f>'Vật liệu'!$W$721</f>
        <v>1513</v>
      </c>
      <c r="I39" s="37">
        <v>1</v>
      </c>
      <c r="J39" s="166">
        <f>ROUND(G39*H39*I39,0)</f>
        <v>389598</v>
      </c>
    </row>
    <row r="40" spans="1:10" x14ac:dyDescent="0.25">
      <c r="A40" s="168"/>
      <c r="B40" s="144"/>
      <c r="C40" s="34">
        <v>125</v>
      </c>
      <c r="D40" s="144" t="str">
        <f>'Vật liệu'!$B$54</f>
        <v>V00112</v>
      </c>
      <c r="E40" s="144" t="str">
        <f>" - " &amp; 'Vật liệu'!$D$54</f>
        <v xml:space="preserve"> - Cát vàng</v>
      </c>
      <c r="F40" s="168" t="str">
        <f>'Vật liệu'!$E$54</f>
        <v>m3</v>
      </c>
      <c r="G40" s="34">
        <f>'Hao phí vật tư'!$G$41</f>
        <v>0.51400000000000001</v>
      </c>
      <c r="H40" s="68">
        <f>'Vật liệu'!$W$54</f>
        <v>420000</v>
      </c>
      <c r="I40" s="37">
        <v>1</v>
      </c>
      <c r="J40" s="166">
        <f>ROUND(G40*H40*I40,0)</f>
        <v>215880</v>
      </c>
    </row>
    <row r="41" spans="1:10" x14ac:dyDescent="0.25">
      <c r="A41" s="168"/>
      <c r="B41" s="144"/>
      <c r="C41" s="34">
        <v>419</v>
      </c>
      <c r="D41" s="144" t="str">
        <f>'Vật liệu'!$B$172</f>
        <v>V05209</v>
      </c>
      <c r="E41" s="144" t="str">
        <f>" - " &amp; 'Vật liệu'!$D$172</f>
        <v xml:space="preserve"> - Đá 4x6</v>
      </c>
      <c r="F41" s="168" t="str">
        <f>'Vật liệu'!$E$172</f>
        <v>m3</v>
      </c>
      <c r="G41" s="34">
        <f>'Hao phí vật tư'!$G$42</f>
        <v>0.92190000000000005</v>
      </c>
      <c r="H41" s="68">
        <f>'Vật liệu'!$W$172</f>
        <v>310636</v>
      </c>
      <c r="I41" s="37">
        <v>1</v>
      </c>
      <c r="J41" s="166">
        <f>ROUND(G41*H41*I41,0)</f>
        <v>286375</v>
      </c>
    </row>
    <row r="42" spans="1:10" x14ac:dyDescent="0.25">
      <c r="A42" s="168"/>
      <c r="B42" s="144"/>
      <c r="C42" s="34">
        <v>148</v>
      </c>
      <c r="D42" s="144" t="str">
        <f>'Vật liệu'!$B$353</f>
        <v>V00494</v>
      </c>
      <c r="E42" s="144" t="str">
        <f>" - " &amp; 'Vật liệu'!$D$353</f>
        <v xml:space="preserve"> - Nước</v>
      </c>
      <c r="F42" s="168" t="str">
        <f>'Vật liệu'!$E$353</f>
        <v>lít</v>
      </c>
      <c r="G42" s="34">
        <f>'Hao phí vật tư'!$G$43</f>
        <v>169.95</v>
      </c>
      <c r="H42" s="68">
        <f>'Vật liệu'!$W$353</f>
        <v>10</v>
      </c>
      <c r="I42" s="37">
        <v>1</v>
      </c>
      <c r="J42" s="166">
        <f>ROUND(G42*H42*I42,0)</f>
        <v>1700</v>
      </c>
    </row>
    <row r="43" spans="1:10" x14ac:dyDescent="0.25">
      <c r="A43" s="168"/>
      <c r="B43" s="144"/>
      <c r="C43" s="34">
        <v>383</v>
      </c>
      <c r="D43" s="144" t="str">
        <f>'Vật liệu'!$B$766</f>
        <v>V00750</v>
      </c>
      <c r="E43" s="144" t="str">
        <f>" - " &amp; 'Vật liệu'!$D$766</f>
        <v xml:space="preserve"> - Vật liệu khác</v>
      </c>
      <c r="F43" s="168" t="str">
        <f>'Vật liệu'!$E$766</f>
        <v>%</v>
      </c>
      <c r="G43" s="34">
        <f>'Hao phí vật tư'!$G$44</f>
        <v>1</v>
      </c>
      <c r="H43" s="166">
        <f>'Vật liệu'!$W$766</f>
        <v>0</v>
      </c>
      <c r="I43" s="37">
        <v>1</v>
      </c>
      <c r="J43" s="166">
        <f>ROUND((J39+J40+J41+J42)*G43*I43/100,0)</f>
        <v>8936</v>
      </c>
    </row>
    <row r="44" spans="1:10" x14ac:dyDescent="0.25">
      <c r="A44" s="56"/>
      <c r="B44" s="23"/>
      <c r="C44" s="88"/>
      <c r="D44" s="23"/>
      <c r="E44" s="23" t="s">
        <v>202</v>
      </c>
      <c r="F44" s="56"/>
      <c r="G44" s="88"/>
      <c r="H44" s="48"/>
      <c r="I44" s="90"/>
      <c r="J44" s="48">
        <f>ROUND(SUM(J45:J45),0)</f>
        <v>308465</v>
      </c>
    </row>
    <row r="45" spans="1:10" x14ac:dyDescent="0.25">
      <c r="A45" s="168"/>
      <c r="B45" s="144"/>
      <c r="C45" s="34">
        <v>545</v>
      </c>
      <c r="D45" s="144" t="str">
        <f>'Nhân công'!$B$6</f>
        <v>N0006</v>
      </c>
      <c r="E45" s="144" t="s">
        <v>256</v>
      </c>
      <c r="F45" s="168" t="str">
        <f>'Nhân công'!$G$6</f>
        <v>công</v>
      </c>
      <c r="G45" s="34">
        <f>'Hao phí vật tư'!$H$46</f>
        <v>1.58</v>
      </c>
      <c r="H45" s="68">
        <f>'Nhân công'!$M$6</f>
        <v>195231</v>
      </c>
      <c r="I45" s="37">
        <v>1</v>
      </c>
      <c r="J45" s="166">
        <f>ROUND(G45*H45*I45,0)</f>
        <v>308465</v>
      </c>
    </row>
    <row r="46" spans="1:10" x14ac:dyDescent="0.25">
      <c r="A46" s="56"/>
      <c r="B46" s="23"/>
      <c r="C46" s="88"/>
      <c r="D46" s="23"/>
      <c r="E46" s="23" t="s">
        <v>378</v>
      </c>
      <c r="F46" s="56"/>
      <c r="G46" s="88"/>
      <c r="H46" s="48"/>
      <c r="I46" s="90"/>
      <c r="J46" s="48">
        <f>ROUND(SUM(J47:J48),0)</f>
        <v>47209</v>
      </c>
    </row>
    <row r="47" spans="1:10" x14ac:dyDescent="0.25">
      <c r="A47" s="168"/>
      <c r="B47" s="144"/>
      <c r="C47" s="34">
        <v>699</v>
      </c>
      <c r="D47" s="144" t="str">
        <f>'Máy thi công'!$B$226</f>
        <v>M112.1101</v>
      </c>
      <c r="E47" s="144" t="str">
        <f>" - " &amp; 'Máy thi công'!$D$226</f>
        <v xml:space="preserve"> - Máy đầm bê tông, đầm bàn - công suất: 1,0 kW</v>
      </c>
      <c r="F47" s="168" t="str">
        <f>'Máy thi công'!$E$226</f>
        <v>ca</v>
      </c>
      <c r="G47" s="34">
        <f>'Hao phí vật tư'!$I$48</f>
        <v>8.8999999999999996E-2</v>
      </c>
      <c r="H47" s="68">
        <f>'Máy thi công'!$N$226</f>
        <v>222547</v>
      </c>
      <c r="I47" s="37">
        <v>1</v>
      </c>
      <c r="J47" s="166">
        <f>ROUND(G47*H47*I47,0)</f>
        <v>19807</v>
      </c>
    </row>
    <row r="48" spans="1:10" x14ac:dyDescent="0.25">
      <c r="A48" s="168"/>
      <c r="B48" s="144"/>
      <c r="C48" s="34">
        <v>744</v>
      </c>
      <c r="D48" s="144" t="str">
        <f>'Máy thi công'!$B$306</f>
        <v>M9555</v>
      </c>
      <c r="E48" s="144" t="str">
        <f>" - " &amp; 'Máy thi công'!$D$306</f>
        <v xml:space="preserve"> - Máy trộn bê tông - dung tích: 250 lít</v>
      </c>
      <c r="F48" s="168" t="str">
        <f>'Máy thi công'!$E$306</f>
        <v>ca</v>
      </c>
      <c r="G48" s="34">
        <f>'Hao phí vật tư'!$I$49</f>
        <v>9.5000000000000001E-2</v>
      </c>
      <c r="H48" s="68">
        <f>'Máy thi công'!$N$306</f>
        <v>288447</v>
      </c>
      <c r="I48" s="37">
        <v>1</v>
      </c>
      <c r="J48" s="166">
        <f>ROUND(G48*H48*I48,0)</f>
        <v>27402</v>
      </c>
    </row>
    <row r="49" spans="1:10" ht="28.5" x14ac:dyDescent="0.25">
      <c r="A49" s="65">
        <f>'Công trình'!$A$10</f>
        <v>4</v>
      </c>
      <c r="B49" s="14" t="str">
        <f>'Công trình'!$B$10</f>
        <v>AF.11121</v>
      </c>
      <c r="C49" s="94"/>
      <c r="D49" s="31"/>
      <c r="E49" s="14" t="str">
        <f>'Công trình'!$C$10</f>
        <v>Bê tông lót móng rộng &gt;250cm đá 4x6, vữa BT mác 100</v>
      </c>
      <c r="F49" s="46" t="str">
        <f>'Công trình'!$D$10</f>
        <v>m3</v>
      </c>
      <c r="G49" s="94"/>
      <c r="H49" s="54"/>
      <c r="I49" s="98"/>
      <c r="J49" s="54"/>
    </row>
    <row r="50" spans="1:10" x14ac:dyDescent="0.25">
      <c r="A50" s="56"/>
      <c r="B50" s="23"/>
      <c r="C50" s="88"/>
      <c r="D50" s="23"/>
      <c r="E50" s="23" t="s">
        <v>479</v>
      </c>
      <c r="F50" s="56"/>
      <c r="G50" s="88"/>
      <c r="H50" s="48"/>
      <c r="I50" s="90"/>
      <c r="J50" s="48">
        <f>ROUND(SUM(J51:J54),0)</f>
        <v>819664</v>
      </c>
    </row>
    <row r="51" spans="1:10" x14ac:dyDescent="0.25">
      <c r="A51" s="168"/>
      <c r="B51" s="144"/>
      <c r="C51" s="34">
        <v>396</v>
      </c>
      <c r="D51" s="144" t="str">
        <f>'Vật liệu'!$B$716</f>
        <v>V00759</v>
      </c>
      <c r="E51" s="144" t="str">
        <f>" - " &amp; 'Vật liệu'!$D$716</f>
        <v xml:space="preserve"> - Xi măng PC30</v>
      </c>
      <c r="F51" s="168" t="str">
        <f>'Vật liệu'!$E$716</f>
        <v>kg</v>
      </c>
      <c r="G51" s="34">
        <f>'Hao phí vật tư'!$G$52</f>
        <v>200.85</v>
      </c>
      <c r="H51" s="68">
        <f>'Vật liệu'!$W$716</f>
        <v>1513</v>
      </c>
      <c r="I51" s="37">
        <v>1</v>
      </c>
      <c r="J51" s="166">
        <f>ROUND(G51*H51*I51,0)</f>
        <v>303886</v>
      </c>
    </row>
    <row r="52" spans="1:10" x14ac:dyDescent="0.25">
      <c r="A52" s="168"/>
      <c r="B52" s="144"/>
      <c r="C52" s="34">
        <v>125</v>
      </c>
      <c r="D52" s="144" t="str">
        <f>'Vật liệu'!$B$54</f>
        <v>V00112</v>
      </c>
      <c r="E52" s="144" t="str">
        <f>" - " &amp; 'Vật liệu'!$D$54</f>
        <v xml:space="preserve"> - Cát vàng</v>
      </c>
      <c r="F52" s="168" t="str">
        <f>'Vật liệu'!$E$54</f>
        <v>m3</v>
      </c>
      <c r="G52" s="34">
        <f>'Hao phí vật tư'!$G$53</f>
        <v>0.53149999999999997</v>
      </c>
      <c r="H52" s="68">
        <f>'Vật liệu'!$W$54</f>
        <v>420000</v>
      </c>
      <c r="I52" s="37">
        <v>1</v>
      </c>
      <c r="J52" s="166">
        <f>ROUND(G52*H52*I52,0)</f>
        <v>223230</v>
      </c>
    </row>
    <row r="53" spans="1:10" x14ac:dyDescent="0.25">
      <c r="A53" s="168"/>
      <c r="B53" s="144"/>
      <c r="C53" s="34">
        <v>419</v>
      </c>
      <c r="D53" s="144" t="str">
        <f>'Vật liệu'!$B$172</f>
        <v>V05209</v>
      </c>
      <c r="E53" s="144" t="str">
        <f>" - " &amp; 'Vật liệu'!$D$172</f>
        <v xml:space="preserve"> - Đá 4x6</v>
      </c>
      <c r="F53" s="168" t="str">
        <f>'Vật liệu'!$E$172</f>
        <v>m3</v>
      </c>
      <c r="G53" s="34">
        <f>'Hao phí vật tư'!$G$54</f>
        <v>0.93630000000000002</v>
      </c>
      <c r="H53" s="68">
        <f>'Vật liệu'!$W$172</f>
        <v>310636</v>
      </c>
      <c r="I53" s="37">
        <v>1</v>
      </c>
      <c r="J53" s="166">
        <f>ROUND(G53*H53*I53,0)</f>
        <v>290848</v>
      </c>
    </row>
    <row r="54" spans="1:10" x14ac:dyDescent="0.25">
      <c r="A54" s="168"/>
      <c r="B54" s="144"/>
      <c r="C54" s="34">
        <v>148</v>
      </c>
      <c r="D54" s="144" t="str">
        <f>'Vật liệu'!$B$353</f>
        <v>V00494</v>
      </c>
      <c r="E54" s="144" t="str">
        <f>" - " &amp; 'Vật liệu'!$D$353</f>
        <v xml:space="preserve"> - Nước</v>
      </c>
      <c r="F54" s="168" t="str">
        <f>'Vật liệu'!$E$353</f>
        <v>lít</v>
      </c>
      <c r="G54" s="34">
        <f>'Hao phí vật tư'!$G$55</f>
        <v>169.95</v>
      </c>
      <c r="H54" s="68">
        <f>'Vật liệu'!$W$353</f>
        <v>10</v>
      </c>
      <c r="I54" s="37">
        <v>1</v>
      </c>
      <c r="J54" s="166">
        <f>ROUND(G54*H54*I54,0)</f>
        <v>1700</v>
      </c>
    </row>
    <row r="55" spans="1:10" x14ac:dyDescent="0.25">
      <c r="A55" s="56"/>
      <c r="B55" s="23"/>
      <c r="C55" s="88"/>
      <c r="D55" s="23"/>
      <c r="E55" s="23" t="s">
        <v>202</v>
      </c>
      <c r="F55" s="56"/>
      <c r="G55" s="88"/>
      <c r="H55" s="48"/>
      <c r="I55" s="90"/>
      <c r="J55" s="48">
        <f>ROUND(SUM(J56:J56),0)</f>
        <v>230373</v>
      </c>
    </row>
    <row r="56" spans="1:10" x14ac:dyDescent="0.25">
      <c r="A56" s="168"/>
      <c r="B56" s="144"/>
      <c r="C56" s="34">
        <v>545</v>
      </c>
      <c r="D56" s="144" t="str">
        <f>'Nhân công'!$B$6</f>
        <v>N0006</v>
      </c>
      <c r="E56" s="144" t="s">
        <v>256</v>
      </c>
      <c r="F56" s="168" t="str">
        <f>'Nhân công'!$G$6</f>
        <v>công</v>
      </c>
      <c r="G56" s="34">
        <f>'Hao phí vật tư'!$H$57</f>
        <v>1.18</v>
      </c>
      <c r="H56" s="68">
        <f>'Nhân công'!$M$6</f>
        <v>195231</v>
      </c>
      <c r="I56" s="37">
        <v>1</v>
      </c>
      <c r="J56" s="166">
        <f>ROUND(G56*H56*I56,0)</f>
        <v>230373</v>
      </c>
    </row>
    <row r="57" spans="1:10" x14ac:dyDescent="0.25">
      <c r="A57" s="56"/>
      <c r="B57" s="23"/>
      <c r="C57" s="88"/>
      <c r="D57" s="23"/>
      <c r="E57" s="23" t="s">
        <v>378</v>
      </c>
      <c r="F57" s="56"/>
      <c r="G57" s="88"/>
      <c r="H57" s="48"/>
      <c r="I57" s="90"/>
      <c r="J57" s="48">
        <f>ROUND(SUM(J58:J59),0)</f>
        <v>47209</v>
      </c>
    </row>
    <row r="58" spans="1:10" x14ac:dyDescent="0.25">
      <c r="A58" s="168"/>
      <c r="B58" s="144"/>
      <c r="C58" s="34">
        <v>699</v>
      </c>
      <c r="D58" s="144" t="str">
        <f>'Máy thi công'!$B$226</f>
        <v>M112.1101</v>
      </c>
      <c r="E58" s="144" t="str">
        <f>" - " &amp; 'Máy thi công'!$D$226</f>
        <v xml:space="preserve"> - Máy đầm bê tông, đầm bàn - công suất: 1,0 kW</v>
      </c>
      <c r="F58" s="168" t="str">
        <f>'Máy thi công'!$E$226</f>
        <v>ca</v>
      </c>
      <c r="G58" s="34">
        <f>'Hao phí vật tư'!$I$59</f>
        <v>8.8999999999999996E-2</v>
      </c>
      <c r="H58" s="68">
        <f>'Máy thi công'!$N$226</f>
        <v>222547</v>
      </c>
      <c r="I58" s="37">
        <v>1</v>
      </c>
      <c r="J58" s="166">
        <f>ROUND(G58*H58*I58,0)</f>
        <v>19807</v>
      </c>
    </row>
    <row r="59" spans="1:10" x14ac:dyDescent="0.25">
      <c r="A59" s="168"/>
      <c r="B59" s="144"/>
      <c r="C59" s="34">
        <v>744</v>
      </c>
      <c r="D59" s="144" t="str">
        <f>'Máy thi công'!$B$306</f>
        <v>M9555</v>
      </c>
      <c r="E59" s="144" t="str">
        <f>" - " &amp; 'Máy thi công'!$D$306</f>
        <v xml:space="preserve"> - Máy trộn bê tông - dung tích: 250 lít</v>
      </c>
      <c r="F59" s="168" t="str">
        <f>'Máy thi công'!$E$306</f>
        <v>ca</v>
      </c>
      <c r="G59" s="34">
        <f>'Hao phí vật tư'!$I$60</f>
        <v>9.5000000000000001E-2</v>
      </c>
      <c r="H59" s="68">
        <f>'Máy thi công'!$N$306</f>
        <v>288447</v>
      </c>
      <c r="I59" s="37">
        <v>1</v>
      </c>
      <c r="J59" s="166">
        <f>ROUND(G59*H59*I59,0)</f>
        <v>27402</v>
      </c>
    </row>
    <row r="60" spans="1:10" ht="28.5" x14ac:dyDescent="0.25">
      <c r="A60" s="65">
        <f>'Công trình'!$A$11</f>
        <v>5</v>
      </c>
      <c r="B60" s="14" t="str">
        <f>'Công trình'!$B$11</f>
        <v>AF.61120</v>
      </c>
      <c r="C60" s="94"/>
      <c r="D60" s="31"/>
      <c r="E60" s="14" t="str">
        <f>'Công trình'!$C$11</f>
        <v>Sản xuất, lắp dựng cốt thép móng đường kính &lt;=18mm</v>
      </c>
      <c r="F60" s="46" t="str">
        <f>'Công trình'!$D$11</f>
        <v>tấn</v>
      </c>
      <c r="G60" s="94"/>
      <c r="H60" s="54"/>
      <c r="I60" s="98"/>
      <c r="J60" s="54"/>
    </row>
    <row r="61" spans="1:10" x14ac:dyDescent="0.25">
      <c r="A61" s="56"/>
      <c r="B61" s="23"/>
      <c r="C61" s="88"/>
      <c r="D61" s="23"/>
      <c r="E61" s="23" t="s">
        <v>479</v>
      </c>
      <c r="F61" s="56"/>
      <c r="G61" s="88"/>
      <c r="H61" s="48"/>
      <c r="I61" s="90"/>
      <c r="J61" s="48">
        <f>ROUND(SUM(J62:J64),0)</f>
        <v>14677642</v>
      </c>
    </row>
    <row r="62" spans="1:10" x14ac:dyDescent="0.25">
      <c r="A62" s="168"/>
      <c r="B62" s="144"/>
      <c r="C62" s="34">
        <v>154</v>
      </c>
      <c r="D62" s="144" t="str">
        <f>'Vật liệu'!$B$450</f>
        <v>V00515</v>
      </c>
      <c r="E62" s="144" t="str">
        <f>" - " &amp; 'Vật liệu'!$D$450</f>
        <v xml:space="preserve"> - Que hàn</v>
      </c>
      <c r="F62" s="168" t="str">
        <f>'Vật liệu'!$E$450</f>
        <v>kg</v>
      </c>
      <c r="G62" s="34">
        <f>'Hao phí vật tư'!$G$63</f>
        <v>4.6399999999999997</v>
      </c>
      <c r="H62" s="68">
        <f>'Vật liệu'!$W$450</f>
        <v>19091</v>
      </c>
      <c r="I62" s="37">
        <v>1</v>
      </c>
      <c r="J62" s="166">
        <f>ROUND(G62*H62*I62,0)</f>
        <v>88582</v>
      </c>
    </row>
    <row r="63" spans="1:10" x14ac:dyDescent="0.25">
      <c r="A63" s="168"/>
      <c r="B63" s="144"/>
      <c r="C63" s="34">
        <v>135</v>
      </c>
      <c r="D63" s="144" t="str">
        <f>'Vật liệu'!$B$221</f>
        <v>V00226</v>
      </c>
      <c r="E63" s="144" t="str">
        <f>" - " &amp; 'Vật liệu'!$D$221</f>
        <v xml:space="preserve"> - Dây thép</v>
      </c>
      <c r="F63" s="168" t="str">
        <f>'Vật liệu'!$E$221</f>
        <v>kg</v>
      </c>
      <c r="G63" s="34">
        <f>'Hao phí vật tư'!$G$64</f>
        <v>14.28</v>
      </c>
      <c r="H63" s="68">
        <f>'Vật liệu'!$W$221</f>
        <v>17500</v>
      </c>
      <c r="I63" s="37">
        <v>1</v>
      </c>
      <c r="J63" s="166">
        <f>ROUND(G63*H63*I63,0)</f>
        <v>249900</v>
      </c>
    </row>
    <row r="64" spans="1:10" x14ac:dyDescent="0.25">
      <c r="A64" s="168"/>
      <c r="B64" s="144"/>
      <c r="C64" s="34">
        <v>485</v>
      </c>
      <c r="D64" s="144" t="str">
        <f>'Vật liệu'!$B$665</f>
        <v>V48495</v>
      </c>
      <c r="E64" s="144" t="str">
        <f>" - " &amp; 'Vật liệu'!$D$665</f>
        <v xml:space="preserve"> - Thép tròn đường kính &lt;=18mm</v>
      </c>
      <c r="F64" s="168" t="str">
        <f>'Vật liệu'!$E$665</f>
        <v>kg</v>
      </c>
      <c r="G64" s="34">
        <f>'Hao phí vật tư'!$G$65</f>
        <v>1020</v>
      </c>
      <c r="H64" s="68">
        <f>'Vật liệu'!$W$665</f>
        <v>14058</v>
      </c>
      <c r="I64" s="37">
        <v>1</v>
      </c>
      <c r="J64" s="166">
        <f>ROUND(G64*H64*I64,0)</f>
        <v>14339160</v>
      </c>
    </row>
    <row r="65" spans="1:10" x14ac:dyDescent="0.25">
      <c r="A65" s="56"/>
      <c r="B65" s="23"/>
      <c r="C65" s="88"/>
      <c r="D65" s="23"/>
      <c r="E65" s="23" t="s">
        <v>202</v>
      </c>
      <c r="F65" s="56"/>
      <c r="G65" s="88"/>
      <c r="H65" s="48"/>
      <c r="I65" s="90"/>
      <c r="J65" s="48">
        <f>ROUND(SUM(J66:J66),0)</f>
        <v>1775219</v>
      </c>
    </row>
    <row r="66" spans="1:10" x14ac:dyDescent="0.25">
      <c r="A66" s="168"/>
      <c r="B66" s="144"/>
      <c r="C66" s="34">
        <v>546</v>
      </c>
      <c r="D66" s="144" t="str">
        <f>'Nhân công'!$B$45</f>
        <v>N0009</v>
      </c>
      <c r="E66" s="144" t="s">
        <v>1052</v>
      </c>
      <c r="F66" s="168" t="str">
        <f>'Nhân công'!$G$45</f>
        <v>công</v>
      </c>
      <c r="G66" s="34">
        <f>'Hao phí vật tư'!$H$67</f>
        <v>8.34</v>
      </c>
      <c r="H66" s="68">
        <f>'Nhân công'!$M$45</f>
        <v>212856</v>
      </c>
      <c r="I66" s="37">
        <v>1</v>
      </c>
      <c r="J66" s="166">
        <f>ROUND(G66*H66*I66,0)</f>
        <v>1775219</v>
      </c>
    </row>
    <row r="67" spans="1:10" x14ac:dyDescent="0.25">
      <c r="A67" s="56"/>
      <c r="B67" s="23"/>
      <c r="C67" s="88"/>
      <c r="D67" s="23"/>
      <c r="E67" s="23" t="s">
        <v>378</v>
      </c>
      <c r="F67" s="56"/>
      <c r="G67" s="88"/>
      <c r="H67" s="48"/>
      <c r="I67" s="90"/>
      <c r="J67" s="48">
        <f>ROUND(SUM(J68:J69),0)</f>
        <v>451556</v>
      </c>
    </row>
    <row r="68" spans="1:10" x14ac:dyDescent="0.25">
      <c r="A68" s="168"/>
      <c r="B68" s="144"/>
      <c r="C68" s="34">
        <v>737</v>
      </c>
      <c r="D68" s="144" t="str">
        <f>'Máy thi công'!$B$184</f>
        <v>M9521</v>
      </c>
      <c r="E68" s="144" t="str">
        <f>" - " &amp; 'Máy thi công'!$D$184</f>
        <v xml:space="preserve"> - Máy cắt uốn cốt thép - công suất: 5 kW</v>
      </c>
      <c r="F68" s="168" t="str">
        <f>'Máy thi công'!$E$184</f>
        <v>ca</v>
      </c>
      <c r="G68" s="34">
        <f>'Hao phí vật tư'!$I$69</f>
        <v>0.32</v>
      </c>
      <c r="H68" s="68">
        <f>'Máy thi công'!$N$184</f>
        <v>228044</v>
      </c>
      <c r="I68" s="37">
        <v>1</v>
      </c>
      <c r="J68" s="166">
        <f>ROUND(G68*H68*I68,0)</f>
        <v>72974</v>
      </c>
    </row>
    <row r="69" spans="1:10" x14ac:dyDescent="0.25">
      <c r="A69" s="168"/>
      <c r="B69" s="144"/>
      <c r="C69" s="34">
        <v>714</v>
      </c>
      <c r="D69" s="144" t="str">
        <f>'Máy thi công'!$B$6</f>
        <v>M9438</v>
      </c>
      <c r="E69" s="144" t="str">
        <f>" - " &amp; 'Máy thi công'!$D$6</f>
        <v xml:space="preserve"> - Biến thế hàn xoay chiều - công suất: 23 kW</v>
      </c>
      <c r="F69" s="168" t="str">
        <f>'Máy thi công'!$E$6</f>
        <v>ca</v>
      </c>
      <c r="G69" s="34">
        <f>'Hao phí vật tư'!$I$70</f>
        <v>1.1200000000000001</v>
      </c>
      <c r="H69" s="68">
        <f>'Máy thi công'!$N$6</f>
        <v>338020</v>
      </c>
      <c r="I69" s="37">
        <v>1</v>
      </c>
      <c r="J69" s="166">
        <f>ROUND(G69*H69*I69,0)</f>
        <v>378582</v>
      </c>
    </row>
    <row r="70" spans="1:10" ht="28.5" x14ac:dyDescent="0.25">
      <c r="A70" s="65">
        <f>'Công trình'!$A$12</f>
        <v>6</v>
      </c>
      <c r="B70" s="14" t="str">
        <f>'Công trình'!$B$12</f>
        <v>AF.61130</v>
      </c>
      <c r="C70" s="94"/>
      <c r="D70" s="31"/>
      <c r="E70" s="14" t="str">
        <f>'Công trình'!$C$12</f>
        <v>Sản xuất, lắp dựng cốt thép móng đường kính &gt;18mm</v>
      </c>
      <c r="F70" s="46" t="str">
        <f>'Công trình'!$D$12</f>
        <v>tấn</v>
      </c>
      <c r="G70" s="94"/>
      <c r="H70" s="54"/>
      <c r="I70" s="98"/>
      <c r="J70" s="54"/>
    </row>
    <row r="71" spans="1:10" x14ac:dyDescent="0.25">
      <c r="A71" s="56"/>
      <c r="B71" s="23"/>
      <c r="C71" s="88"/>
      <c r="D71" s="23"/>
      <c r="E71" s="23" t="s">
        <v>479</v>
      </c>
      <c r="F71" s="56"/>
      <c r="G71" s="88"/>
      <c r="H71" s="48"/>
      <c r="I71" s="90"/>
      <c r="J71" s="48">
        <f>ROUND(SUM(J72:J74),0)</f>
        <v>14690242</v>
      </c>
    </row>
    <row r="72" spans="1:10" x14ac:dyDescent="0.25">
      <c r="A72" s="168"/>
      <c r="B72" s="144"/>
      <c r="C72" s="34">
        <v>154</v>
      </c>
      <c r="D72" s="144" t="str">
        <f>'Vật liệu'!$B$450</f>
        <v>V00515</v>
      </c>
      <c r="E72" s="144" t="str">
        <f>" - " &amp; 'Vật liệu'!$D$450</f>
        <v xml:space="preserve"> - Que hàn</v>
      </c>
      <c r="F72" s="168" t="str">
        <f>'Vật liệu'!$E$450</f>
        <v>kg</v>
      </c>
      <c r="G72" s="34">
        <f>'Hao phí vật tư'!$G$73</f>
        <v>5.3</v>
      </c>
      <c r="H72" s="68">
        <f>'Vật liệu'!$W$450</f>
        <v>19091</v>
      </c>
      <c r="I72" s="37">
        <v>1</v>
      </c>
      <c r="J72" s="166">
        <f>ROUND(G72*H72*I72,0)</f>
        <v>101182</v>
      </c>
    </row>
    <row r="73" spans="1:10" x14ac:dyDescent="0.25">
      <c r="A73" s="168"/>
      <c r="B73" s="144"/>
      <c r="C73" s="34">
        <v>135</v>
      </c>
      <c r="D73" s="144" t="str">
        <f>'Vật liệu'!$B$221</f>
        <v>V00226</v>
      </c>
      <c r="E73" s="144" t="str">
        <f>" - " &amp; 'Vật liệu'!$D$221</f>
        <v xml:space="preserve"> - Dây thép</v>
      </c>
      <c r="F73" s="168" t="str">
        <f>'Vật liệu'!$E$221</f>
        <v>kg</v>
      </c>
      <c r="G73" s="34">
        <f>'Hao phí vật tư'!$G$74</f>
        <v>14.28</v>
      </c>
      <c r="H73" s="68">
        <f>'Vật liệu'!$W$221</f>
        <v>17500</v>
      </c>
      <c r="I73" s="37">
        <v>1</v>
      </c>
      <c r="J73" s="166">
        <f>ROUND(G73*H73*I73,0)</f>
        <v>249900</v>
      </c>
    </row>
    <row r="74" spans="1:10" x14ac:dyDescent="0.25">
      <c r="A74" s="168"/>
      <c r="B74" s="144"/>
      <c r="C74" s="34">
        <v>488</v>
      </c>
      <c r="D74" s="144" t="str">
        <f>'Vật liệu'!$B$689</f>
        <v>V48498</v>
      </c>
      <c r="E74" s="144" t="str">
        <f>" - " &amp; 'Vật liệu'!$D$689</f>
        <v xml:space="preserve"> - Thép tròn đường kính &gt;18mm</v>
      </c>
      <c r="F74" s="168" t="str">
        <f>'Vật liệu'!$E$689</f>
        <v>kg</v>
      </c>
      <c r="G74" s="34">
        <f>'Hao phí vật tư'!$G$75</f>
        <v>1020</v>
      </c>
      <c r="H74" s="68">
        <f>'Vật liệu'!$W$689</f>
        <v>14058</v>
      </c>
      <c r="I74" s="37">
        <v>1</v>
      </c>
      <c r="J74" s="166">
        <f>ROUND(G74*H74*I74,0)</f>
        <v>14339160</v>
      </c>
    </row>
    <row r="75" spans="1:10" x14ac:dyDescent="0.25">
      <c r="A75" s="56"/>
      <c r="B75" s="23"/>
      <c r="C75" s="88"/>
      <c r="D75" s="23"/>
      <c r="E75" s="23" t="s">
        <v>202</v>
      </c>
      <c r="F75" s="56"/>
      <c r="G75" s="88"/>
      <c r="H75" s="48"/>
      <c r="I75" s="90"/>
      <c r="J75" s="48">
        <f>ROUND(SUM(J76:J76),0)</f>
        <v>1351636</v>
      </c>
    </row>
    <row r="76" spans="1:10" x14ac:dyDescent="0.25">
      <c r="A76" s="168"/>
      <c r="B76" s="144"/>
      <c r="C76" s="34">
        <v>546</v>
      </c>
      <c r="D76" s="144" t="str">
        <f>'Nhân công'!$B$45</f>
        <v>N0009</v>
      </c>
      <c r="E76" s="144" t="s">
        <v>1052</v>
      </c>
      <c r="F76" s="168" t="str">
        <f>'Nhân công'!$G$45</f>
        <v>công</v>
      </c>
      <c r="G76" s="34">
        <f>'Hao phí vật tư'!$H$77</f>
        <v>6.35</v>
      </c>
      <c r="H76" s="68">
        <f>'Nhân công'!$M$45</f>
        <v>212856</v>
      </c>
      <c r="I76" s="37">
        <v>1</v>
      </c>
      <c r="J76" s="166">
        <f>ROUND(G76*H76*I76,0)</f>
        <v>1351636</v>
      </c>
    </row>
    <row r="77" spans="1:10" x14ac:dyDescent="0.25">
      <c r="A77" s="56"/>
      <c r="B77" s="23"/>
      <c r="C77" s="88"/>
      <c r="D77" s="23"/>
      <c r="E77" s="23" t="s">
        <v>378</v>
      </c>
      <c r="F77" s="56"/>
      <c r="G77" s="88"/>
      <c r="H77" s="48"/>
      <c r="I77" s="90"/>
      <c r="J77" s="48">
        <f>ROUND(SUM(J78:J79),0)</f>
        <v>465772</v>
      </c>
    </row>
    <row r="78" spans="1:10" x14ac:dyDescent="0.25">
      <c r="A78" s="168"/>
      <c r="B78" s="144"/>
      <c r="C78" s="34">
        <v>737</v>
      </c>
      <c r="D78" s="144" t="str">
        <f>'Máy thi công'!$B$184</f>
        <v>M9521</v>
      </c>
      <c r="E78" s="144" t="str">
        <f>" - " &amp; 'Máy thi công'!$D$184</f>
        <v xml:space="preserve"> - Máy cắt uốn cốt thép - công suất: 5 kW</v>
      </c>
      <c r="F78" s="168" t="str">
        <f>'Máy thi công'!$E$184</f>
        <v>ca</v>
      </c>
      <c r="G78" s="34">
        <f>'Hao phí vật tư'!$I$79</f>
        <v>0.16</v>
      </c>
      <c r="H78" s="68">
        <f>'Máy thi công'!$N$184</f>
        <v>228044</v>
      </c>
      <c r="I78" s="37">
        <v>1</v>
      </c>
      <c r="J78" s="166">
        <f>ROUND(G78*H78*I78,0)</f>
        <v>36487</v>
      </c>
    </row>
    <row r="79" spans="1:10" x14ac:dyDescent="0.25">
      <c r="A79" s="168"/>
      <c r="B79" s="144"/>
      <c r="C79" s="34">
        <v>714</v>
      </c>
      <c r="D79" s="144" t="str">
        <f>'Máy thi công'!$B$6</f>
        <v>M9438</v>
      </c>
      <c r="E79" s="144" t="str">
        <f>" - " &amp; 'Máy thi công'!$D$6</f>
        <v xml:space="preserve"> - Biến thế hàn xoay chiều - công suất: 23 kW</v>
      </c>
      <c r="F79" s="168" t="str">
        <f>'Máy thi công'!$E$6</f>
        <v>ca</v>
      </c>
      <c r="G79" s="34">
        <f>'Hao phí vật tư'!$I$80</f>
        <v>1.27</v>
      </c>
      <c r="H79" s="68">
        <f>'Máy thi công'!$N$6</f>
        <v>338020</v>
      </c>
      <c r="I79" s="37">
        <v>1</v>
      </c>
      <c r="J79" s="166">
        <f>ROUND(G79*H79*I79,0)</f>
        <v>429285</v>
      </c>
    </row>
    <row r="80" spans="1:10" ht="28.5" x14ac:dyDescent="0.25">
      <c r="A80" s="65">
        <f>'Công trình'!$A$13</f>
        <v>7</v>
      </c>
      <c r="B80" s="14" t="str">
        <f>'Công trình'!$B$13</f>
        <v>AF.61321</v>
      </c>
      <c r="C80" s="94"/>
      <c r="D80" s="31"/>
      <c r="E80" s="14" t="str">
        <f>'Công trình'!$C$13</f>
        <v>Sản xuất, lắp dựng cốt thép tường đường kính &lt;=18mm, chiều cao &lt;=4m</v>
      </c>
      <c r="F80" s="46" t="str">
        <f>'Công trình'!$D$13</f>
        <v>tấn</v>
      </c>
      <c r="G80" s="94"/>
      <c r="H80" s="54"/>
      <c r="I80" s="98"/>
      <c r="J80" s="54"/>
    </row>
    <row r="81" spans="1:10" x14ac:dyDescent="0.25">
      <c r="A81" s="56"/>
      <c r="B81" s="23"/>
      <c r="C81" s="88"/>
      <c r="D81" s="23"/>
      <c r="E81" s="23" t="s">
        <v>479</v>
      </c>
      <c r="F81" s="56"/>
      <c r="G81" s="88"/>
      <c r="H81" s="48"/>
      <c r="I81" s="90"/>
      <c r="J81" s="48">
        <f>ROUND(SUM(J82:J84),0)</f>
        <v>14677642</v>
      </c>
    </row>
    <row r="82" spans="1:10" x14ac:dyDescent="0.25">
      <c r="A82" s="168"/>
      <c r="B82" s="144"/>
      <c r="C82" s="34">
        <v>154</v>
      </c>
      <c r="D82" s="144" t="str">
        <f>'Vật liệu'!$B$450</f>
        <v>V00515</v>
      </c>
      <c r="E82" s="144" t="str">
        <f>" - " &amp; 'Vật liệu'!$D$450</f>
        <v xml:space="preserve"> - Que hàn</v>
      </c>
      <c r="F82" s="168" t="str">
        <f>'Vật liệu'!$E$450</f>
        <v>kg</v>
      </c>
      <c r="G82" s="34">
        <f>'Hao phí vật tư'!$G$83</f>
        <v>4.6399999999999997</v>
      </c>
      <c r="H82" s="68">
        <f>'Vật liệu'!$W$450</f>
        <v>19091</v>
      </c>
      <c r="I82" s="37">
        <v>1</v>
      </c>
      <c r="J82" s="166">
        <f>ROUND(G82*H82*I82,0)</f>
        <v>88582</v>
      </c>
    </row>
    <row r="83" spans="1:10" x14ac:dyDescent="0.25">
      <c r="A83" s="168"/>
      <c r="B83" s="144"/>
      <c r="C83" s="34">
        <v>135</v>
      </c>
      <c r="D83" s="144" t="str">
        <f>'Vật liệu'!$B$221</f>
        <v>V00226</v>
      </c>
      <c r="E83" s="144" t="str">
        <f>" - " &amp; 'Vật liệu'!$D$221</f>
        <v xml:space="preserve"> - Dây thép</v>
      </c>
      <c r="F83" s="168" t="str">
        <f>'Vật liệu'!$E$221</f>
        <v>kg</v>
      </c>
      <c r="G83" s="34">
        <f>'Hao phí vật tư'!$G$84</f>
        <v>14.28</v>
      </c>
      <c r="H83" s="68">
        <f>'Vật liệu'!$W$221</f>
        <v>17500</v>
      </c>
      <c r="I83" s="37">
        <v>1</v>
      </c>
      <c r="J83" s="166">
        <f>ROUND(G83*H83*I83,0)</f>
        <v>249900</v>
      </c>
    </row>
    <row r="84" spans="1:10" x14ac:dyDescent="0.25">
      <c r="A84" s="168"/>
      <c r="B84" s="144"/>
      <c r="C84" s="34">
        <v>485</v>
      </c>
      <c r="D84" s="144" t="str">
        <f>'Vật liệu'!$B$665</f>
        <v>V48495</v>
      </c>
      <c r="E84" s="144" t="str">
        <f>" - " &amp; 'Vật liệu'!$D$665</f>
        <v xml:space="preserve"> - Thép tròn đường kính &lt;=18mm</v>
      </c>
      <c r="F84" s="168" t="str">
        <f>'Vật liệu'!$E$665</f>
        <v>kg</v>
      </c>
      <c r="G84" s="34">
        <f>'Hao phí vật tư'!$G$85</f>
        <v>1020</v>
      </c>
      <c r="H84" s="68">
        <f>'Vật liệu'!$W$665</f>
        <v>14058</v>
      </c>
      <c r="I84" s="37">
        <v>1</v>
      </c>
      <c r="J84" s="166">
        <f>ROUND(G84*H84*I84,0)</f>
        <v>14339160</v>
      </c>
    </row>
    <row r="85" spans="1:10" x14ac:dyDescent="0.25">
      <c r="A85" s="56"/>
      <c r="B85" s="23"/>
      <c r="C85" s="88"/>
      <c r="D85" s="23"/>
      <c r="E85" s="23" t="s">
        <v>202</v>
      </c>
      <c r="F85" s="56"/>
      <c r="G85" s="88"/>
      <c r="H85" s="48"/>
      <c r="I85" s="90"/>
      <c r="J85" s="48">
        <f>ROUND(SUM(J86:J86),0)</f>
        <v>2377602</v>
      </c>
    </row>
    <row r="86" spans="1:10" x14ac:dyDescent="0.25">
      <c r="A86" s="168"/>
      <c r="B86" s="144"/>
      <c r="C86" s="34">
        <v>546</v>
      </c>
      <c r="D86" s="144" t="str">
        <f>'Nhân công'!$B$45</f>
        <v>N0009</v>
      </c>
      <c r="E86" s="144" t="s">
        <v>1052</v>
      </c>
      <c r="F86" s="168" t="str">
        <f>'Nhân công'!$G$45</f>
        <v>công</v>
      </c>
      <c r="G86" s="34">
        <f>'Hao phí vật tư'!$H$87</f>
        <v>11.17</v>
      </c>
      <c r="H86" s="68">
        <f>'Nhân công'!$M$45</f>
        <v>212856</v>
      </c>
      <c r="I86" s="37">
        <v>1</v>
      </c>
      <c r="J86" s="166">
        <f>ROUND(G86*H86*I86,0)</f>
        <v>2377602</v>
      </c>
    </row>
    <row r="87" spans="1:10" x14ac:dyDescent="0.25">
      <c r="A87" s="56"/>
      <c r="B87" s="23"/>
      <c r="C87" s="88"/>
      <c r="D87" s="23"/>
      <c r="E87" s="23" t="s">
        <v>378</v>
      </c>
      <c r="F87" s="56"/>
      <c r="G87" s="88"/>
      <c r="H87" s="48"/>
      <c r="I87" s="90"/>
      <c r="J87" s="48">
        <f>ROUND(SUM(J88:J89),0)</f>
        <v>451556</v>
      </c>
    </row>
    <row r="88" spans="1:10" x14ac:dyDescent="0.25">
      <c r="A88" s="168"/>
      <c r="B88" s="144"/>
      <c r="C88" s="34">
        <v>737</v>
      </c>
      <c r="D88" s="144" t="str">
        <f>'Máy thi công'!$B$184</f>
        <v>M9521</v>
      </c>
      <c r="E88" s="144" t="str">
        <f>" - " &amp; 'Máy thi công'!$D$184</f>
        <v xml:space="preserve"> - Máy cắt uốn cốt thép - công suất: 5 kW</v>
      </c>
      <c r="F88" s="168" t="str">
        <f>'Máy thi công'!$E$184</f>
        <v>ca</v>
      </c>
      <c r="G88" s="34">
        <f>'Hao phí vật tư'!$I$89</f>
        <v>0.32</v>
      </c>
      <c r="H88" s="68">
        <f>'Máy thi công'!$N$184</f>
        <v>228044</v>
      </c>
      <c r="I88" s="37">
        <v>1</v>
      </c>
      <c r="J88" s="166">
        <f>ROUND(G88*H88*I88,0)</f>
        <v>72974</v>
      </c>
    </row>
    <row r="89" spans="1:10" x14ac:dyDescent="0.25">
      <c r="A89" s="168"/>
      <c r="B89" s="144"/>
      <c r="C89" s="34">
        <v>714</v>
      </c>
      <c r="D89" s="144" t="str">
        <f>'Máy thi công'!$B$6</f>
        <v>M9438</v>
      </c>
      <c r="E89" s="144" t="str">
        <f>" - " &amp; 'Máy thi công'!$D$6</f>
        <v xml:space="preserve"> - Biến thế hàn xoay chiều - công suất: 23 kW</v>
      </c>
      <c r="F89" s="168" t="str">
        <f>'Máy thi công'!$E$6</f>
        <v>ca</v>
      </c>
      <c r="G89" s="34">
        <f>'Hao phí vật tư'!$I$90</f>
        <v>1.1200000000000001</v>
      </c>
      <c r="H89" s="68">
        <f>'Máy thi công'!$N$6</f>
        <v>338020</v>
      </c>
      <c r="I89" s="37">
        <v>1</v>
      </c>
      <c r="J89" s="166">
        <f>ROUND(G89*H89*I89,0)</f>
        <v>378582</v>
      </c>
    </row>
    <row r="90" spans="1:10" ht="28.5" x14ac:dyDescent="0.25">
      <c r="A90" s="65">
        <f>'Công trình'!$A$14</f>
        <v>8</v>
      </c>
      <c r="B90" s="14" t="str">
        <f>'Công trình'!$B$14</f>
        <v>AF.61331</v>
      </c>
      <c r="C90" s="94"/>
      <c r="D90" s="31"/>
      <c r="E90" s="14" t="str">
        <f>'Công trình'!$C$14</f>
        <v>Sản xuất, lắp dựng cốt thép tường đường kính &gt;18mm, chiều cao &lt;=4m</v>
      </c>
      <c r="F90" s="46" t="str">
        <f>'Công trình'!$D$14</f>
        <v>tấn</v>
      </c>
      <c r="G90" s="94"/>
      <c r="H90" s="54"/>
      <c r="I90" s="98"/>
      <c r="J90" s="54"/>
    </row>
    <row r="91" spans="1:10" x14ac:dyDescent="0.25">
      <c r="A91" s="56"/>
      <c r="B91" s="23"/>
      <c r="C91" s="88"/>
      <c r="D91" s="23"/>
      <c r="E91" s="23" t="s">
        <v>479</v>
      </c>
      <c r="F91" s="56"/>
      <c r="G91" s="88"/>
      <c r="H91" s="48"/>
      <c r="I91" s="90"/>
      <c r="J91" s="48">
        <f>ROUND(SUM(J92:J94),0)</f>
        <v>14690242</v>
      </c>
    </row>
    <row r="92" spans="1:10" x14ac:dyDescent="0.25">
      <c r="A92" s="168"/>
      <c r="B92" s="144"/>
      <c r="C92" s="34">
        <v>154</v>
      </c>
      <c r="D92" s="144" t="str">
        <f>'Vật liệu'!$B$450</f>
        <v>V00515</v>
      </c>
      <c r="E92" s="144" t="str">
        <f>" - " &amp; 'Vật liệu'!$D$450</f>
        <v xml:space="preserve"> - Que hàn</v>
      </c>
      <c r="F92" s="168" t="str">
        <f>'Vật liệu'!$E$450</f>
        <v>kg</v>
      </c>
      <c r="G92" s="34">
        <f>'Hao phí vật tư'!$G$93</f>
        <v>5.3</v>
      </c>
      <c r="H92" s="68">
        <f>'Vật liệu'!$W$450</f>
        <v>19091</v>
      </c>
      <c r="I92" s="37">
        <v>1</v>
      </c>
      <c r="J92" s="166">
        <f>ROUND(G92*H92*I92,0)</f>
        <v>101182</v>
      </c>
    </row>
    <row r="93" spans="1:10" x14ac:dyDescent="0.25">
      <c r="A93" s="168"/>
      <c r="B93" s="144"/>
      <c r="C93" s="34">
        <v>135</v>
      </c>
      <c r="D93" s="144" t="str">
        <f>'Vật liệu'!$B$221</f>
        <v>V00226</v>
      </c>
      <c r="E93" s="144" t="str">
        <f>" - " &amp; 'Vật liệu'!$D$221</f>
        <v xml:space="preserve"> - Dây thép</v>
      </c>
      <c r="F93" s="168" t="str">
        <f>'Vật liệu'!$E$221</f>
        <v>kg</v>
      </c>
      <c r="G93" s="34">
        <f>'Hao phí vật tư'!$G$94</f>
        <v>14.28</v>
      </c>
      <c r="H93" s="68">
        <f>'Vật liệu'!$W$221</f>
        <v>17500</v>
      </c>
      <c r="I93" s="37">
        <v>1</v>
      </c>
      <c r="J93" s="166">
        <f>ROUND(G93*H93*I93,0)</f>
        <v>249900</v>
      </c>
    </row>
    <row r="94" spans="1:10" x14ac:dyDescent="0.25">
      <c r="A94" s="168"/>
      <c r="B94" s="144"/>
      <c r="C94" s="34">
        <v>488</v>
      </c>
      <c r="D94" s="144" t="str">
        <f>'Vật liệu'!$B$689</f>
        <v>V48498</v>
      </c>
      <c r="E94" s="144" t="str">
        <f>" - " &amp; 'Vật liệu'!$D$689</f>
        <v xml:space="preserve"> - Thép tròn đường kính &gt;18mm</v>
      </c>
      <c r="F94" s="168" t="str">
        <f>'Vật liệu'!$E$689</f>
        <v>kg</v>
      </c>
      <c r="G94" s="34">
        <f>'Hao phí vật tư'!$G$95</f>
        <v>1020</v>
      </c>
      <c r="H94" s="68">
        <f>'Vật liệu'!$W$689</f>
        <v>14058</v>
      </c>
      <c r="I94" s="37">
        <v>1</v>
      </c>
      <c r="J94" s="166">
        <f>ROUND(G94*H94*I94,0)</f>
        <v>14339160</v>
      </c>
    </row>
    <row r="95" spans="1:10" x14ac:dyDescent="0.25">
      <c r="A95" s="56"/>
      <c r="B95" s="23"/>
      <c r="C95" s="88"/>
      <c r="D95" s="23"/>
      <c r="E95" s="23" t="s">
        <v>202</v>
      </c>
      <c r="F95" s="56"/>
      <c r="G95" s="88"/>
      <c r="H95" s="48"/>
      <c r="I95" s="90"/>
      <c r="J95" s="48">
        <f>ROUND(SUM(J96:J96),0)</f>
        <v>1936990</v>
      </c>
    </row>
    <row r="96" spans="1:10" x14ac:dyDescent="0.25">
      <c r="A96" s="168"/>
      <c r="B96" s="144"/>
      <c r="C96" s="34">
        <v>546</v>
      </c>
      <c r="D96" s="144" t="str">
        <f>'Nhân công'!$B$45</f>
        <v>N0009</v>
      </c>
      <c r="E96" s="144" t="s">
        <v>1052</v>
      </c>
      <c r="F96" s="168" t="str">
        <f>'Nhân công'!$G$45</f>
        <v>công</v>
      </c>
      <c r="G96" s="34">
        <f>'Hao phí vật tư'!$H$97</f>
        <v>9.1</v>
      </c>
      <c r="H96" s="68">
        <f>'Nhân công'!$M$45</f>
        <v>212856</v>
      </c>
      <c r="I96" s="37">
        <v>1</v>
      </c>
      <c r="J96" s="166">
        <f>ROUND(G96*H96*I96,0)</f>
        <v>1936990</v>
      </c>
    </row>
    <row r="97" spans="1:10" x14ac:dyDescent="0.25">
      <c r="A97" s="56"/>
      <c r="B97" s="23"/>
      <c r="C97" s="88"/>
      <c r="D97" s="23"/>
      <c r="E97" s="23" t="s">
        <v>378</v>
      </c>
      <c r="F97" s="56"/>
      <c r="G97" s="88"/>
      <c r="H97" s="48"/>
      <c r="I97" s="90"/>
      <c r="J97" s="48">
        <f>ROUND(SUM(J98:J99),0)</f>
        <v>465772</v>
      </c>
    </row>
    <row r="98" spans="1:10" x14ac:dyDescent="0.25">
      <c r="A98" s="168"/>
      <c r="B98" s="144"/>
      <c r="C98" s="34">
        <v>737</v>
      </c>
      <c r="D98" s="144" t="str">
        <f>'Máy thi công'!$B$184</f>
        <v>M9521</v>
      </c>
      <c r="E98" s="144" t="str">
        <f>" - " &amp; 'Máy thi công'!$D$184</f>
        <v xml:space="preserve"> - Máy cắt uốn cốt thép - công suất: 5 kW</v>
      </c>
      <c r="F98" s="168" t="str">
        <f>'Máy thi công'!$E$184</f>
        <v>ca</v>
      </c>
      <c r="G98" s="34">
        <f>'Hao phí vật tư'!$I$99</f>
        <v>0.16</v>
      </c>
      <c r="H98" s="68">
        <f>'Máy thi công'!$N$184</f>
        <v>228044</v>
      </c>
      <c r="I98" s="37">
        <v>1</v>
      </c>
      <c r="J98" s="166">
        <f>ROUND(G98*H98*I98,0)</f>
        <v>36487</v>
      </c>
    </row>
    <row r="99" spans="1:10" x14ac:dyDescent="0.25">
      <c r="A99" s="168"/>
      <c r="B99" s="144"/>
      <c r="C99" s="34">
        <v>714</v>
      </c>
      <c r="D99" s="144" t="str">
        <f>'Máy thi công'!$B$6</f>
        <v>M9438</v>
      </c>
      <c r="E99" s="144" t="str">
        <f>" - " &amp; 'Máy thi công'!$D$6</f>
        <v xml:space="preserve"> - Biến thế hàn xoay chiều - công suất: 23 kW</v>
      </c>
      <c r="F99" s="168" t="str">
        <f>'Máy thi công'!$E$6</f>
        <v>ca</v>
      </c>
      <c r="G99" s="34">
        <f>'Hao phí vật tư'!$I$100</f>
        <v>1.27</v>
      </c>
      <c r="H99" s="68">
        <f>'Máy thi công'!$N$6</f>
        <v>338020</v>
      </c>
      <c r="I99" s="37">
        <v>1</v>
      </c>
      <c r="J99" s="166">
        <f>ROUND(G99*H99*I99,0)</f>
        <v>429285</v>
      </c>
    </row>
    <row r="100" spans="1:10" ht="28.5" x14ac:dyDescent="0.25">
      <c r="A100" s="65">
        <f>'Công trình'!$A$15</f>
        <v>9</v>
      </c>
      <c r="B100" s="14" t="str">
        <f>'Công trình'!$B$15</f>
        <v>AF.82511</v>
      </c>
      <c r="C100" s="94"/>
      <c r="D100" s="31"/>
      <c r="E100" s="14" t="str">
        <f>'Công trình'!$C$15</f>
        <v>Sản xuất, lắp dựng, tháo dỡ ván khuôn thép, ván khuôn móng</v>
      </c>
      <c r="F100" s="46" t="str">
        <f>'Công trình'!$D$15</f>
        <v>100m2</v>
      </c>
      <c r="G100" s="94"/>
      <c r="H100" s="54"/>
      <c r="I100" s="98"/>
      <c r="J100" s="54"/>
    </row>
    <row r="101" spans="1:10" x14ac:dyDescent="0.25">
      <c r="A101" s="56"/>
      <c r="B101" s="23"/>
      <c r="C101" s="88"/>
      <c r="D101" s="23"/>
      <c r="E101" s="23" t="s">
        <v>479</v>
      </c>
      <c r="F101" s="56"/>
      <c r="G101" s="88"/>
      <c r="H101" s="48"/>
      <c r="I101" s="90"/>
      <c r="J101" s="48">
        <f>ROUND(SUM(J102:J104),0)</f>
        <v>1255185</v>
      </c>
    </row>
    <row r="102" spans="1:10" x14ac:dyDescent="0.25">
      <c r="A102" s="168"/>
      <c r="B102" s="144"/>
      <c r="C102" s="34">
        <v>160</v>
      </c>
      <c r="D102" s="144" t="str">
        <f>'Vật liệu'!$B$556</f>
        <v>V00641</v>
      </c>
      <c r="E102" s="144" t="str">
        <f>" - " &amp; 'Vật liệu'!$D$556</f>
        <v xml:space="preserve"> - Thép hình</v>
      </c>
      <c r="F102" s="168" t="str">
        <f>'Vật liệu'!$E$556</f>
        <v>kg</v>
      </c>
      <c r="G102" s="34">
        <f>'Hao phí vật tư'!$G$103</f>
        <v>32.020000000000003</v>
      </c>
      <c r="H102" s="68">
        <f>'Vật liệu'!$W$556</f>
        <v>15291</v>
      </c>
      <c r="I102" s="37">
        <v>1</v>
      </c>
      <c r="J102" s="166">
        <f>ROUND(G102*H102*I102,0)</f>
        <v>489618</v>
      </c>
    </row>
    <row r="103" spans="1:10" x14ac:dyDescent="0.25">
      <c r="A103" s="168"/>
      <c r="B103" s="144"/>
      <c r="C103" s="34">
        <v>166</v>
      </c>
      <c r="D103" s="144" t="str">
        <f>'Vật liệu'!$B$606</f>
        <v>V00671</v>
      </c>
      <c r="E103" s="144" t="str">
        <f>" - " &amp; 'Vật liệu'!$D$606</f>
        <v xml:space="preserve"> - Thép tấm</v>
      </c>
      <c r="F103" s="168" t="str">
        <f>'Vật liệu'!$E$606</f>
        <v>kg</v>
      </c>
      <c r="G103" s="34">
        <f>'Hao phí vật tư'!$G$104</f>
        <v>51.81</v>
      </c>
      <c r="H103" s="68">
        <f>'Vật liệu'!$W$606</f>
        <v>12574</v>
      </c>
      <c r="I103" s="37">
        <v>1</v>
      </c>
      <c r="J103" s="166">
        <f>ROUND(G103*H103*I103,0)</f>
        <v>651459</v>
      </c>
    </row>
    <row r="104" spans="1:10" x14ac:dyDescent="0.25">
      <c r="A104" s="168"/>
      <c r="B104" s="144"/>
      <c r="C104" s="34">
        <v>179</v>
      </c>
      <c r="D104" s="144" t="str">
        <f>'Vật liệu'!$B$766</f>
        <v>V00750</v>
      </c>
      <c r="E104" s="144" t="str">
        <f>" - " &amp; 'Vật liệu'!$D$766</f>
        <v xml:space="preserve"> - Vật liệu khác</v>
      </c>
      <c r="F104" s="168" t="str">
        <f>'Vật liệu'!$E$766</f>
        <v>%</v>
      </c>
      <c r="G104" s="34">
        <f>'Hao phí vật tư'!$G$105</f>
        <v>10</v>
      </c>
      <c r="H104" s="166">
        <f>'Vật liệu'!$W$766</f>
        <v>0</v>
      </c>
      <c r="I104" s="37">
        <v>1</v>
      </c>
      <c r="J104" s="166">
        <f>ROUND((J102+J103)*G104*I104/100,0)</f>
        <v>114108</v>
      </c>
    </row>
    <row r="105" spans="1:10" x14ac:dyDescent="0.25">
      <c r="A105" s="56"/>
      <c r="B105" s="23"/>
      <c r="C105" s="88"/>
      <c r="D105" s="23"/>
      <c r="E105" s="23" t="s">
        <v>202</v>
      </c>
      <c r="F105" s="56"/>
      <c r="G105" s="88"/>
      <c r="H105" s="48"/>
      <c r="I105" s="90"/>
      <c r="J105" s="48">
        <f>ROUND(SUM(J106:J106),0)</f>
        <v>2823392</v>
      </c>
    </row>
    <row r="106" spans="1:10" x14ac:dyDescent="0.25">
      <c r="A106" s="168"/>
      <c r="B106" s="144"/>
      <c r="C106" s="34">
        <v>550</v>
      </c>
      <c r="D106" s="144" t="str">
        <f>'Nhân công'!$B$130</f>
        <v>N0011</v>
      </c>
      <c r="E106" s="144" t="s">
        <v>671</v>
      </c>
      <c r="F106" s="168" t="str">
        <f>'Nhân công'!$G$130</f>
        <v>công</v>
      </c>
      <c r="G106" s="34">
        <f>'Hao phí vật tư'!$H$107</f>
        <v>12.25</v>
      </c>
      <c r="H106" s="68">
        <f>'Nhân công'!$M$130</f>
        <v>230481</v>
      </c>
      <c r="I106" s="37">
        <v>1</v>
      </c>
      <c r="J106" s="166">
        <f>ROUND(G106*H106*I106,0)</f>
        <v>2823392</v>
      </c>
    </row>
    <row r="107" spans="1:10" ht="28.5" x14ac:dyDescent="0.25">
      <c r="A107" s="65">
        <f>'Công trình'!$A$16</f>
        <v>10</v>
      </c>
      <c r="B107" s="14" t="str">
        <f>'Công trình'!$B$16</f>
        <v>AF.82111</v>
      </c>
      <c r="C107" s="94"/>
      <c r="D107" s="31"/>
      <c r="E107" s="14" t="str">
        <f>'Công trình'!$C$16</f>
        <v>Sản xuất, lắp dựng tháo dỡ ván khuôn thép tường, chiều cao &lt;=16m</v>
      </c>
      <c r="F107" s="46" t="str">
        <f>'Công trình'!$D$16</f>
        <v>100m2</v>
      </c>
      <c r="G107" s="94"/>
      <c r="H107" s="54"/>
      <c r="I107" s="98"/>
      <c r="J107" s="54"/>
    </row>
    <row r="108" spans="1:10" x14ac:dyDescent="0.25">
      <c r="A108" s="56"/>
      <c r="B108" s="23"/>
      <c r="C108" s="88"/>
      <c r="D108" s="23"/>
      <c r="E108" s="23" t="s">
        <v>479</v>
      </c>
      <c r="F108" s="56"/>
      <c r="G108" s="88"/>
      <c r="H108" s="48"/>
      <c r="I108" s="90"/>
      <c r="J108" s="48">
        <f>ROUND(SUM(J109:J113),0)</f>
        <v>3284877</v>
      </c>
    </row>
    <row r="109" spans="1:10" x14ac:dyDescent="0.25">
      <c r="A109" s="168"/>
      <c r="B109" s="144"/>
      <c r="C109" s="34">
        <v>154</v>
      </c>
      <c r="D109" s="144" t="str">
        <f>'Vật liệu'!$B$450</f>
        <v>V00515</v>
      </c>
      <c r="E109" s="144" t="str">
        <f>" - " &amp; 'Vật liệu'!$D$450</f>
        <v xml:space="preserve"> - Que hàn</v>
      </c>
      <c r="F109" s="168" t="str">
        <f>'Vật liệu'!$E$450</f>
        <v>kg</v>
      </c>
      <c r="G109" s="34">
        <f>'Hao phí vật tư'!$G$110</f>
        <v>5.6</v>
      </c>
      <c r="H109" s="68">
        <f>'Vật liệu'!$W$450</f>
        <v>19091</v>
      </c>
      <c r="I109" s="37">
        <v>1</v>
      </c>
      <c r="J109" s="166">
        <f>ROUND(G109*H109*I109,0)</f>
        <v>106910</v>
      </c>
    </row>
    <row r="110" spans="1:10" x14ac:dyDescent="0.25">
      <c r="A110" s="168"/>
      <c r="B110" s="144"/>
      <c r="C110" s="34">
        <v>140</v>
      </c>
      <c r="D110" s="144" t="str">
        <f>'Vật liệu'!$B$294</f>
        <v>V00390</v>
      </c>
      <c r="E110" s="144" t="str">
        <f>" - " &amp; 'Vật liệu'!$D$294</f>
        <v xml:space="preserve"> - Gỗ chống</v>
      </c>
      <c r="F110" s="168" t="str">
        <f>'Vật liệu'!$E$294</f>
        <v>m3</v>
      </c>
      <c r="G110" s="34">
        <f>'Hao phí vật tư'!$G$111</f>
        <v>0.496</v>
      </c>
      <c r="H110" s="68">
        <f>'Vật liệu'!$W$294</f>
        <v>3272727</v>
      </c>
      <c r="I110" s="37">
        <v>1</v>
      </c>
      <c r="J110" s="166">
        <f>ROUND(G110*H110*I110,0)</f>
        <v>1623273</v>
      </c>
    </row>
    <row r="111" spans="1:10" x14ac:dyDescent="0.25">
      <c r="A111" s="168"/>
      <c r="B111" s="144"/>
      <c r="C111" s="34">
        <v>166</v>
      </c>
      <c r="D111" s="144" t="str">
        <f>'Vật liệu'!$B$606</f>
        <v>V00671</v>
      </c>
      <c r="E111" s="144" t="str">
        <f>" - " &amp; 'Vật liệu'!$D$606</f>
        <v xml:space="preserve"> - Thép tấm</v>
      </c>
      <c r="F111" s="168" t="str">
        <f>'Vật liệu'!$E$606</f>
        <v>kg</v>
      </c>
      <c r="G111" s="34">
        <f>'Hao phí vật tư'!$G$112</f>
        <v>51.81</v>
      </c>
      <c r="H111" s="68">
        <f>'Vật liệu'!$W$606</f>
        <v>12574</v>
      </c>
      <c r="I111" s="37">
        <v>1</v>
      </c>
      <c r="J111" s="166">
        <f>ROUND(G111*H111*I111,0)</f>
        <v>651459</v>
      </c>
    </row>
    <row r="112" spans="1:10" x14ac:dyDescent="0.25">
      <c r="A112" s="168"/>
      <c r="B112" s="144"/>
      <c r="C112" s="34">
        <v>160</v>
      </c>
      <c r="D112" s="144" t="str">
        <f>'Vật liệu'!$B$556</f>
        <v>V00641</v>
      </c>
      <c r="E112" s="144" t="str">
        <f>" - " &amp; 'Vật liệu'!$D$556</f>
        <v xml:space="preserve"> - Thép hình</v>
      </c>
      <c r="F112" s="168" t="str">
        <f>'Vật liệu'!$E$556</f>
        <v>kg</v>
      </c>
      <c r="G112" s="34">
        <f>'Hao phí vật tư'!$G$113</f>
        <v>48.84</v>
      </c>
      <c r="H112" s="68">
        <f>'Vật liệu'!$W$556</f>
        <v>15291</v>
      </c>
      <c r="I112" s="37">
        <v>1</v>
      </c>
      <c r="J112" s="166">
        <f>ROUND(G112*H112*I112,0)</f>
        <v>746812</v>
      </c>
    </row>
    <row r="113" spans="1:10" x14ac:dyDescent="0.25">
      <c r="A113" s="168"/>
      <c r="B113" s="144"/>
      <c r="C113" s="34">
        <v>180</v>
      </c>
      <c r="D113" s="144" t="str">
        <f>'Vật liệu'!$B$766</f>
        <v>V00750</v>
      </c>
      <c r="E113" s="144" t="str">
        <f>" - " &amp; 'Vật liệu'!$D$766</f>
        <v xml:space="preserve"> - Vật liệu khác</v>
      </c>
      <c r="F113" s="168" t="str">
        <f>'Vật liệu'!$E$766</f>
        <v>%</v>
      </c>
      <c r="G113" s="34">
        <f>'Hao phí vật tư'!$G$114</f>
        <v>5</v>
      </c>
      <c r="H113" s="166">
        <f>'Vật liệu'!$W$766</f>
        <v>0</v>
      </c>
      <c r="I113" s="37">
        <v>1</v>
      </c>
      <c r="J113" s="166">
        <f>ROUND((J109+J110+J111+J112)*G113*I113/100,0)</f>
        <v>156423</v>
      </c>
    </row>
    <row r="114" spans="1:10" x14ac:dyDescent="0.25">
      <c r="A114" s="56"/>
      <c r="B114" s="23"/>
      <c r="C114" s="88"/>
      <c r="D114" s="23"/>
      <c r="E114" s="23" t="s">
        <v>202</v>
      </c>
      <c r="F114" s="56"/>
      <c r="G114" s="88"/>
      <c r="H114" s="48"/>
      <c r="I114" s="90"/>
      <c r="J114" s="48">
        <f>ROUND(SUM(J115:J115),0)</f>
        <v>8822813</v>
      </c>
    </row>
    <row r="115" spans="1:10" x14ac:dyDescent="0.25">
      <c r="A115" s="168"/>
      <c r="B115" s="144"/>
      <c r="C115" s="34">
        <v>550</v>
      </c>
      <c r="D115" s="144" t="str">
        <f>'Nhân công'!$B$130</f>
        <v>N0011</v>
      </c>
      <c r="E115" s="144" t="s">
        <v>671</v>
      </c>
      <c r="F115" s="168" t="str">
        <f>'Nhân công'!$G$130</f>
        <v>công</v>
      </c>
      <c r="G115" s="34">
        <f>'Hao phí vật tư'!$H$116</f>
        <v>38.28</v>
      </c>
      <c r="H115" s="68">
        <f>'Nhân công'!$M$130</f>
        <v>230481</v>
      </c>
      <c r="I115" s="37">
        <v>1</v>
      </c>
      <c r="J115" s="166">
        <f>ROUND(G115*H115*I115,0)</f>
        <v>8822813</v>
      </c>
    </row>
    <row r="116" spans="1:10" x14ac:dyDescent="0.25">
      <c r="A116" s="56"/>
      <c r="B116" s="23"/>
      <c r="C116" s="88"/>
      <c r="D116" s="23"/>
      <c r="E116" s="23" t="s">
        <v>378</v>
      </c>
      <c r="F116" s="56"/>
      <c r="G116" s="88"/>
      <c r="H116" s="48"/>
      <c r="I116" s="90"/>
      <c r="J116" s="48">
        <f>ROUND(SUM(J117:J119),0)</f>
        <v>517171</v>
      </c>
    </row>
    <row r="117" spans="1:10" x14ac:dyDescent="0.25">
      <c r="A117" s="168"/>
      <c r="B117" s="144"/>
      <c r="C117" s="34">
        <v>746</v>
      </c>
      <c r="D117" s="144" t="str">
        <f>'Máy thi công'!$B$358</f>
        <v>M9560</v>
      </c>
      <c r="E117" s="144" t="str">
        <f>" - " &amp; 'Máy thi công'!$D$358</f>
        <v xml:space="preserve"> - Máy vận thăng - sức nâng: 0,8 t - H nâng 80 m</v>
      </c>
      <c r="F117" s="168" t="str">
        <f>'Máy thi công'!$E$358</f>
        <v>ca</v>
      </c>
      <c r="G117" s="34">
        <f>'Hao phí vật tư'!$I$118</f>
        <v>0</v>
      </c>
      <c r="H117" s="68">
        <f>'Máy thi công'!$N$358</f>
        <v>378219</v>
      </c>
      <c r="I117" s="37">
        <v>1</v>
      </c>
      <c r="J117" s="166">
        <f>ROUND(G117*H117*I117,0)</f>
        <v>0</v>
      </c>
    </row>
    <row r="118" spans="1:10" x14ac:dyDescent="0.25">
      <c r="A118" s="168"/>
      <c r="B118" s="144"/>
      <c r="C118" s="34">
        <v>714</v>
      </c>
      <c r="D118" s="144" t="str">
        <f>'Máy thi công'!$B$6</f>
        <v>M9438</v>
      </c>
      <c r="E118" s="144" t="str">
        <f>" - " &amp; 'Máy thi công'!$D$6</f>
        <v xml:space="preserve"> - Biến thế hàn xoay chiều - công suất: 23 kW</v>
      </c>
      <c r="F118" s="168" t="str">
        <f>'Máy thi công'!$E$6</f>
        <v>ca</v>
      </c>
      <c r="G118" s="34">
        <f>'Hao phí vật tư'!$I$119</f>
        <v>1.5</v>
      </c>
      <c r="H118" s="68">
        <f>'Máy thi công'!$N$6</f>
        <v>338020</v>
      </c>
      <c r="I118" s="37">
        <v>1</v>
      </c>
      <c r="J118" s="166">
        <f>ROUND(G118*H118*I118,0)</f>
        <v>507030</v>
      </c>
    </row>
    <row r="119" spans="1:10" x14ac:dyDescent="0.25">
      <c r="A119" s="168"/>
      <c r="B119" s="144"/>
      <c r="C119" s="34">
        <v>562</v>
      </c>
      <c r="D119" s="144" t="str">
        <f>'Máy thi công'!$B$398</f>
        <v>M0111</v>
      </c>
      <c r="E119" s="144" t="str">
        <f>" - " &amp; 'Máy thi công'!$D$398</f>
        <v xml:space="preserve"> - Máy khác</v>
      </c>
      <c r="F119" s="168" t="str">
        <f>'Máy thi công'!$E$398</f>
        <v>%</v>
      </c>
      <c r="G119" s="34">
        <f>'Hao phí vật tư'!$I$120</f>
        <v>2</v>
      </c>
      <c r="H119" s="166">
        <f>'Máy thi công'!$N$398</f>
        <v>0</v>
      </c>
      <c r="I119" s="37">
        <v>1</v>
      </c>
      <c r="J119" s="166">
        <f>ROUND((J117+J118)*G119*I119/100,0)</f>
        <v>10141</v>
      </c>
    </row>
    <row r="120" spans="1:10" ht="28.5" x14ac:dyDescent="0.25">
      <c r="A120" s="65">
        <f>'Công trình'!$A$18</f>
        <v>11</v>
      </c>
      <c r="B120" s="14" t="str">
        <f>'Công trình'!$B$18</f>
        <v>AF.12314</v>
      </c>
      <c r="C120" s="94"/>
      <c r="D120" s="31"/>
      <c r="E120" s="14" t="str">
        <f>'Công trình'!$C$18</f>
        <v>Bê tông xà dầm, giằng nhà đá 1x2, vữa BT mác 250</v>
      </c>
      <c r="F120" s="46" t="str">
        <f>'Công trình'!$D$18</f>
        <v>m3</v>
      </c>
      <c r="G120" s="94"/>
      <c r="H120" s="54"/>
      <c r="I120" s="98"/>
      <c r="J120" s="54"/>
    </row>
    <row r="121" spans="1:10" x14ac:dyDescent="0.25">
      <c r="A121" s="56"/>
      <c r="B121" s="23"/>
      <c r="C121" s="88"/>
      <c r="D121" s="23"/>
      <c r="E121" s="23" t="s">
        <v>479</v>
      </c>
      <c r="F121" s="56"/>
      <c r="G121" s="88"/>
      <c r="H121" s="48"/>
      <c r="I121" s="90"/>
      <c r="J121" s="48">
        <f>ROUND(SUM(J122:J126),0)</f>
        <v>1049788</v>
      </c>
    </row>
    <row r="122" spans="1:10" x14ac:dyDescent="0.25">
      <c r="A122" s="168"/>
      <c r="B122" s="144"/>
      <c r="C122" s="34">
        <v>397</v>
      </c>
      <c r="D122" s="144" t="str">
        <f>'Vật liệu'!$B$721</f>
        <v>V00761</v>
      </c>
      <c r="E122" s="144" t="str">
        <f>" - " &amp; 'Vật liệu'!$D$721</f>
        <v xml:space="preserve"> - Xi măng PC40</v>
      </c>
      <c r="F122" s="168" t="str">
        <f>'Vật liệu'!$E$721</f>
        <v>kg</v>
      </c>
      <c r="G122" s="34">
        <f>'Hao phí vật tư'!$G$123</f>
        <v>335.17500000000001</v>
      </c>
      <c r="H122" s="68">
        <f>'Vật liệu'!$W$721</f>
        <v>1513</v>
      </c>
      <c r="I122" s="37">
        <v>1</v>
      </c>
      <c r="J122" s="166">
        <f>ROUND(G122*H122*I122,0)</f>
        <v>507120</v>
      </c>
    </row>
    <row r="123" spans="1:10" x14ac:dyDescent="0.25">
      <c r="A123" s="168"/>
      <c r="B123" s="144"/>
      <c r="C123" s="34">
        <v>125</v>
      </c>
      <c r="D123" s="144" t="str">
        <f>'Vật liệu'!$B$54</f>
        <v>V00112</v>
      </c>
      <c r="E123" s="144" t="str">
        <f>" - " &amp; 'Vật liệu'!$D$54</f>
        <v xml:space="preserve"> - Cát vàng</v>
      </c>
      <c r="F123" s="168" t="str">
        <f>'Vật liệu'!$E$54</f>
        <v>m3</v>
      </c>
      <c r="G123" s="34">
        <f>'Hao phí vật tư'!$G$124</f>
        <v>0.4869</v>
      </c>
      <c r="H123" s="68">
        <f>'Vật liệu'!$W$54</f>
        <v>420000</v>
      </c>
      <c r="I123" s="37">
        <v>1</v>
      </c>
      <c r="J123" s="166">
        <f>ROUND(G123*H123*I123,0)</f>
        <v>204498</v>
      </c>
    </row>
    <row r="124" spans="1:10" x14ac:dyDescent="0.25">
      <c r="A124" s="168"/>
      <c r="B124" s="144"/>
      <c r="C124" s="34">
        <v>416</v>
      </c>
      <c r="D124" s="144" t="str">
        <f>'Vật liệu'!$B$142</f>
        <v>V05207</v>
      </c>
      <c r="E124" s="144" t="str">
        <f>" - " &amp; 'Vật liệu'!$D$142</f>
        <v xml:space="preserve"> - Đá 1x2</v>
      </c>
      <c r="F124" s="168" t="str">
        <f>'Vật liệu'!$E$142</f>
        <v>m3</v>
      </c>
      <c r="G124" s="34">
        <f>'Hao phí vật tư'!$G$125</f>
        <v>0.90300000000000002</v>
      </c>
      <c r="H124" s="68">
        <f>'Vật liệu'!$W$142</f>
        <v>360886</v>
      </c>
      <c r="I124" s="37">
        <v>1</v>
      </c>
      <c r="J124" s="166">
        <f>ROUND(G124*H124*I124,0)</f>
        <v>325880</v>
      </c>
    </row>
    <row r="125" spans="1:10" x14ac:dyDescent="0.25">
      <c r="A125" s="168"/>
      <c r="B125" s="144"/>
      <c r="C125" s="34">
        <v>148</v>
      </c>
      <c r="D125" s="144" t="str">
        <f>'Vật liệu'!$B$353</f>
        <v>V00494</v>
      </c>
      <c r="E125" s="144" t="str">
        <f>" - " &amp; 'Vật liệu'!$D$353</f>
        <v xml:space="preserve"> - Nước</v>
      </c>
      <c r="F125" s="168" t="str">
        <f>'Vật liệu'!$E$353</f>
        <v>lít</v>
      </c>
      <c r="G125" s="34">
        <f>'Hao phí vật tư'!$G$126</f>
        <v>189.625</v>
      </c>
      <c r="H125" s="68">
        <f>'Vật liệu'!$W$353</f>
        <v>10</v>
      </c>
      <c r="I125" s="37">
        <v>1</v>
      </c>
      <c r="J125" s="166">
        <f>ROUND(G125*H125*I125,0)</f>
        <v>1896</v>
      </c>
    </row>
    <row r="126" spans="1:10" x14ac:dyDescent="0.25">
      <c r="A126" s="168"/>
      <c r="B126" s="144"/>
      <c r="C126" s="34">
        <v>185</v>
      </c>
      <c r="D126" s="144" t="str">
        <f>'Vật liệu'!$B$766</f>
        <v>V00750</v>
      </c>
      <c r="E126" s="144" t="str">
        <f>" - " &amp; 'Vật liệu'!$D$766</f>
        <v xml:space="preserve"> - Vật liệu khác</v>
      </c>
      <c r="F126" s="168" t="str">
        <f>'Vật liệu'!$E$766</f>
        <v>%</v>
      </c>
      <c r="G126" s="34">
        <f>'Hao phí vật tư'!$G$127</f>
        <v>1</v>
      </c>
      <c r="H126" s="166">
        <f>'Vật liệu'!$W$766</f>
        <v>0</v>
      </c>
      <c r="I126" s="37">
        <v>1</v>
      </c>
      <c r="J126" s="166">
        <f>ROUND((J122+J123+J124+J125)*G126*I126/100,0)</f>
        <v>10394</v>
      </c>
    </row>
    <row r="127" spans="1:10" x14ac:dyDescent="0.25">
      <c r="A127" s="56"/>
      <c r="B127" s="23"/>
      <c r="C127" s="88"/>
      <c r="D127" s="23"/>
      <c r="E127" s="23" t="s">
        <v>202</v>
      </c>
      <c r="F127" s="56"/>
      <c r="G127" s="88"/>
      <c r="H127" s="48"/>
      <c r="I127" s="90"/>
      <c r="J127" s="48">
        <f>ROUND(SUM(J128:J128),0)</f>
        <v>757767</v>
      </c>
    </row>
    <row r="128" spans="1:10" x14ac:dyDescent="0.25">
      <c r="A128" s="168"/>
      <c r="B128" s="144"/>
      <c r="C128" s="34">
        <v>546</v>
      </c>
      <c r="D128" s="144" t="str">
        <f>'Nhân công'!$B$45</f>
        <v>N0009</v>
      </c>
      <c r="E128" s="144" t="s">
        <v>1052</v>
      </c>
      <c r="F128" s="168" t="str">
        <f>'Nhân công'!$G$45</f>
        <v>công</v>
      </c>
      <c r="G128" s="34">
        <f>'Hao phí vật tư'!$H$129</f>
        <v>3.56</v>
      </c>
      <c r="H128" s="68">
        <f>'Nhân công'!$M$45</f>
        <v>212856</v>
      </c>
      <c r="I128" s="37">
        <v>1</v>
      </c>
      <c r="J128" s="166">
        <f>ROUND(G128*H128*I128,0)</f>
        <v>757767</v>
      </c>
    </row>
    <row r="129" spans="1:10" x14ac:dyDescent="0.25">
      <c r="A129" s="56"/>
      <c r="B129" s="23"/>
      <c r="C129" s="88"/>
      <c r="D129" s="23"/>
      <c r="E129" s="23" t="s">
        <v>378</v>
      </c>
      <c r="F129" s="56"/>
      <c r="G129" s="88"/>
      <c r="H129" s="48"/>
      <c r="I129" s="90"/>
      <c r="J129" s="48">
        <f>ROUND(SUM(J130:J132),0)</f>
        <v>68040</v>
      </c>
    </row>
    <row r="130" spans="1:10" x14ac:dyDescent="0.25">
      <c r="A130" s="168"/>
      <c r="B130" s="144"/>
      <c r="C130" s="34">
        <v>746</v>
      </c>
      <c r="D130" s="144" t="str">
        <f>'Máy thi công'!$B$358</f>
        <v>M9560</v>
      </c>
      <c r="E130" s="144" t="str">
        <f>" - " &amp; 'Máy thi công'!$D$358</f>
        <v xml:space="preserve"> - Máy vận thăng - sức nâng: 0,8 t - H nâng 80 m</v>
      </c>
      <c r="F130" s="168" t="str">
        <f>'Máy thi công'!$E$358</f>
        <v>ca</v>
      </c>
      <c r="G130" s="34">
        <f>'Hao phí vật tư'!$I$131</f>
        <v>0</v>
      </c>
      <c r="H130" s="68">
        <f>'Máy thi công'!$N$358</f>
        <v>378219</v>
      </c>
      <c r="I130" s="37">
        <v>1</v>
      </c>
      <c r="J130" s="166">
        <f>ROUND(G130*H130*I130,0)</f>
        <v>0</v>
      </c>
    </row>
    <row r="131" spans="1:10" x14ac:dyDescent="0.25">
      <c r="A131" s="168"/>
      <c r="B131" s="144"/>
      <c r="C131" s="34">
        <v>750</v>
      </c>
      <c r="D131" s="144" t="str">
        <f>'Máy thi công'!$B$232</f>
        <v>M9571</v>
      </c>
      <c r="E131" s="144" t="str">
        <f>" - " &amp; 'Máy thi công'!$D$232</f>
        <v xml:space="preserve"> - Máy đầm bê tông, dầm dùi - công suất: 1,5 kW</v>
      </c>
      <c r="F131" s="168" t="str">
        <f>'Máy thi công'!$E$232</f>
        <v>ca</v>
      </c>
      <c r="G131" s="34">
        <f>'Hao phí vật tư'!$I$132</f>
        <v>0.18</v>
      </c>
      <c r="H131" s="68">
        <f>'Máy thi công'!$N$232</f>
        <v>225765</v>
      </c>
      <c r="I131" s="37">
        <v>1</v>
      </c>
      <c r="J131" s="166">
        <f>ROUND(G131*H131*I131,0)</f>
        <v>40638</v>
      </c>
    </row>
    <row r="132" spans="1:10" x14ac:dyDescent="0.25">
      <c r="A132" s="168"/>
      <c r="B132" s="144"/>
      <c r="C132" s="34">
        <v>744</v>
      </c>
      <c r="D132" s="144" t="str">
        <f>'Máy thi công'!$B$306</f>
        <v>M9555</v>
      </c>
      <c r="E132" s="144" t="str">
        <f>" - " &amp; 'Máy thi công'!$D$306</f>
        <v xml:space="preserve"> - Máy trộn bê tông - dung tích: 250 lít</v>
      </c>
      <c r="F132" s="168" t="str">
        <f>'Máy thi công'!$E$306</f>
        <v>ca</v>
      </c>
      <c r="G132" s="34">
        <f>'Hao phí vật tư'!$I$133</f>
        <v>9.5000000000000001E-2</v>
      </c>
      <c r="H132" s="68">
        <f>'Máy thi công'!$N$306</f>
        <v>288447</v>
      </c>
      <c r="I132" s="37">
        <v>1</v>
      </c>
      <c r="J132" s="166">
        <f>ROUND(G132*H132*I132,0)</f>
        <v>27402</v>
      </c>
    </row>
    <row r="133" spans="1:10" ht="28.5" x14ac:dyDescent="0.25">
      <c r="A133" s="65">
        <f>'Công trình'!$A$19</f>
        <v>12</v>
      </c>
      <c r="B133" s="14" t="str">
        <f>'Công trình'!$B$19</f>
        <v>AF.82111</v>
      </c>
      <c r="C133" s="94"/>
      <c r="D133" s="31"/>
      <c r="E133" s="14" t="str">
        <f>'Công trình'!$C$19</f>
        <v>Sản xuất, lắp dựng tháo dỡ ván khuôn thép dầm, giằng, chiều cao &lt;=16m</v>
      </c>
      <c r="F133" s="46" t="str">
        <f>'Công trình'!$D$19</f>
        <v>100m2</v>
      </c>
      <c r="G133" s="94"/>
      <c r="H133" s="54"/>
      <c r="I133" s="98"/>
      <c r="J133" s="54"/>
    </row>
    <row r="134" spans="1:10" x14ac:dyDescent="0.25">
      <c r="A134" s="56"/>
      <c r="B134" s="23"/>
      <c r="C134" s="88"/>
      <c r="D134" s="23"/>
      <c r="E134" s="23" t="s">
        <v>479</v>
      </c>
      <c r="F134" s="56"/>
      <c r="G134" s="88"/>
      <c r="H134" s="48"/>
      <c r="I134" s="90"/>
      <c r="J134" s="48">
        <f>ROUND(SUM(J135:J139),0)</f>
        <v>3284877</v>
      </c>
    </row>
    <row r="135" spans="1:10" x14ac:dyDescent="0.25">
      <c r="A135" s="168"/>
      <c r="B135" s="144"/>
      <c r="C135" s="34">
        <v>154</v>
      </c>
      <c r="D135" s="144" t="str">
        <f>'Vật liệu'!$B$450</f>
        <v>V00515</v>
      </c>
      <c r="E135" s="144" t="str">
        <f>" - " &amp; 'Vật liệu'!$D$450</f>
        <v xml:space="preserve"> - Que hàn</v>
      </c>
      <c r="F135" s="168" t="str">
        <f>'Vật liệu'!$E$450</f>
        <v>kg</v>
      </c>
      <c r="G135" s="34">
        <f>'Hao phí vật tư'!$G$136</f>
        <v>5.6</v>
      </c>
      <c r="H135" s="68">
        <f>'Vật liệu'!$W$450</f>
        <v>19091</v>
      </c>
      <c r="I135" s="37">
        <v>1</v>
      </c>
      <c r="J135" s="166">
        <f>ROUND(G135*H135*I135,0)</f>
        <v>106910</v>
      </c>
    </row>
    <row r="136" spans="1:10" x14ac:dyDescent="0.25">
      <c r="A136" s="168"/>
      <c r="B136" s="144"/>
      <c r="C136" s="34">
        <v>140</v>
      </c>
      <c r="D136" s="144" t="str">
        <f>'Vật liệu'!$B$294</f>
        <v>V00390</v>
      </c>
      <c r="E136" s="144" t="str">
        <f>" - " &amp; 'Vật liệu'!$D$294</f>
        <v xml:space="preserve"> - Gỗ chống</v>
      </c>
      <c r="F136" s="168" t="str">
        <f>'Vật liệu'!$E$294</f>
        <v>m3</v>
      </c>
      <c r="G136" s="34">
        <f>'Hao phí vật tư'!$G$137</f>
        <v>0.496</v>
      </c>
      <c r="H136" s="68">
        <f>'Vật liệu'!$W$294</f>
        <v>3272727</v>
      </c>
      <c r="I136" s="37">
        <v>1</v>
      </c>
      <c r="J136" s="166">
        <f>ROUND(G136*H136*I136,0)</f>
        <v>1623273</v>
      </c>
    </row>
    <row r="137" spans="1:10" x14ac:dyDescent="0.25">
      <c r="A137" s="168"/>
      <c r="B137" s="144"/>
      <c r="C137" s="34">
        <v>166</v>
      </c>
      <c r="D137" s="144" t="str">
        <f>'Vật liệu'!$B$606</f>
        <v>V00671</v>
      </c>
      <c r="E137" s="144" t="str">
        <f>" - " &amp; 'Vật liệu'!$D$606</f>
        <v xml:space="preserve"> - Thép tấm</v>
      </c>
      <c r="F137" s="168" t="str">
        <f>'Vật liệu'!$E$606</f>
        <v>kg</v>
      </c>
      <c r="G137" s="34">
        <f>'Hao phí vật tư'!$G$138</f>
        <v>51.81</v>
      </c>
      <c r="H137" s="68">
        <f>'Vật liệu'!$W$606</f>
        <v>12574</v>
      </c>
      <c r="I137" s="37">
        <v>1</v>
      </c>
      <c r="J137" s="166">
        <f>ROUND(G137*H137*I137,0)</f>
        <v>651459</v>
      </c>
    </row>
    <row r="138" spans="1:10" x14ac:dyDescent="0.25">
      <c r="A138" s="168"/>
      <c r="B138" s="144"/>
      <c r="C138" s="34">
        <v>160</v>
      </c>
      <c r="D138" s="144" t="str">
        <f>'Vật liệu'!$B$556</f>
        <v>V00641</v>
      </c>
      <c r="E138" s="144" t="str">
        <f>" - " &amp; 'Vật liệu'!$D$556</f>
        <v xml:space="preserve"> - Thép hình</v>
      </c>
      <c r="F138" s="168" t="str">
        <f>'Vật liệu'!$E$556</f>
        <v>kg</v>
      </c>
      <c r="G138" s="34">
        <f>'Hao phí vật tư'!$G$139</f>
        <v>48.84</v>
      </c>
      <c r="H138" s="68">
        <f>'Vật liệu'!$W$556</f>
        <v>15291</v>
      </c>
      <c r="I138" s="37">
        <v>1</v>
      </c>
      <c r="J138" s="166">
        <f>ROUND(G138*H138*I138,0)</f>
        <v>746812</v>
      </c>
    </row>
    <row r="139" spans="1:10" x14ac:dyDescent="0.25">
      <c r="A139" s="168"/>
      <c r="B139" s="144"/>
      <c r="C139" s="34">
        <v>186</v>
      </c>
      <c r="D139" s="144" t="str">
        <f>'Vật liệu'!$B$766</f>
        <v>V00750</v>
      </c>
      <c r="E139" s="144" t="str">
        <f>" - " &amp; 'Vật liệu'!$D$766</f>
        <v xml:space="preserve"> - Vật liệu khác</v>
      </c>
      <c r="F139" s="168" t="str">
        <f>'Vật liệu'!$E$766</f>
        <v>%</v>
      </c>
      <c r="G139" s="34">
        <f>'Hao phí vật tư'!$G$140</f>
        <v>5</v>
      </c>
      <c r="H139" s="166">
        <f>'Vật liệu'!$W$766</f>
        <v>0</v>
      </c>
      <c r="I139" s="37">
        <v>1</v>
      </c>
      <c r="J139" s="166">
        <f>ROUND((J135+J136+J137+J138)*G139*I139/100,0)</f>
        <v>156423</v>
      </c>
    </row>
    <row r="140" spans="1:10" x14ac:dyDescent="0.25">
      <c r="A140" s="56"/>
      <c r="B140" s="23"/>
      <c r="C140" s="88"/>
      <c r="D140" s="23"/>
      <c r="E140" s="23" t="s">
        <v>202</v>
      </c>
      <c r="F140" s="56"/>
      <c r="G140" s="88"/>
      <c r="H140" s="48"/>
      <c r="I140" s="90"/>
      <c r="J140" s="48">
        <f>ROUND(SUM(J141:J141),0)</f>
        <v>8822813</v>
      </c>
    </row>
    <row r="141" spans="1:10" x14ac:dyDescent="0.25">
      <c r="A141" s="168"/>
      <c r="B141" s="144"/>
      <c r="C141" s="34">
        <v>550</v>
      </c>
      <c r="D141" s="144" t="str">
        <f>'Nhân công'!$B$130</f>
        <v>N0011</v>
      </c>
      <c r="E141" s="144" t="s">
        <v>671</v>
      </c>
      <c r="F141" s="168" t="str">
        <f>'Nhân công'!$G$130</f>
        <v>công</v>
      </c>
      <c r="G141" s="34">
        <f>'Hao phí vật tư'!$H$142</f>
        <v>38.28</v>
      </c>
      <c r="H141" s="68">
        <f>'Nhân công'!$M$130</f>
        <v>230481</v>
      </c>
      <c r="I141" s="37">
        <v>1</v>
      </c>
      <c r="J141" s="166">
        <f>ROUND(G141*H141*I141,0)</f>
        <v>8822813</v>
      </c>
    </row>
    <row r="142" spans="1:10" x14ac:dyDescent="0.25">
      <c r="A142" s="56"/>
      <c r="B142" s="23"/>
      <c r="C142" s="88"/>
      <c r="D142" s="23"/>
      <c r="E142" s="23" t="s">
        <v>378</v>
      </c>
      <c r="F142" s="56"/>
      <c r="G142" s="88"/>
      <c r="H142" s="48"/>
      <c r="I142" s="90"/>
      <c r="J142" s="48">
        <f>ROUND(SUM(J143:J145),0)</f>
        <v>517171</v>
      </c>
    </row>
    <row r="143" spans="1:10" x14ac:dyDescent="0.25">
      <c r="A143" s="168"/>
      <c r="B143" s="144"/>
      <c r="C143" s="34">
        <v>746</v>
      </c>
      <c r="D143" s="144" t="str">
        <f>'Máy thi công'!$B$358</f>
        <v>M9560</v>
      </c>
      <c r="E143" s="144" t="str">
        <f>" - " &amp; 'Máy thi công'!$D$358</f>
        <v xml:space="preserve"> - Máy vận thăng - sức nâng: 0,8 t - H nâng 80 m</v>
      </c>
      <c r="F143" s="168" t="str">
        <f>'Máy thi công'!$E$358</f>
        <v>ca</v>
      </c>
      <c r="G143" s="34">
        <f>'Hao phí vật tư'!$I$144</f>
        <v>0</v>
      </c>
      <c r="H143" s="68">
        <f>'Máy thi công'!$N$358</f>
        <v>378219</v>
      </c>
      <c r="I143" s="37">
        <v>1</v>
      </c>
      <c r="J143" s="166">
        <f>ROUND(G143*H143*I143,0)</f>
        <v>0</v>
      </c>
    </row>
    <row r="144" spans="1:10" x14ac:dyDescent="0.25">
      <c r="A144" s="168"/>
      <c r="B144" s="144"/>
      <c r="C144" s="34">
        <v>714</v>
      </c>
      <c r="D144" s="144" t="str">
        <f>'Máy thi công'!$B$6</f>
        <v>M9438</v>
      </c>
      <c r="E144" s="144" t="str">
        <f>" - " &amp; 'Máy thi công'!$D$6</f>
        <v xml:space="preserve"> - Biến thế hàn xoay chiều - công suất: 23 kW</v>
      </c>
      <c r="F144" s="168" t="str">
        <f>'Máy thi công'!$E$6</f>
        <v>ca</v>
      </c>
      <c r="G144" s="34">
        <f>'Hao phí vật tư'!$I$145</f>
        <v>1.5</v>
      </c>
      <c r="H144" s="68">
        <f>'Máy thi công'!$N$6</f>
        <v>338020</v>
      </c>
      <c r="I144" s="37">
        <v>1</v>
      </c>
      <c r="J144" s="166">
        <f>ROUND(G144*H144*I144,0)</f>
        <v>507030</v>
      </c>
    </row>
    <row r="145" spans="1:10" x14ac:dyDescent="0.25">
      <c r="A145" s="168"/>
      <c r="B145" s="144"/>
      <c r="C145" s="34">
        <v>566</v>
      </c>
      <c r="D145" s="144" t="str">
        <f>'Máy thi công'!$B$398</f>
        <v>M0111</v>
      </c>
      <c r="E145" s="144" t="str">
        <f>" - " &amp; 'Máy thi công'!$D$398</f>
        <v xml:space="preserve"> - Máy khác</v>
      </c>
      <c r="F145" s="168" t="str">
        <f>'Máy thi công'!$E$398</f>
        <v>%</v>
      </c>
      <c r="G145" s="34">
        <f>'Hao phí vật tư'!$I$146</f>
        <v>2</v>
      </c>
      <c r="H145" s="166">
        <f>'Máy thi công'!$N$398</f>
        <v>0</v>
      </c>
      <c r="I145" s="37">
        <v>1</v>
      </c>
      <c r="J145" s="166">
        <f>ROUND((J143+J144)*G145*I145/100,0)</f>
        <v>10141</v>
      </c>
    </row>
    <row r="146" spans="1:10" ht="28.5" x14ac:dyDescent="0.25">
      <c r="A146" s="65">
        <f>'Công trình'!$A$20</f>
        <v>13</v>
      </c>
      <c r="B146" s="14" t="str">
        <f>'Công trình'!$B$20</f>
        <v>AF.61511</v>
      </c>
      <c r="C146" s="94"/>
      <c r="D146" s="31"/>
      <c r="E146" s="14" t="str">
        <f>'Công trình'!$C$20</f>
        <v>Sản xuất, lắp dựng cốt thép xà dầm, giằng đường kính &lt;=10mm, chiều cao &lt;=4m</v>
      </c>
      <c r="F146" s="46" t="str">
        <f>'Công trình'!$D$20</f>
        <v>tấn</v>
      </c>
      <c r="G146" s="94"/>
      <c r="H146" s="54"/>
      <c r="I146" s="98"/>
      <c r="J146" s="54"/>
    </row>
    <row r="147" spans="1:10" x14ac:dyDescent="0.25">
      <c r="A147" s="56"/>
      <c r="B147" s="23"/>
      <c r="C147" s="88"/>
      <c r="D147" s="23"/>
      <c r="E147" s="23" t="s">
        <v>479</v>
      </c>
      <c r="F147" s="56"/>
      <c r="G147" s="88"/>
      <c r="H147" s="48"/>
      <c r="I147" s="90"/>
      <c r="J147" s="48">
        <f>ROUND(SUM(J148:J149),0)</f>
        <v>14603640</v>
      </c>
    </row>
    <row r="148" spans="1:10" x14ac:dyDescent="0.25">
      <c r="A148" s="168"/>
      <c r="B148" s="144"/>
      <c r="C148" s="34">
        <v>135</v>
      </c>
      <c r="D148" s="144" t="str">
        <f>'Vật liệu'!$B$221</f>
        <v>V00226</v>
      </c>
      <c r="E148" s="144" t="str">
        <f>" - " &amp; 'Vật liệu'!$D$221</f>
        <v xml:space="preserve"> - Dây thép</v>
      </c>
      <c r="F148" s="168" t="str">
        <f>'Vật liệu'!$E$221</f>
        <v>kg</v>
      </c>
      <c r="G148" s="34">
        <f>'Hao phí vật tư'!$G$149</f>
        <v>21.42</v>
      </c>
      <c r="H148" s="68">
        <f>'Vật liệu'!$W$221</f>
        <v>17500</v>
      </c>
      <c r="I148" s="37">
        <v>1</v>
      </c>
      <c r="J148" s="166">
        <f>ROUND(G148*H148*I148,0)</f>
        <v>374850</v>
      </c>
    </row>
    <row r="149" spans="1:10" x14ac:dyDescent="0.25">
      <c r="A149" s="168"/>
      <c r="B149" s="144"/>
      <c r="C149" s="34">
        <v>484</v>
      </c>
      <c r="D149" s="144" t="str">
        <f>'Vật liệu'!$B$650</f>
        <v>V48494</v>
      </c>
      <c r="E149" s="144" t="str">
        <f>" - " &amp; 'Vật liệu'!$D$650</f>
        <v xml:space="preserve"> - Thép tròn đường kính &lt;=10 mm</v>
      </c>
      <c r="F149" s="168" t="str">
        <f>'Vật liệu'!$E$650</f>
        <v>kg</v>
      </c>
      <c r="G149" s="34">
        <f>'Hao phí vật tư'!$G$150</f>
        <v>1005</v>
      </c>
      <c r="H149" s="68">
        <f>'Vật liệu'!$W$650</f>
        <v>14158</v>
      </c>
      <c r="I149" s="37">
        <v>1</v>
      </c>
      <c r="J149" s="166">
        <f>ROUND(G149*H149*I149,0)</f>
        <v>14228790</v>
      </c>
    </row>
    <row r="150" spans="1:10" x14ac:dyDescent="0.25">
      <c r="A150" s="56"/>
      <c r="B150" s="23"/>
      <c r="C150" s="88"/>
      <c r="D150" s="23"/>
      <c r="E150" s="23" t="s">
        <v>202</v>
      </c>
      <c r="F150" s="56"/>
      <c r="G150" s="88"/>
      <c r="H150" s="48"/>
      <c r="I150" s="90"/>
      <c r="J150" s="48">
        <f>ROUND(SUM(J151:J151),0)</f>
        <v>3448267</v>
      </c>
    </row>
    <row r="151" spans="1:10" x14ac:dyDescent="0.25">
      <c r="A151" s="168"/>
      <c r="B151" s="144"/>
      <c r="C151" s="34">
        <v>546</v>
      </c>
      <c r="D151" s="144" t="str">
        <f>'Nhân công'!$B$45</f>
        <v>N0009</v>
      </c>
      <c r="E151" s="144" t="s">
        <v>1052</v>
      </c>
      <c r="F151" s="168" t="str">
        <f>'Nhân công'!$G$45</f>
        <v>công</v>
      </c>
      <c r="G151" s="34">
        <f>'Hao phí vật tư'!$H$152</f>
        <v>16.2</v>
      </c>
      <c r="H151" s="68">
        <f>'Nhân công'!$M$45</f>
        <v>212856</v>
      </c>
      <c r="I151" s="37">
        <v>1</v>
      </c>
      <c r="J151" s="166">
        <f>ROUND(G151*H151*I151,0)</f>
        <v>3448267</v>
      </c>
    </row>
    <row r="152" spans="1:10" x14ac:dyDescent="0.25">
      <c r="A152" s="56"/>
      <c r="B152" s="23"/>
      <c r="C152" s="88"/>
      <c r="D152" s="23"/>
      <c r="E152" s="23" t="s">
        <v>378</v>
      </c>
      <c r="F152" s="56"/>
      <c r="G152" s="88"/>
      <c r="H152" s="48"/>
      <c r="I152" s="90"/>
      <c r="J152" s="48">
        <f>ROUND(SUM(J153:J153),0)</f>
        <v>91218</v>
      </c>
    </row>
    <row r="153" spans="1:10" x14ac:dyDescent="0.25">
      <c r="A153" s="168"/>
      <c r="B153" s="144"/>
      <c r="C153" s="34">
        <v>737</v>
      </c>
      <c r="D153" s="144" t="str">
        <f>'Máy thi công'!$B$184</f>
        <v>M9521</v>
      </c>
      <c r="E153" s="144" t="str">
        <f>" - " &amp; 'Máy thi công'!$D$184</f>
        <v xml:space="preserve"> - Máy cắt uốn cốt thép - công suất: 5 kW</v>
      </c>
      <c r="F153" s="168" t="str">
        <f>'Máy thi công'!$E$184</f>
        <v>ca</v>
      </c>
      <c r="G153" s="34">
        <f>'Hao phí vật tư'!$I$154</f>
        <v>0.4</v>
      </c>
      <c r="H153" s="68">
        <f>'Máy thi công'!$N$184</f>
        <v>228044</v>
      </c>
      <c r="I153" s="37">
        <v>1</v>
      </c>
      <c r="J153" s="166">
        <f>ROUND(G153*H153*I153,0)</f>
        <v>91218</v>
      </c>
    </row>
    <row r="154" spans="1:10" ht="28.5" x14ac:dyDescent="0.25">
      <c r="A154" s="65">
        <f>'Công trình'!$A$22</f>
        <v>14</v>
      </c>
      <c r="B154" s="14" t="str">
        <f>'Công trình'!$B$22</f>
        <v>AF.61521</v>
      </c>
      <c r="C154" s="94"/>
      <c r="D154" s="31"/>
      <c r="E154" s="14" t="str">
        <f>'Công trình'!$C$22</f>
        <v>Sản xuất, lắp dựng cốt thép xà dầm, giằng đường kính &lt;=18mm, chiều cao &lt;=4m</v>
      </c>
      <c r="F154" s="46" t="str">
        <f>'Công trình'!$D$22</f>
        <v>tấn</v>
      </c>
      <c r="G154" s="94"/>
      <c r="H154" s="54"/>
      <c r="I154" s="98"/>
      <c r="J154" s="54"/>
    </row>
    <row r="155" spans="1:10" x14ac:dyDescent="0.25">
      <c r="A155" s="56"/>
      <c r="B155" s="23"/>
      <c r="C155" s="88"/>
      <c r="D155" s="23"/>
      <c r="E155" s="23" t="s">
        <v>479</v>
      </c>
      <c r="F155" s="56"/>
      <c r="G155" s="88"/>
      <c r="H155" s="48"/>
      <c r="I155" s="90"/>
      <c r="J155" s="48">
        <f>ROUND(SUM(J156:J158),0)</f>
        <v>14678788</v>
      </c>
    </row>
    <row r="156" spans="1:10" x14ac:dyDescent="0.25">
      <c r="A156" s="168"/>
      <c r="B156" s="144"/>
      <c r="C156" s="34">
        <v>154</v>
      </c>
      <c r="D156" s="144" t="str">
        <f>'Vật liệu'!$B$450</f>
        <v>V00515</v>
      </c>
      <c r="E156" s="144" t="str">
        <f>" - " &amp; 'Vật liệu'!$D$450</f>
        <v xml:space="preserve"> - Que hàn</v>
      </c>
      <c r="F156" s="168" t="str">
        <f>'Vật liệu'!$E$450</f>
        <v>kg</v>
      </c>
      <c r="G156" s="34">
        <f>'Hao phí vật tư'!$G$157</f>
        <v>4.7</v>
      </c>
      <c r="H156" s="68">
        <f>'Vật liệu'!$W$450</f>
        <v>19091</v>
      </c>
      <c r="I156" s="37">
        <v>1</v>
      </c>
      <c r="J156" s="166">
        <f>ROUND(G156*H156*I156,0)</f>
        <v>89728</v>
      </c>
    </row>
    <row r="157" spans="1:10" x14ac:dyDescent="0.25">
      <c r="A157" s="168"/>
      <c r="B157" s="144"/>
      <c r="C157" s="34">
        <v>135</v>
      </c>
      <c r="D157" s="144" t="str">
        <f>'Vật liệu'!$B$221</f>
        <v>V00226</v>
      </c>
      <c r="E157" s="144" t="str">
        <f>" - " &amp; 'Vật liệu'!$D$221</f>
        <v xml:space="preserve"> - Dây thép</v>
      </c>
      <c r="F157" s="168" t="str">
        <f>'Vật liệu'!$E$221</f>
        <v>kg</v>
      </c>
      <c r="G157" s="34">
        <f>'Hao phí vật tư'!$G$158</f>
        <v>14.28</v>
      </c>
      <c r="H157" s="68">
        <f>'Vật liệu'!$W$221</f>
        <v>17500</v>
      </c>
      <c r="I157" s="37">
        <v>1</v>
      </c>
      <c r="J157" s="166">
        <f>ROUND(G157*H157*I157,0)</f>
        <v>249900</v>
      </c>
    </row>
    <row r="158" spans="1:10" x14ac:dyDescent="0.25">
      <c r="A158" s="168"/>
      <c r="B158" s="144"/>
      <c r="C158" s="34">
        <v>485</v>
      </c>
      <c r="D158" s="144" t="str">
        <f>'Vật liệu'!$B$665</f>
        <v>V48495</v>
      </c>
      <c r="E158" s="144" t="str">
        <f>" - " &amp; 'Vật liệu'!$D$665</f>
        <v xml:space="preserve"> - Thép tròn đường kính &lt;=18mm</v>
      </c>
      <c r="F158" s="168" t="str">
        <f>'Vật liệu'!$E$665</f>
        <v>kg</v>
      </c>
      <c r="G158" s="34">
        <f>'Hao phí vật tư'!$G$159</f>
        <v>1020</v>
      </c>
      <c r="H158" s="68">
        <f>'Vật liệu'!$W$665</f>
        <v>14058</v>
      </c>
      <c r="I158" s="37">
        <v>1</v>
      </c>
      <c r="J158" s="166">
        <f>ROUND(G158*H158*I158,0)</f>
        <v>14339160</v>
      </c>
    </row>
    <row r="159" spans="1:10" x14ac:dyDescent="0.25">
      <c r="A159" s="56"/>
      <c r="B159" s="23"/>
      <c r="C159" s="88"/>
      <c r="D159" s="23"/>
      <c r="E159" s="23" t="s">
        <v>202</v>
      </c>
      <c r="F159" s="56"/>
      <c r="G159" s="88"/>
      <c r="H159" s="48"/>
      <c r="I159" s="90"/>
      <c r="J159" s="48">
        <f>ROUND(SUM(J160:J160),0)</f>
        <v>2137074</v>
      </c>
    </row>
    <row r="160" spans="1:10" x14ac:dyDescent="0.25">
      <c r="A160" s="168"/>
      <c r="B160" s="144"/>
      <c r="C160" s="34">
        <v>546</v>
      </c>
      <c r="D160" s="144" t="str">
        <f>'Nhân công'!$B$45</f>
        <v>N0009</v>
      </c>
      <c r="E160" s="144" t="s">
        <v>1052</v>
      </c>
      <c r="F160" s="168" t="str">
        <f>'Nhân công'!$G$45</f>
        <v>công</v>
      </c>
      <c r="G160" s="34">
        <f>'Hao phí vật tư'!$H$161</f>
        <v>10.039999999999999</v>
      </c>
      <c r="H160" s="68">
        <f>'Nhân công'!$M$45</f>
        <v>212856</v>
      </c>
      <c r="I160" s="37">
        <v>1</v>
      </c>
      <c r="J160" s="166">
        <f>ROUND(G160*H160*I160,0)</f>
        <v>2137074</v>
      </c>
    </row>
    <row r="161" spans="1:10" x14ac:dyDescent="0.25">
      <c r="A161" s="56"/>
      <c r="B161" s="23"/>
      <c r="C161" s="88"/>
      <c r="D161" s="23"/>
      <c r="E161" s="23" t="s">
        <v>378</v>
      </c>
      <c r="F161" s="56"/>
      <c r="G161" s="88"/>
      <c r="H161" s="48"/>
      <c r="I161" s="90"/>
      <c r="J161" s="48">
        <f>ROUND(SUM(J162:J163),0)</f>
        <v>455951</v>
      </c>
    </row>
    <row r="162" spans="1:10" x14ac:dyDescent="0.25">
      <c r="A162" s="168"/>
      <c r="B162" s="144"/>
      <c r="C162" s="34">
        <v>737</v>
      </c>
      <c r="D162" s="144" t="str">
        <f>'Máy thi công'!$B$184</f>
        <v>M9521</v>
      </c>
      <c r="E162" s="144" t="str">
        <f>" - " &amp; 'Máy thi công'!$D$184</f>
        <v xml:space="preserve"> - Máy cắt uốn cốt thép - công suất: 5 kW</v>
      </c>
      <c r="F162" s="168" t="str">
        <f>'Máy thi công'!$E$184</f>
        <v>ca</v>
      </c>
      <c r="G162" s="34">
        <f>'Hao phí vật tư'!$I$163</f>
        <v>0.32</v>
      </c>
      <c r="H162" s="68">
        <f>'Máy thi công'!$N$184</f>
        <v>228044</v>
      </c>
      <c r="I162" s="37">
        <v>1</v>
      </c>
      <c r="J162" s="166">
        <f>ROUND(G162*H162*I162,0)</f>
        <v>72974</v>
      </c>
    </row>
    <row r="163" spans="1:10" x14ac:dyDescent="0.25">
      <c r="A163" s="168"/>
      <c r="B163" s="144"/>
      <c r="C163" s="34">
        <v>714</v>
      </c>
      <c r="D163" s="144" t="str">
        <f>'Máy thi công'!$B$6</f>
        <v>M9438</v>
      </c>
      <c r="E163" s="144" t="str">
        <f>" - " &amp; 'Máy thi công'!$D$6</f>
        <v xml:space="preserve"> - Biến thế hàn xoay chiều - công suất: 23 kW</v>
      </c>
      <c r="F163" s="168" t="str">
        <f>'Máy thi công'!$E$6</f>
        <v>ca</v>
      </c>
      <c r="G163" s="34">
        <f>'Hao phí vật tư'!$I$164</f>
        <v>1.133</v>
      </c>
      <c r="H163" s="68">
        <f>'Máy thi công'!$N$6</f>
        <v>338020</v>
      </c>
      <c r="I163" s="37">
        <v>1</v>
      </c>
      <c r="J163" s="166">
        <f>ROUND(G163*H163*I163,0)</f>
        <v>382977</v>
      </c>
    </row>
    <row r="164" spans="1:10" x14ac:dyDescent="0.25">
      <c r="A164" s="65">
        <f>'Công trình'!$A$24</f>
        <v>15</v>
      </c>
      <c r="B164" s="14" t="str">
        <f>'Công trình'!$B$24</f>
        <v>AF.61130</v>
      </c>
      <c r="C164" s="94"/>
      <c r="D164" s="31"/>
      <c r="E164" s="14" t="str">
        <f>'Công trình'!$C$24</f>
        <v>Neo dầm mang cống bằng thép D32 SUS304</v>
      </c>
      <c r="F164" s="46" t="str">
        <f>'Công trình'!$D$24</f>
        <v>tấn</v>
      </c>
      <c r="G164" s="94"/>
      <c r="H164" s="54"/>
      <c r="I164" s="98"/>
      <c r="J164" s="54"/>
    </row>
    <row r="165" spans="1:10" x14ac:dyDescent="0.25">
      <c r="A165" s="56"/>
      <c r="B165" s="23"/>
      <c r="C165" s="88"/>
      <c r="D165" s="23"/>
      <c r="E165" s="23" t="s">
        <v>479</v>
      </c>
      <c r="F165" s="56"/>
      <c r="G165" s="88"/>
      <c r="H165" s="48"/>
      <c r="I165" s="90"/>
      <c r="J165" s="48">
        <f>ROUND(SUM(J166:J168),0)</f>
        <v>60180000</v>
      </c>
    </row>
    <row r="166" spans="1:10" x14ac:dyDescent="0.25">
      <c r="A166" s="168"/>
      <c r="B166" s="144"/>
      <c r="C166" s="34">
        <v>154</v>
      </c>
      <c r="D166" s="144" t="str">
        <f>'Vật liệu'!$B$450</f>
        <v>V00515</v>
      </c>
      <c r="E166" s="144" t="str">
        <f>" - " &amp; 'Vật liệu'!$D$450</f>
        <v xml:space="preserve"> - Que hàn</v>
      </c>
      <c r="F166" s="168" t="str">
        <f>'Vật liệu'!$E$450</f>
        <v>kg</v>
      </c>
      <c r="G166" s="34">
        <f>'Hao phí vật tư'!$G$167</f>
        <v>0</v>
      </c>
      <c r="H166" s="68">
        <f>'Vật liệu'!$W$450</f>
        <v>19091</v>
      </c>
      <c r="I166" s="37">
        <v>1</v>
      </c>
      <c r="J166" s="166">
        <f>ROUND(G166*H166*I166,0)</f>
        <v>0</v>
      </c>
    </row>
    <row r="167" spans="1:10" x14ac:dyDescent="0.25">
      <c r="A167" s="168"/>
      <c r="B167" s="144"/>
      <c r="C167" s="34">
        <v>135</v>
      </c>
      <c r="D167" s="144" t="str">
        <f>'Vật liệu'!$B$221</f>
        <v>V00226</v>
      </c>
      <c r="E167" s="144" t="str">
        <f>" - " &amp; 'Vật liệu'!$D$221</f>
        <v xml:space="preserve"> - Dây thép</v>
      </c>
      <c r="F167" s="168" t="str">
        <f>'Vật liệu'!$E$221</f>
        <v>kg</v>
      </c>
      <c r="G167" s="34">
        <f>'Hao phí vật tư'!$G$168</f>
        <v>0</v>
      </c>
      <c r="H167" s="68">
        <f>'Vật liệu'!$W$221</f>
        <v>17500</v>
      </c>
      <c r="I167" s="37">
        <v>1</v>
      </c>
      <c r="J167" s="166">
        <f>ROUND(G167*H167*I167,0)</f>
        <v>0</v>
      </c>
    </row>
    <row r="168" spans="1:10" ht="30" x14ac:dyDescent="0.25">
      <c r="A168" s="168"/>
      <c r="B168" s="144"/>
      <c r="C168" s="34">
        <v>493</v>
      </c>
      <c r="D168" s="144" t="str">
        <f>'Vật liệu'!$B$549</f>
        <v>V48498d32sus</v>
      </c>
      <c r="E168" s="144" t="str">
        <f>" - " &amp; 'Vật liệu'!$D$549</f>
        <v xml:space="preserve"> - Thép D32 SUS304</v>
      </c>
      <c r="F168" s="168" t="str">
        <f>'Vật liệu'!$E$549</f>
        <v>kg</v>
      </c>
      <c r="G168" s="34">
        <f>'Hao phí vật tư'!$G$169</f>
        <v>1020</v>
      </c>
      <c r="H168" s="68">
        <f>'Vật liệu'!$W$549</f>
        <v>59000</v>
      </c>
      <c r="I168" s="37">
        <v>1</v>
      </c>
      <c r="J168" s="166">
        <f>ROUND(G168*H168*I168,0)</f>
        <v>60180000</v>
      </c>
    </row>
    <row r="169" spans="1:10" x14ac:dyDescent="0.25">
      <c r="A169" s="56"/>
      <c r="B169" s="23"/>
      <c r="C169" s="88"/>
      <c r="D169" s="23"/>
      <c r="E169" s="23" t="s">
        <v>202</v>
      </c>
      <c r="F169" s="56"/>
      <c r="G169" s="88"/>
      <c r="H169" s="48"/>
      <c r="I169" s="90"/>
      <c r="J169" s="48">
        <f>ROUND(SUM(J170:J170),0)</f>
        <v>1351636</v>
      </c>
    </row>
    <row r="170" spans="1:10" x14ac:dyDescent="0.25">
      <c r="A170" s="168"/>
      <c r="B170" s="144"/>
      <c r="C170" s="34">
        <v>546</v>
      </c>
      <c r="D170" s="144" t="str">
        <f>'Nhân công'!$B$45</f>
        <v>N0009</v>
      </c>
      <c r="E170" s="144" t="s">
        <v>1052</v>
      </c>
      <c r="F170" s="168" t="str">
        <f>'Nhân công'!$G$45</f>
        <v>công</v>
      </c>
      <c r="G170" s="34">
        <f>'Hao phí vật tư'!$H$171</f>
        <v>6.35</v>
      </c>
      <c r="H170" s="68">
        <f>'Nhân công'!$M$45</f>
        <v>212856</v>
      </c>
      <c r="I170" s="37">
        <v>1</v>
      </c>
      <c r="J170" s="166">
        <f>ROUND(G170*H170*I170,0)</f>
        <v>1351636</v>
      </c>
    </row>
    <row r="171" spans="1:10" x14ac:dyDescent="0.25">
      <c r="A171" s="56"/>
      <c r="B171" s="23"/>
      <c r="C171" s="88"/>
      <c r="D171" s="23"/>
      <c r="E171" s="23" t="s">
        <v>378</v>
      </c>
      <c r="F171" s="56"/>
      <c r="G171" s="88"/>
      <c r="H171" s="48"/>
      <c r="I171" s="90"/>
      <c r="J171" s="48">
        <f>ROUND(SUM(J172:J173),0)</f>
        <v>465772</v>
      </c>
    </row>
    <row r="172" spans="1:10" x14ac:dyDescent="0.25">
      <c r="A172" s="168"/>
      <c r="B172" s="144"/>
      <c r="C172" s="34">
        <v>737</v>
      </c>
      <c r="D172" s="144" t="str">
        <f>'Máy thi công'!$B$184</f>
        <v>M9521</v>
      </c>
      <c r="E172" s="144" t="str">
        <f>" - " &amp; 'Máy thi công'!$D$184</f>
        <v xml:space="preserve"> - Máy cắt uốn cốt thép - công suất: 5 kW</v>
      </c>
      <c r="F172" s="168" t="str">
        <f>'Máy thi công'!$E$184</f>
        <v>ca</v>
      </c>
      <c r="G172" s="34">
        <f>'Hao phí vật tư'!$I$173</f>
        <v>0.16</v>
      </c>
      <c r="H172" s="68">
        <f>'Máy thi công'!$N$184</f>
        <v>228044</v>
      </c>
      <c r="I172" s="37">
        <v>1</v>
      </c>
      <c r="J172" s="166">
        <f>ROUND(G172*H172*I172,0)</f>
        <v>36487</v>
      </c>
    </row>
    <row r="173" spans="1:10" x14ac:dyDescent="0.25">
      <c r="A173" s="168"/>
      <c r="B173" s="144"/>
      <c r="C173" s="34">
        <v>714</v>
      </c>
      <c r="D173" s="144" t="str">
        <f>'Máy thi công'!$B$6</f>
        <v>M9438</v>
      </c>
      <c r="E173" s="144" t="str">
        <f>" - " &amp; 'Máy thi công'!$D$6</f>
        <v xml:space="preserve"> - Biến thế hàn xoay chiều - công suất: 23 kW</v>
      </c>
      <c r="F173" s="168" t="str">
        <f>'Máy thi công'!$E$6</f>
        <v>ca</v>
      </c>
      <c r="G173" s="34">
        <f>'Hao phí vật tư'!$I$174</f>
        <v>1.27</v>
      </c>
      <c r="H173" s="68">
        <f>'Máy thi công'!$N$6</f>
        <v>338020</v>
      </c>
      <c r="I173" s="37">
        <v>1</v>
      </c>
      <c r="J173" s="166">
        <f>ROUND(G173*H173*I173,0)</f>
        <v>429285</v>
      </c>
    </row>
    <row r="174" spans="1:10" x14ac:dyDescent="0.25">
      <c r="A174" s="65">
        <f>'Công trình'!$A$25</f>
        <v>16</v>
      </c>
      <c r="B174" s="14" t="str">
        <f>'Công trình'!$B$25</f>
        <v>TT</v>
      </c>
      <c r="C174" s="94"/>
      <c r="D174" s="31"/>
      <c r="E174" s="14" t="str">
        <f>'Công trình'!$C$25</f>
        <v>Bulong D32</v>
      </c>
      <c r="F174" s="46" t="str">
        <f>'Công trình'!$D$25</f>
        <v>bộ</v>
      </c>
      <c r="G174" s="94"/>
      <c r="H174" s="54"/>
      <c r="I174" s="98"/>
      <c r="J174" s="54"/>
    </row>
    <row r="175" spans="1:10" x14ac:dyDescent="0.25">
      <c r="A175" s="56"/>
      <c r="B175" s="23"/>
      <c r="C175" s="88"/>
      <c r="D175" s="23"/>
      <c r="E175" s="23" t="s">
        <v>479</v>
      </c>
      <c r="F175" s="56"/>
      <c r="G175" s="88"/>
      <c r="H175" s="48"/>
      <c r="I175" s="90"/>
      <c r="J175" s="48">
        <f>ROUND(SUM(J176:J176),0)</f>
        <v>25000</v>
      </c>
    </row>
    <row r="176" spans="1:10" x14ac:dyDescent="0.25">
      <c r="A176" s="168"/>
      <c r="B176" s="144"/>
      <c r="C176" s="34">
        <v>452</v>
      </c>
      <c r="D176" s="144" t="str">
        <f>'Vật liệu'!$B$32</f>
        <v>V12675d32</v>
      </c>
      <c r="E176" s="144" t="str">
        <f>" - " &amp; 'Vật liệu'!$D$32</f>
        <v xml:space="preserve"> - Bulông D32</v>
      </c>
      <c r="F176" s="168" t="str">
        <f>'Vật liệu'!$E$32</f>
        <v>cái</v>
      </c>
      <c r="G176" s="34">
        <f>'Hao phí vật tư'!$G$177</f>
        <v>1</v>
      </c>
      <c r="H176" s="68">
        <f>'Vật liệu'!$W$32</f>
        <v>25000</v>
      </c>
      <c r="I176" s="37">
        <v>1</v>
      </c>
      <c r="J176" s="166">
        <f>ROUND(G176*H176*I176,0)</f>
        <v>25000</v>
      </c>
    </row>
    <row r="177" spans="1:10" ht="42.75" x14ac:dyDescent="0.25">
      <c r="A177" s="65">
        <f>'Công trình'!$A$26</f>
        <v>17</v>
      </c>
      <c r="B177" s="14" t="str">
        <f>'Công trình'!$B$26</f>
        <v>AC.12412</v>
      </c>
      <c r="C177" s="94"/>
      <c r="D177" s="31"/>
      <c r="E177" s="14" t="str">
        <f>'Công trình'!$C$26</f>
        <v>Đóng cọc cừ máng bê tông dự ứng lực trên cạn bằng búa rung kết hợp tách mũi nước áp lực SW600A, chiều cao máng cọc 60-84cm, L=18M</v>
      </c>
      <c r="F177" s="46" t="str">
        <f>'Công trình'!$D$26</f>
        <v>100m</v>
      </c>
      <c r="G177" s="94"/>
      <c r="H177" s="54"/>
      <c r="I177" s="98"/>
      <c r="J177" s="54"/>
    </row>
    <row r="178" spans="1:10" x14ac:dyDescent="0.25">
      <c r="A178" s="56"/>
      <c r="B178" s="23"/>
      <c r="C178" s="88"/>
      <c r="D178" s="23"/>
      <c r="E178" s="23" t="s">
        <v>479</v>
      </c>
      <c r="F178" s="56"/>
      <c r="G178" s="88"/>
      <c r="H178" s="48"/>
      <c r="I178" s="90"/>
      <c r="J178" s="48">
        <f>ROUND(SUM(J179:J184),0)</f>
        <v>171224597</v>
      </c>
    </row>
    <row r="179" spans="1:10" x14ac:dyDescent="0.25">
      <c r="A179" s="168"/>
      <c r="B179" s="144"/>
      <c r="C179" s="34">
        <v>464</v>
      </c>
      <c r="D179" s="144" t="str">
        <f>'Vật liệu'!$B$423</f>
        <v>V32106</v>
      </c>
      <c r="E179" s="144" t="str">
        <f>" - " &amp; 'Vật liệu'!$D$423</f>
        <v xml:space="preserve"> - Ống cao su cao áp f34</v>
      </c>
      <c r="F179" s="168" t="str">
        <f>'Vật liệu'!$E$423</f>
        <v>m</v>
      </c>
      <c r="G179" s="34">
        <f>'Hao phí vật tư'!$G$180</f>
        <v>13.33</v>
      </c>
      <c r="H179" s="68">
        <f>'Vật liệu'!$W$423</f>
        <v>126000</v>
      </c>
      <c r="I179" s="37">
        <v>1</v>
      </c>
      <c r="J179" s="166">
        <f>ROUND(G179*H179*I179,0)</f>
        <v>1679580</v>
      </c>
    </row>
    <row r="180" spans="1:10" x14ac:dyDescent="0.25">
      <c r="A180" s="168"/>
      <c r="B180" s="144"/>
      <c r="C180" s="34">
        <v>130</v>
      </c>
      <c r="D180" s="144" t="str">
        <f>'Vật liệu'!$B$138</f>
        <v>V00124</v>
      </c>
      <c r="E180" s="144" t="str">
        <f>" - " &amp; 'Vật liệu'!$D$138</f>
        <v xml:space="preserve"> - Cút thép đầu cọc D34/15</v>
      </c>
      <c r="F180" s="168" t="str">
        <f>'Vật liệu'!$E$138</f>
        <v>cái</v>
      </c>
      <c r="G180" s="34">
        <f>'Hao phí vật tư'!$G$181</f>
        <v>0.67</v>
      </c>
      <c r="H180" s="68">
        <f>'Vật liệu'!$W$138</f>
        <v>5000</v>
      </c>
      <c r="I180" s="37">
        <v>1</v>
      </c>
      <c r="J180" s="166">
        <f>ROUND(G180*H180*I180,0)</f>
        <v>3350</v>
      </c>
    </row>
    <row r="181" spans="1:10" x14ac:dyDescent="0.25">
      <c r="A181" s="168"/>
      <c r="B181" s="144"/>
      <c r="C181" s="34">
        <v>478</v>
      </c>
      <c r="D181" s="144" t="str">
        <f>'Vật liệu'!$B$545</f>
        <v>V48197</v>
      </c>
      <c r="E181" s="144" t="str">
        <f>" - " &amp; 'Vật liệu'!$D$545</f>
        <v xml:space="preserve"> - SW600A</v>
      </c>
      <c r="F181" s="168" t="str">
        <f>'Vật liệu'!$E$545</f>
        <v>m</v>
      </c>
      <c r="G181" s="34">
        <f>'Hao phí vật tư'!$G$182</f>
        <v>101</v>
      </c>
      <c r="H181" s="68">
        <f>'Vật liệu'!$W$545</f>
        <v>1595455</v>
      </c>
      <c r="I181" s="37">
        <v>1</v>
      </c>
      <c r="J181" s="166">
        <f>ROUND(G181*H181*I181,0)</f>
        <v>161140955</v>
      </c>
    </row>
    <row r="182" spans="1:10" x14ac:dyDescent="0.25">
      <c r="A182" s="168"/>
      <c r="B182" s="144"/>
      <c r="C182" s="34">
        <v>163</v>
      </c>
      <c r="D182" s="144" t="str">
        <f>'Vật liệu'!$B$602</f>
        <v>V00649</v>
      </c>
      <c r="E182" s="144" t="str">
        <f>" - " &amp; 'Vật liệu'!$D$602</f>
        <v xml:space="preserve"> - Thép hình định vị cọc</v>
      </c>
      <c r="F182" s="168" t="str">
        <f>'Vật liệu'!$E$602</f>
        <v>kg</v>
      </c>
      <c r="G182" s="34">
        <f>'Hao phí vật tư'!$G$183</f>
        <v>0</v>
      </c>
      <c r="H182" s="68">
        <f>'Vật liệu'!$W$602</f>
        <v>15291</v>
      </c>
      <c r="I182" s="37">
        <v>1</v>
      </c>
      <c r="J182" s="166">
        <f>ROUND(G182*H182*I182,0)</f>
        <v>0</v>
      </c>
    </row>
    <row r="183" spans="1:10" x14ac:dyDescent="0.25">
      <c r="A183" s="168"/>
      <c r="B183" s="144"/>
      <c r="C183" s="34">
        <v>463</v>
      </c>
      <c r="D183" s="144" t="str">
        <f>'Vật liệu'!$B$425</f>
        <v>V17198</v>
      </c>
      <c r="E183" s="144" t="str">
        <f>" - " &amp; 'Vật liệu'!$D$425</f>
        <v xml:space="preserve"> - Ống cao su cao áp f60</v>
      </c>
      <c r="F183" s="168" t="str">
        <f>'Vật liệu'!$E$425</f>
        <v>m</v>
      </c>
      <c r="G183" s="34">
        <f>'Hao phí vật tư'!$G$184</f>
        <v>1.67</v>
      </c>
      <c r="H183" s="68">
        <f>'Vật liệu'!$W$425</f>
        <v>148000</v>
      </c>
      <c r="I183" s="37">
        <v>1</v>
      </c>
      <c r="J183" s="166">
        <f>ROUND(G183*H183*I183,0)</f>
        <v>247160</v>
      </c>
    </row>
    <row r="184" spans="1:10" x14ac:dyDescent="0.25">
      <c r="A184" s="168"/>
      <c r="B184" s="144"/>
      <c r="C184" s="34">
        <v>187</v>
      </c>
      <c r="D184" s="144" t="str">
        <f>'Vật liệu'!$B$766</f>
        <v>V00750</v>
      </c>
      <c r="E184" s="144" t="str">
        <f>" - " &amp; 'Vật liệu'!$D$766</f>
        <v xml:space="preserve"> - Vật liệu khác</v>
      </c>
      <c r="F184" s="168" t="str">
        <f>'Vật liệu'!$E$766</f>
        <v>%</v>
      </c>
      <c r="G184" s="34">
        <f>'Hao phí vật tư'!$G$185</f>
        <v>5</v>
      </c>
      <c r="H184" s="166">
        <f>'Vật liệu'!$W$766</f>
        <v>0</v>
      </c>
      <c r="I184" s="37">
        <v>1</v>
      </c>
      <c r="J184" s="166">
        <f>ROUND((J179+J180+J181+J182+J183)*G184*I184/100,0)</f>
        <v>8153552</v>
      </c>
    </row>
    <row r="185" spans="1:10" x14ac:dyDescent="0.25">
      <c r="A185" s="56"/>
      <c r="B185" s="23"/>
      <c r="C185" s="88"/>
      <c r="D185" s="23"/>
      <c r="E185" s="23" t="s">
        <v>202</v>
      </c>
      <c r="F185" s="56"/>
      <c r="G185" s="88"/>
      <c r="H185" s="48"/>
      <c r="I185" s="90"/>
      <c r="J185" s="48">
        <f>ROUND(SUM(J186:J186),0)</f>
        <v>5299250</v>
      </c>
    </row>
    <row r="186" spans="1:10" x14ac:dyDescent="0.25">
      <c r="A186" s="168"/>
      <c r="B186" s="144"/>
      <c r="C186" s="34">
        <v>555</v>
      </c>
      <c r="D186" s="144" t="str">
        <f>'Nhân công'!$B$185</f>
        <v>N0020</v>
      </c>
      <c r="E186" s="144" t="s">
        <v>625</v>
      </c>
      <c r="F186" s="168" t="str">
        <f>'Nhân công'!$G$185</f>
        <v>công</v>
      </c>
      <c r="G186" s="34">
        <f>'Hao phí vật tư'!$H$187</f>
        <v>20.5</v>
      </c>
      <c r="H186" s="68">
        <f>'Nhân công'!$M$185</f>
        <v>258500</v>
      </c>
      <c r="I186" s="37">
        <v>1</v>
      </c>
      <c r="J186" s="166">
        <f>ROUND(G186*H186*I186,0)</f>
        <v>5299250</v>
      </c>
    </row>
    <row r="187" spans="1:10" x14ac:dyDescent="0.25">
      <c r="A187" s="56"/>
      <c r="B187" s="23"/>
      <c r="C187" s="88"/>
      <c r="D187" s="23"/>
      <c r="E187" s="23" t="s">
        <v>378</v>
      </c>
      <c r="F187" s="56"/>
      <c r="G187" s="88"/>
      <c r="H187" s="48"/>
      <c r="I187" s="90"/>
      <c r="J187" s="48">
        <f>ROUND(SUM(J188:J191),0)</f>
        <v>42888427</v>
      </c>
    </row>
    <row r="188" spans="1:10" x14ac:dyDescent="0.25">
      <c r="A188" s="168"/>
      <c r="B188" s="144"/>
      <c r="C188" s="34">
        <v>730</v>
      </c>
      <c r="D188" s="144" t="str">
        <f>'Máy thi công'!$B$144</f>
        <v>M9471</v>
      </c>
      <c r="E188" s="144" t="str">
        <f>" - " &amp; 'Máy thi công'!$D$144</f>
        <v xml:space="preserve"> - Cần trục bánh xích - sức nâng: 50 t</v>
      </c>
      <c r="F188" s="168" t="str">
        <f>'Máy thi công'!$E$144</f>
        <v>ca</v>
      </c>
      <c r="G188" s="34">
        <f>'Hao phí vật tư'!$I$189</f>
        <v>4.8499999999999996</v>
      </c>
      <c r="H188" s="68">
        <f>'Máy thi công'!$N$144</f>
        <v>4288258</v>
      </c>
      <c r="I188" s="37">
        <v>1</v>
      </c>
      <c r="J188" s="166">
        <f>ROUND(G188*H188*I188,0)</f>
        <v>20798051</v>
      </c>
    </row>
    <row r="189" spans="1:10" x14ac:dyDescent="0.25">
      <c r="A189" s="168"/>
      <c r="B189" s="144"/>
      <c r="C189" s="34">
        <v>721</v>
      </c>
      <c r="D189" s="144" t="str">
        <f>'Máy thi công'!$B$107</f>
        <v>M9447</v>
      </c>
      <c r="E189" s="144" t="str">
        <f>" - " &amp; 'Máy thi công'!$D$107</f>
        <v xml:space="preserve"> - Búa rung - công suất: 40 kW</v>
      </c>
      <c r="F189" s="168" t="str">
        <f>'Máy thi công'!$E$107</f>
        <v>ca</v>
      </c>
      <c r="G189" s="34">
        <f>'Hao phí vật tư'!$I$190</f>
        <v>4.8499999999999996</v>
      </c>
      <c r="H189" s="68">
        <f>'Máy thi công'!$N$107</f>
        <v>729251</v>
      </c>
      <c r="I189" s="37">
        <v>1</v>
      </c>
      <c r="J189" s="166">
        <f>ROUND(G189*H189*I189,0)</f>
        <v>3536867</v>
      </c>
    </row>
    <row r="190" spans="1:10" x14ac:dyDescent="0.25">
      <c r="A190" s="168"/>
      <c r="B190" s="144"/>
      <c r="C190" s="34">
        <v>736</v>
      </c>
      <c r="D190" s="144" t="str">
        <f>'Máy thi công'!$B$171</f>
        <v>M9512</v>
      </c>
      <c r="E190" s="144" t="str">
        <f>" - " &amp; 'Máy thi công'!$D$171</f>
        <v xml:space="preserve"> - Máy bơm áp lực xói nước đầu cọc (300 cv)</v>
      </c>
      <c r="F190" s="168" t="str">
        <f>'Máy thi công'!$E$171</f>
        <v>ca</v>
      </c>
      <c r="G190" s="34">
        <f>'Hao phí vật tư'!$I$191</f>
        <v>4.8499999999999996</v>
      </c>
      <c r="H190" s="68">
        <f>'Máy thi công'!$N$171</f>
        <v>3781471</v>
      </c>
      <c r="I190" s="37">
        <v>1</v>
      </c>
      <c r="J190" s="166">
        <f>ROUND(G190*H190*I190,0)</f>
        <v>18340134</v>
      </c>
    </row>
    <row r="191" spans="1:10" x14ac:dyDescent="0.25">
      <c r="A191" s="168"/>
      <c r="B191" s="144"/>
      <c r="C191" s="34">
        <v>567</v>
      </c>
      <c r="D191" s="144" t="str">
        <f>'Máy thi công'!$B$398</f>
        <v>M0111</v>
      </c>
      <c r="E191" s="144" t="str">
        <f>" - " &amp; 'Máy thi công'!$D$398</f>
        <v xml:space="preserve"> - Máy khác</v>
      </c>
      <c r="F191" s="168" t="str">
        <f>'Máy thi công'!$E$398</f>
        <v>%</v>
      </c>
      <c r="G191" s="34">
        <f>'Hao phí vật tư'!$I$192</f>
        <v>0.5</v>
      </c>
      <c r="H191" s="166">
        <f>'Máy thi công'!$N$398</f>
        <v>0</v>
      </c>
      <c r="I191" s="37">
        <v>1</v>
      </c>
      <c r="J191" s="166">
        <f>ROUND((J188+J189+J190)*G191*I191/100,0)</f>
        <v>213375</v>
      </c>
    </row>
    <row r="192" spans="1:10" x14ac:dyDescent="0.25">
      <c r="A192" s="65">
        <f>'Công trình'!$A$28</f>
        <v>18</v>
      </c>
      <c r="B192" s="14" t="str">
        <f>'Công trình'!$B$28</f>
        <v>AL.16122</v>
      </c>
      <c r="C192" s="94"/>
      <c r="D192" s="31"/>
      <c r="E192" s="14" t="str">
        <f>'Công trình'!$C$28</f>
        <v>Rải vải địa kỹ thuật làm móng công trình</v>
      </c>
      <c r="F192" s="46" t="str">
        <f>'Công trình'!$D$28</f>
        <v>100m2</v>
      </c>
      <c r="G192" s="94"/>
      <c r="H192" s="54"/>
      <c r="I192" s="98"/>
      <c r="J192" s="54"/>
    </row>
    <row r="193" spans="1:10" x14ac:dyDescent="0.25">
      <c r="A193" s="56"/>
      <c r="B193" s="23"/>
      <c r="C193" s="88"/>
      <c r="D193" s="23"/>
      <c r="E193" s="23" t="s">
        <v>479</v>
      </c>
      <c r="F193" s="56"/>
      <c r="G193" s="88"/>
      <c r="H193" s="48"/>
      <c r="I193" s="90"/>
      <c r="J193" s="48">
        <f>ROUND(SUM(J194:J195),0)</f>
        <v>2592044</v>
      </c>
    </row>
    <row r="194" spans="1:10" x14ac:dyDescent="0.25">
      <c r="A194" s="168"/>
      <c r="B194" s="144"/>
      <c r="C194" s="34">
        <v>174</v>
      </c>
      <c r="D194" s="144" t="str">
        <f>'Vật liệu'!$B$709</f>
        <v>V00749</v>
      </c>
      <c r="E194" s="144" t="str">
        <f>" - " &amp; 'Vật liệu'!$D$709</f>
        <v xml:space="preserve"> - Vải địa kỹ thuật</v>
      </c>
      <c r="F194" s="168" t="str">
        <f>'Vật liệu'!$E$709</f>
        <v>m2</v>
      </c>
      <c r="G194" s="34">
        <f>'Hao phí vật tư'!$G$195</f>
        <v>110</v>
      </c>
      <c r="H194" s="68">
        <f>'Vật liệu'!$W$709</f>
        <v>23517</v>
      </c>
      <c r="I194" s="37">
        <v>1</v>
      </c>
      <c r="J194" s="166">
        <f>ROUND(G194*H194*I194,0)</f>
        <v>2586870</v>
      </c>
    </row>
    <row r="195" spans="1:10" x14ac:dyDescent="0.25">
      <c r="A195" s="168"/>
      <c r="B195" s="144"/>
      <c r="C195" s="34">
        <v>189</v>
      </c>
      <c r="D195" s="144" t="str">
        <f>'Vật liệu'!$B$766</f>
        <v>V00750</v>
      </c>
      <c r="E195" s="144" t="str">
        <f>" - " &amp; 'Vật liệu'!$D$766</f>
        <v xml:space="preserve"> - Vật liệu khác</v>
      </c>
      <c r="F195" s="168" t="str">
        <f>'Vật liệu'!$E$766</f>
        <v>%</v>
      </c>
      <c r="G195" s="34">
        <f>'Hao phí vật tư'!$G$196</f>
        <v>0.2</v>
      </c>
      <c r="H195" s="166">
        <f>'Vật liệu'!$W$766</f>
        <v>0</v>
      </c>
      <c r="I195" s="37">
        <v>1</v>
      </c>
      <c r="J195" s="166">
        <f>ROUND((J194)*G195*I195/100,0)</f>
        <v>5174</v>
      </c>
    </row>
    <row r="196" spans="1:10" x14ac:dyDescent="0.25">
      <c r="A196" s="56"/>
      <c r="B196" s="23"/>
      <c r="C196" s="88"/>
      <c r="D196" s="23"/>
      <c r="E196" s="23" t="s">
        <v>202</v>
      </c>
      <c r="F196" s="56"/>
      <c r="G196" s="88"/>
      <c r="H196" s="48"/>
      <c r="I196" s="90"/>
      <c r="J196" s="48">
        <f>ROUND(SUM(J197:J197),0)</f>
        <v>258681</v>
      </c>
    </row>
    <row r="197" spans="1:10" x14ac:dyDescent="0.25">
      <c r="A197" s="168"/>
      <c r="B197" s="144"/>
      <c r="C197" s="34">
        <v>554</v>
      </c>
      <c r="D197" s="144" t="str">
        <f>'Nhân công'!$B$103</f>
        <v>N0015</v>
      </c>
      <c r="E197" s="144" t="s">
        <v>1014</v>
      </c>
      <c r="F197" s="168" t="str">
        <f>'Nhân công'!$G$103</f>
        <v>công</v>
      </c>
      <c r="G197" s="34">
        <f>'Hao phí vật tư'!$H$198</f>
        <v>1.08</v>
      </c>
      <c r="H197" s="68">
        <f>'Nhân công'!$M$103</f>
        <v>239519</v>
      </c>
      <c r="I197" s="37">
        <v>1</v>
      </c>
      <c r="J197" s="166">
        <f>ROUND(G197*H197*I197,0)</f>
        <v>258681</v>
      </c>
    </row>
    <row r="198" spans="1:10" ht="28.5" x14ac:dyDescent="0.25">
      <c r="A198" s="65">
        <f>'Công trình'!$A$30</f>
        <v>19</v>
      </c>
      <c r="B198" s="14" t="str">
        <f>'Công trình'!$B$30</f>
        <v>AF.12113</v>
      </c>
      <c r="C198" s="94"/>
      <c r="D198" s="31"/>
      <c r="E198" s="14" t="str">
        <f>'Công trình'!$C$30</f>
        <v>Bê tông tường dày &lt;=45cm, chiều cao &lt;=4m đá 1x2, vữa BT mác 200</v>
      </c>
      <c r="F198" s="46" t="str">
        <f>'Công trình'!$D$30</f>
        <v>m3</v>
      </c>
      <c r="G198" s="94"/>
      <c r="H198" s="54"/>
      <c r="I198" s="98"/>
      <c r="J198" s="54"/>
    </row>
    <row r="199" spans="1:10" x14ac:dyDescent="0.25">
      <c r="A199" s="56"/>
      <c r="B199" s="23"/>
      <c r="C199" s="88"/>
      <c r="D199" s="23"/>
      <c r="E199" s="23" t="s">
        <v>479</v>
      </c>
      <c r="F199" s="56"/>
      <c r="G199" s="88"/>
      <c r="H199" s="48"/>
      <c r="I199" s="90"/>
      <c r="J199" s="48">
        <f>ROUND(SUM(J200:J207),0)</f>
        <v>1167167</v>
      </c>
    </row>
    <row r="200" spans="1:10" x14ac:dyDescent="0.25">
      <c r="A200" s="168"/>
      <c r="B200" s="144"/>
      <c r="C200" s="34">
        <v>403</v>
      </c>
      <c r="D200" s="144" t="str">
        <f>'Vật liệu'!$B$275</f>
        <v>V00784</v>
      </c>
      <c r="E200" s="144" t="str">
        <f>" - " &amp; 'Vật liệu'!$D$275</f>
        <v xml:space="preserve"> - Đinh đỉa</v>
      </c>
      <c r="F200" s="168" t="str">
        <f>'Vật liệu'!$E$275</f>
        <v>cái</v>
      </c>
      <c r="G200" s="34">
        <f>'Hao phí vật tư'!$G$201</f>
        <v>0.871</v>
      </c>
      <c r="H200" s="68">
        <f>'Vật liệu'!$W$275</f>
        <v>500</v>
      </c>
      <c r="I200" s="37">
        <v>1</v>
      </c>
      <c r="J200" s="166">
        <f t="shared" ref="J200:J206" si="2">ROUND(G200*H200*I200,0)</f>
        <v>436</v>
      </c>
    </row>
    <row r="201" spans="1:10" x14ac:dyDescent="0.25">
      <c r="A201" s="168"/>
      <c r="B201" s="144"/>
      <c r="C201" s="34">
        <v>401</v>
      </c>
      <c r="D201" s="144" t="str">
        <f>'Vật liệu'!$B$268</f>
        <v>V00772</v>
      </c>
      <c r="E201" s="144" t="str">
        <f>" - " &amp; 'Vật liệu'!$D$268</f>
        <v xml:space="preserve"> - Đinh</v>
      </c>
      <c r="F201" s="168" t="str">
        <f>'Vật liệu'!$E$268</f>
        <v>kg</v>
      </c>
      <c r="G201" s="34">
        <f>'Hao phí vật tư'!$G$202</f>
        <v>0.19900000000000001</v>
      </c>
      <c r="H201" s="68">
        <f>'Vật liệu'!$W$268</f>
        <v>20000</v>
      </c>
      <c r="I201" s="37">
        <v>1</v>
      </c>
      <c r="J201" s="166">
        <f t="shared" si="2"/>
        <v>3980</v>
      </c>
    </row>
    <row r="202" spans="1:10" x14ac:dyDescent="0.25">
      <c r="A202" s="168"/>
      <c r="B202" s="144"/>
      <c r="C202" s="34">
        <v>397</v>
      </c>
      <c r="D202" s="144" t="str">
        <f>'Vật liệu'!$B$721</f>
        <v>V00761</v>
      </c>
      <c r="E202" s="144" t="str">
        <f>" - " &amp; 'Vật liệu'!$D$721</f>
        <v xml:space="preserve"> - Xi măng PC40</v>
      </c>
      <c r="F202" s="168" t="str">
        <f>'Vật liệu'!$E$721</f>
        <v>kg</v>
      </c>
      <c r="G202" s="34">
        <f>'Hao phí vật tư'!$G$203</f>
        <v>288.02499999999998</v>
      </c>
      <c r="H202" s="68">
        <f>'Vật liệu'!$W$721</f>
        <v>1513</v>
      </c>
      <c r="I202" s="37">
        <v>1</v>
      </c>
      <c r="J202" s="166">
        <f t="shared" si="2"/>
        <v>435782</v>
      </c>
    </row>
    <row r="203" spans="1:10" x14ac:dyDescent="0.25">
      <c r="A203" s="168"/>
      <c r="B203" s="144"/>
      <c r="C203" s="34">
        <v>125</v>
      </c>
      <c r="D203" s="144" t="str">
        <f>'Vật liệu'!$B$54</f>
        <v>V00112</v>
      </c>
      <c r="E203" s="144" t="str">
        <f>" - " &amp; 'Vật liệu'!$D$54</f>
        <v xml:space="preserve"> - Cát vàng</v>
      </c>
      <c r="F203" s="168" t="str">
        <f>'Vật liệu'!$E$54</f>
        <v>m3</v>
      </c>
      <c r="G203" s="34">
        <f>'Hao phí vật tư'!$G$204</f>
        <v>0.50529999999999997</v>
      </c>
      <c r="H203" s="68">
        <f>'Vật liệu'!$W$54</f>
        <v>420000</v>
      </c>
      <c r="I203" s="37">
        <v>1</v>
      </c>
      <c r="J203" s="166">
        <f t="shared" si="2"/>
        <v>212226</v>
      </c>
    </row>
    <row r="204" spans="1:10" x14ac:dyDescent="0.25">
      <c r="A204" s="168"/>
      <c r="B204" s="144"/>
      <c r="C204" s="34">
        <v>416</v>
      </c>
      <c r="D204" s="144" t="str">
        <f>'Vật liệu'!$B$142</f>
        <v>V05207</v>
      </c>
      <c r="E204" s="144" t="str">
        <f>" - " &amp; 'Vật liệu'!$D$142</f>
        <v xml:space="preserve"> - Đá 1x2</v>
      </c>
      <c r="F204" s="168" t="str">
        <f>'Vật liệu'!$E$142</f>
        <v>m3</v>
      </c>
      <c r="G204" s="34">
        <f>'Hao phí vật tư'!$G$205</f>
        <v>0.9133</v>
      </c>
      <c r="H204" s="68">
        <f>'Vật liệu'!$W$142</f>
        <v>360886</v>
      </c>
      <c r="I204" s="37">
        <v>1</v>
      </c>
      <c r="J204" s="166">
        <f t="shared" si="2"/>
        <v>329597</v>
      </c>
    </row>
    <row r="205" spans="1:10" x14ac:dyDescent="0.25">
      <c r="A205" s="168"/>
      <c r="B205" s="144"/>
      <c r="C205" s="34">
        <v>148</v>
      </c>
      <c r="D205" s="144" t="str">
        <f>'Vật liệu'!$B$353</f>
        <v>V00494</v>
      </c>
      <c r="E205" s="144" t="str">
        <f>" - " &amp; 'Vật liệu'!$D$353</f>
        <v xml:space="preserve"> - Nước</v>
      </c>
      <c r="F205" s="168" t="str">
        <f>'Vật liệu'!$E$353</f>
        <v>lít</v>
      </c>
      <c r="G205" s="34">
        <f>'Hao phí vật tư'!$G$206</f>
        <v>189.625</v>
      </c>
      <c r="H205" s="68">
        <f>'Vật liệu'!$W$353</f>
        <v>10</v>
      </c>
      <c r="I205" s="37">
        <v>1</v>
      </c>
      <c r="J205" s="166">
        <f t="shared" si="2"/>
        <v>1896</v>
      </c>
    </row>
    <row r="206" spans="1:10" x14ac:dyDescent="0.25">
      <c r="A206" s="168"/>
      <c r="B206" s="144"/>
      <c r="C206" s="34">
        <v>144</v>
      </c>
      <c r="D206" s="144" t="str">
        <f>'Vật liệu'!$B$314</f>
        <v>V00404</v>
      </c>
      <c r="E206" s="144" t="str">
        <f>" - " &amp; 'Vật liệu'!$D$314</f>
        <v xml:space="preserve"> - Gỗ ván cầu công tác</v>
      </c>
      <c r="F206" s="168" t="str">
        <f>'Vật liệu'!$E$314</f>
        <v>m3</v>
      </c>
      <c r="G206" s="34">
        <f>'Hao phí vật tư'!$G$207</f>
        <v>4.9000000000000002E-2</v>
      </c>
      <c r="H206" s="68">
        <f>'Vật liệu'!$W$314</f>
        <v>3272727</v>
      </c>
      <c r="I206" s="37">
        <v>1</v>
      </c>
      <c r="J206" s="166">
        <f t="shared" si="2"/>
        <v>160364</v>
      </c>
    </row>
    <row r="207" spans="1:10" x14ac:dyDescent="0.25">
      <c r="A207" s="168"/>
      <c r="B207" s="144"/>
      <c r="C207" s="34">
        <v>190</v>
      </c>
      <c r="D207" s="144" t="str">
        <f>'Vật liệu'!$B$766</f>
        <v>V00750</v>
      </c>
      <c r="E207" s="144" t="str">
        <f>" - " &amp; 'Vật liệu'!$D$766</f>
        <v xml:space="preserve"> - Vật liệu khác</v>
      </c>
      <c r="F207" s="168" t="str">
        <f>'Vật liệu'!$E$766</f>
        <v>%</v>
      </c>
      <c r="G207" s="34">
        <f>'Hao phí vật tư'!$G$208</f>
        <v>2</v>
      </c>
      <c r="H207" s="166">
        <f>'Vật liệu'!$W$766</f>
        <v>0</v>
      </c>
      <c r="I207" s="37">
        <v>1</v>
      </c>
      <c r="J207" s="166">
        <f>ROUND((J200+J201+J202+J203+J204+J205+J206)*G207*I207/100,0)</f>
        <v>22886</v>
      </c>
    </row>
    <row r="208" spans="1:10" x14ac:dyDescent="0.25">
      <c r="A208" s="56"/>
      <c r="B208" s="23"/>
      <c r="C208" s="88"/>
      <c r="D208" s="23"/>
      <c r="E208" s="23" t="s">
        <v>202</v>
      </c>
      <c r="F208" s="56"/>
      <c r="G208" s="88"/>
      <c r="H208" s="48"/>
      <c r="I208" s="90"/>
      <c r="J208" s="48">
        <f>ROUND(SUM(J209:J209),0)</f>
        <v>757767</v>
      </c>
    </row>
    <row r="209" spans="1:10" x14ac:dyDescent="0.25">
      <c r="A209" s="168"/>
      <c r="B209" s="144"/>
      <c r="C209" s="34">
        <v>546</v>
      </c>
      <c r="D209" s="144" t="str">
        <f>'Nhân công'!$B$45</f>
        <v>N0009</v>
      </c>
      <c r="E209" s="144" t="s">
        <v>1052</v>
      </c>
      <c r="F209" s="168" t="str">
        <f>'Nhân công'!$G$45</f>
        <v>công</v>
      </c>
      <c r="G209" s="34">
        <f>'Hao phí vật tư'!$H$210</f>
        <v>3.56</v>
      </c>
      <c r="H209" s="68">
        <f>'Nhân công'!$M$45</f>
        <v>212856</v>
      </c>
      <c r="I209" s="37">
        <v>1</v>
      </c>
      <c r="J209" s="166">
        <f>ROUND(G209*H209*I209,0)</f>
        <v>757767</v>
      </c>
    </row>
    <row r="210" spans="1:10" x14ac:dyDescent="0.25">
      <c r="A210" s="56"/>
      <c r="B210" s="23"/>
      <c r="C210" s="88"/>
      <c r="D210" s="23"/>
      <c r="E210" s="23" t="s">
        <v>378</v>
      </c>
      <c r="F210" s="56"/>
      <c r="G210" s="88"/>
      <c r="H210" s="48"/>
      <c r="I210" s="90"/>
      <c r="J210" s="48">
        <f>ROUND(SUM(J211:J212),0)</f>
        <v>68040</v>
      </c>
    </row>
    <row r="211" spans="1:10" x14ac:dyDescent="0.25">
      <c r="A211" s="168"/>
      <c r="B211" s="144"/>
      <c r="C211" s="34">
        <v>750</v>
      </c>
      <c r="D211" s="144" t="str">
        <f>'Máy thi công'!$B$232</f>
        <v>M9571</v>
      </c>
      <c r="E211" s="144" t="str">
        <f>" - " &amp; 'Máy thi công'!$D$232</f>
        <v xml:space="preserve"> - Máy đầm bê tông, dầm dùi - công suất: 1,5 kW</v>
      </c>
      <c r="F211" s="168" t="str">
        <f>'Máy thi công'!$E$232</f>
        <v>ca</v>
      </c>
      <c r="G211" s="34">
        <f>'Hao phí vật tư'!$I$212</f>
        <v>0.18</v>
      </c>
      <c r="H211" s="68">
        <f>'Máy thi công'!$N$232</f>
        <v>225765</v>
      </c>
      <c r="I211" s="37">
        <v>1</v>
      </c>
      <c r="J211" s="166">
        <f>ROUND(G211*H211*I211,0)</f>
        <v>40638</v>
      </c>
    </row>
    <row r="212" spans="1:10" x14ac:dyDescent="0.25">
      <c r="A212" s="168"/>
      <c r="B212" s="144"/>
      <c r="C212" s="34">
        <v>744</v>
      </c>
      <c r="D212" s="144" t="str">
        <f>'Máy thi công'!$B$306</f>
        <v>M9555</v>
      </c>
      <c r="E212" s="144" t="str">
        <f>" - " &amp; 'Máy thi công'!$D$306</f>
        <v xml:space="preserve"> - Máy trộn bê tông - dung tích: 250 lít</v>
      </c>
      <c r="F212" s="168" t="str">
        <f>'Máy thi công'!$E$306</f>
        <v>ca</v>
      </c>
      <c r="G212" s="34">
        <f>'Hao phí vật tư'!$I$213</f>
        <v>9.5000000000000001E-2</v>
      </c>
      <c r="H212" s="68">
        <f>'Máy thi công'!$N$306</f>
        <v>288447</v>
      </c>
      <c r="I212" s="37">
        <v>1</v>
      </c>
      <c r="J212" s="166">
        <f>ROUND(G212*H212*I212,0)</f>
        <v>27402</v>
      </c>
    </row>
    <row r="213" spans="1:10" ht="28.5" x14ac:dyDescent="0.25">
      <c r="A213" s="65">
        <f>'Công trình'!$A$31</f>
        <v>20</v>
      </c>
      <c r="B213" s="14" t="str">
        <f>'Công trình'!$B$31</f>
        <v>AF.82111</v>
      </c>
      <c r="C213" s="94"/>
      <c r="D213" s="31"/>
      <c r="E213" s="14" t="str">
        <f>'Công trình'!$C$31</f>
        <v>Sản xuất, lắp dựng tháo dỡ ván khuôn thép tường, chiều cao &lt;=16m</v>
      </c>
      <c r="F213" s="46" t="str">
        <f>'Công trình'!$D$31</f>
        <v>100m2</v>
      </c>
      <c r="G213" s="94"/>
      <c r="H213" s="54"/>
      <c r="I213" s="98"/>
      <c r="J213" s="54"/>
    </row>
    <row r="214" spans="1:10" x14ac:dyDescent="0.25">
      <c r="A214" s="56"/>
      <c r="B214" s="23"/>
      <c r="C214" s="88"/>
      <c r="D214" s="23"/>
      <c r="E214" s="23" t="s">
        <v>479</v>
      </c>
      <c r="F214" s="56"/>
      <c r="G214" s="88"/>
      <c r="H214" s="48"/>
      <c r="I214" s="90"/>
      <c r="J214" s="48">
        <f>ROUND(SUM(J215:J219),0)</f>
        <v>3284877</v>
      </c>
    </row>
    <row r="215" spans="1:10" x14ac:dyDescent="0.25">
      <c r="A215" s="168"/>
      <c r="B215" s="144"/>
      <c r="C215" s="34">
        <v>154</v>
      </c>
      <c r="D215" s="144" t="str">
        <f>'Vật liệu'!$B$450</f>
        <v>V00515</v>
      </c>
      <c r="E215" s="144" t="str">
        <f>" - " &amp; 'Vật liệu'!$D$450</f>
        <v xml:space="preserve"> - Que hàn</v>
      </c>
      <c r="F215" s="168" t="str">
        <f>'Vật liệu'!$E$450</f>
        <v>kg</v>
      </c>
      <c r="G215" s="34">
        <f>'Hao phí vật tư'!$G$216</f>
        <v>5.6</v>
      </c>
      <c r="H215" s="68">
        <f>'Vật liệu'!$W$450</f>
        <v>19091</v>
      </c>
      <c r="I215" s="37">
        <v>1</v>
      </c>
      <c r="J215" s="166">
        <f>ROUND(G215*H215*I215,0)</f>
        <v>106910</v>
      </c>
    </row>
    <row r="216" spans="1:10" x14ac:dyDescent="0.25">
      <c r="A216" s="168"/>
      <c r="B216" s="144"/>
      <c r="C216" s="34">
        <v>140</v>
      </c>
      <c r="D216" s="144" t="str">
        <f>'Vật liệu'!$B$294</f>
        <v>V00390</v>
      </c>
      <c r="E216" s="144" t="str">
        <f>" - " &amp; 'Vật liệu'!$D$294</f>
        <v xml:space="preserve"> - Gỗ chống</v>
      </c>
      <c r="F216" s="168" t="str">
        <f>'Vật liệu'!$E$294</f>
        <v>m3</v>
      </c>
      <c r="G216" s="34">
        <f>'Hao phí vật tư'!$G$217</f>
        <v>0.496</v>
      </c>
      <c r="H216" s="68">
        <f>'Vật liệu'!$W$294</f>
        <v>3272727</v>
      </c>
      <c r="I216" s="37">
        <v>1</v>
      </c>
      <c r="J216" s="166">
        <f>ROUND(G216*H216*I216,0)</f>
        <v>1623273</v>
      </c>
    </row>
    <row r="217" spans="1:10" x14ac:dyDescent="0.25">
      <c r="A217" s="168"/>
      <c r="B217" s="144"/>
      <c r="C217" s="34">
        <v>166</v>
      </c>
      <c r="D217" s="144" t="str">
        <f>'Vật liệu'!$B$606</f>
        <v>V00671</v>
      </c>
      <c r="E217" s="144" t="str">
        <f>" - " &amp; 'Vật liệu'!$D$606</f>
        <v xml:space="preserve"> - Thép tấm</v>
      </c>
      <c r="F217" s="168" t="str">
        <f>'Vật liệu'!$E$606</f>
        <v>kg</v>
      </c>
      <c r="G217" s="34">
        <f>'Hao phí vật tư'!$G$218</f>
        <v>51.81</v>
      </c>
      <c r="H217" s="68">
        <f>'Vật liệu'!$W$606</f>
        <v>12574</v>
      </c>
      <c r="I217" s="37">
        <v>1</v>
      </c>
      <c r="J217" s="166">
        <f>ROUND(G217*H217*I217,0)</f>
        <v>651459</v>
      </c>
    </row>
    <row r="218" spans="1:10" x14ac:dyDescent="0.25">
      <c r="A218" s="168"/>
      <c r="B218" s="144"/>
      <c r="C218" s="34">
        <v>160</v>
      </c>
      <c r="D218" s="144" t="str">
        <f>'Vật liệu'!$B$556</f>
        <v>V00641</v>
      </c>
      <c r="E218" s="144" t="str">
        <f>" - " &amp; 'Vật liệu'!$D$556</f>
        <v xml:space="preserve"> - Thép hình</v>
      </c>
      <c r="F218" s="168" t="str">
        <f>'Vật liệu'!$E$556</f>
        <v>kg</v>
      </c>
      <c r="G218" s="34">
        <f>'Hao phí vật tư'!$G$219</f>
        <v>48.84</v>
      </c>
      <c r="H218" s="68">
        <f>'Vật liệu'!$W$556</f>
        <v>15291</v>
      </c>
      <c r="I218" s="37">
        <v>1</v>
      </c>
      <c r="J218" s="166">
        <f>ROUND(G218*H218*I218,0)</f>
        <v>746812</v>
      </c>
    </row>
    <row r="219" spans="1:10" x14ac:dyDescent="0.25">
      <c r="A219" s="168"/>
      <c r="B219" s="144"/>
      <c r="C219" s="34">
        <v>191</v>
      </c>
      <c r="D219" s="144" t="str">
        <f>'Vật liệu'!$B$766</f>
        <v>V00750</v>
      </c>
      <c r="E219" s="144" t="str">
        <f>" - " &amp; 'Vật liệu'!$D$766</f>
        <v xml:space="preserve"> - Vật liệu khác</v>
      </c>
      <c r="F219" s="168" t="str">
        <f>'Vật liệu'!$E$766</f>
        <v>%</v>
      </c>
      <c r="G219" s="34">
        <f>'Hao phí vật tư'!$G$220</f>
        <v>5</v>
      </c>
      <c r="H219" s="166">
        <f>'Vật liệu'!$W$766</f>
        <v>0</v>
      </c>
      <c r="I219" s="37">
        <v>1</v>
      </c>
      <c r="J219" s="166">
        <f>ROUND((J215+J216+J217+J218)*G219*I219/100,0)</f>
        <v>156423</v>
      </c>
    </row>
    <row r="220" spans="1:10" x14ac:dyDescent="0.25">
      <c r="A220" s="56"/>
      <c r="B220" s="23"/>
      <c r="C220" s="88"/>
      <c r="D220" s="23"/>
      <c r="E220" s="23" t="s">
        <v>202</v>
      </c>
      <c r="F220" s="56"/>
      <c r="G220" s="88"/>
      <c r="H220" s="48"/>
      <c r="I220" s="90"/>
      <c r="J220" s="48">
        <f>ROUND(SUM(J221:J221),0)</f>
        <v>8822813</v>
      </c>
    </row>
    <row r="221" spans="1:10" x14ac:dyDescent="0.25">
      <c r="A221" s="168"/>
      <c r="B221" s="144"/>
      <c r="C221" s="34">
        <v>550</v>
      </c>
      <c r="D221" s="144" t="str">
        <f>'Nhân công'!$B$130</f>
        <v>N0011</v>
      </c>
      <c r="E221" s="144" t="s">
        <v>671</v>
      </c>
      <c r="F221" s="168" t="str">
        <f>'Nhân công'!$G$130</f>
        <v>công</v>
      </c>
      <c r="G221" s="34">
        <f>'Hao phí vật tư'!$H$222</f>
        <v>38.28</v>
      </c>
      <c r="H221" s="68">
        <f>'Nhân công'!$M$130</f>
        <v>230481</v>
      </c>
      <c r="I221" s="37">
        <v>1</v>
      </c>
      <c r="J221" s="166">
        <f>ROUND(G221*H221*I221,0)</f>
        <v>8822813</v>
      </c>
    </row>
    <row r="222" spans="1:10" x14ac:dyDescent="0.25">
      <c r="A222" s="56"/>
      <c r="B222" s="23"/>
      <c r="C222" s="88"/>
      <c r="D222" s="23"/>
      <c r="E222" s="23" t="s">
        <v>378</v>
      </c>
      <c r="F222" s="56"/>
      <c r="G222" s="88"/>
      <c r="H222" s="48"/>
      <c r="I222" s="90"/>
      <c r="J222" s="48">
        <f>ROUND(SUM(J223:J225),0)</f>
        <v>517171</v>
      </c>
    </row>
    <row r="223" spans="1:10" x14ac:dyDescent="0.25">
      <c r="A223" s="168"/>
      <c r="B223" s="144"/>
      <c r="C223" s="34">
        <v>746</v>
      </c>
      <c r="D223" s="144" t="str">
        <f>'Máy thi công'!$B$358</f>
        <v>M9560</v>
      </c>
      <c r="E223" s="144" t="str">
        <f>" - " &amp; 'Máy thi công'!$D$358</f>
        <v xml:space="preserve"> - Máy vận thăng - sức nâng: 0,8 t - H nâng 80 m</v>
      </c>
      <c r="F223" s="168" t="str">
        <f>'Máy thi công'!$E$358</f>
        <v>ca</v>
      </c>
      <c r="G223" s="34">
        <f>'Hao phí vật tư'!$I$224</f>
        <v>0</v>
      </c>
      <c r="H223" s="68">
        <f>'Máy thi công'!$N$358</f>
        <v>378219</v>
      </c>
      <c r="I223" s="37">
        <v>1</v>
      </c>
      <c r="J223" s="166">
        <f>ROUND(G223*H223*I223,0)</f>
        <v>0</v>
      </c>
    </row>
    <row r="224" spans="1:10" x14ac:dyDescent="0.25">
      <c r="A224" s="168"/>
      <c r="B224" s="144"/>
      <c r="C224" s="34">
        <v>714</v>
      </c>
      <c r="D224" s="144" t="str">
        <f>'Máy thi công'!$B$6</f>
        <v>M9438</v>
      </c>
      <c r="E224" s="144" t="str">
        <f>" - " &amp; 'Máy thi công'!$D$6</f>
        <v xml:space="preserve"> - Biến thế hàn xoay chiều - công suất: 23 kW</v>
      </c>
      <c r="F224" s="168" t="str">
        <f>'Máy thi công'!$E$6</f>
        <v>ca</v>
      </c>
      <c r="G224" s="34">
        <f>'Hao phí vật tư'!$I$225</f>
        <v>1.5</v>
      </c>
      <c r="H224" s="68">
        <f>'Máy thi công'!$N$6</f>
        <v>338020</v>
      </c>
      <c r="I224" s="37">
        <v>1</v>
      </c>
      <c r="J224" s="166">
        <f>ROUND(G224*H224*I224,0)</f>
        <v>507030</v>
      </c>
    </row>
    <row r="225" spans="1:10" x14ac:dyDescent="0.25">
      <c r="A225" s="168"/>
      <c r="B225" s="144"/>
      <c r="C225" s="34">
        <v>569</v>
      </c>
      <c r="D225" s="144" t="str">
        <f>'Máy thi công'!$B$398</f>
        <v>M0111</v>
      </c>
      <c r="E225" s="144" t="str">
        <f>" - " &amp; 'Máy thi công'!$D$398</f>
        <v xml:space="preserve"> - Máy khác</v>
      </c>
      <c r="F225" s="168" t="str">
        <f>'Máy thi công'!$E$398</f>
        <v>%</v>
      </c>
      <c r="G225" s="34">
        <f>'Hao phí vật tư'!$I$226</f>
        <v>2</v>
      </c>
      <c r="H225" s="166">
        <f>'Máy thi công'!$N$398</f>
        <v>0</v>
      </c>
      <c r="I225" s="37">
        <v>1</v>
      </c>
      <c r="J225" s="166">
        <f>ROUND((J223+J224)*G225*I225/100,0)</f>
        <v>10141</v>
      </c>
    </row>
    <row r="226" spans="1:10" ht="28.5" x14ac:dyDescent="0.25">
      <c r="A226" s="65">
        <f>'Công trình'!$A$32</f>
        <v>21</v>
      </c>
      <c r="B226" s="14" t="str">
        <f>'Công trình'!$B$32</f>
        <v>AF.61311</v>
      </c>
      <c r="C226" s="94"/>
      <c r="D226" s="31"/>
      <c r="E226" s="14" t="str">
        <f>'Công trình'!$C$32</f>
        <v>Sản xuất, lắp dựng cốt thép tường đường kính &lt;=10mm, chiều cao &lt;=4m</v>
      </c>
      <c r="F226" s="46" t="str">
        <f>'Công trình'!$D$32</f>
        <v>tấn</v>
      </c>
      <c r="G226" s="94"/>
      <c r="H226" s="54"/>
      <c r="I226" s="98"/>
      <c r="J226" s="54"/>
    </row>
    <row r="227" spans="1:10" x14ac:dyDescent="0.25">
      <c r="A227" s="56"/>
      <c r="B227" s="23"/>
      <c r="C227" s="88"/>
      <c r="D227" s="23"/>
      <c r="E227" s="23" t="s">
        <v>479</v>
      </c>
      <c r="F227" s="56"/>
      <c r="G227" s="88"/>
      <c r="H227" s="48"/>
      <c r="I227" s="90"/>
      <c r="J227" s="48">
        <f>ROUND(SUM(J228:J229),0)</f>
        <v>14603640</v>
      </c>
    </row>
    <row r="228" spans="1:10" x14ac:dyDescent="0.25">
      <c r="A228" s="168"/>
      <c r="B228" s="144"/>
      <c r="C228" s="34">
        <v>135</v>
      </c>
      <c r="D228" s="144" t="str">
        <f>'Vật liệu'!$B$221</f>
        <v>V00226</v>
      </c>
      <c r="E228" s="144" t="str">
        <f>" - " &amp; 'Vật liệu'!$D$221</f>
        <v xml:space="preserve"> - Dây thép</v>
      </c>
      <c r="F228" s="168" t="str">
        <f>'Vật liệu'!$E$221</f>
        <v>kg</v>
      </c>
      <c r="G228" s="34">
        <f>'Hao phí vật tư'!$G$229</f>
        <v>21.42</v>
      </c>
      <c r="H228" s="68">
        <f>'Vật liệu'!$W$221</f>
        <v>17500</v>
      </c>
      <c r="I228" s="37">
        <v>1</v>
      </c>
      <c r="J228" s="166">
        <f>ROUND(G228*H228*I228,0)</f>
        <v>374850</v>
      </c>
    </row>
    <row r="229" spans="1:10" x14ac:dyDescent="0.25">
      <c r="A229" s="168"/>
      <c r="B229" s="144"/>
      <c r="C229" s="34">
        <v>484</v>
      </c>
      <c r="D229" s="144" t="str">
        <f>'Vật liệu'!$B$650</f>
        <v>V48494</v>
      </c>
      <c r="E229" s="144" t="str">
        <f>" - " &amp; 'Vật liệu'!$D$650</f>
        <v xml:space="preserve"> - Thép tròn đường kính &lt;=10 mm</v>
      </c>
      <c r="F229" s="168" t="str">
        <f>'Vật liệu'!$E$650</f>
        <v>kg</v>
      </c>
      <c r="G229" s="34">
        <f>'Hao phí vật tư'!$G$230</f>
        <v>1005</v>
      </c>
      <c r="H229" s="68">
        <f>'Vật liệu'!$W$650</f>
        <v>14158</v>
      </c>
      <c r="I229" s="37">
        <v>1</v>
      </c>
      <c r="J229" s="166">
        <f>ROUND(G229*H229*I229,0)</f>
        <v>14228790</v>
      </c>
    </row>
    <row r="230" spans="1:10" x14ac:dyDescent="0.25">
      <c r="A230" s="56"/>
      <c r="B230" s="23"/>
      <c r="C230" s="88"/>
      <c r="D230" s="23"/>
      <c r="E230" s="23" t="s">
        <v>202</v>
      </c>
      <c r="F230" s="56"/>
      <c r="G230" s="88"/>
      <c r="H230" s="48"/>
      <c r="I230" s="90"/>
      <c r="J230" s="48">
        <f>ROUND(SUM(J231:J231),0)</f>
        <v>2901227</v>
      </c>
    </row>
    <row r="231" spans="1:10" x14ac:dyDescent="0.25">
      <c r="A231" s="168"/>
      <c r="B231" s="144"/>
      <c r="C231" s="34">
        <v>546</v>
      </c>
      <c r="D231" s="144" t="str">
        <f>'Nhân công'!$B$45</f>
        <v>N0009</v>
      </c>
      <c r="E231" s="144" t="s">
        <v>1052</v>
      </c>
      <c r="F231" s="168" t="str">
        <f>'Nhân công'!$G$45</f>
        <v>công</v>
      </c>
      <c r="G231" s="34">
        <f>'Hao phí vật tư'!$H$232</f>
        <v>13.63</v>
      </c>
      <c r="H231" s="68">
        <f>'Nhân công'!$M$45</f>
        <v>212856</v>
      </c>
      <c r="I231" s="37">
        <v>1</v>
      </c>
      <c r="J231" s="166">
        <f>ROUND(G231*H231*I231,0)</f>
        <v>2901227</v>
      </c>
    </row>
    <row r="232" spans="1:10" x14ac:dyDescent="0.25">
      <c r="A232" s="56"/>
      <c r="B232" s="23"/>
      <c r="C232" s="88"/>
      <c r="D232" s="23"/>
      <c r="E232" s="23" t="s">
        <v>378</v>
      </c>
      <c r="F232" s="56"/>
      <c r="G232" s="88"/>
      <c r="H232" s="48"/>
      <c r="I232" s="90"/>
      <c r="J232" s="48">
        <f>ROUND(SUM(J233:J233),0)</f>
        <v>91218</v>
      </c>
    </row>
    <row r="233" spans="1:10" x14ac:dyDescent="0.25">
      <c r="A233" s="168"/>
      <c r="B233" s="144"/>
      <c r="C233" s="34">
        <v>737</v>
      </c>
      <c r="D233" s="144" t="str">
        <f>'Máy thi công'!$B$184</f>
        <v>M9521</v>
      </c>
      <c r="E233" s="144" t="str">
        <f>" - " &amp; 'Máy thi công'!$D$184</f>
        <v xml:space="preserve"> - Máy cắt uốn cốt thép - công suất: 5 kW</v>
      </c>
      <c r="F233" s="168" t="str">
        <f>'Máy thi công'!$E$184</f>
        <v>ca</v>
      </c>
      <c r="G233" s="34">
        <f>'Hao phí vật tư'!$I$234</f>
        <v>0.4</v>
      </c>
      <c r="H233" s="68">
        <f>'Máy thi công'!$N$184</f>
        <v>228044</v>
      </c>
      <c r="I233" s="37">
        <v>1</v>
      </c>
      <c r="J233" s="166">
        <f>ROUND(G233*H233*I233,0)</f>
        <v>91218</v>
      </c>
    </row>
    <row r="234" spans="1:10" ht="28.5" x14ac:dyDescent="0.25">
      <c r="A234" s="65">
        <f>'Công trình'!$A$33</f>
        <v>22</v>
      </c>
      <c r="B234" s="14" t="str">
        <f>'Công trình'!$B$33</f>
        <v>AF.61321</v>
      </c>
      <c r="C234" s="94"/>
      <c r="D234" s="31"/>
      <c r="E234" s="14" t="str">
        <f>'Công trình'!$C$33</f>
        <v>Sản xuất, lắp dựng cốt thép tường đường kính &lt;=18mm, chiều cao &lt;=4m</v>
      </c>
      <c r="F234" s="46" t="str">
        <f>'Công trình'!$D$33</f>
        <v>tấn</v>
      </c>
      <c r="G234" s="94"/>
      <c r="H234" s="54"/>
      <c r="I234" s="98"/>
      <c r="J234" s="54"/>
    </row>
    <row r="235" spans="1:10" x14ac:dyDescent="0.25">
      <c r="A235" s="56"/>
      <c r="B235" s="23"/>
      <c r="C235" s="88"/>
      <c r="D235" s="23"/>
      <c r="E235" s="23" t="s">
        <v>479</v>
      </c>
      <c r="F235" s="56"/>
      <c r="G235" s="88"/>
      <c r="H235" s="48"/>
      <c r="I235" s="90"/>
      <c r="J235" s="48">
        <f>ROUND(SUM(J236:J238),0)</f>
        <v>14677642</v>
      </c>
    </row>
    <row r="236" spans="1:10" x14ac:dyDescent="0.25">
      <c r="A236" s="168"/>
      <c r="B236" s="144"/>
      <c r="C236" s="34">
        <v>154</v>
      </c>
      <c r="D236" s="144" t="str">
        <f>'Vật liệu'!$B$450</f>
        <v>V00515</v>
      </c>
      <c r="E236" s="144" t="str">
        <f>" - " &amp; 'Vật liệu'!$D$450</f>
        <v xml:space="preserve"> - Que hàn</v>
      </c>
      <c r="F236" s="168" t="str">
        <f>'Vật liệu'!$E$450</f>
        <v>kg</v>
      </c>
      <c r="G236" s="34">
        <f>'Hao phí vật tư'!$G$237</f>
        <v>4.6399999999999997</v>
      </c>
      <c r="H236" s="68">
        <f>'Vật liệu'!$W$450</f>
        <v>19091</v>
      </c>
      <c r="I236" s="37">
        <v>1</v>
      </c>
      <c r="J236" s="166">
        <f>ROUND(G236*H236*I236,0)</f>
        <v>88582</v>
      </c>
    </row>
    <row r="237" spans="1:10" x14ac:dyDescent="0.25">
      <c r="A237" s="168"/>
      <c r="B237" s="144"/>
      <c r="C237" s="34">
        <v>135</v>
      </c>
      <c r="D237" s="144" t="str">
        <f>'Vật liệu'!$B$221</f>
        <v>V00226</v>
      </c>
      <c r="E237" s="144" t="str">
        <f>" - " &amp; 'Vật liệu'!$D$221</f>
        <v xml:space="preserve"> - Dây thép</v>
      </c>
      <c r="F237" s="168" t="str">
        <f>'Vật liệu'!$E$221</f>
        <v>kg</v>
      </c>
      <c r="G237" s="34">
        <f>'Hao phí vật tư'!$G$238</f>
        <v>14.28</v>
      </c>
      <c r="H237" s="68">
        <f>'Vật liệu'!$W$221</f>
        <v>17500</v>
      </c>
      <c r="I237" s="37">
        <v>1</v>
      </c>
      <c r="J237" s="166">
        <f>ROUND(G237*H237*I237,0)</f>
        <v>249900</v>
      </c>
    </row>
    <row r="238" spans="1:10" x14ac:dyDescent="0.25">
      <c r="A238" s="168"/>
      <c r="B238" s="144"/>
      <c r="C238" s="34">
        <v>485</v>
      </c>
      <c r="D238" s="144" t="str">
        <f>'Vật liệu'!$B$665</f>
        <v>V48495</v>
      </c>
      <c r="E238" s="144" t="str">
        <f>" - " &amp; 'Vật liệu'!$D$665</f>
        <v xml:space="preserve"> - Thép tròn đường kính &lt;=18mm</v>
      </c>
      <c r="F238" s="168" t="str">
        <f>'Vật liệu'!$E$665</f>
        <v>kg</v>
      </c>
      <c r="G238" s="34">
        <f>'Hao phí vật tư'!$G$239</f>
        <v>1020</v>
      </c>
      <c r="H238" s="68">
        <f>'Vật liệu'!$W$665</f>
        <v>14058</v>
      </c>
      <c r="I238" s="37">
        <v>1</v>
      </c>
      <c r="J238" s="166">
        <f>ROUND(G238*H238*I238,0)</f>
        <v>14339160</v>
      </c>
    </row>
    <row r="239" spans="1:10" x14ac:dyDescent="0.25">
      <c r="A239" s="56"/>
      <c r="B239" s="23"/>
      <c r="C239" s="88"/>
      <c r="D239" s="23"/>
      <c r="E239" s="23" t="s">
        <v>202</v>
      </c>
      <c r="F239" s="56"/>
      <c r="G239" s="88"/>
      <c r="H239" s="48"/>
      <c r="I239" s="90"/>
      <c r="J239" s="48">
        <f>ROUND(SUM(J240:J240),0)</f>
        <v>2377602</v>
      </c>
    </row>
    <row r="240" spans="1:10" x14ac:dyDescent="0.25">
      <c r="A240" s="168"/>
      <c r="B240" s="144"/>
      <c r="C240" s="34">
        <v>546</v>
      </c>
      <c r="D240" s="144" t="str">
        <f>'Nhân công'!$B$45</f>
        <v>N0009</v>
      </c>
      <c r="E240" s="144" t="s">
        <v>1052</v>
      </c>
      <c r="F240" s="168" t="str">
        <f>'Nhân công'!$G$45</f>
        <v>công</v>
      </c>
      <c r="G240" s="34">
        <f>'Hao phí vật tư'!$H$241</f>
        <v>11.17</v>
      </c>
      <c r="H240" s="68">
        <f>'Nhân công'!$M$45</f>
        <v>212856</v>
      </c>
      <c r="I240" s="37">
        <v>1</v>
      </c>
      <c r="J240" s="166">
        <f>ROUND(G240*H240*I240,0)</f>
        <v>2377602</v>
      </c>
    </row>
    <row r="241" spans="1:10" x14ac:dyDescent="0.25">
      <c r="A241" s="56"/>
      <c r="B241" s="23"/>
      <c r="C241" s="88"/>
      <c r="D241" s="23"/>
      <c r="E241" s="23" t="s">
        <v>378</v>
      </c>
      <c r="F241" s="56"/>
      <c r="G241" s="88"/>
      <c r="H241" s="48"/>
      <c r="I241" s="90"/>
      <c r="J241" s="48">
        <f>ROUND(SUM(J242:J243),0)</f>
        <v>451556</v>
      </c>
    </row>
    <row r="242" spans="1:10" x14ac:dyDescent="0.25">
      <c r="A242" s="168"/>
      <c r="B242" s="144"/>
      <c r="C242" s="34">
        <v>737</v>
      </c>
      <c r="D242" s="144" t="str">
        <f>'Máy thi công'!$B$184</f>
        <v>M9521</v>
      </c>
      <c r="E242" s="144" t="str">
        <f>" - " &amp; 'Máy thi công'!$D$184</f>
        <v xml:space="preserve"> - Máy cắt uốn cốt thép - công suất: 5 kW</v>
      </c>
      <c r="F242" s="168" t="str">
        <f>'Máy thi công'!$E$184</f>
        <v>ca</v>
      </c>
      <c r="G242" s="34">
        <f>'Hao phí vật tư'!$I$243</f>
        <v>0.32</v>
      </c>
      <c r="H242" s="68">
        <f>'Máy thi công'!$N$184</f>
        <v>228044</v>
      </c>
      <c r="I242" s="37">
        <v>1</v>
      </c>
      <c r="J242" s="166">
        <f>ROUND(G242*H242*I242,0)</f>
        <v>72974</v>
      </c>
    </row>
    <row r="243" spans="1:10" x14ac:dyDescent="0.25">
      <c r="A243" s="168"/>
      <c r="B243" s="144"/>
      <c r="C243" s="34">
        <v>714</v>
      </c>
      <c r="D243" s="144" t="str">
        <f>'Máy thi công'!$B$6</f>
        <v>M9438</v>
      </c>
      <c r="E243" s="144" t="str">
        <f>" - " &amp; 'Máy thi công'!$D$6</f>
        <v xml:space="preserve"> - Biến thế hàn xoay chiều - công suất: 23 kW</v>
      </c>
      <c r="F243" s="168" t="str">
        <f>'Máy thi công'!$E$6</f>
        <v>ca</v>
      </c>
      <c r="G243" s="34">
        <f>'Hao phí vật tư'!$I$244</f>
        <v>1.1200000000000001</v>
      </c>
      <c r="H243" s="68">
        <f>'Máy thi công'!$N$6</f>
        <v>338020</v>
      </c>
      <c r="I243" s="37">
        <v>1</v>
      </c>
      <c r="J243" s="166">
        <f>ROUND(G243*H243*I243,0)</f>
        <v>378582</v>
      </c>
    </row>
    <row r="244" spans="1:10" x14ac:dyDescent="0.25">
      <c r="A244" s="65">
        <f>'Công trình'!$A$34</f>
        <v>23</v>
      </c>
      <c r="B244" s="14" t="str">
        <f>'Công trình'!$B$34</f>
        <v>AF.12313</v>
      </c>
      <c r="C244" s="94"/>
      <c r="D244" s="31"/>
      <c r="E244" s="14" t="str">
        <f>'Công trình'!$C$34</f>
        <v>Bê tông dầm, giằng đá 1x2, vữa BT mác 200</v>
      </c>
      <c r="F244" s="46" t="str">
        <f>'Công trình'!$D$34</f>
        <v>m3</v>
      </c>
      <c r="G244" s="94"/>
      <c r="H244" s="54"/>
      <c r="I244" s="98"/>
      <c r="J244" s="54"/>
    </row>
    <row r="245" spans="1:10" x14ac:dyDescent="0.25">
      <c r="A245" s="56"/>
      <c r="B245" s="23"/>
      <c r="C245" s="88"/>
      <c r="D245" s="23"/>
      <c r="E245" s="23" t="s">
        <v>479</v>
      </c>
      <c r="F245" s="56"/>
      <c r="G245" s="88"/>
      <c r="H245" s="48"/>
      <c r="I245" s="90"/>
      <c r="J245" s="48">
        <f>ROUND(SUM(J246:J250),0)</f>
        <v>989296</v>
      </c>
    </row>
    <row r="246" spans="1:10" x14ac:dyDescent="0.25">
      <c r="A246" s="168"/>
      <c r="B246" s="144"/>
      <c r="C246" s="34">
        <v>397</v>
      </c>
      <c r="D246" s="144" t="str">
        <f>'Vật liệu'!$B$721</f>
        <v>V00761</v>
      </c>
      <c r="E246" s="144" t="str">
        <f>" - " &amp; 'Vật liệu'!$D$721</f>
        <v xml:space="preserve"> - Xi măng PC40</v>
      </c>
      <c r="F246" s="168" t="str">
        <f>'Vật liệu'!$E$721</f>
        <v>kg</v>
      </c>
      <c r="G246" s="34">
        <f>'Hao phí vật tư'!$G$247</f>
        <v>288.02499999999998</v>
      </c>
      <c r="H246" s="68">
        <f>'Vật liệu'!$W$721</f>
        <v>1513</v>
      </c>
      <c r="I246" s="37">
        <v>1</v>
      </c>
      <c r="J246" s="166">
        <f>ROUND(G246*H246*I246,0)</f>
        <v>435782</v>
      </c>
    </row>
    <row r="247" spans="1:10" x14ac:dyDescent="0.25">
      <c r="A247" s="168"/>
      <c r="B247" s="144"/>
      <c r="C247" s="34">
        <v>125</v>
      </c>
      <c r="D247" s="144" t="str">
        <f>'Vật liệu'!$B$54</f>
        <v>V00112</v>
      </c>
      <c r="E247" s="144" t="str">
        <f>" - " &amp; 'Vật liệu'!$D$54</f>
        <v xml:space="preserve"> - Cát vàng</v>
      </c>
      <c r="F247" s="168" t="str">
        <f>'Vật liệu'!$E$54</f>
        <v>m3</v>
      </c>
      <c r="G247" s="34">
        <f>'Hao phí vật tư'!$G$248</f>
        <v>0.50529999999999997</v>
      </c>
      <c r="H247" s="68">
        <f>'Vật liệu'!$W$54</f>
        <v>420000</v>
      </c>
      <c r="I247" s="37">
        <v>1</v>
      </c>
      <c r="J247" s="166">
        <f>ROUND(G247*H247*I247,0)</f>
        <v>212226</v>
      </c>
    </row>
    <row r="248" spans="1:10" x14ac:dyDescent="0.25">
      <c r="A248" s="168"/>
      <c r="B248" s="144"/>
      <c r="C248" s="34">
        <v>416</v>
      </c>
      <c r="D248" s="144" t="str">
        <f>'Vật liệu'!$B$142</f>
        <v>V05207</v>
      </c>
      <c r="E248" s="144" t="str">
        <f>" - " &amp; 'Vật liệu'!$D$142</f>
        <v xml:space="preserve"> - Đá 1x2</v>
      </c>
      <c r="F248" s="168" t="str">
        <f>'Vật liệu'!$E$142</f>
        <v>m3</v>
      </c>
      <c r="G248" s="34">
        <f>'Hao phí vật tư'!$G$249</f>
        <v>0.9133</v>
      </c>
      <c r="H248" s="68">
        <f>'Vật liệu'!$W$142</f>
        <v>360886</v>
      </c>
      <c r="I248" s="37">
        <v>1</v>
      </c>
      <c r="J248" s="166">
        <f>ROUND(G248*H248*I248,0)</f>
        <v>329597</v>
      </c>
    </row>
    <row r="249" spans="1:10" x14ac:dyDescent="0.25">
      <c r="A249" s="168"/>
      <c r="B249" s="144"/>
      <c r="C249" s="34">
        <v>148</v>
      </c>
      <c r="D249" s="144" t="str">
        <f>'Vật liệu'!$B$353</f>
        <v>V00494</v>
      </c>
      <c r="E249" s="144" t="str">
        <f>" - " &amp; 'Vật liệu'!$D$353</f>
        <v xml:space="preserve"> - Nước</v>
      </c>
      <c r="F249" s="168" t="str">
        <f>'Vật liệu'!$E$353</f>
        <v>lít</v>
      </c>
      <c r="G249" s="34">
        <f>'Hao phí vật tư'!$G$250</f>
        <v>189.625</v>
      </c>
      <c r="H249" s="68">
        <f>'Vật liệu'!$W$353</f>
        <v>10</v>
      </c>
      <c r="I249" s="37">
        <v>1</v>
      </c>
      <c r="J249" s="166">
        <f>ROUND(G249*H249*I249,0)</f>
        <v>1896</v>
      </c>
    </row>
    <row r="250" spans="1:10" x14ac:dyDescent="0.25">
      <c r="A250" s="168"/>
      <c r="B250" s="144"/>
      <c r="C250" s="34">
        <v>393</v>
      </c>
      <c r="D250" s="144" t="str">
        <f>'Vật liệu'!$B$766</f>
        <v>V00750</v>
      </c>
      <c r="E250" s="144" t="str">
        <f>" - " &amp; 'Vật liệu'!$D$766</f>
        <v xml:space="preserve"> - Vật liệu khác</v>
      </c>
      <c r="F250" s="168" t="str">
        <f>'Vật liệu'!$E$766</f>
        <v>%</v>
      </c>
      <c r="G250" s="34">
        <f>'Hao phí vật tư'!$G$251</f>
        <v>1</v>
      </c>
      <c r="H250" s="166">
        <f>'Vật liệu'!$W$766</f>
        <v>0</v>
      </c>
      <c r="I250" s="37">
        <v>1</v>
      </c>
      <c r="J250" s="166">
        <f>ROUND((J246+J247+J248+J249)*G250*I250/100,0)</f>
        <v>9795</v>
      </c>
    </row>
    <row r="251" spans="1:10" x14ac:dyDescent="0.25">
      <c r="A251" s="56"/>
      <c r="B251" s="23"/>
      <c r="C251" s="88"/>
      <c r="D251" s="23"/>
      <c r="E251" s="23" t="s">
        <v>202</v>
      </c>
      <c r="F251" s="56"/>
      <c r="G251" s="88"/>
      <c r="H251" s="48"/>
      <c r="I251" s="90"/>
      <c r="J251" s="48">
        <f>ROUND(SUM(J252:J252),0)</f>
        <v>757767</v>
      </c>
    </row>
    <row r="252" spans="1:10" x14ac:dyDescent="0.25">
      <c r="A252" s="168"/>
      <c r="B252" s="144"/>
      <c r="C252" s="34">
        <v>546</v>
      </c>
      <c r="D252" s="144" t="str">
        <f>'Nhân công'!$B$45</f>
        <v>N0009</v>
      </c>
      <c r="E252" s="144" t="s">
        <v>1052</v>
      </c>
      <c r="F252" s="168" t="str">
        <f>'Nhân công'!$G$45</f>
        <v>công</v>
      </c>
      <c r="G252" s="34">
        <f>'Hao phí vật tư'!$H$253</f>
        <v>3.56</v>
      </c>
      <c r="H252" s="68">
        <f>'Nhân công'!$M$45</f>
        <v>212856</v>
      </c>
      <c r="I252" s="37">
        <v>1</v>
      </c>
      <c r="J252" s="166">
        <f>ROUND(G252*H252*I252,0)</f>
        <v>757767</v>
      </c>
    </row>
    <row r="253" spans="1:10" x14ac:dyDescent="0.25">
      <c r="A253" s="56"/>
      <c r="B253" s="23"/>
      <c r="C253" s="88"/>
      <c r="D253" s="23"/>
      <c r="E253" s="23" t="s">
        <v>378</v>
      </c>
      <c r="F253" s="56"/>
      <c r="G253" s="88"/>
      <c r="H253" s="48"/>
      <c r="I253" s="90"/>
      <c r="J253" s="48">
        <f>ROUND(SUM(J254:J256),0)</f>
        <v>68040</v>
      </c>
    </row>
    <row r="254" spans="1:10" x14ac:dyDescent="0.25">
      <c r="A254" s="168"/>
      <c r="B254" s="144"/>
      <c r="C254" s="34">
        <v>746</v>
      </c>
      <c r="D254" s="144" t="str">
        <f>'Máy thi công'!$B$358</f>
        <v>M9560</v>
      </c>
      <c r="E254" s="144" t="str">
        <f>" - " &amp; 'Máy thi công'!$D$358</f>
        <v xml:space="preserve"> - Máy vận thăng - sức nâng: 0,8 t - H nâng 80 m</v>
      </c>
      <c r="F254" s="168" t="str">
        <f>'Máy thi công'!$E$358</f>
        <v>ca</v>
      </c>
      <c r="G254" s="34">
        <f>'Hao phí vật tư'!$I$255</f>
        <v>0</v>
      </c>
      <c r="H254" s="68">
        <f>'Máy thi công'!$N$358</f>
        <v>378219</v>
      </c>
      <c r="I254" s="37">
        <v>1</v>
      </c>
      <c r="J254" s="166">
        <f>ROUND(G254*H254*I254,0)</f>
        <v>0</v>
      </c>
    </row>
    <row r="255" spans="1:10" x14ac:dyDescent="0.25">
      <c r="A255" s="168"/>
      <c r="B255" s="144"/>
      <c r="C255" s="34">
        <v>750</v>
      </c>
      <c r="D255" s="144" t="str">
        <f>'Máy thi công'!$B$232</f>
        <v>M9571</v>
      </c>
      <c r="E255" s="144" t="str">
        <f>" - " &amp; 'Máy thi công'!$D$232</f>
        <v xml:space="preserve"> - Máy đầm bê tông, dầm dùi - công suất: 1,5 kW</v>
      </c>
      <c r="F255" s="168" t="str">
        <f>'Máy thi công'!$E$232</f>
        <v>ca</v>
      </c>
      <c r="G255" s="34">
        <f>'Hao phí vật tư'!$I$256</f>
        <v>0.18</v>
      </c>
      <c r="H255" s="68">
        <f>'Máy thi công'!$N$232</f>
        <v>225765</v>
      </c>
      <c r="I255" s="37">
        <v>1</v>
      </c>
      <c r="J255" s="166">
        <f>ROUND(G255*H255*I255,0)</f>
        <v>40638</v>
      </c>
    </row>
    <row r="256" spans="1:10" x14ac:dyDescent="0.25">
      <c r="A256" s="168"/>
      <c r="B256" s="144"/>
      <c r="C256" s="34">
        <v>744</v>
      </c>
      <c r="D256" s="144" t="str">
        <f>'Máy thi công'!$B$306</f>
        <v>M9555</v>
      </c>
      <c r="E256" s="144" t="str">
        <f>" - " &amp; 'Máy thi công'!$D$306</f>
        <v xml:space="preserve"> - Máy trộn bê tông - dung tích: 250 lít</v>
      </c>
      <c r="F256" s="168" t="str">
        <f>'Máy thi công'!$E$306</f>
        <v>ca</v>
      </c>
      <c r="G256" s="34">
        <f>'Hao phí vật tư'!$I$257</f>
        <v>9.5000000000000001E-2</v>
      </c>
      <c r="H256" s="68">
        <f>'Máy thi công'!$N$306</f>
        <v>288447</v>
      </c>
      <c r="I256" s="37">
        <v>1</v>
      </c>
      <c r="J256" s="166">
        <f>ROUND(G256*H256*I256,0)</f>
        <v>27402</v>
      </c>
    </row>
    <row r="257" spans="1:10" ht="42.75" x14ac:dyDescent="0.25">
      <c r="A257" s="65">
        <f>'Công trình'!$A$35</f>
        <v>24</v>
      </c>
      <c r="B257" s="14" t="str">
        <f>'Công trình'!$B$35</f>
        <v>AF.82111</v>
      </c>
      <c r="C257" s="94"/>
      <c r="D257" s="31"/>
      <c r="E257" s="14" t="str">
        <f>'Công trình'!$C$35</f>
        <v>Sản xuất, lắp dựng tháo dỡ ván khuôn thép, cây chống gỗ tường, cột vuông (chữ nhật), xà dầm, giằng, chiều cao &lt;=16m</v>
      </c>
      <c r="F257" s="46" t="str">
        <f>'Công trình'!$D$35</f>
        <v>100m2</v>
      </c>
      <c r="G257" s="94"/>
      <c r="H257" s="54"/>
      <c r="I257" s="98"/>
      <c r="J257" s="54"/>
    </row>
    <row r="258" spans="1:10" x14ac:dyDescent="0.25">
      <c r="A258" s="56"/>
      <c r="B258" s="23"/>
      <c r="C258" s="88"/>
      <c r="D258" s="23"/>
      <c r="E258" s="23" t="s">
        <v>479</v>
      </c>
      <c r="F258" s="56"/>
      <c r="G258" s="88"/>
      <c r="H258" s="48"/>
      <c r="I258" s="90"/>
      <c r="J258" s="48">
        <f>ROUND(SUM(J259:J263),0)</f>
        <v>3284877</v>
      </c>
    </row>
    <row r="259" spans="1:10" x14ac:dyDescent="0.25">
      <c r="A259" s="168"/>
      <c r="B259" s="144"/>
      <c r="C259" s="34">
        <v>154</v>
      </c>
      <c r="D259" s="144" t="str">
        <f>'Vật liệu'!$B$450</f>
        <v>V00515</v>
      </c>
      <c r="E259" s="144" t="str">
        <f>" - " &amp; 'Vật liệu'!$D$450</f>
        <v xml:space="preserve"> - Que hàn</v>
      </c>
      <c r="F259" s="168" t="str">
        <f>'Vật liệu'!$E$450</f>
        <v>kg</v>
      </c>
      <c r="G259" s="34">
        <f>'Hao phí vật tư'!$G$260</f>
        <v>5.6</v>
      </c>
      <c r="H259" s="68">
        <f>'Vật liệu'!$W$450</f>
        <v>19091</v>
      </c>
      <c r="I259" s="37">
        <v>1</v>
      </c>
      <c r="J259" s="166">
        <f>ROUND(G259*H259*I259,0)</f>
        <v>106910</v>
      </c>
    </row>
    <row r="260" spans="1:10" x14ac:dyDescent="0.25">
      <c r="A260" s="168"/>
      <c r="B260" s="144"/>
      <c r="C260" s="34">
        <v>140</v>
      </c>
      <c r="D260" s="144" t="str">
        <f>'Vật liệu'!$B$294</f>
        <v>V00390</v>
      </c>
      <c r="E260" s="144" t="str">
        <f>" - " &amp; 'Vật liệu'!$D$294</f>
        <v xml:space="preserve"> - Gỗ chống</v>
      </c>
      <c r="F260" s="168" t="str">
        <f>'Vật liệu'!$E$294</f>
        <v>m3</v>
      </c>
      <c r="G260" s="34">
        <f>'Hao phí vật tư'!$G$261</f>
        <v>0.496</v>
      </c>
      <c r="H260" s="68">
        <f>'Vật liệu'!$W$294</f>
        <v>3272727</v>
      </c>
      <c r="I260" s="37">
        <v>1</v>
      </c>
      <c r="J260" s="166">
        <f>ROUND(G260*H260*I260,0)</f>
        <v>1623273</v>
      </c>
    </row>
    <row r="261" spans="1:10" x14ac:dyDescent="0.25">
      <c r="A261" s="168"/>
      <c r="B261" s="144"/>
      <c r="C261" s="34">
        <v>166</v>
      </c>
      <c r="D261" s="144" t="str">
        <f>'Vật liệu'!$B$606</f>
        <v>V00671</v>
      </c>
      <c r="E261" s="144" t="str">
        <f>" - " &amp; 'Vật liệu'!$D$606</f>
        <v xml:space="preserve"> - Thép tấm</v>
      </c>
      <c r="F261" s="168" t="str">
        <f>'Vật liệu'!$E$606</f>
        <v>kg</v>
      </c>
      <c r="G261" s="34">
        <f>'Hao phí vật tư'!$G$262</f>
        <v>51.81</v>
      </c>
      <c r="H261" s="68">
        <f>'Vật liệu'!$W$606</f>
        <v>12574</v>
      </c>
      <c r="I261" s="37">
        <v>1</v>
      </c>
      <c r="J261" s="166">
        <f>ROUND(G261*H261*I261,0)</f>
        <v>651459</v>
      </c>
    </row>
    <row r="262" spans="1:10" x14ac:dyDescent="0.25">
      <c r="A262" s="168"/>
      <c r="B262" s="144"/>
      <c r="C262" s="34">
        <v>160</v>
      </c>
      <c r="D262" s="144" t="str">
        <f>'Vật liệu'!$B$556</f>
        <v>V00641</v>
      </c>
      <c r="E262" s="144" t="str">
        <f>" - " &amp; 'Vật liệu'!$D$556</f>
        <v xml:space="preserve"> - Thép hình</v>
      </c>
      <c r="F262" s="168" t="str">
        <f>'Vật liệu'!$E$556</f>
        <v>kg</v>
      </c>
      <c r="G262" s="34">
        <f>'Hao phí vật tư'!$G$263</f>
        <v>48.84</v>
      </c>
      <c r="H262" s="68">
        <f>'Vật liệu'!$W$556</f>
        <v>15291</v>
      </c>
      <c r="I262" s="37">
        <v>1</v>
      </c>
      <c r="J262" s="166">
        <f>ROUND(G262*H262*I262,0)</f>
        <v>746812</v>
      </c>
    </row>
    <row r="263" spans="1:10" x14ac:dyDescent="0.25">
      <c r="A263" s="168"/>
      <c r="B263" s="144"/>
      <c r="C263" s="34">
        <v>394</v>
      </c>
      <c r="D263" s="144" t="str">
        <f>'Vật liệu'!$B$766</f>
        <v>V00750</v>
      </c>
      <c r="E263" s="144" t="str">
        <f>" - " &amp; 'Vật liệu'!$D$766</f>
        <v xml:space="preserve"> - Vật liệu khác</v>
      </c>
      <c r="F263" s="168" t="str">
        <f>'Vật liệu'!$E$766</f>
        <v>%</v>
      </c>
      <c r="G263" s="34">
        <f>'Hao phí vật tư'!$G$264</f>
        <v>5</v>
      </c>
      <c r="H263" s="166">
        <f>'Vật liệu'!$W$766</f>
        <v>0</v>
      </c>
      <c r="I263" s="37">
        <v>1</v>
      </c>
      <c r="J263" s="166">
        <f>ROUND((J259+J260+J261+J262)*G263*I263/100,0)</f>
        <v>156423</v>
      </c>
    </row>
    <row r="264" spans="1:10" x14ac:dyDescent="0.25">
      <c r="A264" s="56"/>
      <c r="B264" s="23"/>
      <c r="C264" s="88"/>
      <c r="D264" s="23"/>
      <c r="E264" s="23" t="s">
        <v>202</v>
      </c>
      <c r="F264" s="56"/>
      <c r="G264" s="88"/>
      <c r="H264" s="48"/>
      <c r="I264" s="90"/>
      <c r="J264" s="48">
        <f>ROUND(SUM(J265:J265),0)</f>
        <v>8822813</v>
      </c>
    </row>
    <row r="265" spans="1:10" x14ac:dyDescent="0.25">
      <c r="A265" s="168"/>
      <c r="B265" s="144"/>
      <c r="C265" s="34">
        <v>550</v>
      </c>
      <c r="D265" s="144" t="str">
        <f>'Nhân công'!$B$130</f>
        <v>N0011</v>
      </c>
      <c r="E265" s="144" t="s">
        <v>671</v>
      </c>
      <c r="F265" s="168" t="str">
        <f>'Nhân công'!$G$130</f>
        <v>công</v>
      </c>
      <c r="G265" s="34">
        <f>'Hao phí vật tư'!$H$266</f>
        <v>38.28</v>
      </c>
      <c r="H265" s="68">
        <f>'Nhân công'!$M$130</f>
        <v>230481</v>
      </c>
      <c r="I265" s="37">
        <v>1</v>
      </c>
      <c r="J265" s="166">
        <f>ROUND(G265*H265*I265,0)</f>
        <v>8822813</v>
      </c>
    </row>
    <row r="266" spans="1:10" x14ac:dyDescent="0.25">
      <c r="A266" s="56"/>
      <c r="B266" s="23"/>
      <c r="C266" s="88"/>
      <c r="D266" s="23"/>
      <c r="E266" s="23" t="s">
        <v>378</v>
      </c>
      <c r="F266" s="56"/>
      <c r="G266" s="88"/>
      <c r="H266" s="48"/>
      <c r="I266" s="90"/>
      <c r="J266" s="48">
        <f>ROUND(SUM(J267:J269),0)</f>
        <v>517171</v>
      </c>
    </row>
    <row r="267" spans="1:10" x14ac:dyDescent="0.25">
      <c r="A267" s="168"/>
      <c r="B267" s="144"/>
      <c r="C267" s="34">
        <v>746</v>
      </c>
      <c r="D267" s="144" t="str">
        <f>'Máy thi công'!$B$358</f>
        <v>M9560</v>
      </c>
      <c r="E267" s="144" t="str">
        <f>" - " &amp; 'Máy thi công'!$D$358</f>
        <v xml:space="preserve"> - Máy vận thăng - sức nâng: 0,8 t - H nâng 80 m</v>
      </c>
      <c r="F267" s="168" t="str">
        <f>'Máy thi công'!$E$358</f>
        <v>ca</v>
      </c>
      <c r="G267" s="34">
        <f>'Hao phí vật tư'!$I$268</f>
        <v>0</v>
      </c>
      <c r="H267" s="68">
        <f>'Máy thi công'!$N$358</f>
        <v>378219</v>
      </c>
      <c r="I267" s="37">
        <v>1</v>
      </c>
      <c r="J267" s="166">
        <f>ROUND(G267*H267*I267,0)</f>
        <v>0</v>
      </c>
    </row>
    <row r="268" spans="1:10" x14ac:dyDescent="0.25">
      <c r="A268" s="168"/>
      <c r="B268" s="144"/>
      <c r="C268" s="34">
        <v>714</v>
      </c>
      <c r="D268" s="144" t="str">
        <f>'Máy thi công'!$B$6</f>
        <v>M9438</v>
      </c>
      <c r="E268" s="144" t="str">
        <f>" - " &amp; 'Máy thi công'!$D$6</f>
        <v xml:space="preserve"> - Biến thế hàn xoay chiều - công suất: 23 kW</v>
      </c>
      <c r="F268" s="168" t="str">
        <f>'Máy thi công'!$E$6</f>
        <v>ca</v>
      </c>
      <c r="G268" s="34">
        <f>'Hao phí vật tư'!$I$269</f>
        <v>1.5</v>
      </c>
      <c r="H268" s="68">
        <f>'Máy thi công'!$N$6</f>
        <v>338020</v>
      </c>
      <c r="I268" s="37">
        <v>1</v>
      </c>
      <c r="J268" s="166">
        <f>ROUND(G268*H268*I268,0)</f>
        <v>507030</v>
      </c>
    </row>
    <row r="269" spans="1:10" x14ac:dyDescent="0.25">
      <c r="A269" s="168"/>
      <c r="B269" s="144"/>
      <c r="C269" s="34">
        <v>693</v>
      </c>
      <c r="D269" s="144" t="str">
        <f>'Máy thi công'!$B$398</f>
        <v>M0111</v>
      </c>
      <c r="E269" s="144" t="str">
        <f>" - " &amp; 'Máy thi công'!$D$398</f>
        <v xml:space="preserve"> - Máy khác</v>
      </c>
      <c r="F269" s="168" t="str">
        <f>'Máy thi công'!$E$398</f>
        <v>%</v>
      </c>
      <c r="G269" s="34">
        <f>'Hao phí vật tư'!$I$270</f>
        <v>2</v>
      </c>
      <c r="H269" s="166">
        <f>'Máy thi công'!$N$398</f>
        <v>0</v>
      </c>
      <c r="I269" s="37">
        <v>1</v>
      </c>
      <c r="J269" s="166">
        <f>ROUND((J267+J268)*G269*I269/100,0)</f>
        <v>10141</v>
      </c>
    </row>
    <row r="270" spans="1:10" ht="28.5" x14ac:dyDescent="0.25">
      <c r="A270" s="65">
        <f>'Công trình'!$A$36</f>
        <v>25</v>
      </c>
      <c r="B270" s="14" t="str">
        <f>'Công trình'!$B$36</f>
        <v>AF.61511</v>
      </c>
      <c r="C270" s="94"/>
      <c r="D270" s="31"/>
      <c r="E270" s="14" t="str">
        <f>'Công trình'!$C$36</f>
        <v>Sản xuất, lắp dựng cốt thép xà dầm, giằng đường kính &lt;=10mm, chiều cao &lt;=4m</v>
      </c>
      <c r="F270" s="46" t="str">
        <f>'Công trình'!$D$36</f>
        <v>tấn</v>
      </c>
      <c r="G270" s="94"/>
      <c r="H270" s="54"/>
      <c r="I270" s="98"/>
      <c r="J270" s="54"/>
    </row>
    <row r="271" spans="1:10" x14ac:dyDescent="0.25">
      <c r="A271" s="56"/>
      <c r="B271" s="23"/>
      <c r="C271" s="88"/>
      <c r="D271" s="23"/>
      <c r="E271" s="23" t="s">
        <v>479</v>
      </c>
      <c r="F271" s="56"/>
      <c r="G271" s="88"/>
      <c r="H271" s="48"/>
      <c r="I271" s="90"/>
      <c r="J271" s="48">
        <f>ROUND(SUM(J272:J273),0)</f>
        <v>14603640</v>
      </c>
    </row>
    <row r="272" spans="1:10" x14ac:dyDescent="0.25">
      <c r="A272" s="168"/>
      <c r="B272" s="144"/>
      <c r="C272" s="34">
        <v>135</v>
      </c>
      <c r="D272" s="144" t="str">
        <f>'Vật liệu'!$B$221</f>
        <v>V00226</v>
      </c>
      <c r="E272" s="144" t="str">
        <f>" - " &amp; 'Vật liệu'!$D$221</f>
        <v xml:space="preserve"> - Dây thép</v>
      </c>
      <c r="F272" s="168" t="str">
        <f>'Vật liệu'!$E$221</f>
        <v>kg</v>
      </c>
      <c r="G272" s="34">
        <f>'Hao phí vật tư'!$G$273</f>
        <v>21.42</v>
      </c>
      <c r="H272" s="68">
        <f>'Vật liệu'!$W$221</f>
        <v>17500</v>
      </c>
      <c r="I272" s="37">
        <v>1</v>
      </c>
      <c r="J272" s="166">
        <f>ROUND(G272*H272*I272,0)</f>
        <v>374850</v>
      </c>
    </row>
    <row r="273" spans="1:10" x14ac:dyDescent="0.25">
      <c r="A273" s="168"/>
      <c r="B273" s="144"/>
      <c r="C273" s="34">
        <v>484</v>
      </c>
      <c r="D273" s="144" t="str">
        <f>'Vật liệu'!$B$650</f>
        <v>V48494</v>
      </c>
      <c r="E273" s="144" t="str">
        <f>" - " &amp; 'Vật liệu'!$D$650</f>
        <v xml:space="preserve"> - Thép tròn đường kính &lt;=10 mm</v>
      </c>
      <c r="F273" s="168" t="str">
        <f>'Vật liệu'!$E$650</f>
        <v>kg</v>
      </c>
      <c r="G273" s="34">
        <f>'Hao phí vật tư'!$G$274</f>
        <v>1005</v>
      </c>
      <c r="H273" s="68">
        <f>'Vật liệu'!$W$650</f>
        <v>14158</v>
      </c>
      <c r="I273" s="37">
        <v>1</v>
      </c>
      <c r="J273" s="166">
        <f>ROUND(G273*H273*I273,0)</f>
        <v>14228790</v>
      </c>
    </row>
    <row r="274" spans="1:10" x14ac:dyDescent="0.25">
      <c r="A274" s="56"/>
      <c r="B274" s="23"/>
      <c r="C274" s="88"/>
      <c r="D274" s="23"/>
      <c r="E274" s="23" t="s">
        <v>202</v>
      </c>
      <c r="F274" s="56"/>
      <c r="G274" s="88"/>
      <c r="H274" s="48"/>
      <c r="I274" s="90"/>
      <c r="J274" s="48">
        <f>ROUND(SUM(J275:J275),0)</f>
        <v>3448267</v>
      </c>
    </row>
    <row r="275" spans="1:10" x14ac:dyDescent="0.25">
      <c r="A275" s="168"/>
      <c r="B275" s="144"/>
      <c r="C275" s="34">
        <v>546</v>
      </c>
      <c r="D275" s="144" t="str">
        <f>'Nhân công'!$B$45</f>
        <v>N0009</v>
      </c>
      <c r="E275" s="144" t="s">
        <v>1052</v>
      </c>
      <c r="F275" s="168" t="str">
        <f>'Nhân công'!$G$45</f>
        <v>công</v>
      </c>
      <c r="G275" s="34">
        <f>'Hao phí vật tư'!$H$276</f>
        <v>16.2</v>
      </c>
      <c r="H275" s="68">
        <f>'Nhân công'!$M$45</f>
        <v>212856</v>
      </c>
      <c r="I275" s="37">
        <v>1</v>
      </c>
      <c r="J275" s="166">
        <f>ROUND(G275*H275*I275,0)</f>
        <v>3448267</v>
      </c>
    </row>
    <row r="276" spans="1:10" x14ac:dyDescent="0.25">
      <c r="A276" s="56"/>
      <c r="B276" s="23"/>
      <c r="C276" s="88"/>
      <c r="D276" s="23"/>
      <c r="E276" s="23" t="s">
        <v>378</v>
      </c>
      <c r="F276" s="56"/>
      <c r="G276" s="88"/>
      <c r="H276" s="48"/>
      <c r="I276" s="90"/>
      <c r="J276" s="48">
        <f>ROUND(SUM(J277:J277),0)</f>
        <v>91218</v>
      </c>
    </row>
    <row r="277" spans="1:10" x14ac:dyDescent="0.25">
      <c r="A277" s="168"/>
      <c r="B277" s="144"/>
      <c r="C277" s="34">
        <v>737</v>
      </c>
      <c r="D277" s="144" t="str">
        <f>'Máy thi công'!$B$184</f>
        <v>M9521</v>
      </c>
      <c r="E277" s="144" t="str">
        <f>" - " &amp; 'Máy thi công'!$D$184</f>
        <v xml:space="preserve"> - Máy cắt uốn cốt thép - công suất: 5 kW</v>
      </c>
      <c r="F277" s="168" t="str">
        <f>'Máy thi công'!$E$184</f>
        <v>ca</v>
      </c>
      <c r="G277" s="34">
        <f>'Hao phí vật tư'!$I$278</f>
        <v>0.4</v>
      </c>
      <c r="H277" s="68">
        <f>'Máy thi công'!$N$184</f>
        <v>228044</v>
      </c>
      <c r="I277" s="37">
        <v>1</v>
      </c>
      <c r="J277" s="166">
        <f>ROUND(G277*H277*I277,0)</f>
        <v>91218</v>
      </c>
    </row>
    <row r="278" spans="1:10" ht="28.5" x14ac:dyDescent="0.25">
      <c r="A278" s="65">
        <f>'Công trình'!$A$37</f>
        <v>26</v>
      </c>
      <c r="B278" s="14" t="str">
        <f>'Công trình'!$B$37</f>
        <v>AF.61521</v>
      </c>
      <c r="C278" s="94"/>
      <c r="D278" s="31"/>
      <c r="E278" s="14" t="str">
        <f>'Công trình'!$C$37</f>
        <v>Sản xuất, lắp dựng cốt thép xà dầm, giằng đường kính &lt;=18mm, chiều cao &lt;=4m</v>
      </c>
      <c r="F278" s="46" t="str">
        <f>'Công trình'!$D$37</f>
        <v>tấn</v>
      </c>
      <c r="G278" s="94"/>
      <c r="H278" s="54"/>
      <c r="I278" s="98"/>
      <c r="J278" s="54"/>
    </row>
    <row r="279" spans="1:10" x14ac:dyDescent="0.25">
      <c r="A279" s="56"/>
      <c r="B279" s="23"/>
      <c r="C279" s="88"/>
      <c r="D279" s="23"/>
      <c r="E279" s="23" t="s">
        <v>479</v>
      </c>
      <c r="F279" s="56"/>
      <c r="G279" s="88"/>
      <c r="H279" s="48"/>
      <c r="I279" s="90"/>
      <c r="J279" s="48">
        <f>ROUND(SUM(J280:J282),0)</f>
        <v>14678788</v>
      </c>
    </row>
    <row r="280" spans="1:10" x14ac:dyDescent="0.25">
      <c r="A280" s="168"/>
      <c r="B280" s="144"/>
      <c r="C280" s="34">
        <v>154</v>
      </c>
      <c r="D280" s="144" t="str">
        <f>'Vật liệu'!$B$450</f>
        <v>V00515</v>
      </c>
      <c r="E280" s="144" t="str">
        <f>" - " &amp; 'Vật liệu'!$D$450</f>
        <v xml:space="preserve"> - Que hàn</v>
      </c>
      <c r="F280" s="168" t="str">
        <f>'Vật liệu'!$E$450</f>
        <v>kg</v>
      </c>
      <c r="G280" s="34">
        <f>'Hao phí vật tư'!$G$281</f>
        <v>4.7</v>
      </c>
      <c r="H280" s="68">
        <f>'Vật liệu'!$W$450</f>
        <v>19091</v>
      </c>
      <c r="I280" s="37">
        <v>1</v>
      </c>
      <c r="J280" s="166">
        <f>ROUND(G280*H280*I280,0)</f>
        <v>89728</v>
      </c>
    </row>
    <row r="281" spans="1:10" x14ac:dyDescent="0.25">
      <c r="A281" s="168"/>
      <c r="B281" s="144"/>
      <c r="C281" s="34">
        <v>135</v>
      </c>
      <c r="D281" s="144" t="str">
        <f>'Vật liệu'!$B$221</f>
        <v>V00226</v>
      </c>
      <c r="E281" s="144" t="str">
        <f>" - " &amp; 'Vật liệu'!$D$221</f>
        <v xml:space="preserve"> - Dây thép</v>
      </c>
      <c r="F281" s="168" t="str">
        <f>'Vật liệu'!$E$221</f>
        <v>kg</v>
      </c>
      <c r="G281" s="34">
        <f>'Hao phí vật tư'!$G$282</f>
        <v>14.28</v>
      </c>
      <c r="H281" s="68">
        <f>'Vật liệu'!$W$221</f>
        <v>17500</v>
      </c>
      <c r="I281" s="37">
        <v>1</v>
      </c>
      <c r="J281" s="166">
        <f>ROUND(G281*H281*I281,0)</f>
        <v>249900</v>
      </c>
    </row>
    <row r="282" spans="1:10" x14ac:dyDescent="0.25">
      <c r="A282" s="168"/>
      <c r="B282" s="144"/>
      <c r="C282" s="34">
        <v>485</v>
      </c>
      <c r="D282" s="144" t="str">
        <f>'Vật liệu'!$B$665</f>
        <v>V48495</v>
      </c>
      <c r="E282" s="144" t="str">
        <f>" - " &amp; 'Vật liệu'!$D$665</f>
        <v xml:space="preserve"> - Thép tròn đường kính &lt;=18mm</v>
      </c>
      <c r="F282" s="168" t="str">
        <f>'Vật liệu'!$E$665</f>
        <v>kg</v>
      </c>
      <c r="G282" s="34">
        <f>'Hao phí vật tư'!$G$283</f>
        <v>1020</v>
      </c>
      <c r="H282" s="68">
        <f>'Vật liệu'!$W$665</f>
        <v>14058</v>
      </c>
      <c r="I282" s="37">
        <v>1</v>
      </c>
      <c r="J282" s="166">
        <f>ROUND(G282*H282*I282,0)</f>
        <v>14339160</v>
      </c>
    </row>
    <row r="283" spans="1:10" x14ac:dyDescent="0.25">
      <c r="A283" s="56"/>
      <c r="B283" s="23"/>
      <c r="C283" s="88"/>
      <c r="D283" s="23"/>
      <c r="E283" s="23" t="s">
        <v>202</v>
      </c>
      <c r="F283" s="56"/>
      <c r="G283" s="88"/>
      <c r="H283" s="48"/>
      <c r="I283" s="90"/>
      <c r="J283" s="48">
        <f>ROUND(SUM(J284:J284),0)</f>
        <v>2137074</v>
      </c>
    </row>
    <row r="284" spans="1:10" x14ac:dyDescent="0.25">
      <c r="A284" s="168"/>
      <c r="B284" s="144"/>
      <c r="C284" s="34">
        <v>546</v>
      </c>
      <c r="D284" s="144" t="str">
        <f>'Nhân công'!$B$45</f>
        <v>N0009</v>
      </c>
      <c r="E284" s="144" t="s">
        <v>1052</v>
      </c>
      <c r="F284" s="168" t="str">
        <f>'Nhân công'!$G$45</f>
        <v>công</v>
      </c>
      <c r="G284" s="34">
        <f>'Hao phí vật tư'!$H$285</f>
        <v>10.039999999999999</v>
      </c>
      <c r="H284" s="68">
        <f>'Nhân công'!$M$45</f>
        <v>212856</v>
      </c>
      <c r="I284" s="37">
        <v>1</v>
      </c>
      <c r="J284" s="166">
        <f>ROUND(G284*H284*I284,0)</f>
        <v>2137074</v>
      </c>
    </row>
    <row r="285" spans="1:10" x14ac:dyDescent="0.25">
      <c r="A285" s="56"/>
      <c r="B285" s="23"/>
      <c r="C285" s="88"/>
      <c r="D285" s="23"/>
      <c r="E285" s="23" t="s">
        <v>378</v>
      </c>
      <c r="F285" s="56"/>
      <c r="G285" s="88"/>
      <c r="H285" s="48"/>
      <c r="I285" s="90"/>
      <c r="J285" s="48">
        <f>ROUND(SUM(J286:J287),0)</f>
        <v>455951</v>
      </c>
    </row>
    <row r="286" spans="1:10" x14ac:dyDescent="0.25">
      <c r="A286" s="168"/>
      <c r="B286" s="144"/>
      <c r="C286" s="34">
        <v>737</v>
      </c>
      <c r="D286" s="144" t="str">
        <f>'Máy thi công'!$B$184</f>
        <v>M9521</v>
      </c>
      <c r="E286" s="144" t="str">
        <f>" - " &amp; 'Máy thi công'!$D$184</f>
        <v xml:space="preserve"> - Máy cắt uốn cốt thép - công suất: 5 kW</v>
      </c>
      <c r="F286" s="168" t="str">
        <f>'Máy thi công'!$E$184</f>
        <v>ca</v>
      </c>
      <c r="G286" s="34">
        <f>'Hao phí vật tư'!$I$287</f>
        <v>0.32</v>
      </c>
      <c r="H286" s="68">
        <f>'Máy thi công'!$N$184</f>
        <v>228044</v>
      </c>
      <c r="I286" s="37">
        <v>1</v>
      </c>
      <c r="J286" s="166">
        <f>ROUND(G286*H286*I286,0)</f>
        <v>72974</v>
      </c>
    </row>
    <row r="287" spans="1:10" x14ac:dyDescent="0.25">
      <c r="A287" s="168"/>
      <c r="B287" s="144"/>
      <c r="C287" s="34">
        <v>714</v>
      </c>
      <c r="D287" s="144" t="str">
        <f>'Máy thi công'!$B$6</f>
        <v>M9438</v>
      </c>
      <c r="E287" s="144" t="str">
        <f>" - " &amp; 'Máy thi công'!$D$6</f>
        <v xml:space="preserve"> - Biến thế hàn xoay chiều - công suất: 23 kW</v>
      </c>
      <c r="F287" s="168" t="str">
        <f>'Máy thi công'!$E$6</f>
        <v>ca</v>
      </c>
      <c r="G287" s="34">
        <f>'Hao phí vật tư'!$I$288</f>
        <v>1.133</v>
      </c>
      <c r="H287" s="68">
        <f>'Máy thi công'!$N$6</f>
        <v>338020</v>
      </c>
      <c r="I287" s="37">
        <v>1</v>
      </c>
      <c r="J287" s="166">
        <f>ROUND(G287*H287*I287,0)</f>
        <v>382977</v>
      </c>
    </row>
    <row r="288" spans="1:10" ht="28.5" x14ac:dyDescent="0.25">
      <c r="A288" s="65">
        <f>'Công trình'!$A$39</f>
        <v>27</v>
      </c>
      <c r="B288" s="14" t="str">
        <f>'Công trình'!$B$39</f>
        <v>AI.13111</v>
      </c>
      <c r="C288" s="94"/>
      <c r="D288" s="31"/>
      <c r="E288" s="14" t="str">
        <f>'Công trình'!$C$39</f>
        <v>Sản xuất cấu kiện thép đặt sẵn trong bê tông, khối lượng &lt;=10kg/cấu kiện</v>
      </c>
      <c r="F288" s="46" t="str">
        <f>'Công trình'!$D$39</f>
        <v>tấn</v>
      </c>
      <c r="G288" s="94"/>
      <c r="H288" s="54"/>
      <c r="I288" s="98"/>
      <c r="J288" s="54"/>
    </row>
    <row r="289" spans="1:10" x14ac:dyDescent="0.25">
      <c r="A289" s="56"/>
      <c r="B289" s="23"/>
      <c r="C289" s="88"/>
      <c r="D289" s="23"/>
      <c r="E289" s="23" t="s">
        <v>479</v>
      </c>
      <c r="F289" s="56"/>
      <c r="G289" s="88"/>
      <c r="H289" s="48"/>
      <c r="I289" s="90"/>
      <c r="J289" s="48">
        <f>ROUND(SUM(J290:J296),0)</f>
        <v>15447317</v>
      </c>
    </row>
    <row r="290" spans="1:10" x14ac:dyDescent="0.25">
      <c r="A290" s="168"/>
      <c r="B290" s="144"/>
      <c r="C290" s="34">
        <v>407</v>
      </c>
      <c r="D290" s="144" t="str">
        <f>'Vật liệu'!$B$186</f>
        <v>V00824</v>
      </c>
      <c r="E290" s="144" t="str">
        <f>" - " &amp; 'Vật liệu'!$D$186</f>
        <v xml:space="preserve"> - Đá mài</v>
      </c>
      <c r="F290" s="168" t="str">
        <f>'Vật liệu'!$E$186</f>
        <v>viên</v>
      </c>
      <c r="G290" s="34">
        <f>'Hao phí vật tư'!$G$291</f>
        <v>0.7</v>
      </c>
      <c r="H290" s="68">
        <f>'Vật liệu'!$W$186</f>
        <v>13200</v>
      </c>
      <c r="I290" s="37">
        <v>1</v>
      </c>
      <c r="J290" s="166">
        <f t="shared" ref="J290:J295" si="3">ROUND(G290*H290*I290,0)</f>
        <v>9240</v>
      </c>
    </row>
    <row r="291" spans="1:10" x14ac:dyDescent="0.25">
      <c r="A291" s="168"/>
      <c r="B291" s="144"/>
      <c r="C291" s="34">
        <v>154</v>
      </c>
      <c r="D291" s="144" t="str">
        <f>'Vật liệu'!$B$450</f>
        <v>V00515</v>
      </c>
      <c r="E291" s="144" t="str">
        <f>" - " &amp; 'Vật liệu'!$D$450</f>
        <v xml:space="preserve"> - Que hàn</v>
      </c>
      <c r="F291" s="168" t="str">
        <f>'Vật liệu'!$E$450</f>
        <v>kg</v>
      </c>
      <c r="G291" s="34">
        <f>'Hao phí vật tư'!$G$292</f>
        <v>19.38</v>
      </c>
      <c r="H291" s="68">
        <f>'Vật liệu'!$W$450</f>
        <v>19091</v>
      </c>
      <c r="I291" s="37">
        <v>1</v>
      </c>
      <c r="J291" s="166">
        <f t="shared" si="3"/>
        <v>369984</v>
      </c>
    </row>
    <row r="292" spans="1:10" x14ac:dyDescent="0.25">
      <c r="A292" s="168"/>
      <c r="B292" s="144"/>
      <c r="C292" s="34">
        <v>411</v>
      </c>
      <c r="D292" s="144" t="str">
        <f>'Vật liệu'!$B$200</f>
        <v>V00833</v>
      </c>
      <c r="E292" s="144" t="str">
        <f>" - " &amp; 'Vật liệu'!$D$200</f>
        <v xml:space="preserve"> - Đất đèn</v>
      </c>
      <c r="F292" s="168" t="str">
        <f>'Vật liệu'!$E$200</f>
        <v>kg</v>
      </c>
      <c r="G292" s="34">
        <f>'Hao phí vật tư'!$G$293</f>
        <v>14.8</v>
      </c>
      <c r="H292" s="68">
        <f>'Vật liệu'!$W$200</f>
        <v>14000</v>
      </c>
      <c r="I292" s="37">
        <v>1</v>
      </c>
      <c r="J292" s="166">
        <f t="shared" si="3"/>
        <v>207200</v>
      </c>
    </row>
    <row r="293" spans="1:10" x14ac:dyDescent="0.25">
      <c r="A293" s="168"/>
      <c r="B293" s="144"/>
      <c r="C293" s="34">
        <v>166</v>
      </c>
      <c r="D293" s="144" t="str">
        <f>'Vật liệu'!$B$606</f>
        <v>V00671</v>
      </c>
      <c r="E293" s="144" t="str">
        <f>" - " &amp; 'Vật liệu'!$D$606</f>
        <v xml:space="preserve"> - Thép tấm</v>
      </c>
      <c r="F293" s="168" t="str">
        <f>'Vật liệu'!$E$606</f>
        <v>kg</v>
      </c>
      <c r="G293" s="34">
        <f>'Hao phí vật tư'!$G$294</f>
        <v>825</v>
      </c>
      <c r="H293" s="68">
        <f>'Vật liệu'!$W$606</f>
        <v>12574</v>
      </c>
      <c r="I293" s="37">
        <v>1</v>
      </c>
      <c r="J293" s="166">
        <f t="shared" si="3"/>
        <v>10373550</v>
      </c>
    </row>
    <row r="294" spans="1:10" x14ac:dyDescent="0.25">
      <c r="A294" s="168"/>
      <c r="B294" s="144"/>
      <c r="C294" s="34">
        <v>487</v>
      </c>
      <c r="D294" s="144" t="str">
        <f>'Vật liệu'!$B$684</f>
        <v>V48497</v>
      </c>
      <c r="E294" s="144" t="str">
        <f>" - " &amp; 'Vật liệu'!$D$684</f>
        <v xml:space="preserve"> - Thép tròn đường kính &gt;14</v>
      </c>
      <c r="F294" s="168" t="str">
        <f>'Vật liệu'!$E$684</f>
        <v>kg</v>
      </c>
      <c r="G294" s="34">
        <f>'Hao phí vật tư'!$G$295</f>
        <v>275.5</v>
      </c>
      <c r="H294" s="68">
        <f>'Vật liệu'!$W$684</f>
        <v>14058</v>
      </c>
      <c r="I294" s="37">
        <v>1</v>
      </c>
      <c r="J294" s="166">
        <f t="shared" si="3"/>
        <v>3872979</v>
      </c>
    </row>
    <row r="295" spans="1:10" x14ac:dyDescent="0.25">
      <c r="A295" s="168"/>
      <c r="B295" s="144"/>
      <c r="C295" s="34">
        <v>400</v>
      </c>
      <c r="D295" s="144" t="str">
        <f>'Vật liệu'!$B$401</f>
        <v>V00770</v>
      </c>
      <c r="E295" s="144" t="str">
        <f>" - " &amp; 'Vật liệu'!$D$401</f>
        <v xml:space="preserve"> - Ô xy</v>
      </c>
      <c r="F295" s="168" t="str">
        <f>'Vật liệu'!$E$401</f>
        <v>Chai</v>
      </c>
      <c r="G295" s="34">
        <f>'Hao phí vật tư'!$G$296</f>
        <v>3.3</v>
      </c>
      <c r="H295" s="68">
        <f>'Vật liệu'!$W$401</f>
        <v>72000</v>
      </c>
      <c r="I295" s="37">
        <v>1</v>
      </c>
      <c r="J295" s="166">
        <f t="shared" si="3"/>
        <v>237600</v>
      </c>
    </row>
    <row r="296" spans="1:10" x14ac:dyDescent="0.25">
      <c r="A296" s="168"/>
      <c r="B296" s="144"/>
      <c r="C296" s="34">
        <v>192</v>
      </c>
      <c r="D296" s="144" t="str">
        <f>'Vật liệu'!$B$766</f>
        <v>V00750</v>
      </c>
      <c r="E296" s="144" t="str">
        <f>" - " &amp; 'Vật liệu'!$D$766</f>
        <v xml:space="preserve"> - Vật liệu khác</v>
      </c>
      <c r="F296" s="168" t="str">
        <f>'Vật liệu'!$E$766</f>
        <v>%</v>
      </c>
      <c r="G296" s="34">
        <f>'Hao phí vật tư'!$G$297</f>
        <v>2.5</v>
      </c>
      <c r="H296" s="166">
        <f>'Vật liệu'!$W$766</f>
        <v>0</v>
      </c>
      <c r="I296" s="37">
        <v>1</v>
      </c>
      <c r="J296" s="166">
        <f>ROUND((J290+J291+J292+J293+J294+J295)*G296*I296/100,0)</f>
        <v>376764</v>
      </c>
    </row>
    <row r="297" spans="1:10" x14ac:dyDescent="0.25">
      <c r="A297" s="56"/>
      <c r="B297" s="23"/>
      <c r="C297" s="88"/>
      <c r="D297" s="23"/>
      <c r="E297" s="23" t="s">
        <v>202</v>
      </c>
      <c r="F297" s="56"/>
      <c r="G297" s="88"/>
      <c r="H297" s="48"/>
      <c r="I297" s="90"/>
      <c r="J297" s="48">
        <f>ROUND(SUM(J298:J298),0)</f>
        <v>8769288</v>
      </c>
    </row>
    <row r="298" spans="1:10" x14ac:dyDescent="0.25">
      <c r="A298" s="168"/>
      <c r="B298" s="144"/>
      <c r="C298" s="34">
        <v>553</v>
      </c>
      <c r="D298" s="144" t="str">
        <f>'Nhân công'!$B$221</f>
        <v>N0013</v>
      </c>
      <c r="E298" s="144" t="s">
        <v>275</v>
      </c>
      <c r="F298" s="168" t="str">
        <f>'Nhân công'!$G$221</f>
        <v>công</v>
      </c>
      <c r="G298" s="34">
        <f>'Hao phí vật tư'!$H$299</f>
        <v>34.9</v>
      </c>
      <c r="H298" s="68">
        <f>'Nhân công'!$M$221</f>
        <v>251269</v>
      </c>
      <c r="I298" s="37">
        <v>1</v>
      </c>
      <c r="J298" s="166">
        <f>ROUND(G298*H298*I298,0)</f>
        <v>8769288</v>
      </c>
    </row>
    <row r="299" spans="1:10" x14ac:dyDescent="0.25">
      <c r="A299" s="56"/>
      <c r="B299" s="23"/>
      <c r="C299" s="88"/>
      <c r="D299" s="23"/>
      <c r="E299" s="23" t="s">
        <v>378</v>
      </c>
      <c r="F299" s="56"/>
      <c r="G299" s="88"/>
      <c r="H299" s="48"/>
      <c r="I299" s="90"/>
      <c r="J299" s="48">
        <f>ROUND(SUM(J300:J303),0)</f>
        <v>1842565</v>
      </c>
    </row>
    <row r="300" spans="1:10" x14ac:dyDescent="0.25">
      <c r="A300" s="168"/>
      <c r="B300" s="144"/>
      <c r="C300" s="34">
        <v>701</v>
      </c>
      <c r="D300" s="144" t="str">
        <f>'Máy thi công'!$B$273</f>
        <v>M112.1501</v>
      </c>
      <c r="E300" s="144" t="str">
        <f>" - " &amp; 'Máy thi công'!$D$273</f>
        <v xml:space="preserve"> - Máy khoan đứng - công suất: 2,5 kW</v>
      </c>
      <c r="F300" s="168" t="str">
        <f>'Máy thi công'!$E$273</f>
        <v>ca</v>
      </c>
      <c r="G300" s="34">
        <f>'Hao phí vật tư'!$I$301</f>
        <v>1.55</v>
      </c>
      <c r="H300" s="68">
        <f>'Máy thi công'!$N$273</f>
        <v>247705</v>
      </c>
      <c r="I300" s="37">
        <v>1</v>
      </c>
      <c r="J300" s="166">
        <f>ROUND(G300*H300*I300,0)</f>
        <v>383943</v>
      </c>
    </row>
    <row r="301" spans="1:10" x14ac:dyDescent="0.25">
      <c r="A301" s="168"/>
      <c r="B301" s="144"/>
      <c r="C301" s="34">
        <v>714</v>
      </c>
      <c r="D301" s="144" t="str">
        <f>'Máy thi công'!$B$6</f>
        <v>M9438</v>
      </c>
      <c r="E301" s="144" t="str">
        <f>" - " &amp; 'Máy thi công'!$D$6</f>
        <v xml:space="preserve"> - Biến thế hàn xoay chiều - công suất: 23 kW</v>
      </c>
      <c r="F301" s="168" t="str">
        <f>'Máy thi công'!$E$6</f>
        <v>ca</v>
      </c>
      <c r="G301" s="34">
        <f>'Hao phí vật tư'!$I$302</f>
        <v>3.23</v>
      </c>
      <c r="H301" s="68">
        <f>'Máy thi công'!$N$6</f>
        <v>338020</v>
      </c>
      <c r="I301" s="37">
        <v>1</v>
      </c>
      <c r="J301" s="166">
        <f>ROUND(G301*H301*I301,0)</f>
        <v>1091805</v>
      </c>
    </row>
    <row r="302" spans="1:10" x14ac:dyDescent="0.25">
      <c r="A302" s="168"/>
      <c r="B302" s="144"/>
      <c r="C302" s="34">
        <v>705</v>
      </c>
      <c r="D302" s="144" t="str">
        <f>'Máy thi công'!$B$285</f>
        <v>M112.3702</v>
      </c>
      <c r="E302" s="144" t="str">
        <f>" - " &amp; 'Máy thi công'!$D$285</f>
        <v xml:space="preserve"> - Máy mài - công suất: 2,7 kW</v>
      </c>
      <c r="F302" s="168" t="str">
        <f>'Máy thi công'!$E$285</f>
        <v>ca</v>
      </c>
      <c r="G302" s="34">
        <f>'Hao phí vật tư'!$I$303</f>
        <v>1.55</v>
      </c>
      <c r="H302" s="68">
        <f>'Máy thi công'!$N$285</f>
        <v>213347</v>
      </c>
      <c r="I302" s="37">
        <v>1</v>
      </c>
      <c r="J302" s="166">
        <f>ROUND(G302*H302*I302,0)</f>
        <v>330688</v>
      </c>
    </row>
    <row r="303" spans="1:10" x14ac:dyDescent="0.25">
      <c r="A303" s="168"/>
      <c r="B303" s="144"/>
      <c r="C303" s="34">
        <v>570</v>
      </c>
      <c r="D303" s="144" t="str">
        <f>'Máy thi công'!$B$398</f>
        <v>M0111</v>
      </c>
      <c r="E303" s="144" t="str">
        <f>" - " &amp; 'Máy thi công'!$D$398</f>
        <v xml:space="preserve"> - Máy khác</v>
      </c>
      <c r="F303" s="168" t="str">
        <f>'Máy thi công'!$E$398</f>
        <v>%</v>
      </c>
      <c r="G303" s="34">
        <f>'Hao phí vật tư'!$I$304</f>
        <v>2</v>
      </c>
      <c r="H303" s="166">
        <f>'Máy thi công'!$N$398</f>
        <v>0</v>
      </c>
      <c r="I303" s="37">
        <v>1</v>
      </c>
      <c r="J303" s="166">
        <f>ROUND((J300+J301+J302)*G303*I303/100,0)</f>
        <v>36129</v>
      </c>
    </row>
    <row r="304" spans="1:10" x14ac:dyDescent="0.25">
      <c r="A304" s="65">
        <f>'Công trình'!$A$40</f>
        <v>28</v>
      </c>
      <c r="B304" s="14" t="str">
        <f>'Công trình'!$B$40</f>
        <v>TT</v>
      </c>
      <c r="C304" s="94"/>
      <c r="D304" s="31"/>
      <c r="E304" s="14" t="str">
        <f>'Công trình'!$C$40</f>
        <v>Bulong M10</v>
      </c>
      <c r="F304" s="46" t="str">
        <f>'Công trình'!$D$40</f>
        <v>bộ</v>
      </c>
      <c r="G304" s="94"/>
      <c r="H304" s="54"/>
      <c r="I304" s="98"/>
      <c r="J304" s="54"/>
    </row>
    <row r="305" spans="1:10" x14ac:dyDescent="0.25">
      <c r="A305" s="56"/>
      <c r="B305" s="23"/>
      <c r="C305" s="88"/>
      <c r="D305" s="23"/>
      <c r="E305" s="23" t="s">
        <v>479</v>
      </c>
      <c r="F305" s="56"/>
      <c r="G305" s="88"/>
      <c r="H305" s="48"/>
      <c r="I305" s="90"/>
      <c r="J305" s="48">
        <f>ROUND(SUM(J306:J306),0)</f>
        <v>12000</v>
      </c>
    </row>
    <row r="306" spans="1:10" x14ac:dyDescent="0.25">
      <c r="A306" s="168"/>
      <c r="B306" s="144"/>
      <c r="C306" s="34">
        <v>448</v>
      </c>
      <c r="D306" s="144" t="str">
        <f>'Vật liệu'!$B$34</f>
        <v>V12675</v>
      </c>
      <c r="E306" s="144" t="str">
        <f>" - " &amp; 'Vật liệu'!$D$34</f>
        <v xml:space="preserve"> - Bulông M10</v>
      </c>
      <c r="F306" s="168" t="str">
        <f>'Vật liệu'!$E$34</f>
        <v>cái</v>
      </c>
      <c r="G306" s="34">
        <f>'Hao phí vật tư'!$G$307</f>
        <v>1</v>
      </c>
      <c r="H306" s="68">
        <f>'Vật liệu'!$W$34</f>
        <v>12000</v>
      </c>
      <c r="I306" s="37">
        <v>1</v>
      </c>
      <c r="J306" s="166">
        <f>ROUND(G306*H306*I306,0)</f>
        <v>12000</v>
      </c>
    </row>
    <row r="307" spans="1:10" x14ac:dyDescent="0.25">
      <c r="A307" s="65">
        <f>'Công trình'!$A$41</f>
        <v>29</v>
      </c>
      <c r="B307" s="14" t="str">
        <f>'Công trình'!$B$41</f>
        <v>TT</v>
      </c>
      <c r="C307" s="94"/>
      <c r="D307" s="31"/>
      <c r="E307" s="14" t="str">
        <f>'Công trình'!$C$41</f>
        <v xml:space="preserve">Mốc đồng </v>
      </c>
      <c r="F307" s="46" t="str">
        <f>'Công trình'!$D$41</f>
        <v>kg</v>
      </c>
      <c r="G307" s="94"/>
      <c r="H307" s="54"/>
      <c r="I307" s="98"/>
      <c r="J307" s="54"/>
    </row>
    <row r="308" spans="1:10" x14ac:dyDescent="0.25">
      <c r="A308" s="56"/>
      <c r="B308" s="23"/>
      <c r="C308" s="88"/>
      <c r="D308" s="23"/>
      <c r="E308" s="23" t="s">
        <v>479</v>
      </c>
      <c r="F308" s="56"/>
      <c r="G308" s="88"/>
      <c r="H308" s="48"/>
      <c r="I308" s="90"/>
      <c r="J308" s="48">
        <f>ROUND(SUM(J309:J309),0)</f>
        <v>222600</v>
      </c>
    </row>
    <row r="309" spans="1:10" x14ac:dyDescent="0.25">
      <c r="A309" s="168"/>
      <c r="B309" s="144"/>
      <c r="C309" s="34">
        <v>536</v>
      </c>
      <c r="D309" s="144" t="str">
        <f>'Vật liệu'!$B$347</f>
        <v>mdong</v>
      </c>
      <c r="E309" s="144" t="str">
        <f>" - " &amp; 'Vật liệu'!$D$347</f>
        <v xml:space="preserve"> - Mốc đồng</v>
      </c>
      <c r="F309" s="168" t="str">
        <f>'Vật liệu'!$E$347</f>
        <v>kg</v>
      </c>
      <c r="G309" s="34">
        <f>'Hao phí vật tư'!$G$310</f>
        <v>1</v>
      </c>
      <c r="H309" s="68">
        <f>'Vật liệu'!$W$347</f>
        <v>222600</v>
      </c>
      <c r="I309" s="37">
        <v>1</v>
      </c>
      <c r="J309" s="166">
        <f>ROUND(G309*H309*I309,0)</f>
        <v>222600</v>
      </c>
    </row>
    <row r="310" spans="1:10" ht="28.5" x14ac:dyDescent="0.25">
      <c r="A310" s="65">
        <f>'Công trình'!$A$42</f>
        <v>30</v>
      </c>
      <c r="B310" s="14" t="str">
        <f>'Công trình'!$B$42</f>
        <v>AC.11121</v>
      </c>
      <c r="C310" s="94"/>
      <c r="D310" s="31"/>
      <c r="E310" s="14" t="str">
        <f>'Công trình'!$C$42</f>
        <v>Đóng cọc tràm chiều dài cọc ngập đất &gt;2,5m đất cấp I</v>
      </c>
      <c r="F310" s="46" t="str">
        <f>'Công trình'!$D$42</f>
        <v>100m</v>
      </c>
      <c r="G310" s="94"/>
      <c r="H310" s="54"/>
      <c r="I310" s="98"/>
      <c r="J310" s="54"/>
    </row>
    <row r="311" spans="1:10" x14ac:dyDescent="0.25">
      <c r="A311" s="56"/>
      <c r="B311" s="23"/>
      <c r="C311" s="88"/>
      <c r="D311" s="23"/>
      <c r="E311" s="23" t="s">
        <v>479</v>
      </c>
      <c r="F311" s="56"/>
      <c r="G311" s="88"/>
      <c r="H311" s="48"/>
      <c r="I311" s="90"/>
      <c r="J311" s="48">
        <f>ROUND(SUM(J312:J315),0)</f>
        <v>767494</v>
      </c>
    </row>
    <row r="312" spans="1:10" x14ac:dyDescent="0.25">
      <c r="A312" s="168"/>
      <c r="B312" s="144"/>
      <c r="C312" s="34">
        <v>142</v>
      </c>
      <c r="D312" s="144" t="str">
        <f>'Vật liệu'!$B$307</f>
        <v>V00402</v>
      </c>
      <c r="E312" s="144" t="str">
        <f>" - " &amp; 'Vật liệu'!$D$307</f>
        <v xml:space="preserve"> - Gỗ ván</v>
      </c>
      <c r="F312" s="168" t="str">
        <f>'Vật liệu'!$E$307</f>
        <v>m3</v>
      </c>
      <c r="G312" s="34">
        <f>'Hao phí vật tư'!$G$313</f>
        <v>0.01</v>
      </c>
      <c r="H312" s="68">
        <f>'Vật liệu'!$W$307</f>
        <v>3272727</v>
      </c>
      <c r="I312" s="37">
        <v>1</v>
      </c>
      <c r="J312" s="166">
        <f>ROUND(G312*H312*I312,0)</f>
        <v>32727</v>
      </c>
    </row>
    <row r="313" spans="1:10" x14ac:dyDescent="0.25">
      <c r="A313" s="168"/>
      <c r="B313" s="144"/>
      <c r="C313" s="34">
        <v>466</v>
      </c>
      <c r="D313" s="144" t="str">
        <f>'Vật liệu'!$B$124</f>
        <v>V32325</v>
      </c>
      <c r="E313" s="144" t="str">
        <f>" - " &amp; 'Vật liệu'!$D$124</f>
        <v xml:space="preserve"> - Cọc tràm</v>
      </c>
      <c r="F313" s="168" t="str">
        <f>'Vật liệu'!$E$124</f>
        <v>m</v>
      </c>
      <c r="G313" s="34">
        <f>'Hao phí vật tư'!$G$314</f>
        <v>105</v>
      </c>
      <c r="H313" s="68">
        <f>'Vật liệu'!$W$124</f>
        <v>6364</v>
      </c>
      <c r="I313" s="37">
        <v>1</v>
      </c>
      <c r="J313" s="166">
        <f>ROUND(G313*H313*I313,0)</f>
        <v>668220</v>
      </c>
    </row>
    <row r="314" spans="1:10" x14ac:dyDescent="0.25">
      <c r="A314" s="168"/>
      <c r="B314" s="144"/>
      <c r="C314" s="34">
        <v>129</v>
      </c>
      <c r="D314" s="144" t="str">
        <f>'Vật liệu'!$B$101</f>
        <v>V00116</v>
      </c>
      <c r="E314" s="144" t="str">
        <f>" - " &amp; 'Vật liệu'!$D$101</f>
        <v xml:space="preserve"> - Cây chống</v>
      </c>
      <c r="F314" s="168" t="str">
        <f>'Vật liệu'!$E$101</f>
        <v>cây</v>
      </c>
      <c r="G314" s="34">
        <f>'Hao phí vật tư'!$G$315</f>
        <v>1.65</v>
      </c>
      <c r="H314" s="68">
        <f>'Vật liệu'!$W$101</f>
        <v>18182</v>
      </c>
      <c r="I314" s="37">
        <v>1</v>
      </c>
      <c r="J314" s="166">
        <f>ROUND(G314*H314*I314,0)</f>
        <v>30000</v>
      </c>
    </row>
    <row r="315" spans="1:10" x14ac:dyDescent="0.25">
      <c r="A315" s="168"/>
      <c r="B315" s="144"/>
      <c r="C315" s="34">
        <v>193</v>
      </c>
      <c r="D315" s="144" t="str">
        <f>'Vật liệu'!$B$766</f>
        <v>V00750</v>
      </c>
      <c r="E315" s="144" t="str">
        <f>" - " &amp; 'Vật liệu'!$D$766</f>
        <v xml:space="preserve"> - Vật liệu khác</v>
      </c>
      <c r="F315" s="168" t="str">
        <f>'Vật liệu'!$E$766</f>
        <v>%</v>
      </c>
      <c r="G315" s="34">
        <f>'Hao phí vật tư'!$G$316</f>
        <v>5</v>
      </c>
      <c r="H315" s="166">
        <f>'Vật liệu'!$W$766</f>
        <v>0</v>
      </c>
      <c r="I315" s="37">
        <v>1</v>
      </c>
      <c r="J315" s="166">
        <f>ROUND((J312+J313+J314)*G315*I315/100,0)</f>
        <v>36547</v>
      </c>
    </row>
    <row r="316" spans="1:10" x14ac:dyDescent="0.25">
      <c r="A316" s="56"/>
      <c r="B316" s="23"/>
      <c r="C316" s="88"/>
      <c r="D316" s="23"/>
      <c r="E316" s="23" t="s">
        <v>202</v>
      </c>
      <c r="F316" s="56"/>
      <c r="G316" s="88"/>
      <c r="H316" s="48"/>
      <c r="I316" s="90"/>
      <c r="J316" s="48">
        <f>ROUND(SUM(J317:J317),0)</f>
        <v>605983</v>
      </c>
    </row>
    <row r="317" spans="1:10" x14ac:dyDescent="0.25">
      <c r="A317" s="168"/>
      <c r="B317" s="144"/>
      <c r="C317" s="34">
        <v>554</v>
      </c>
      <c r="D317" s="144" t="str">
        <f>'Nhân công'!$B$103</f>
        <v>N0015</v>
      </c>
      <c r="E317" s="144" t="s">
        <v>1014</v>
      </c>
      <c r="F317" s="168" t="str">
        <f>'Nhân công'!$G$103</f>
        <v>công</v>
      </c>
      <c r="G317" s="34">
        <f>'Hao phí vật tư'!$H$318</f>
        <v>2.5299999999999998</v>
      </c>
      <c r="H317" s="68">
        <f>'Nhân công'!$M$103</f>
        <v>239519</v>
      </c>
      <c r="I317" s="37">
        <v>1</v>
      </c>
      <c r="J317" s="166">
        <f>ROUND(G317*H317*I317,0)</f>
        <v>605983</v>
      </c>
    </row>
    <row r="318" spans="1:10" ht="28.5" x14ac:dyDescent="0.25">
      <c r="A318" s="65">
        <f>'Công trình'!$A$43</f>
        <v>31</v>
      </c>
      <c r="B318" s="14" t="str">
        <f>'Công trình'!$B$43</f>
        <v>AF.11212</v>
      </c>
      <c r="C318" s="94"/>
      <c r="D318" s="31"/>
      <c r="E318" s="14" t="str">
        <f>'Công trình'!$C$43</f>
        <v>Bê tông móng rộng &lt;=250cm đá 1x2, vữa BT mác 150</v>
      </c>
      <c r="F318" s="46" t="str">
        <f>'Công trình'!$D$43</f>
        <v>m3</v>
      </c>
      <c r="G318" s="94"/>
      <c r="H318" s="54"/>
      <c r="I318" s="98"/>
      <c r="J318" s="54"/>
    </row>
    <row r="319" spans="1:10" x14ac:dyDescent="0.25">
      <c r="A319" s="56"/>
      <c r="B319" s="23"/>
      <c r="C319" s="88"/>
      <c r="D319" s="23"/>
      <c r="E319" s="23" t="s">
        <v>479</v>
      </c>
      <c r="F319" s="56"/>
      <c r="G319" s="88"/>
      <c r="H319" s="48"/>
      <c r="I319" s="90"/>
      <c r="J319" s="48">
        <f>ROUND(SUM(J320:J324),0)</f>
        <v>926019</v>
      </c>
    </row>
    <row r="320" spans="1:10" x14ac:dyDescent="0.25">
      <c r="A320" s="168"/>
      <c r="B320" s="144"/>
      <c r="C320" s="34">
        <v>397</v>
      </c>
      <c r="D320" s="144" t="str">
        <f>'Vật liệu'!$B$721</f>
        <v>V00761</v>
      </c>
      <c r="E320" s="144" t="str">
        <f>" - " &amp; 'Vật liệu'!$D$721</f>
        <v xml:space="preserve"> - Xi măng PC40</v>
      </c>
      <c r="F320" s="168" t="str">
        <f>'Vật liệu'!$E$721</f>
        <v>kg</v>
      </c>
      <c r="G320" s="34">
        <f>'Hao phí vật tư'!$G$321</f>
        <v>238.82499999999999</v>
      </c>
      <c r="H320" s="68">
        <f>'Vật liệu'!$W$721</f>
        <v>1513</v>
      </c>
      <c r="I320" s="37">
        <v>1</v>
      </c>
      <c r="J320" s="166">
        <f>ROUND(G320*H320*I320,0)</f>
        <v>361342</v>
      </c>
    </row>
    <row r="321" spans="1:10" x14ac:dyDescent="0.25">
      <c r="A321" s="168"/>
      <c r="B321" s="144"/>
      <c r="C321" s="34">
        <v>125</v>
      </c>
      <c r="D321" s="144" t="str">
        <f>'Vật liệu'!$B$54</f>
        <v>V00112</v>
      </c>
      <c r="E321" s="144" t="str">
        <f>" - " &amp; 'Vật liệu'!$D$54</f>
        <v xml:space="preserve"> - Cát vàng</v>
      </c>
      <c r="F321" s="168" t="str">
        <f>'Vật liệu'!$E$54</f>
        <v>m3</v>
      </c>
      <c r="G321" s="34">
        <f>'Hao phí vật tư'!$G$322</f>
        <v>0.52280000000000004</v>
      </c>
      <c r="H321" s="68">
        <f>'Vật liệu'!$W$54</f>
        <v>420000</v>
      </c>
      <c r="I321" s="37">
        <v>1</v>
      </c>
      <c r="J321" s="166">
        <f>ROUND(G321*H321*I321,0)</f>
        <v>219576</v>
      </c>
    </row>
    <row r="322" spans="1:10" x14ac:dyDescent="0.25">
      <c r="A322" s="168"/>
      <c r="B322" s="144"/>
      <c r="C322" s="34">
        <v>416</v>
      </c>
      <c r="D322" s="144" t="str">
        <f>'Vật liệu'!$B$142</f>
        <v>V05207</v>
      </c>
      <c r="E322" s="144" t="str">
        <f>" - " &amp; 'Vật liệu'!$D$142</f>
        <v xml:space="preserve"> - Đá 1x2</v>
      </c>
      <c r="F322" s="168" t="str">
        <f>'Vật liệu'!$E$142</f>
        <v>m3</v>
      </c>
      <c r="G322" s="34">
        <f>'Hao phí vật tư'!$G$323</f>
        <v>0.92559999999999998</v>
      </c>
      <c r="H322" s="68">
        <f>'Vật liệu'!$W$142</f>
        <v>360886</v>
      </c>
      <c r="I322" s="37">
        <v>1</v>
      </c>
      <c r="J322" s="166">
        <f>ROUND(G322*H322*I322,0)</f>
        <v>334036</v>
      </c>
    </row>
    <row r="323" spans="1:10" x14ac:dyDescent="0.25">
      <c r="A323" s="168"/>
      <c r="B323" s="144"/>
      <c r="C323" s="34">
        <v>148</v>
      </c>
      <c r="D323" s="144" t="str">
        <f>'Vật liệu'!$B$353</f>
        <v>V00494</v>
      </c>
      <c r="E323" s="144" t="str">
        <f>" - " &amp; 'Vật liệu'!$D$353</f>
        <v xml:space="preserve"> - Nước</v>
      </c>
      <c r="F323" s="168" t="str">
        <f>'Vật liệu'!$E$353</f>
        <v>lít</v>
      </c>
      <c r="G323" s="34">
        <f>'Hao phí vật tư'!$G$324</f>
        <v>189.625</v>
      </c>
      <c r="H323" s="68">
        <f>'Vật liệu'!$W$353</f>
        <v>10</v>
      </c>
      <c r="I323" s="37">
        <v>1</v>
      </c>
      <c r="J323" s="166">
        <f>ROUND(G323*H323*I323,0)</f>
        <v>1896</v>
      </c>
    </row>
    <row r="324" spans="1:10" x14ac:dyDescent="0.25">
      <c r="A324" s="168"/>
      <c r="B324" s="144"/>
      <c r="C324" s="34">
        <v>194</v>
      </c>
      <c r="D324" s="144" t="str">
        <f>'Vật liệu'!$B$766</f>
        <v>V00750</v>
      </c>
      <c r="E324" s="144" t="str">
        <f>" - " &amp; 'Vật liệu'!$D$766</f>
        <v xml:space="preserve"> - Vật liệu khác</v>
      </c>
      <c r="F324" s="168" t="str">
        <f>'Vật liệu'!$E$766</f>
        <v>%</v>
      </c>
      <c r="G324" s="34">
        <f>'Hao phí vật tư'!$G$325</f>
        <v>1</v>
      </c>
      <c r="H324" s="166">
        <f>'Vật liệu'!$W$766</f>
        <v>0</v>
      </c>
      <c r="I324" s="37">
        <v>1</v>
      </c>
      <c r="J324" s="166">
        <f>ROUND((J320+J321+J322+J323)*G324*I324/100,0)</f>
        <v>9169</v>
      </c>
    </row>
    <row r="325" spans="1:10" x14ac:dyDescent="0.25">
      <c r="A325" s="56"/>
      <c r="B325" s="23"/>
      <c r="C325" s="88"/>
      <c r="D325" s="23"/>
      <c r="E325" s="23" t="s">
        <v>202</v>
      </c>
      <c r="F325" s="56"/>
      <c r="G325" s="88"/>
      <c r="H325" s="48"/>
      <c r="I325" s="90"/>
      <c r="J325" s="48">
        <f>ROUND(SUM(J326:J326),0)</f>
        <v>320179</v>
      </c>
    </row>
    <row r="326" spans="1:10" x14ac:dyDescent="0.25">
      <c r="A326" s="168"/>
      <c r="B326" s="144"/>
      <c r="C326" s="34">
        <v>545</v>
      </c>
      <c r="D326" s="144" t="str">
        <f>'Nhân công'!$B$6</f>
        <v>N0006</v>
      </c>
      <c r="E326" s="144" t="s">
        <v>256</v>
      </c>
      <c r="F326" s="168" t="str">
        <f>'Nhân công'!$G$6</f>
        <v>công</v>
      </c>
      <c r="G326" s="34">
        <f>'Hao phí vật tư'!$H$327</f>
        <v>1.64</v>
      </c>
      <c r="H326" s="68">
        <f>'Nhân công'!$M$6</f>
        <v>195231</v>
      </c>
      <c r="I326" s="37">
        <v>1</v>
      </c>
      <c r="J326" s="166">
        <f>ROUND(G326*H326*I326,0)</f>
        <v>320179</v>
      </c>
    </row>
    <row r="327" spans="1:10" x14ac:dyDescent="0.25">
      <c r="A327" s="56"/>
      <c r="B327" s="23"/>
      <c r="C327" s="88"/>
      <c r="D327" s="23"/>
      <c r="E327" s="23" t="s">
        <v>378</v>
      </c>
      <c r="F327" s="56"/>
      <c r="G327" s="88"/>
      <c r="H327" s="48"/>
      <c r="I327" s="90"/>
      <c r="J327" s="48">
        <f>ROUND(SUM(J328:J329),0)</f>
        <v>47495</v>
      </c>
    </row>
    <row r="328" spans="1:10" x14ac:dyDescent="0.25">
      <c r="A328" s="168"/>
      <c r="B328" s="144"/>
      <c r="C328" s="34">
        <v>750</v>
      </c>
      <c r="D328" s="144" t="str">
        <f>'Máy thi công'!$B$232</f>
        <v>M9571</v>
      </c>
      <c r="E328" s="144" t="str">
        <f>" - " &amp; 'Máy thi công'!$D$232</f>
        <v xml:space="preserve"> - Máy đầm bê tông, dầm dùi - công suất: 1,5 kW</v>
      </c>
      <c r="F328" s="168" t="str">
        <f>'Máy thi công'!$E$232</f>
        <v>ca</v>
      </c>
      <c r="G328" s="34">
        <f>'Hao phí vật tư'!$I$329</f>
        <v>8.8999999999999996E-2</v>
      </c>
      <c r="H328" s="68">
        <f>'Máy thi công'!$N$232</f>
        <v>225765</v>
      </c>
      <c r="I328" s="37">
        <v>1</v>
      </c>
      <c r="J328" s="166">
        <f>ROUND(G328*H328*I328,0)</f>
        <v>20093</v>
      </c>
    </row>
    <row r="329" spans="1:10" x14ac:dyDescent="0.25">
      <c r="A329" s="168"/>
      <c r="B329" s="144"/>
      <c r="C329" s="34">
        <v>744</v>
      </c>
      <c r="D329" s="144" t="str">
        <f>'Máy thi công'!$B$306</f>
        <v>M9555</v>
      </c>
      <c r="E329" s="144" t="str">
        <f>" - " &amp; 'Máy thi công'!$D$306</f>
        <v xml:space="preserve"> - Máy trộn bê tông - dung tích: 250 lít</v>
      </c>
      <c r="F329" s="168" t="str">
        <f>'Máy thi công'!$E$306</f>
        <v>ca</v>
      </c>
      <c r="G329" s="34">
        <f>'Hao phí vật tư'!$I$330</f>
        <v>9.5000000000000001E-2</v>
      </c>
      <c r="H329" s="68">
        <f>'Máy thi công'!$N$306</f>
        <v>288447</v>
      </c>
      <c r="I329" s="37">
        <v>1</v>
      </c>
      <c r="J329" s="166">
        <f>ROUND(G329*H329*I329,0)</f>
        <v>27402</v>
      </c>
    </row>
    <row r="330" spans="1:10" ht="28.5" x14ac:dyDescent="0.25">
      <c r="A330" s="65">
        <f>'Công trình'!$A$44</f>
        <v>32</v>
      </c>
      <c r="B330" s="14" t="str">
        <f>'Công trình'!$B$44</f>
        <v>AF.11213</v>
      </c>
      <c r="C330" s="94"/>
      <c r="D330" s="31"/>
      <c r="E330" s="14" t="str">
        <f>'Công trình'!$C$44</f>
        <v>Bê tông móng rộng &lt;=250cm đá 1x2, vữa BT mác 200</v>
      </c>
      <c r="F330" s="46" t="str">
        <f>'Công trình'!$D$44</f>
        <v>m3</v>
      </c>
      <c r="G330" s="94"/>
      <c r="H330" s="54"/>
      <c r="I330" s="98"/>
      <c r="J330" s="54"/>
    </row>
    <row r="331" spans="1:10" x14ac:dyDescent="0.25">
      <c r="A331" s="56"/>
      <c r="B331" s="23"/>
      <c r="C331" s="88"/>
      <c r="D331" s="23"/>
      <c r="E331" s="23" t="s">
        <v>479</v>
      </c>
      <c r="F331" s="56"/>
      <c r="G331" s="88"/>
      <c r="H331" s="48"/>
      <c r="I331" s="90"/>
      <c r="J331" s="48">
        <f>ROUND(SUM(J332:J336),0)</f>
        <v>989296</v>
      </c>
    </row>
    <row r="332" spans="1:10" x14ac:dyDescent="0.25">
      <c r="A332" s="168"/>
      <c r="B332" s="144"/>
      <c r="C332" s="34">
        <v>397</v>
      </c>
      <c r="D332" s="144" t="str">
        <f>'Vật liệu'!$B$721</f>
        <v>V00761</v>
      </c>
      <c r="E332" s="144" t="str">
        <f>" - " &amp; 'Vật liệu'!$D$721</f>
        <v xml:space="preserve"> - Xi măng PC40</v>
      </c>
      <c r="F332" s="168" t="str">
        <f>'Vật liệu'!$E$721</f>
        <v>kg</v>
      </c>
      <c r="G332" s="34">
        <f>'Hao phí vật tư'!$G$333</f>
        <v>288.02499999999998</v>
      </c>
      <c r="H332" s="68">
        <f>'Vật liệu'!$W$721</f>
        <v>1513</v>
      </c>
      <c r="I332" s="37">
        <v>1</v>
      </c>
      <c r="J332" s="166">
        <f>ROUND(G332*H332*I332,0)</f>
        <v>435782</v>
      </c>
    </row>
    <row r="333" spans="1:10" x14ac:dyDescent="0.25">
      <c r="A333" s="168"/>
      <c r="B333" s="144"/>
      <c r="C333" s="34">
        <v>125</v>
      </c>
      <c r="D333" s="144" t="str">
        <f>'Vật liệu'!$B$54</f>
        <v>V00112</v>
      </c>
      <c r="E333" s="144" t="str">
        <f>" - " &amp; 'Vật liệu'!$D$54</f>
        <v xml:space="preserve"> - Cát vàng</v>
      </c>
      <c r="F333" s="168" t="str">
        <f>'Vật liệu'!$E$54</f>
        <v>m3</v>
      </c>
      <c r="G333" s="34">
        <f>'Hao phí vật tư'!$G$334</f>
        <v>0.50529999999999997</v>
      </c>
      <c r="H333" s="68">
        <f>'Vật liệu'!$W$54</f>
        <v>420000</v>
      </c>
      <c r="I333" s="37">
        <v>1</v>
      </c>
      <c r="J333" s="166">
        <f>ROUND(G333*H333*I333,0)</f>
        <v>212226</v>
      </c>
    </row>
    <row r="334" spans="1:10" x14ac:dyDescent="0.25">
      <c r="A334" s="168"/>
      <c r="B334" s="144"/>
      <c r="C334" s="34">
        <v>416</v>
      </c>
      <c r="D334" s="144" t="str">
        <f>'Vật liệu'!$B$142</f>
        <v>V05207</v>
      </c>
      <c r="E334" s="144" t="str">
        <f>" - " &amp; 'Vật liệu'!$D$142</f>
        <v xml:space="preserve"> - Đá 1x2</v>
      </c>
      <c r="F334" s="168" t="str">
        <f>'Vật liệu'!$E$142</f>
        <v>m3</v>
      </c>
      <c r="G334" s="34">
        <f>'Hao phí vật tư'!$G$335</f>
        <v>0.9133</v>
      </c>
      <c r="H334" s="68">
        <f>'Vật liệu'!$W$142</f>
        <v>360886</v>
      </c>
      <c r="I334" s="37">
        <v>1</v>
      </c>
      <c r="J334" s="166">
        <f>ROUND(G334*H334*I334,0)</f>
        <v>329597</v>
      </c>
    </row>
    <row r="335" spans="1:10" x14ac:dyDescent="0.25">
      <c r="A335" s="168"/>
      <c r="B335" s="144"/>
      <c r="C335" s="34">
        <v>148</v>
      </c>
      <c r="D335" s="144" t="str">
        <f>'Vật liệu'!$B$353</f>
        <v>V00494</v>
      </c>
      <c r="E335" s="144" t="str">
        <f>" - " &amp; 'Vật liệu'!$D$353</f>
        <v xml:space="preserve"> - Nước</v>
      </c>
      <c r="F335" s="168" t="str">
        <f>'Vật liệu'!$E$353</f>
        <v>lít</v>
      </c>
      <c r="G335" s="34">
        <f>'Hao phí vật tư'!$G$336</f>
        <v>189.625</v>
      </c>
      <c r="H335" s="68">
        <f>'Vật liệu'!$W$353</f>
        <v>10</v>
      </c>
      <c r="I335" s="37">
        <v>1</v>
      </c>
      <c r="J335" s="166">
        <f>ROUND(G335*H335*I335,0)</f>
        <v>1896</v>
      </c>
    </row>
    <row r="336" spans="1:10" x14ac:dyDescent="0.25">
      <c r="A336" s="168"/>
      <c r="B336" s="144"/>
      <c r="C336" s="34">
        <v>195</v>
      </c>
      <c r="D336" s="144" t="str">
        <f>'Vật liệu'!$B$766</f>
        <v>V00750</v>
      </c>
      <c r="E336" s="144" t="str">
        <f>" - " &amp; 'Vật liệu'!$D$766</f>
        <v xml:space="preserve"> - Vật liệu khác</v>
      </c>
      <c r="F336" s="168" t="str">
        <f>'Vật liệu'!$E$766</f>
        <v>%</v>
      </c>
      <c r="G336" s="34">
        <f>'Hao phí vật tư'!$G$337</f>
        <v>1</v>
      </c>
      <c r="H336" s="166">
        <f>'Vật liệu'!$W$766</f>
        <v>0</v>
      </c>
      <c r="I336" s="37">
        <v>1</v>
      </c>
      <c r="J336" s="166">
        <f>ROUND((J332+J333+J334+J335)*G336*I336/100,0)</f>
        <v>9795</v>
      </c>
    </row>
    <row r="337" spans="1:10" x14ac:dyDescent="0.25">
      <c r="A337" s="56"/>
      <c r="B337" s="23"/>
      <c r="C337" s="88"/>
      <c r="D337" s="23"/>
      <c r="E337" s="23" t="s">
        <v>202</v>
      </c>
      <c r="F337" s="56"/>
      <c r="G337" s="88"/>
      <c r="H337" s="48"/>
      <c r="I337" s="90"/>
      <c r="J337" s="48">
        <f>ROUND(SUM(J338:J338),0)</f>
        <v>320179</v>
      </c>
    </row>
    <row r="338" spans="1:10" x14ac:dyDescent="0.25">
      <c r="A338" s="168"/>
      <c r="B338" s="144"/>
      <c r="C338" s="34">
        <v>545</v>
      </c>
      <c r="D338" s="144" t="str">
        <f>'Nhân công'!$B$6</f>
        <v>N0006</v>
      </c>
      <c r="E338" s="144" t="s">
        <v>256</v>
      </c>
      <c r="F338" s="168" t="str">
        <f>'Nhân công'!$G$6</f>
        <v>công</v>
      </c>
      <c r="G338" s="34">
        <f>'Hao phí vật tư'!$H$339</f>
        <v>1.64</v>
      </c>
      <c r="H338" s="68">
        <f>'Nhân công'!$M$6</f>
        <v>195231</v>
      </c>
      <c r="I338" s="37">
        <v>1</v>
      </c>
      <c r="J338" s="166">
        <f>ROUND(G338*H338*I338,0)</f>
        <v>320179</v>
      </c>
    </row>
    <row r="339" spans="1:10" x14ac:dyDescent="0.25">
      <c r="A339" s="56"/>
      <c r="B339" s="23"/>
      <c r="C339" s="88"/>
      <c r="D339" s="23"/>
      <c r="E339" s="23" t="s">
        <v>378</v>
      </c>
      <c r="F339" s="56"/>
      <c r="G339" s="88"/>
      <c r="H339" s="48"/>
      <c r="I339" s="90"/>
      <c r="J339" s="48">
        <f>ROUND(SUM(J340:J341),0)</f>
        <v>47495</v>
      </c>
    </row>
    <row r="340" spans="1:10" x14ac:dyDescent="0.25">
      <c r="A340" s="168"/>
      <c r="B340" s="144"/>
      <c r="C340" s="34">
        <v>750</v>
      </c>
      <c r="D340" s="144" t="str">
        <f>'Máy thi công'!$B$232</f>
        <v>M9571</v>
      </c>
      <c r="E340" s="144" t="str">
        <f>" - " &amp; 'Máy thi công'!$D$232</f>
        <v xml:space="preserve"> - Máy đầm bê tông, dầm dùi - công suất: 1,5 kW</v>
      </c>
      <c r="F340" s="168" t="str">
        <f>'Máy thi công'!$E$232</f>
        <v>ca</v>
      </c>
      <c r="G340" s="34">
        <f>'Hao phí vật tư'!$I$341</f>
        <v>8.8999999999999996E-2</v>
      </c>
      <c r="H340" s="68">
        <f>'Máy thi công'!$N$232</f>
        <v>225765</v>
      </c>
      <c r="I340" s="37">
        <v>1</v>
      </c>
      <c r="J340" s="166">
        <f>ROUND(G340*H340*I340,0)</f>
        <v>20093</v>
      </c>
    </row>
    <row r="341" spans="1:10" x14ac:dyDescent="0.25">
      <c r="A341" s="168"/>
      <c r="B341" s="144"/>
      <c r="C341" s="34">
        <v>744</v>
      </c>
      <c r="D341" s="144" t="str">
        <f>'Máy thi công'!$B$306</f>
        <v>M9555</v>
      </c>
      <c r="E341" s="144" t="str">
        <f>" - " &amp; 'Máy thi công'!$D$306</f>
        <v xml:space="preserve"> - Máy trộn bê tông - dung tích: 250 lít</v>
      </c>
      <c r="F341" s="168" t="str">
        <f>'Máy thi công'!$E$306</f>
        <v>ca</v>
      </c>
      <c r="G341" s="34">
        <f>'Hao phí vật tư'!$I$342</f>
        <v>9.5000000000000001E-2</v>
      </c>
      <c r="H341" s="68">
        <f>'Máy thi công'!$N$306</f>
        <v>288447</v>
      </c>
      <c r="I341" s="37">
        <v>1</v>
      </c>
      <c r="J341" s="166">
        <f>ROUND(G341*H341*I341,0)</f>
        <v>27402</v>
      </c>
    </row>
    <row r="342" spans="1:10" ht="28.5" x14ac:dyDescent="0.25">
      <c r="A342" s="65">
        <f>'Công trình'!$A$45</f>
        <v>33</v>
      </c>
      <c r="B342" s="14" t="str">
        <f>'Công trình'!$B$45</f>
        <v>AK.84422</v>
      </c>
      <c r="C342" s="94"/>
      <c r="D342" s="31"/>
      <c r="E342" s="14" t="str">
        <f>'Công trình'!$C$45</f>
        <v>Sơn dầm, trần, cột, tường 1 nước lót + 2 nước phủ bằng sơn ICI Dulux</v>
      </c>
      <c r="F342" s="46" t="str">
        <f>'Công trình'!$D$45</f>
        <v>m2</v>
      </c>
      <c r="G342" s="94"/>
      <c r="H342" s="54"/>
      <c r="I342" s="98"/>
      <c r="J342" s="54"/>
    </row>
    <row r="343" spans="1:10" x14ac:dyDescent="0.25">
      <c r="A343" s="56"/>
      <c r="B343" s="23"/>
      <c r="C343" s="88"/>
      <c r="D343" s="23"/>
      <c r="E343" s="23" t="s">
        <v>479</v>
      </c>
      <c r="F343" s="56"/>
      <c r="G343" s="88"/>
      <c r="H343" s="48"/>
      <c r="I343" s="90"/>
      <c r="J343" s="48">
        <f>ROUND(SUM(J344:J346),0)</f>
        <v>16015</v>
      </c>
    </row>
    <row r="344" spans="1:10" x14ac:dyDescent="0.25">
      <c r="A344" s="168"/>
      <c r="B344" s="144"/>
      <c r="C344" s="34">
        <v>157</v>
      </c>
      <c r="D344" s="144" t="str">
        <f>'Vật liệu'!$B$533</f>
        <v>V00552</v>
      </c>
      <c r="E344" s="144" t="str">
        <f>" - " &amp; 'Vật liệu'!$D$533</f>
        <v xml:space="preserve"> - Sơn ICI Dulux Supreme cao cấp trong nhà</v>
      </c>
      <c r="F344" s="168" t="str">
        <f>'Vật liệu'!$E$533</f>
        <v>kg</v>
      </c>
      <c r="G344" s="34">
        <f>'Hao phí vật tư'!$G$345</f>
        <v>0.192</v>
      </c>
      <c r="H344" s="68">
        <f>'Vật liệu'!$W$533</f>
        <v>63564</v>
      </c>
      <c r="I344" s="37">
        <v>1</v>
      </c>
      <c r="J344" s="166">
        <f>ROUND(G344*H344*I344,0)</f>
        <v>12204</v>
      </c>
    </row>
    <row r="345" spans="1:10" x14ac:dyDescent="0.25">
      <c r="A345" s="168"/>
      <c r="B345" s="144"/>
      <c r="C345" s="34">
        <v>440</v>
      </c>
      <c r="D345" s="144" t="str">
        <f>'Vật liệu'!$B$535</f>
        <v>V08617</v>
      </c>
      <c r="E345" s="144" t="str">
        <f>" - " &amp; 'Vật liệu'!$D$535</f>
        <v xml:space="preserve"> - Sơn lót ICI Dulux Sealer-2000, chống kiềm</v>
      </c>
      <c r="F345" s="168" t="str">
        <f>'Vật liệu'!$E$535</f>
        <v>kg</v>
      </c>
      <c r="G345" s="34">
        <f>'Hao phí vật tư'!$G$346</f>
        <v>0.16200000000000001</v>
      </c>
      <c r="H345" s="68">
        <f>'Vật liệu'!$W$535</f>
        <v>22545</v>
      </c>
      <c r="I345" s="37">
        <v>1</v>
      </c>
      <c r="J345" s="166">
        <f>ROUND(G345*H345*I345,0)</f>
        <v>3652</v>
      </c>
    </row>
    <row r="346" spans="1:10" x14ac:dyDescent="0.25">
      <c r="A346" s="168"/>
      <c r="B346" s="144"/>
      <c r="C346" s="34">
        <v>196</v>
      </c>
      <c r="D346" s="144" t="str">
        <f>'Vật liệu'!$B$766</f>
        <v>V00750</v>
      </c>
      <c r="E346" s="144" t="str">
        <f>" - " &amp; 'Vật liệu'!$D$766</f>
        <v xml:space="preserve"> - Vật liệu khác</v>
      </c>
      <c r="F346" s="168" t="str">
        <f>'Vật liệu'!$E$766</f>
        <v>%</v>
      </c>
      <c r="G346" s="34">
        <f>'Hao phí vật tư'!$G$347</f>
        <v>1</v>
      </c>
      <c r="H346" s="166">
        <f>'Vật liệu'!$W$766</f>
        <v>0</v>
      </c>
      <c r="I346" s="37">
        <v>1</v>
      </c>
      <c r="J346" s="166">
        <f>ROUND((J344+J345)*G346*I346/100,0)</f>
        <v>159</v>
      </c>
    </row>
    <row r="347" spans="1:10" x14ac:dyDescent="0.25">
      <c r="A347" s="56"/>
      <c r="B347" s="23"/>
      <c r="C347" s="88"/>
      <c r="D347" s="23"/>
      <c r="E347" s="23" t="s">
        <v>202</v>
      </c>
      <c r="F347" s="56"/>
      <c r="G347" s="88"/>
      <c r="H347" s="48"/>
      <c r="I347" s="90"/>
      <c r="J347" s="48">
        <f>ROUND(SUM(J348:J348),0)</f>
        <v>14048</v>
      </c>
    </row>
    <row r="348" spans="1:10" x14ac:dyDescent="0.25">
      <c r="A348" s="168"/>
      <c r="B348" s="144"/>
      <c r="C348" s="34">
        <v>546</v>
      </c>
      <c r="D348" s="144" t="str">
        <f>'Nhân công'!$B$45</f>
        <v>N0009</v>
      </c>
      <c r="E348" s="144" t="s">
        <v>1052</v>
      </c>
      <c r="F348" s="168" t="str">
        <f>'Nhân công'!$G$45</f>
        <v>công</v>
      </c>
      <c r="G348" s="34">
        <f>'Hao phí vật tư'!$H$349</f>
        <v>6.6000000000000003E-2</v>
      </c>
      <c r="H348" s="68">
        <f>'Nhân công'!$M$45</f>
        <v>212856</v>
      </c>
      <c r="I348" s="37">
        <v>1</v>
      </c>
      <c r="J348" s="166">
        <f>ROUND(G348*H348*I348,0)</f>
        <v>14048</v>
      </c>
    </row>
    <row r="349" spans="1:10" x14ac:dyDescent="0.25">
      <c r="A349" s="65">
        <f>'Công trình'!$A$47</f>
        <v>34</v>
      </c>
      <c r="B349" s="14" t="str">
        <f>'Công trình'!$B$47</f>
        <v>035.41</v>
      </c>
      <c r="C349" s="94"/>
      <c r="D349" s="31"/>
      <c r="E349" s="14" t="str">
        <f>'Công trình'!$C$47</f>
        <v>Thả rọ thép đá hộc, loai rọ 2x1x0.5 trên cạn</v>
      </c>
      <c r="F349" s="46" t="str">
        <f>'Công trình'!$D$47</f>
        <v>rọ</v>
      </c>
      <c r="G349" s="94"/>
      <c r="H349" s="54"/>
      <c r="I349" s="98"/>
      <c r="J349" s="54"/>
    </row>
    <row r="350" spans="1:10" x14ac:dyDescent="0.25">
      <c r="A350" s="56"/>
      <c r="B350" s="23"/>
      <c r="C350" s="88"/>
      <c r="D350" s="23"/>
      <c r="E350" s="23" t="s">
        <v>479</v>
      </c>
      <c r="F350" s="56"/>
      <c r="G350" s="88"/>
      <c r="H350" s="48"/>
      <c r="I350" s="90"/>
      <c r="J350" s="48">
        <f>ROUND(SUM(J351:J352),0)</f>
        <v>843355</v>
      </c>
    </row>
    <row r="351" spans="1:10" x14ac:dyDescent="0.25">
      <c r="A351" s="168"/>
      <c r="B351" s="144"/>
      <c r="C351" s="34">
        <v>470</v>
      </c>
      <c r="D351" s="144" t="str">
        <f>'Vật liệu'!$B$182</f>
        <v>V35307</v>
      </c>
      <c r="E351" s="144" t="str">
        <f>" - " &amp; 'Vật liệu'!$D$182</f>
        <v xml:space="preserve"> - Đá hộc 30x30</v>
      </c>
      <c r="F351" s="168" t="str">
        <f>'Vật liệu'!$E$182</f>
        <v>m3</v>
      </c>
      <c r="G351" s="34">
        <f>'Hao phí vật tư'!$G$352</f>
        <v>1.1000000000000001</v>
      </c>
      <c r="H351" s="68">
        <f>'Vật liệu'!$W$182</f>
        <v>438545</v>
      </c>
      <c r="I351" s="37">
        <v>1</v>
      </c>
      <c r="J351" s="166">
        <f>ROUND(G351*H351*I351,0)</f>
        <v>482400</v>
      </c>
    </row>
    <row r="352" spans="1:10" ht="30" x14ac:dyDescent="0.25">
      <c r="A352" s="168"/>
      <c r="B352" s="144"/>
      <c r="C352" s="34">
        <v>471</v>
      </c>
      <c r="D352" s="144" t="str">
        <f>'Vật liệu'!$B$262</f>
        <v>V37377</v>
      </c>
      <c r="E352" s="144" t="str">
        <f>" - " &amp; 'Vật liệu'!$D$262</f>
        <v xml:space="preserve"> - Dây thép bọc PVC dây đan 2,7x3,7mm, dây viền 3,4x4,4mm</v>
      </c>
      <c r="F352" s="168" t="str">
        <f>'Vật liệu'!$E$262</f>
        <v>m2</v>
      </c>
      <c r="G352" s="34">
        <f>'Hao phí vật tư'!$G$353</f>
        <v>7</v>
      </c>
      <c r="H352" s="68">
        <f>'Vật liệu'!$W$262</f>
        <v>51565</v>
      </c>
      <c r="I352" s="37">
        <v>1</v>
      </c>
      <c r="J352" s="166">
        <f>ROUND(G352*H352*I352,0)</f>
        <v>360955</v>
      </c>
    </row>
    <row r="353" spans="1:10" x14ac:dyDescent="0.25">
      <c r="A353" s="56"/>
      <c r="B353" s="23"/>
      <c r="C353" s="88"/>
      <c r="D353" s="23"/>
      <c r="E353" s="23" t="s">
        <v>202</v>
      </c>
      <c r="F353" s="56"/>
      <c r="G353" s="88"/>
      <c r="H353" s="48"/>
      <c r="I353" s="90"/>
      <c r="J353" s="48">
        <f>ROUND(SUM(J354:J354),0)</f>
        <v>344507</v>
      </c>
    </row>
    <row r="354" spans="1:10" x14ac:dyDescent="0.25">
      <c r="A354" s="168"/>
      <c r="B354" s="144"/>
      <c r="C354" s="34">
        <v>546</v>
      </c>
      <c r="D354" s="144" t="str">
        <f>'Nhân công'!$B$45</f>
        <v>N0009</v>
      </c>
      <c r="E354" s="144" t="s">
        <v>1052</v>
      </c>
      <c r="F354" s="168" t="str">
        <f>'Nhân công'!$G$45</f>
        <v>công</v>
      </c>
      <c r="G354" s="34">
        <f>'Hao phí vật tư'!$H$355</f>
        <v>1.6185</v>
      </c>
      <c r="H354" s="68">
        <f>'Nhân công'!$M$45</f>
        <v>212856</v>
      </c>
      <c r="I354" s="37">
        <v>1</v>
      </c>
      <c r="J354" s="166">
        <f>ROUND(G354*H354*I354,0)</f>
        <v>344507</v>
      </c>
    </row>
    <row r="355" spans="1:10" x14ac:dyDescent="0.25">
      <c r="A355" s="65">
        <f>'Công trình'!$A$48</f>
        <v>35</v>
      </c>
      <c r="B355" s="14" t="str">
        <f>'Công trình'!$B$48</f>
        <v>035.41</v>
      </c>
      <c r="C355" s="94"/>
      <c r="D355" s="31"/>
      <c r="E355" s="14" t="str">
        <f>'Công trình'!$C$48</f>
        <v>Thả rọ thép đá hộc, loai rọ 2x1x0.3 trên cạn</v>
      </c>
      <c r="F355" s="46" t="str">
        <f>'Công trình'!$D$48</f>
        <v>rọ</v>
      </c>
      <c r="G355" s="94"/>
      <c r="H355" s="54"/>
      <c r="I355" s="98"/>
      <c r="J355" s="54"/>
    </row>
    <row r="356" spans="1:10" x14ac:dyDescent="0.25">
      <c r="A356" s="56"/>
      <c r="B356" s="23"/>
      <c r="C356" s="88"/>
      <c r="D356" s="23"/>
      <c r="E356" s="23" t="s">
        <v>479</v>
      </c>
      <c r="F356" s="56"/>
      <c r="G356" s="88"/>
      <c r="H356" s="48"/>
      <c r="I356" s="90"/>
      <c r="J356" s="48">
        <f>ROUND(SUM(J357:J358),0)</f>
        <v>603987</v>
      </c>
    </row>
    <row r="357" spans="1:10" x14ac:dyDescent="0.25">
      <c r="A357" s="168"/>
      <c r="B357" s="144"/>
      <c r="C357" s="34">
        <v>470</v>
      </c>
      <c r="D357" s="144" t="str">
        <f>'Vật liệu'!$B$182</f>
        <v>V35307</v>
      </c>
      <c r="E357" s="144" t="str">
        <f>" - " &amp; 'Vật liệu'!$D$182</f>
        <v xml:space="preserve"> - Đá hộc 30x30</v>
      </c>
      <c r="F357" s="168" t="str">
        <f>'Vật liệu'!$E$182</f>
        <v>m3</v>
      </c>
      <c r="G357" s="34">
        <f>'Hao phí vật tư'!$G$358</f>
        <v>0.66</v>
      </c>
      <c r="H357" s="68">
        <f>'Vật liệu'!$W$182</f>
        <v>438545</v>
      </c>
      <c r="I357" s="37">
        <v>1</v>
      </c>
      <c r="J357" s="166">
        <f>ROUND(G357*H357*I357,0)</f>
        <v>289440</v>
      </c>
    </row>
    <row r="358" spans="1:10" ht="30" x14ac:dyDescent="0.25">
      <c r="A358" s="168"/>
      <c r="B358" s="144"/>
      <c r="C358" s="34">
        <v>471</v>
      </c>
      <c r="D358" s="144" t="str">
        <f>'Vật liệu'!$B$262</f>
        <v>V37377</v>
      </c>
      <c r="E358" s="144" t="str">
        <f>" - " &amp; 'Vật liệu'!$D$262</f>
        <v xml:space="preserve"> - Dây thép bọc PVC dây đan 2,7x3,7mm, dây viền 3,4x4,4mm</v>
      </c>
      <c r="F358" s="168" t="str">
        <f>'Vật liệu'!$E$262</f>
        <v>m2</v>
      </c>
      <c r="G358" s="34">
        <f>'Hao phí vật tư'!$G$359</f>
        <v>6.1</v>
      </c>
      <c r="H358" s="68">
        <f>'Vật liệu'!$W$262</f>
        <v>51565</v>
      </c>
      <c r="I358" s="37">
        <v>1</v>
      </c>
      <c r="J358" s="166">
        <f>ROUND(G358*H358*I358,0)</f>
        <v>314547</v>
      </c>
    </row>
    <row r="359" spans="1:10" x14ac:dyDescent="0.25">
      <c r="A359" s="56"/>
      <c r="B359" s="23"/>
      <c r="C359" s="88"/>
      <c r="D359" s="23"/>
      <c r="E359" s="23" t="s">
        <v>202</v>
      </c>
      <c r="F359" s="56"/>
      <c r="G359" s="88"/>
      <c r="H359" s="48"/>
      <c r="I359" s="90"/>
      <c r="J359" s="48">
        <f>ROUND(SUM(J360:J360),0)</f>
        <v>206704</v>
      </c>
    </row>
    <row r="360" spans="1:10" x14ac:dyDescent="0.25">
      <c r="A360" s="168"/>
      <c r="B360" s="144"/>
      <c r="C360" s="34">
        <v>546</v>
      </c>
      <c r="D360" s="144" t="str">
        <f>'Nhân công'!$B$45</f>
        <v>N0009</v>
      </c>
      <c r="E360" s="144" t="s">
        <v>1052</v>
      </c>
      <c r="F360" s="168" t="str">
        <f>'Nhân công'!$G$45</f>
        <v>công</v>
      </c>
      <c r="G360" s="34">
        <f>'Hao phí vật tư'!$H$361</f>
        <v>0.97109999999999996</v>
      </c>
      <c r="H360" s="68">
        <f>'Nhân công'!$M$45</f>
        <v>212856</v>
      </c>
      <c r="I360" s="37">
        <v>1</v>
      </c>
      <c r="J360" s="166">
        <f>ROUND(G360*H360*I360,0)</f>
        <v>206704</v>
      </c>
    </row>
    <row r="361" spans="1:10" x14ac:dyDescent="0.25">
      <c r="A361" s="65">
        <f>'Công trình'!$A$49</f>
        <v>36</v>
      </c>
      <c r="B361" s="14" t="str">
        <f>'Công trình'!$B$49</f>
        <v>AL.16122</v>
      </c>
      <c r="C361" s="94"/>
      <c r="D361" s="31"/>
      <c r="E361" s="14" t="str">
        <f>'Công trình'!$C$49</f>
        <v>Rải vải địa kỹ thuật làm móng công trình</v>
      </c>
      <c r="F361" s="46" t="str">
        <f>'Công trình'!$D$49</f>
        <v>100m2</v>
      </c>
      <c r="G361" s="94"/>
      <c r="H361" s="54"/>
      <c r="I361" s="98"/>
      <c r="J361" s="54"/>
    </row>
    <row r="362" spans="1:10" x14ac:dyDescent="0.25">
      <c r="A362" s="56"/>
      <c r="B362" s="23"/>
      <c r="C362" s="88"/>
      <c r="D362" s="23"/>
      <c r="E362" s="23" t="s">
        <v>479</v>
      </c>
      <c r="F362" s="56"/>
      <c r="G362" s="88"/>
      <c r="H362" s="48"/>
      <c r="I362" s="90"/>
      <c r="J362" s="48">
        <f>ROUND(SUM(J363:J364),0)</f>
        <v>2592044</v>
      </c>
    </row>
    <row r="363" spans="1:10" x14ac:dyDescent="0.25">
      <c r="A363" s="168"/>
      <c r="B363" s="144"/>
      <c r="C363" s="34">
        <v>174</v>
      </c>
      <c r="D363" s="144" t="str">
        <f>'Vật liệu'!$B$709</f>
        <v>V00749</v>
      </c>
      <c r="E363" s="144" t="str">
        <f>" - " &amp; 'Vật liệu'!$D$709</f>
        <v xml:space="preserve"> - Vải địa kỹ thuật</v>
      </c>
      <c r="F363" s="168" t="str">
        <f>'Vật liệu'!$E$709</f>
        <v>m2</v>
      </c>
      <c r="G363" s="34">
        <f>'Hao phí vật tư'!$G$364</f>
        <v>110</v>
      </c>
      <c r="H363" s="68">
        <f>'Vật liệu'!$W$709</f>
        <v>23517</v>
      </c>
      <c r="I363" s="37">
        <v>1</v>
      </c>
      <c r="J363" s="166">
        <f>ROUND(G363*H363*I363,0)</f>
        <v>2586870</v>
      </c>
    </row>
    <row r="364" spans="1:10" x14ac:dyDescent="0.25">
      <c r="A364" s="168"/>
      <c r="B364" s="144"/>
      <c r="C364" s="34">
        <v>198</v>
      </c>
      <c r="D364" s="144" t="str">
        <f>'Vật liệu'!$B$766</f>
        <v>V00750</v>
      </c>
      <c r="E364" s="144" t="str">
        <f>" - " &amp; 'Vật liệu'!$D$766</f>
        <v xml:space="preserve"> - Vật liệu khác</v>
      </c>
      <c r="F364" s="168" t="str">
        <f>'Vật liệu'!$E$766</f>
        <v>%</v>
      </c>
      <c r="G364" s="34">
        <f>'Hao phí vật tư'!$G$365</f>
        <v>0.2</v>
      </c>
      <c r="H364" s="166">
        <f>'Vật liệu'!$W$766</f>
        <v>0</v>
      </c>
      <c r="I364" s="37">
        <v>1</v>
      </c>
      <c r="J364" s="166">
        <f>ROUND((J363)*G364*I364/100,0)</f>
        <v>5174</v>
      </c>
    </row>
    <row r="365" spans="1:10" x14ac:dyDescent="0.25">
      <c r="A365" s="56"/>
      <c r="B365" s="23"/>
      <c r="C365" s="88"/>
      <c r="D365" s="23"/>
      <c r="E365" s="23" t="s">
        <v>202</v>
      </c>
      <c r="F365" s="56"/>
      <c r="G365" s="88"/>
      <c r="H365" s="48"/>
      <c r="I365" s="90"/>
      <c r="J365" s="48">
        <f>ROUND(SUM(J366:J366),0)</f>
        <v>258681</v>
      </c>
    </row>
    <row r="366" spans="1:10" x14ac:dyDescent="0.25">
      <c r="A366" s="168"/>
      <c r="B366" s="144"/>
      <c r="C366" s="34">
        <v>554</v>
      </c>
      <c r="D366" s="144" t="str">
        <f>'Nhân công'!$B$103</f>
        <v>N0015</v>
      </c>
      <c r="E366" s="144" t="s">
        <v>1014</v>
      </c>
      <c r="F366" s="168" t="str">
        <f>'Nhân công'!$G$103</f>
        <v>công</v>
      </c>
      <c r="G366" s="34">
        <f>'Hao phí vật tư'!$H$367</f>
        <v>1.08</v>
      </c>
      <c r="H366" s="68">
        <f>'Nhân công'!$M$103</f>
        <v>239519</v>
      </c>
      <c r="I366" s="37">
        <v>1</v>
      </c>
      <c r="J366" s="166">
        <f>ROUND(G366*H366*I366,0)</f>
        <v>258681</v>
      </c>
    </row>
    <row r="367" spans="1:10" ht="28.5" x14ac:dyDescent="0.25">
      <c r="A367" s="65">
        <f>'Công trình'!$A$50</f>
        <v>37</v>
      </c>
      <c r="B367" s="14" t="str">
        <f>'Công trình'!$B$50</f>
        <v>AC.11121</v>
      </c>
      <c r="C367" s="94"/>
      <c r="D367" s="31"/>
      <c r="E367" s="14" t="str">
        <f>'Công trình'!$C$50</f>
        <v>Đóng cọc tràm chiều dài cọc ngập đất &gt;2,5m đất cấp I</v>
      </c>
      <c r="F367" s="46" t="str">
        <f>'Công trình'!$D$50</f>
        <v>100m</v>
      </c>
      <c r="G367" s="94"/>
      <c r="H367" s="54"/>
      <c r="I367" s="98"/>
      <c r="J367" s="54"/>
    </row>
    <row r="368" spans="1:10" x14ac:dyDescent="0.25">
      <c r="A368" s="56"/>
      <c r="B368" s="23"/>
      <c r="C368" s="88"/>
      <c r="D368" s="23"/>
      <c r="E368" s="23" t="s">
        <v>479</v>
      </c>
      <c r="F368" s="56"/>
      <c r="G368" s="88"/>
      <c r="H368" s="48"/>
      <c r="I368" s="90"/>
      <c r="J368" s="48">
        <f>ROUND(SUM(J369:J372),0)</f>
        <v>767494</v>
      </c>
    </row>
    <row r="369" spans="1:10" x14ac:dyDescent="0.25">
      <c r="A369" s="168"/>
      <c r="B369" s="144"/>
      <c r="C369" s="34">
        <v>142</v>
      </c>
      <c r="D369" s="144" t="str">
        <f>'Vật liệu'!$B$307</f>
        <v>V00402</v>
      </c>
      <c r="E369" s="144" t="str">
        <f>" - " &amp; 'Vật liệu'!$D$307</f>
        <v xml:space="preserve"> - Gỗ ván</v>
      </c>
      <c r="F369" s="168" t="str">
        <f>'Vật liệu'!$E$307</f>
        <v>m3</v>
      </c>
      <c r="G369" s="34">
        <f>'Hao phí vật tư'!$G$370</f>
        <v>0.01</v>
      </c>
      <c r="H369" s="68">
        <f>'Vật liệu'!$W$307</f>
        <v>3272727</v>
      </c>
      <c r="I369" s="37">
        <v>1</v>
      </c>
      <c r="J369" s="166">
        <f>ROUND(G369*H369*I369,0)</f>
        <v>32727</v>
      </c>
    </row>
    <row r="370" spans="1:10" x14ac:dyDescent="0.25">
      <c r="A370" s="168"/>
      <c r="B370" s="144"/>
      <c r="C370" s="34">
        <v>466</v>
      </c>
      <c r="D370" s="144" t="str">
        <f>'Vật liệu'!$B$124</f>
        <v>V32325</v>
      </c>
      <c r="E370" s="144" t="str">
        <f>" - " &amp; 'Vật liệu'!$D$124</f>
        <v xml:space="preserve"> - Cọc tràm</v>
      </c>
      <c r="F370" s="168" t="str">
        <f>'Vật liệu'!$E$124</f>
        <v>m</v>
      </c>
      <c r="G370" s="34">
        <f>'Hao phí vật tư'!$G$371</f>
        <v>105</v>
      </c>
      <c r="H370" s="68">
        <f>'Vật liệu'!$W$124</f>
        <v>6364</v>
      </c>
      <c r="I370" s="37">
        <v>1</v>
      </c>
      <c r="J370" s="166">
        <f>ROUND(G370*H370*I370,0)</f>
        <v>668220</v>
      </c>
    </row>
    <row r="371" spans="1:10" x14ac:dyDescent="0.25">
      <c r="A371" s="168"/>
      <c r="B371" s="144"/>
      <c r="C371" s="34">
        <v>129</v>
      </c>
      <c r="D371" s="144" t="str">
        <f>'Vật liệu'!$B$101</f>
        <v>V00116</v>
      </c>
      <c r="E371" s="144" t="str">
        <f>" - " &amp; 'Vật liệu'!$D$101</f>
        <v xml:space="preserve"> - Cây chống</v>
      </c>
      <c r="F371" s="168" t="str">
        <f>'Vật liệu'!$E$101</f>
        <v>cây</v>
      </c>
      <c r="G371" s="34">
        <f>'Hao phí vật tư'!$G$372</f>
        <v>1.65</v>
      </c>
      <c r="H371" s="68">
        <f>'Vật liệu'!$W$101</f>
        <v>18182</v>
      </c>
      <c r="I371" s="37">
        <v>1</v>
      </c>
      <c r="J371" s="166">
        <f>ROUND(G371*H371*I371,0)</f>
        <v>30000</v>
      </c>
    </row>
    <row r="372" spans="1:10" x14ac:dyDescent="0.25">
      <c r="A372" s="168"/>
      <c r="B372" s="144"/>
      <c r="C372" s="34">
        <v>199</v>
      </c>
      <c r="D372" s="144" t="str">
        <f>'Vật liệu'!$B$766</f>
        <v>V00750</v>
      </c>
      <c r="E372" s="144" t="str">
        <f>" - " &amp; 'Vật liệu'!$D$766</f>
        <v xml:space="preserve"> - Vật liệu khác</v>
      </c>
      <c r="F372" s="168" t="str">
        <f>'Vật liệu'!$E$766</f>
        <v>%</v>
      </c>
      <c r="G372" s="34">
        <f>'Hao phí vật tư'!$G$373</f>
        <v>5</v>
      </c>
      <c r="H372" s="166">
        <f>'Vật liệu'!$W$766</f>
        <v>0</v>
      </c>
      <c r="I372" s="37">
        <v>1</v>
      </c>
      <c r="J372" s="166">
        <f>ROUND((J369+J370+J371)*G372*I372/100,0)</f>
        <v>36547</v>
      </c>
    </row>
    <row r="373" spans="1:10" x14ac:dyDescent="0.25">
      <c r="A373" s="56"/>
      <c r="B373" s="23"/>
      <c r="C373" s="88"/>
      <c r="D373" s="23"/>
      <c r="E373" s="23" t="s">
        <v>202</v>
      </c>
      <c r="F373" s="56"/>
      <c r="G373" s="88"/>
      <c r="H373" s="48"/>
      <c r="I373" s="90"/>
      <c r="J373" s="48">
        <f>ROUND(SUM(J374:J374),0)</f>
        <v>605983</v>
      </c>
    </row>
    <row r="374" spans="1:10" x14ac:dyDescent="0.25">
      <c r="A374" s="168"/>
      <c r="B374" s="144"/>
      <c r="C374" s="34">
        <v>554</v>
      </c>
      <c r="D374" s="144" t="str">
        <f>'Nhân công'!$B$103</f>
        <v>N0015</v>
      </c>
      <c r="E374" s="144" t="s">
        <v>1014</v>
      </c>
      <c r="F374" s="168" t="str">
        <f>'Nhân công'!$G$103</f>
        <v>công</v>
      </c>
      <c r="G374" s="34">
        <f>'Hao phí vật tư'!$H$375</f>
        <v>2.5299999999999998</v>
      </c>
      <c r="H374" s="68">
        <f>'Nhân công'!$M$103</f>
        <v>239519</v>
      </c>
      <c r="I374" s="37">
        <v>1</v>
      </c>
      <c r="J374" s="166">
        <f>ROUND(G374*H374*I374,0)</f>
        <v>605983</v>
      </c>
    </row>
    <row r="375" spans="1:10" ht="28.5" x14ac:dyDescent="0.25">
      <c r="A375" s="65">
        <f>'Công trình'!$A$52</f>
        <v>38</v>
      </c>
      <c r="B375" s="14" t="str">
        <f>'Công trình'!$B$52</f>
        <v>AG.11412</v>
      </c>
      <c r="C375" s="94"/>
      <c r="D375" s="31"/>
      <c r="E375" s="14" t="str">
        <f>'Công trình'!$C$52</f>
        <v>Sản xuất bê tông tấm BT tự chèn đúc sẵn đá 1x2, vữa BT mác 150</v>
      </c>
      <c r="F375" s="46" t="str">
        <f>'Công trình'!$D$52</f>
        <v>m3</v>
      </c>
      <c r="G375" s="94"/>
      <c r="H375" s="54"/>
      <c r="I375" s="98"/>
      <c r="J375" s="54"/>
    </row>
    <row r="376" spans="1:10" x14ac:dyDescent="0.25">
      <c r="A376" s="56"/>
      <c r="B376" s="23"/>
      <c r="C376" s="88"/>
      <c r="D376" s="23"/>
      <c r="E376" s="23" t="s">
        <v>479</v>
      </c>
      <c r="F376" s="56"/>
      <c r="G376" s="88"/>
      <c r="H376" s="48"/>
      <c r="I376" s="90"/>
      <c r="J376" s="48">
        <f>ROUND(SUM(J377:J381),0)</f>
        <v>912420</v>
      </c>
    </row>
    <row r="377" spans="1:10" x14ac:dyDescent="0.25">
      <c r="A377" s="168"/>
      <c r="B377" s="144"/>
      <c r="C377" s="34">
        <v>397</v>
      </c>
      <c r="D377" s="144" t="str">
        <f>'Vật liệu'!$B$721</f>
        <v>V00761</v>
      </c>
      <c r="E377" s="144" t="str">
        <f>" - " &amp; 'Vật liệu'!$D$721</f>
        <v xml:space="preserve"> - Xi măng PC40</v>
      </c>
      <c r="F377" s="168" t="str">
        <f>'Vật liệu'!$E$721</f>
        <v>kg</v>
      </c>
      <c r="G377" s="34">
        <f>'Hao phí vật tư'!$G$378</f>
        <v>236.495</v>
      </c>
      <c r="H377" s="68">
        <f>'Vật liệu'!$W$721</f>
        <v>1513</v>
      </c>
      <c r="I377" s="37">
        <v>1</v>
      </c>
      <c r="J377" s="166">
        <f>ROUND(G377*H377*I377,0)</f>
        <v>357817</v>
      </c>
    </row>
    <row r="378" spans="1:10" x14ac:dyDescent="0.25">
      <c r="A378" s="168"/>
      <c r="B378" s="144"/>
      <c r="C378" s="34">
        <v>125</v>
      </c>
      <c r="D378" s="144" t="str">
        <f>'Vật liệu'!$B$54</f>
        <v>V00112</v>
      </c>
      <c r="E378" s="144" t="str">
        <f>" - " &amp; 'Vật liệu'!$D$54</f>
        <v xml:space="preserve"> - Cát vàng</v>
      </c>
      <c r="F378" s="168" t="str">
        <f>'Vật liệu'!$E$54</f>
        <v>m3</v>
      </c>
      <c r="G378" s="34">
        <f>'Hao phí vật tư'!$G$379</f>
        <v>0.51770000000000005</v>
      </c>
      <c r="H378" s="68">
        <f>'Vật liệu'!$W$54</f>
        <v>420000</v>
      </c>
      <c r="I378" s="37">
        <v>1</v>
      </c>
      <c r="J378" s="166">
        <f>ROUND(G378*H378*I378,0)</f>
        <v>217434</v>
      </c>
    </row>
    <row r="379" spans="1:10" x14ac:dyDescent="0.25">
      <c r="A379" s="168"/>
      <c r="B379" s="144"/>
      <c r="C379" s="34">
        <v>416</v>
      </c>
      <c r="D379" s="144" t="str">
        <f>'Vật liệu'!$B$142</f>
        <v>V05207</v>
      </c>
      <c r="E379" s="144" t="str">
        <f>" - " &amp; 'Vật liệu'!$D$142</f>
        <v xml:space="preserve"> - Đá 1x2</v>
      </c>
      <c r="F379" s="168" t="str">
        <f>'Vật liệu'!$E$142</f>
        <v>m3</v>
      </c>
      <c r="G379" s="34">
        <f>'Hao phí vật tư'!$G$380</f>
        <v>0.91649999999999998</v>
      </c>
      <c r="H379" s="68">
        <f>'Vật liệu'!$W$142</f>
        <v>360886</v>
      </c>
      <c r="I379" s="37">
        <v>1</v>
      </c>
      <c r="J379" s="166">
        <f>ROUND(G379*H379*I379,0)</f>
        <v>330752</v>
      </c>
    </row>
    <row r="380" spans="1:10" x14ac:dyDescent="0.25">
      <c r="A380" s="168"/>
      <c r="B380" s="144"/>
      <c r="C380" s="34">
        <v>148</v>
      </c>
      <c r="D380" s="144" t="str">
        <f>'Vật liệu'!$B$353</f>
        <v>V00494</v>
      </c>
      <c r="E380" s="144" t="str">
        <f>" - " &amp; 'Vật liệu'!$D$353</f>
        <v xml:space="preserve"> - Nước</v>
      </c>
      <c r="F380" s="168" t="str">
        <f>'Vật liệu'!$E$353</f>
        <v>lít</v>
      </c>
      <c r="G380" s="34">
        <f>'Hao phí vật tư'!$G$381</f>
        <v>187.77500000000001</v>
      </c>
      <c r="H380" s="68">
        <f>'Vật liệu'!$W$353</f>
        <v>10</v>
      </c>
      <c r="I380" s="37">
        <v>1</v>
      </c>
      <c r="J380" s="166">
        <f>ROUND(G380*H380*I380,0)</f>
        <v>1878</v>
      </c>
    </row>
    <row r="381" spans="1:10" x14ac:dyDescent="0.25">
      <c r="A381" s="168"/>
      <c r="B381" s="144"/>
      <c r="C381" s="34">
        <v>200</v>
      </c>
      <c r="D381" s="144" t="str">
        <f>'Vật liệu'!$B$766</f>
        <v>V00750</v>
      </c>
      <c r="E381" s="144" t="str">
        <f>" - " &amp; 'Vật liệu'!$D$766</f>
        <v xml:space="preserve"> - Vật liệu khác</v>
      </c>
      <c r="F381" s="168" t="str">
        <f>'Vật liệu'!$E$766</f>
        <v>%</v>
      </c>
      <c r="G381" s="34">
        <f>'Hao phí vật tư'!$G$382</f>
        <v>0.5</v>
      </c>
      <c r="H381" s="166">
        <f>'Vật liệu'!$W$766</f>
        <v>0</v>
      </c>
      <c r="I381" s="37">
        <v>1</v>
      </c>
      <c r="J381" s="166">
        <f>ROUND((J377+J378+J379+J380)*G381*I381/100,0)</f>
        <v>4539</v>
      </c>
    </row>
    <row r="382" spans="1:10" x14ac:dyDescent="0.25">
      <c r="A382" s="56"/>
      <c r="B382" s="23"/>
      <c r="C382" s="88"/>
      <c r="D382" s="23"/>
      <c r="E382" s="23" t="s">
        <v>202</v>
      </c>
      <c r="F382" s="56"/>
      <c r="G382" s="88"/>
      <c r="H382" s="48"/>
      <c r="I382" s="90"/>
      <c r="J382" s="48">
        <f>ROUND(SUM(J383:J383),0)</f>
        <v>501744</v>
      </c>
    </row>
    <row r="383" spans="1:10" x14ac:dyDescent="0.25">
      <c r="A383" s="168"/>
      <c r="B383" s="144"/>
      <c r="C383" s="34">
        <v>545</v>
      </c>
      <c r="D383" s="144" t="str">
        <f>'Nhân công'!$B$6</f>
        <v>N0006</v>
      </c>
      <c r="E383" s="144" t="s">
        <v>256</v>
      </c>
      <c r="F383" s="168" t="str">
        <f>'Nhân công'!$G$6</f>
        <v>công</v>
      </c>
      <c r="G383" s="34">
        <f>'Hao phí vật tư'!$H$384</f>
        <v>2.57</v>
      </c>
      <c r="H383" s="68">
        <f>'Nhân công'!$M$6</f>
        <v>195231</v>
      </c>
      <c r="I383" s="37">
        <v>1</v>
      </c>
      <c r="J383" s="166">
        <f>ROUND(G383*H383*I383,0)</f>
        <v>501744</v>
      </c>
    </row>
    <row r="384" spans="1:10" x14ac:dyDescent="0.25">
      <c r="A384" s="56"/>
      <c r="B384" s="23"/>
      <c r="C384" s="88"/>
      <c r="D384" s="23"/>
      <c r="E384" s="23" t="s">
        <v>378</v>
      </c>
      <c r="F384" s="56"/>
      <c r="G384" s="88"/>
      <c r="H384" s="48"/>
      <c r="I384" s="90"/>
      <c r="J384" s="48">
        <f>ROUND(SUM(J385:J385),0)</f>
        <v>27402</v>
      </c>
    </row>
    <row r="385" spans="1:10" x14ac:dyDescent="0.25">
      <c r="A385" s="168"/>
      <c r="B385" s="144"/>
      <c r="C385" s="34">
        <v>744</v>
      </c>
      <c r="D385" s="144" t="str">
        <f>'Máy thi công'!$B$306</f>
        <v>M9555</v>
      </c>
      <c r="E385" s="144" t="str">
        <f>" - " &amp; 'Máy thi công'!$D$306</f>
        <v xml:space="preserve"> - Máy trộn bê tông - dung tích: 250 lít</v>
      </c>
      <c r="F385" s="168" t="str">
        <f>'Máy thi công'!$E$306</f>
        <v>ca</v>
      </c>
      <c r="G385" s="34">
        <f>'Hao phí vật tư'!$I$386</f>
        <v>9.5000000000000001E-2</v>
      </c>
      <c r="H385" s="68">
        <f>'Máy thi công'!$N$306</f>
        <v>288447</v>
      </c>
      <c r="I385" s="37">
        <v>1</v>
      </c>
      <c r="J385" s="166">
        <f>ROUND(G385*H385*I385,0)</f>
        <v>27402</v>
      </c>
    </row>
    <row r="386" spans="1:10" x14ac:dyDescent="0.25">
      <c r="A386" s="65">
        <f>'Công trình'!$A$53</f>
        <v>39</v>
      </c>
      <c r="B386" s="14" t="str">
        <f>'Công trình'!$B$53</f>
        <v>AL.16122</v>
      </c>
      <c r="C386" s="94"/>
      <c r="D386" s="31"/>
      <c r="E386" s="14" t="str">
        <f>'Công trình'!$C$53</f>
        <v>Rải vải địa kỹ thuật làm móng công trình</v>
      </c>
      <c r="F386" s="46" t="str">
        <f>'Công trình'!$D$53</f>
        <v>100m2</v>
      </c>
      <c r="G386" s="94"/>
      <c r="H386" s="54"/>
      <c r="I386" s="98"/>
      <c r="J386" s="54"/>
    </row>
    <row r="387" spans="1:10" x14ac:dyDescent="0.25">
      <c r="A387" s="56"/>
      <c r="B387" s="23"/>
      <c r="C387" s="88"/>
      <c r="D387" s="23"/>
      <c r="E387" s="23" t="s">
        <v>479</v>
      </c>
      <c r="F387" s="56"/>
      <c r="G387" s="88"/>
      <c r="H387" s="48"/>
      <c r="I387" s="90"/>
      <c r="J387" s="48">
        <f>ROUND(SUM(J388:J389),0)</f>
        <v>2592044</v>
      </c>
    </row>
    <row r="388" spans="1:10" x14ac:dyDescent="0.25">
      <c r="A388" s="168"/>
      <c r="B388" s="144"/>
      <c r="C388" s="34">
        <v>174</v>
      </c>
      <c r="D388" s="144" t="str">
        <f>'Vật liệu'!$B$709</f>
        <v>V00749</v>
      </c>
      <c r="E388" s="144" t="str">
        <f>" - " &amp; 'Vật liệu'!$D$709</f>
        <v xml:space="preserve"> - Vải địa kỹ thuật</v>
      </c>
      <c r="F388" s="168" t="str">
        <f>'Vật liệu'!$E$709</f>
        <v>m2</v>
      </c>
      <c r="G388" s="34">
        <f>'Hao phí vật tư'!$G$389</f>
        <v>110</v>
      </c>
      <c r="H388" s="68">
        <f>'Vật liệu'!$W$709</f>
        <v>23517</v>
      </c>
      <c r="I388" s="37">
        <v>1</v>
      </c>
      <c r="J388" s="166">
        <f>ROUND(G388*H388*I388,0)</f>
        <v>2586870</v>
      </c>
    </row>
    <row r="389" spans="1:10" x14ac:dyDescent="0.25">
      <c r="A389" s="168"/>
      <c r="B389" s="144"/>
      <c r="C389" s="34">
        <v>201</v>
      </c>
      <c r="D389" s="144" t="str">
        <f>'Vật liệu'!$B$766</f>
        <v>V00750</v>
      </c>
      <c r="E389" s="144" t="str">
        <f>" - " &amp; 'Vật liệu'!$D$766</f>
        <v xml:space="preserve"> - Vật liệu khác</v>
      </c>
      <c r="F389" s="168" t="str">
        <f>'Vật liệu'!$E$766</f>
        <v>%</v>
      </c>
      <c r="G389" s="34">
        <f>'Hao phí vật tư'!$G$390</f>
        <v>0.2</v>
      </c>
      <c r="H389" s="166">
        <f>'Vật liệu'!$W$766</f>
        <v>0</v>
      </c>
      <c r="I389" s="37">
        <v>1</v>
      </c>
      <c r="J389" s="166">
        <f>ROUND((J388)*G389*I389/100,0)</f>
        <v>5174</v>
      </c>
    </row>
    <row r="390" spans="1:10" x14ac:dyDescent="0.25">
      <c r="A390" s="56"/>
      <c r="B390" s="23"/>
      <c r="C390" s="88"/>
      <c r="D390" s="23"/>
      <c r="E390" s="23" t="s">
        <v>202</v>
      </c>
      <c r="F390" s="56"/>
      <c r="G390" s="88"/>
      <c r="H390" s="48"/>
      <c r="I390" s="90"/>
      <c r="J390" s="48">
        <f>ROUND(SUM(J391:J391),0)</f>
        <v>258681</v>
      </c>
    </row>
    <row r="391" spans="1:10" x14ac:dyDescent="0.25">
      <c r="A391" s="168"/>
      <c r="B391" s="144"/>
      <c r="C391" s="34">
        <v>554</v>
      </c>
      <c r="D391" s="144" t="str">
        <f>'Nhân công'!$B$103</f>
        <v>N0015</v>
      </c>
      <c r="E391" s="144" t="s">
        <v>1014</v>
      </c>
      <c r="F391" s="168" t="str">
        <f>'Nhân công'!$G$103</f>
        <v>công</v>
      </c>
      <c r="G391" s="34">
        <f>'Hao phí vật tư'!$H$392</f>
        <v>1.08</v>
      </c>
      <c r="H391" s="68">
        <f>'Nhân công'!$M$103</f>
        <v>239519</v>
      </c>
      <c r="I391" s="37">
        <v>1</v>
      </c>
      <c r="J391" s="166">
        <f>ROUND(G391*H391*I391,0)</f>
        <v>258681</v>
      </c>
    </row>
    <row r="392" spans="1:10" x14ac:dyDescent="0.25">
      <c r="A392" s="65">
        <f>'Công trình'!$A$54</f>
        <v>40</v>
      </c>
      <c r="B392" s="14" t="str">
        <f>'Công trình'!$B$54</f>
        <v>AB.13411</v>
      </c>
      <c r="C392" s="94"/>
      <c r="D392" s="31"/>
      <c r="E392" s="14" t="str">
        <f>'Công trình'!$C$54</f>
        <v>Đắp cát nền móng công trình</v>
      </c>
      <c r="F392" s="46" t="str">
        <f>'Công trình'!$D$54</f>
        <v>m3</v>
      </c>
      <c r="G392" s="94"/>
      <c r="H392" s="54"/>
      <c r="I392" s="98"/>
      <c r="J392" s="54"/>
    </row>
    <row r="393" spans="1:10" x14ac:dyDescent="0.25">
      <c r="A393" s="56"/>
      <c r="B393" s="23"/>
      <c r="C393" s="88"/>
      <c r="D393" s="23"/>
      <c r="E393" s="23" t="s">
        <v>479</v>
      </c>
      <c r="F393" s="56"/>
      <c r="G393" s="88"/>
      <c r="H393" s="48"/>
      <c r="I393" s="90"/>
      <c r="J393" s="48">
        <f>ROUND(SUM(J394:J395),0)</f>
        <v>522648</v>
      </c>
    </row>
    <row r="394" spans="1:10" x14ac:dyDescent="0.25">
      <c r="A394" s="168"/>
      <c r="B394" s="144"/>
      <c r="C394" s="34">
        <v>128</v>
      </c>
      <c r="D394" s="144" t="str">
        <f>'Vật liệu'!$B$52</f>
        <v>V00113</v>
      </c>
      <c r="E394" s="144" t="str">
        <f>" - " &amp; 'Vật liệu'!$D$52</f>
        <v xml:space="preserve"> - Cát thô</v>
      </c>
      <c r="F394" s="168" t="str">
        <f>'Vật liệu'!$E$52</f>
        <v>m3</v>
      </c>
      <c r="G394" s="34">
        <f>'Hao phí vật tư'!$G$395</f>
        <v>1.22</v>
      </c>
      <c r="H394" s="68">
        <f>'Vật liệu'!$W$52</f>
        <v>420000</v>
      </c>
      <c r="I394" s="37">
        <v>1</v>
      </c>
      <c r="J394" s="166">
        <f>ROUND(G394*H394*I394,0)</f>
        <v>512400</v>
      </c>
    </row>
    <row r="395" spans="1:10" x14ac:dyDescent="0.25">
      <c r="A395" s="168"/>
      <c r="B395" s="144"/>
      <c r="C395" s="34">
        <v>202</v>
      </c>
      <c r="D395" s="144" t="str">
        <f>'Vật liệu'!$B$766</f>
        <v>V00750</v>
      </c>
      <c r="E395" s="144" t="str">
        <f>" - " &amp; 'Vật liệu'!$D$766</f>
        <v xml:space="preserve"> - Vật liệu khác</v>
      </c>
      <c r="F395" s="168" t="str">
        <f>'Vật liệu'!$E$766</f>
        <v>%</v>
      </c>
      <c r="G395" s="34">
        <f>'Hao phí vật tư'!$G$396</f>
        <v>2</v>
      </c>
      <c r="H395" s="166">
        <f>'Vật liệu'!$W$766</f>
        <v>0</v>
      </c>
      <c r="I395" s="37">
        <v>1</v>
      </c>
      <c r="J395" s="166">
        <f>ROUND((J394)*G395*I395/100,0)</f>
        <v>10248</v>
      </c>
    </row>
    <row r="396" spans="1:10" x14ac:dyDescent="0.25">
      <c r="A396" s="56"/>
      <c r="B396" s="23"/>
      <c r="C396" s="88"/>
      <c r="D396" s="23"/>
      <c r="E396" s="23" t="s">
        <v>202</v>
      </c>
      <c r="F396" s="56"/>
      <c r="G396" s="88"/>
      <c r="H396" s="48"/>
      <c r="I396" s="90"/>
      <c r="J396" s="48">
        <f>ROUND(SUM(J397:J397),0)</f>
        <v>87854</v>
      </c>
    </row>
    <row r="397" spans="1:10" x14ac:dyDescent="0.25">
      <c r="A397" s="168"/>
      <c r="B397" s="144"/>
      <c r="C397" s="34">
        <v>545</v>
      </c>
      <c r="D397" s="144" t="str">
        <f>'Nhân công'!$B$6</f>
        <v>N0006</v>
      </c>
      <c r="E397" s="144" t="s">
        <v>256</v>
      </c>
      <c r="F397" s="168" t="str">
        <f>'Nhân công'!$G$6</f>
        <v>công</v>
      </c>
      <c r="G397" s="34">
        <f>'Hao phí vật tư'!$H$398</f>
        <v>0.45</v>
      </c>
      <c r="H397" s="68">
        <f>'Nhân công'!$M$6</f>
        <v>195231</v>
      </c>
      <c r="I397" s="37">
        <v>1</v>
      </c>
      <c r="J397" s="166">
        <f>ROUND(G397*H397*I397,0)</f>
        <v>87854</v>
      </c>
    </row>
    <row r="398" spans="1:10" ht="28.5" x14ac:dyDescent="0.25">
      <c r="A398" s="65">
        <f>'Công trình'!$A$55</f>
        <v>41</v>
      </c>
      <c r="B398" s="14" t="str">
        <f>'Công trình'!$B$55</f>
        <v>AG.42111</v>
      </c>
      <c r="C398" s="94"/>
      <c r="D398" s="31"/>
      <c r="E398" s="14" t="str">
        <f>'Công trình'!$C$55</f>
        <v>Lắp các loại cấu kiện BT đúc sẵn bằng thủ công trọng lượng &lt;=50kg, vữa XM mác 100</v>
      </c>
      <c r="F398" s="46" t="str">
        <f>'Công trình'!$D$55</f>
        <v>cái</v>
      </c>
      <c r="G398" s="94"/>
      <c r="H398" s="54"/>
      <c r="I398" s="98"/>
      <c r="J398" s="54"/>
    </row>
    <row r="399" spans="1:10" x14ac:dyDescent="0.25">
      <c r="A399" s="56"/>
      <c r="B399" s="23"/>
      <c r="C399" s="88"/>
      <c r="D399" s="23"/>
      <c r="E399" s="23" t="s">
        <v>479</v>
      </c>
      <c r="F399" s="56"/>
      <c r="G399" s="88"/>
      <c r="H399" s="48"/>
      <c r="I399" s="90"/>
      <c r="J399" s="48">
        <f>ROUND(SUM(J400:J403),0)</f>
        <v>3016</v>
      </c>
    </row>
    <row r="400" spans="1:10" x14ac:dyDescent="0.25">
      <c r="A400" s="168"/>
      <c r="B400" s="144"/>
      <c r="C400" s="34">
        <v>397</v>
      </c>
      <c r="D400" s="144" t="str">
        <f>'Vật liệu'!$B$721</f>
        <v>V00761</v>
      </c>
      <c r="E400" s="144" t="str">
        <f>" - " &amp; 'Vật liệu'!$D$721</f>
        <v xml:space="preserve"> - Xi măng PC40</v>
      </c>
      <c r="F400" s="168" t="str">
        <f>'Vật liệu'!$E$721</f>
        <v>kg</v>
      </c>
      <c r="G400" s="34">
        <f>'Hao phí vật tư'!$G$401</f>
        <v>0.8911</v>
      </c>
      <c r="H400" s="68">
        <f>'Vật liệu'!$W$721</f>
        <v>1513</v>
      </c>
      <c r="I400" s="37">
        <v>1</v>
      </c>
      <c r="J400" s="166">
        <f>ROUND(G400*H400*I400,0)</f>
        <v>1348</v>
      </c>
    </row>
    <row r="401" spans="1:10" x14ac:dyDescent="0.25">
      <c r="A401" s="168"/>
      <c r="B401" s="144"/>
      <c r="C401" s="34">
        <v>125</v>
      </c>
      <c r="D401" s="144" t="str">
        <f>'Vật liệu'!$B$54</f>
        <v>V00112</v>
      </c>
      <c r="E401" s="144" t="str">
        <f>" - " &amp; 'Vật liệu'!$D$54</f>
        <v xml:space="preserve"> - Cát vàng</v>
      </c>
      <c r="F401" s="168" t="str">
        <f>'Vật liệu'!$E$54</f>
        <v>m3</v>
      </c>
      <c r="G401" s="34">
        <f>'Hao phí vật tư'!$G$402</f>
        <v>3.3E-3</v>
      </c>
      <c r="H401" s="68">
        <f>'Vật liệu'!$W$54</f>
        <v>420000</v>
      </c>
      <c r="I401" s="37">
        <v>1</v>
      </c>
      <c r="J401" s="166">
        <f>ROUND(G401*H401*I401,0)</f>
        <v>1386</v>
      </c>
    </row>
    <row r="402" spans="1:10" x14ac:dyDescent="0.25">
      <c r="A402" s="168"/>
      <c r="B402" s="144"/>
      <c r="C402" s="34">
        <v>148</v>
      </c>
      <c r="D402" s="144" t="str">
        <f>'Vật liệu'!$B$353</f>
        <v>V00494</v>
      </c>
      <c r="E402" s="144" t="str">
        <f>" - " &amp; 'Vật liệu'!$D$353</f>
        <v xml:space="preserve"> - Nước</v>
      </c>
      <c r="F402" s="168" t="str">
        <f>'Vật liệu'!$E$353</f>
        <v>lít</v>
      </c>
      <c r="G402" s="34">
        <f>'Hao phí vật tư'!$G$403</f>
        <v>0.78</v>
      </c>
      <c r="H402" s="68">
        <f>'Vật liệu'!$W$353</f>
        <v>10</v>
      </c>
      <c r="I402" s="37">
        <v>1</v>
      </c>
      <c r="J402" s="166">
        <f>ROUND(G402*H402*I402,0)</f>
        <v>8</v>
      </c>
    </row>
    <row r="403" spans="1:10" x14ac:dyDescent="0.25">
      <c r="A403" s="168"/>
      <c r="B403" s="144"/>
      <c r="C403" s="34">
        <v>203</v>
      </c>
      <c r="D403" s="144" t="str">
        <f>'Vật liệu'!$B$766</f>
        <v>V00750</v>
      </c>
      <c r="E403" s="144" t="str">
        <f>" - " &amp; 'Vật liệu'!$D$766</f>
        <v xml:space="preserve"> - Vật liệu khác</v>
      </c>
      <c r="F403" s="168" t="str">
        <f>'Vật liệu'!$E$766</f>
        <v>%</v>
      </c>
      <c r="G403" s="34">
        <f>'Hao phí vật tư'!$G$404</f>
        <v>10</v>
      </c>
      <c r="H403" s="166">
        <f>'Vật liệu'!$W$766</f>
        <v>0</v>
      </c>
      <c r="I403" s="37">
        <v>1</v>
      </c>
      <c r="J403" s="166">
        <f>ROUND((J400+J401+J402)*G403*I403/100,0)</f>
        <v>274</v>
      </c>
    </row>
    <row r="404" spans="1:10" x14ac:dyDescent="0.25">
      <c r="A404" s="56"/>
      <c r="B404" s="23"/>
      <c r="C404" s="88"/>
      <c r="D404" s="23"/>
      <c r="E404" s="23" t="s">
        <v>202</v>
      </c>
      <c r="F404" s="56"/>
      <c r="G404" s="88"/>
      <c r="H404" s="48"/>
      <c r="I404" s="90"/>
      <c r="J404" s="48">
        <f>ROUND(SUM(J405:J405),0)</f>
        <v>38775</v>
      </c>
    </row>
    <row r="405" spans="1:10" x14ac:dyDescent="0.25">
      <c r="A405" s="168"/>
      <c r="B405" s="144"/>
      <c r="C405" s="34">
        <v>555</v>
      </c>
      <c r="D405" s="144" t="str">
        <f>'Nhân công'!$B$185</f>
        <v>N0020</v>
      </c>
      <c r="E405" s="144" t="s">
        <v>625</v>
      </c>
      <c r="F405" s="168" t="str">
        <f>'Nhân công'!$G$185</f>
        <v>công</v>
      </c>
      <c r="G405" s="34">
        <f>'Hao phí vật tư'!$H$406</f>
        <v>0.15</v>
      </c>
      <c r="H405" s="68">
        <f>'Nhân công'!$M$185</f>
        <v>258500</v>
      </c>
      <c r="I405" s="37">
        <v>1</v>
      </c>
      <c r="J405" s="166">
        <f>ROUND(G405*H405*I405,0)</f>
        <v>38775</v>
      </c>
    </row>
    <row r="406" spans="1:10" ht="28.5" x14ac:dyDescent="0.25">
      <c r="A406" s="65">
        <f>'Công trình'!$A$56</f>
        <v>42</v>
      </c>
      <c r="B406" s="14" t="str">
        <f>'Công trình'!$B$56</f>
        <v>AG.32511</v>
      </c>
      <c r="C406" s="94"/>
      <c r="D406" s="31"/>
      <c r="E406" s="14" t="str">
        <f>'Công trình'!$C$56</f>
        <v>Sản xuất, lắp dựng, tháo dỡ ván khuôn thép bê tông đúc sẵn tấm tự chèn</v>
      </c>
      <c r="F406" s="46" t="str">
        <f>'Công trình'!$D$56</f>
        <v>100m2</v>
      </c>
      <c r="G406" s="94"/>
      <c r="H406" s="54"/>
      <c r="I406" s="98"/>
      <c r="J406" s="54"/>
    </row>
    <row r="407" spans="1:10" x14ac:dyDescent="0.25">
      <c r="A407" s="56"/>
      <c r="B407" s="23"/>
      <c r="C407" s="88"/>
      <c r="D407" s="23"/>
      <c r="E407" s="23" t="s">
        <v>479</v>
      </c>
      <c r="F407" s="56"/>
      <c r="G407" s="88"/>
      <c r="H407" s="48"/>
      <c r="I407" s="90"/>
      <c r="J407" s="48">
        <f>ROUND(SUM(J408:J411),0)</f>
        <v>547752</v>
      </c>
    </row>
    <row r="408" spans="1:10" x14ac:dyDescent="0.25">
      <c r="A408" s="168"/>
      <c r="B408" s="144"/>
      <c r="C408" s="34">
        <v>154</v>
      </c>
      <c r="D408" s="144" t="str">
        <f>'Vật liệu'!$B$450</f>
        <v>V00515</v>
      </c>
      <c r="E408" s="144" t="str">
        <f>" - " &amp; 'Vật liệu'!$D$450</f>
        <v xml:space="preserve"> - Que hàn</v>
      </c>
      <c r="F408" s="168" t="str">
        <f>'Vật liệu'!$E$450</f>
        <v>kg</v>
      </c>
      <c r="G408" s="34">
        <f>'Hao phí vật tư'!$G$409</f>
        <v>1.2</v>
      </c>
      <c r="H408" s="68">
        <f>'Vật liệu'!$W$450</f>
        <v>19091</v>
      </c>
      <c r="I408" s="37">
        <v>1</v>
      </c>
      <c r="J408" s="166">
        <f>ROUND(G408*H408*I408,0)</f>
        <v>22909</v>
      </c>
    </row>
    <row r="409" spans="1:10" x14ac:dyDescent="0.25">
      <c r="A409" s="168"/>
      <c r="B409" s="144"/>
      <c r="C409" s="34">
        <v>166</v>
      </c>
      <c r="D409" s="144" t="str">
        <f>'Vật liệu'!$B$606</f>
        <v>V00671</v>
      </c>
      <c r="E409" s="144" t="str">
        <f>" - " &amp; 'Vật liệu'!$D$606</f>
        <v xml:space="preserve"> - Thép tấm</v>
      </c>
      <c r="F409" s="168" t="str">
        <f>'Vật liệu'!$E$606</f>
        <v>kg</v>
      </c>
      <c r="G409" s="34">
        <f>'Hao phí vật tư'!$G$410</f>
        <v>23.03</v>
      </c>
      <c r="H409" s="68">
        <f>'Vật liệu'!$W$606</f>
        <v>12574</v>
      </c>
      <c r="I409" s="37">
        <v>1</v>
      </c>
      <c r="J409" s="166">
        <f>ROUND(G409*H409*I409,0)</f>
        <v>289579</v>
      </c>
    </row>
    <row r="410" spans="1:10" x14ac:dyDescent="0.25">
      <c r="A410" s="168"/>
      <c r="B410" s="144"/>
      <c r="C410" s="34">
        <v>160</v>
      </c>
      <c r="D410" s="144" t="str">
        <f>'Vật liệu'!$B$556</f>
        <v>V00641</v>
      </c>
      <c r="E410" s="144" t="str">
        <f>" - " &amp; 'Vật liệu'!$D$556</f>
        <v xml:space="preserve"> - Thép hình</v>
      </c>
      <c r="F410" s="168" t="str">
        <f>'Vật liệu'!$E$556</f>
        <v>kg</v>
      </c>
      <c r="G410" s="34">
        <f>'Hao phí vật tư'!$G$411</f>
        <v>13.68</v>
      </c>
      <c r="H410" s="68">
        <f>'Vật liệu'!$W$556</f>
        <v>15291</v>
      </c>
      <c r="I410" s="37">
        <v>1</v>
      </c>
      <c r="J410" s="166">
        <f>ROUND(G410*H410*I410,0)</f>
        <v>209181</v>
      </c>
    </row>
    <row r="411" spans="1:10" x14ac:dyDescent="0.25">
      <c r="A411" s="168"/>
      <c r="B411" s="144"/>
      <c r="C411" s="34">
        <v>386</v>
      </c>
      <c r="D411" s="144" t="str">
        <f>'Vật liệu'!$B$766</f>
        <v>V00750</v>
      </c>
      <c r="E411" s="144" t="str">
        <f>" - " &amp; 'Vật liệu'!$D$766</f>
        <v xml:space="preserve"> - Vật liệu khác</v>
      </c>
      <c r="F411" s="168" t="str">
        <f>'Vật liệu'!$E$766</f>
        <v>%</v>
      </c>
      <c r="G411" s="34">
        <f>'Hao phí vật tư'!$G$412</f>
        <v>5</v>
      </c>
      <c r="H411" s="166">
        <f>'Vật liệu'!$W$766</f>
        <v>0</v>
      </c>
      <c r="I411" s="37">
        <v>1</v>
      </c>
      <c r="J411" s="166">
        <f>ROUND((J408+J409+J410)*G411*I411/100,0)</f>
        <v>26083</v>
      </c>
    </row>
    <row r="412" spans="1:10" x14ac:dyDescent="0.25">
      <c r="A412" s="56"/>
      <c r="B412" s="23"/>
      <c r="C412" s="88"/>
      <c r="D412" s="23"/>
      <c r="E412" s="23" t="s">
        <v>202</v>
      </c>
      <c r="F412" s="56"/>
      <c r="G412" s="88"/>
      <c r="H412" s="48"/>
      <c r="I412" s="90"/>
      <c r="J412" s="48">
        <f>ROUND(SUM(J413:J413),0)</f>
        <v>4908459</v>
      </c>
    </row>
    <row r="413" spans="1:10" x14ac:dyDescent="0.25">
      <c r="A413" s="168"/>
      <c r="B413" s="144"/>
      <c r="C413" s="34">
        <v>546</v>
      </c>
      <c r="D413" s="144" t="str">
        <f>'Nhân công'!$B$45</f>
        <v>N0009</v>
      </c>
      <c r="E413" s="144" t="s">
        <v>1052</v>
      </c>
      <c r="F413" s="168" t="str">
        <f>'Nhân công'!$G$45</f>
        <v>công</v>
      </c>
      <c r="G413" s="34">
        <f>'Hao phí vật tư'!$H$414</f>
        <v>23.06</v>
      </c>
      <c r="H413" s="68">
        <f>'Nhân công'!$M$45</f>
        <v>212856</v>
      </c>
      <c r="I413" s="37">
        <v>1</v>
      </c>
      <c r="J413" s="166">
        <f>ROUND(G413*H413*I413,0)</f>
        <v>4908459</v>
      </c>
    </row>
    <row r="414" spans="1:10" x14ac:dyDescent="0.25">
      <c r="A414" s="56"/>
      <c r="B414" s="23"/>
      <c r="C414" s="88"/>
      <c r="D414" s="23"/>
      <c r="E414" s="23" t="s">
        <v>378</v>
      </c>
      <c r="F414" s="56"/>
      <c r="G414" s="88"/>
      <c r="H414" s="48"/>
      <c r="I414" s="90"/>
      <c r="J414" s="48">
        <f>ROUND(SUM(J415:J416),0)</f>
        <v>159884</v>
      </c>
    </row>
    <row r="415" spans="1:10" x14ac:dyDescent="0.25">
      <c r="A415" s="168"/>
      <c r="B415" s="144"/>
      <c r="C415" s="34">
        <v>714</v>
      </c>
      <c r="D415" s="144" t="str">
        <f>'Máy thi công'!$B$6</f>
        <v>M9438</v>
      </c>
      <c r="E415" s="144" t="str">
        <f>" - " &amp; 'Máy thi công'!$D$6</f>
        <v xml:space="preserve"> - Biến thế hàn xoay chiều - công suất: 23 kW</v>
      </c>
      <c r="F415" s="168" t="str">
        <f>'Máy thi công'!$E$6</f>
        <v>ca</v>
      </c>
      <c r="G415" s="34">
        <f>'Hao phí vật tư'!$I$416</f>
        <v>0.43</v>
      </c>
      <c r="H415" s="68">
        <f>'Máy thi công'!$N$6</f>
        <v>338020</v>
      </c>
      <c r="I415" s="37">
        <v>1</v>
      </c>
      <c r="J415" s="166">
        <f>ROUND(G415*H415*I415,0)</f>
        <v>145349</v>
      </c>
    </row>
    <row r="416" spans="1:10" x14ac:dyDescent="0.25">
      <c r="A416" s="168"/>
      <c r="B416" s="144"/>
      <c r="C416" s="34">
        <v>686</v>
      </c>
      <c r="D416" s="144" t="str">
        <f>'Máy thi công'!$B$398</f>
        <v>M0111</v>
      </c>
      <c r="E416" s="144" t="str">
        <f>" - " &amp; 'Máy thi công'!$D$398</f>
        <v xml:space="preserve"> - Máy khác</v>
      </c>
      <c r="F416" s="168" t="str">
        <f>'Máy thi công'!$E$398</f>
        <v>%</v>
      </c>
      <c r="G416" s="34">
        <f>'Hao phí vật tư'!$I$417</f>
        <v>10</v>
      </c>
      <c r="H416" s="166">
        <f>'Máy thi công'!$N$398</f>
        <v>0</v>
      </c>
      <c r="I416" s="37">
        <v>1</v>
      </c>
      <c r="J416" s="166">
        <f>ROUND((J415)*G416*I416/100,0)</f>
        <v>14535</v>
      </c>
    </row>
    <row r="417" spans="1:10" x14ac:dyDescent="0.25">
      <c r="A417" s="65">
        <f>'Công trình'!$A$57</f>
        <v>43</v>
      </c>
      <c r="B417" s="14" t="str">
        <f>'Công trình'!$B$57</f>
        <v>AF.12313</v>
      </c>
      <c r="C417" s="94"/>
      <c r="D417" s="31"/>
      <c r="E417" s="14" t="str">
        <f>'Công trình'!$C$57</f>
        <v>Bê tông xà dầm, giằng đá 1x2, vữa BT mác 200</v>
      </c>
      <c r="F417" s="46" t="str">
        <f>'Công trình'!$D$57</f>
        <v>m3</v>
      </c>
      <c r="G417" s="94"/>
      <c r="H417" s="54"/>
      <c r="I417" s="98"/>
      <c r="J417" s="54"/>
    </row>
    <row r="418" spans="1:10" x14ac:dyDescent="0.25">
      <c r="A418" s="56"/>
      <c r="B418" s="23"/>
      <c r="C418" s="88"/>
      <c r="D418" s="23"/>
      <c r="E418" s="23" t="s">
        <v>479</v>
      </c>
      <c r="F418" s="56"/>
      <c r="G418" s="88"/>
      <c r="H418" s="48"/>
      <c r="I418" s="90"/>
      <c r="J418" s="48">
        <f>ROUND(SUM(J419:J423),0)</f>
        <v>989296</v>
      </c>
    </row>
    <row r="419" spans="1:10" x14ac:dyDescent="0.25">
      <c r="A419" s="168"/>
      <c r="B419" s="144"/>
      <c r="C419" s="34">
        <v>397</v>
      </c>
      <c r="D419" s="144" t="str">
        <f>'Vật liệu'!$B$721</f>
        <v>V00761</v>
      </c>
      <c r="E419" s="144" t="str">
        <f>" - " &amp; 'Vật liệu'!$D$721</f>
        <v xml:space="preserve"> - Xi măng PC40</v>
      </c>
      <c r="F419" s="168" t="str">
        <f>'Vật liệu'!$E$721</f>
        <v>kg</v>
      </c>
      <c r="G419" s="34">
        <f>'Hao phí vật tư'!$G$420</f>
        <v>288.02499999999998</v>
      </c>
      <c r="H419" s="68">
        <f>'Vật liệu'!$W$721</f>
        <v>1513</v>
      </c>
      <c r="I419" s="37">
        <v>1</v>
      </c>
      <c r="J419" s="166">
        <f>ROUND(G419*H419*I419,0)</f>
        <v>435782</v>
      </c>
    </row>
    <row r="420" spans="1:10" x14ac:dyDescent="0.25">
      <c r="A420" s="168"/>
      <c r="B420" s="144"/>
      <c r="C420" s="34">
        <v>125</v>
      </c>
      <c r="D420" s="144" t="str">
        <f>'Vật liệu'!$B$54</f>
        <v>V00112</v>
      </c>
      <c r="E420" s="144" t="str">
        <f>" - " &amp; 'Vật liệu'!$D$54</f>
        <v xml:space="preserve"> - Cát vàng</v>
      </c>
      <c r="F420" s="168" t="str">
        <f>'Vật liệu'!$E$54</f>
        <v>m3</v>
      </c>
      <c r="G420" s="34">
        <f>'Hao phí vật tư'!$G$421</f>
        <v>0.50529999999999997</v>
      </c>
      <c r="H420" s="68">
        <f>'Vật liệu'!$W$54</f>
        <v>420000</v>
      </c>
      <c r="I420" s="37">
        <v>1</v>
      </c>
      <c r="J420" s="166">
        <f>ROUND(G420*H420*I420,0)</f>
        <v>212226</v>
      </c>
    </row>
    <row r="421" spans="1:10" x14ac:dyDescent="0.25">
      <c r="A421" s="168"/>
      <c r="B421" s="144"/>
      <c r="C421" s="34">
        <v>416</v>
      </c>
      <c r="D421" s="144" t="str">
        <f>'Vật liệu'!$B$142</f>
        <v>V05207</v>
      </c>
      <c r="E421" s="144" t="str">
        <f>" - " &amp; 'Vật liệu'!$D$142</f>
        <v xml:space="preserve"> - Đá 1x2</v>
      </c>
      <c r="F421" s="168" t="str">
        <f>'Vật liệu'!$E$142</f>
        <v>m3</v>
      </c>
      <c r="G421" s="34">
        <f>'Hao phí vật tư'!$G$422</f>
        <v>0.9133</v>
      </c>
      <c r="H421" s="68">
        <f>'Vật liệu'!$W$142</f>
        <v>360886</v>
      </c>
      <c r="I421" s="37">
        <v>1</v>
      </c>
      <c r="J421" s="166">
        <f>ROUND(G421*H421*I421,0)</f>
        <v>329597</v>
      </c>
    </row>
    <row r="422" spans="1:10" x14ac:dyDescent="0.25">
      <c r="A422" s="168"/>
      <c r="B422" s="144"/>
      <c r="C422" s="34">
        <v>148</v>
      </c>
      <c r="D422" s="144" t="str">
        <f>'Vật liệu'!$B$353</f>
        <v>V00494</v>
      </c>
      <c r="E422" s="144" t="str">
        <f>" - " &amp; 'Vật liệu'!$D$353</f>
        <v xml:space="preserve"> - Nước</v>
      </c>
      <c r="F422" s="168" t="str">
        <f>'Vật liệu'!$E$353</f>
        <v>lít</v>
      </c>
      <c r="G422" s="34">
        <f>'Hao phí vật tư'!$G$423</f>
        <v>189.625</v>
      </c>
      <c r="H422" s="68">
        <f>'Vật liệu'!$W$353</f>
        <v>10</v>
      </c>
      <c r="I422" s="37">
        <v>1</v>
      </c>
      <c r="J422" s="166">
        <f>ROUND(G422*H422*I422,0)</f>
        <v>1896</v>
      </c>
    </row>
    <row r="423" spans="1:10" x14ac:dyDescent="0.25">
      <c r="A423" s="168"/>
      <c r="B423" s="144"/>
      <c r="C423" s="34">
        <v>207</v>
      </c>
      <c r="D423" s="144" t="str">
        <f>'Vật liệu'!$B$766</f>
        <v>V00750</v>
      </c>
      <c r="E423" s="144" t="str">
        <f>" - " &amp; 'Vật liệu'!$D$766</f>
        <v xml:space="preserve"> - Vật liệu khác</v>
      </c>
      <c r="F423" s="168" t="str">
        <f>'Vật liệu'!$E$766</f>
        <v>%</v>
      </c>
      <c r="G423" s="34">
        <f>'Hao phí vật tư'!$G$424</f>
        <v>1</v>
      </c>
      <c r="H423" s="166">
        <f>'Vật liệu'!$W$766</f>
        <v>0</v>
      </c>
      <c r="I423" s="37">
        <v>1</v>
      </c>
      <c r="J423" s="166">
        <f>ROUND((J419+J420+J421+J422)*G423*I423/100,0)</f>
        <v>9795</v>
      </c>
    </row>
    <row r="424" spans="1:10" x14ac:dyDescent="0.25">
      <c r="A424" s="56"/>
      <c r="B424" s="23"/>
      <c r="C424" s="88"/>
      <c r="D424" s="23"/>
      <c r="E424" s="23" t="s">
        <v>202</v>
      </c>
      <c r="F424" s="56"/>
      <c r="G424" s="88"/>
      <c r="H424" s="48"/>
      <c r="I424" s="90"/>
      <c r="J424" s="48">
        <f>ROUND(SUM(J425:J425),0)</f>
        <v>757767</v>
      </c>
    </row>
    <row r="425" spans="1:10" x14ac:dyDescent="0.25">
      <c r="A425" s="168"/>
      <c r="B425" s="144"/>
      <c r="C425" s="34">
        <v>546</v>
      </c>
      <c r="D425" s="144" t="str">
        <f>'Nhân công'!$B$45</f>
        <v>N0009</v>
      </c>
      <c r="E425" s="144" t="s">
        <v>1052</v>
      </c>
      <c r="F425" s="168" t="str">
        <f>'Nhân công'!$G$45</f>
        <v>công</v>
      </c>
      <c r="G425" s="34">
        <f>'Hao phí vật tư'!$H$426</f>
        <v>3.56</v>
      </c>
      <c r="H425" s="68">
        <f>'Nhân công'!$M$45</f>
        <v>212856</v>
      </c>
      <c r="I425" s="37">
        <v>1</v>
      </c>
      <c r="J425" s="166">
        <f>ROUND(G425*H425*I425,0)</f>
        <v>757767</v>
      </c>
    </row>
    <row r="426" spans="1:10" x14ac:dyDescent="0.25">
      <c r="A426" s="56"/>
      <c r="B426" s="23"/>
      <c r="C426" s="88"/>
      <c r="D426" s="23"/>
      <c r="E426" s="23" t="s">
        <v>378</v>
      </c>
      <c r="F426" s="56"/>
      <c r="G426" s="88"/>
      <c r="H426" s="48"/>
      <c r="I426" s="90"/>
      <c r="J426" s="48">
        <f>ROUND(SUM(J427:J429),0)</f>
        <v>68040</v>
      </c>
    </row>
    <row r="427" spans="1:10" x14ac:dyDescent="0.25">
      <c r="A427" s="168"/>
      <c r="B427" s="144"/>
      <c r="C427" s="34">
        <v>746</v>
      </c>
      <c r="D427" s="144" t="str">
        <f>'Máy thi công'!$B$358</f>
        <v>M9560</v>
      </c>
      <c r="E427" s="144" t="str">
        <f>" - " &amp; 'Máy thi công'!$D$358</f>
        <v xml:space="preserve"> - Máy vận thăng - sức nâng: 0,8 t - H nâng 80 m</v>
      </c>
      <c r="F427" s="168" t="str">
        <f>'Máy thi công'!$E$358</f>
        <v>ca</v>
      </c>
      <c r="G427" s="34">
        <f>'Hao phí vật tư'!$I$428</f>
        <v>0</v>
      </c>
      <c r="H427" s="68">
        <f>'Máy thi công'!$N$358</f>
        <v>378219</v>
      </c>
      <c r="I427" s="37">
        <v>1</v>
      </c>
      <c r="J427" s="166">
        <f>ROUND(G427*H427*I427,0)</f>
        <v>0</v>
      </c>
    </row>
    <row r="428" spans="1:10" x14ac:dyDescent="0.25">
      <c r="A428" s="168"/>
      <c r="B428" s="144"/>
      <c r="C428" s="34">
        <v>750</v>
      </c>
      <c r="D428" s="144" t="str">
        <f>'Máy thi công'!$B$232</f>
        <v>M9571</v>
      </c>
      <c r="E428" s="144" t="str">
        <f>" - " &amp; 'Máy thi công'!$D$232</f>
        <v xml:space="preserve"> - Máy đầm bê tông, dầm dùi - công suất: 1,5 kW</v>
      </c>
      <c r="F428" s="168" t="str">
        <f>'Máy thi công'!$E$232</f>
        <v>ca</v>
      </c>
      <c r="G428" s="34">
        <f>'Hao phí vật tư'!$I$429</f>
        <v>0.18</v>
      </c>
      <c r="H428" s="68">
        <f>'Máy thi công'!$N$232</f>
        <v>225765</v>
      </c>
      <c r="I428" s="37">
        <v>1</v>
      </c>
      <c r="J428" s="166">
        <f>ROUND(G428*H428*I428,0)</f>
        <v>40638</v>
      </c>
    </row>
    <row r="429" spans="1:10" x14ac:dyDescent="0.25">
      <c r="A429" s="168"/>
      <c r="B429" s="144"/>
      <c r="C429" s="34">
        <v>744</v>
      </c>
      <c r="D429" s="144" t="str">
        <f>'Máy thi công'!$B$306</f>
        <v>M9555</v>
      </c>
      <c r="E429" s="144" t="str">
        <f>" - " &amp; 'Máy thi công'!$D$306</f>
        <v xml:space="preserve"> - Máy trộn bê tông - dung tích: 250 lít</v>
      </c>
      <c r="F429" s="168" t="str">
        <f>'Máy thi công'!$E$306</f>
        <v>ca</v>
      </c>
      <c r="G429" s="34">
        <f>'Hao phí vật tư'!$I$430</f>
        <v>9.5000000000000001E-2</v>
      </c>
      <c r="H429" s="68">
        <f>'Máy thi công'!$N$306</f>
        <v>288447</v>
      </c>
      <c r="I429" s="37">
        <v>1</v>
      </c>
      <c r="J429" s="166">
        <f>ROUND(G429*H429*I429,0)</f>
        <v>27402</v>
      </c>
    </row>
    <row r="430" spans="1:10" x14ac:dyDescent="0.25">
      <c r="A430" s="65">
        <f>'Công trình'!$A$58</f>
        <v>44</v>
      </c>
      <c r="B430" s="14" t="str">
        <f>'Công trình'!$B$58</f>
        <v>AK.41124</v>
      </c>
      <c r="C430" s="94"/>
      <c r="D430" s="31"/>
      <c r="E430" s="14" t="str">
        <f>'Công trình'!$C$58</f>
        <v>Vữa lót M75 dày 3cm</v>
      </c>
      <c r="F430" s="46" t="str">
        <f>'Công trình'!$D$58</f>
        <v>m2</v>
      </c>
      <c r="G430" s="94"/>
      <c r="H430" s="54"/>
      <c r="I430" s="98"/>
      <c r="J430" s="54"/>
    </row>
    <row r="431" spans="1:10" x14ac:dyDescent="0.25">
      <c r="A431" s="56"/>
      <c r="B431" s="23"/>
      <c r="C431" s="88"/>
      <c r="D431" s="23"/>
      <c r="E431" s="23" t="s">
        <v>479</v>
      </c>
      <c r="F431" s="56"/>
      <c r="G431" s="88"/>
      <c r="H431" s="48"/>
      <c r="I431" s="90"/>
      <c r="J431" s="48">
        <f>ROUND(SUM(J432:J434),0)</f>
        <v>28745</v>
      </c>
    </row>
    <row r="432" spans="1:10" x14ac:dyDescent="0.25">
      <c r="A432" s="168"/>
      <c r="B432" s="144"/>
      <c r="C432" s="34">
        <v>397</v>
      </c>
      <c r="D432" s="144" t="str">
        <f>'Vật liệu'!$B$721</f>
        <v>V00761</v>
      </c>
      <c r="E432" s="144" t="str">
        <f>" - " &amp; 'Vật liệu'!$D$721</f>
        <v xml:space="preserve"> - Xi măng PC40</v>
      </c>
      <c r="F432" s="168" t="str">
        <f>'Vật liệu'!$E$721</f>
        <v>kg</v>
      </c>
      <c r="G432" s="34">
        <f>'Hao phí vật tư'!$G$433</f>
        <v>7.9457000000000004</v>
      </c>
      <c r="H432" s="68">
        <f>'Vật liệu'!$W$721</f>
        <v>1513</v>
      </c>
      <c r="I432" s="37">
        <v>1</v>
      </c>
      <c r="J432" s="166">
        <f>ROUND(G432*H432*I432,0)</f>
        <v>12022</v>
      </c>
    </row>
    <row r="433" spans="1:10" x14ac:dyDescent="0.25">
      <c r="A433" s="168"/>
      <c r="B433" s="144"/>
      <c r="C433" s="34">
        <v>125</v>
      </c>
      <c r="D433" s="144" t="str">
        <f>'Vật liệu'!$B$54</f>
        <v>V00112</v>
      </c>
      <c r="E433" s="144" t="str">
        <f>" - " &amp; 'Vật liệu'!$D$54</f>
        <v xml:space="preserve"> - Cát vàng</v>
      </c>
      <c r="F433" s="168" t="str">
        <f>'Vật liệu'!$E$54</f>
        <v>m3</v>
      </c>
      <c r="G433" s="34">
        <f>'Hao phí vật tư'!$G$434</f>
        <v>3.9600000000000003E-2</v>
      </c>
      <c r="H433" s="68">
        <f>'Vật liệu'!$W$54</f>
        <v>420000</v>
      </c>
      <c r="I433" s="37">
        <v>1</v>
      </c>
      <c r="J433" s="166">
        <f>ROUND(G433*H433*I433,0)</f>
        <v>16632</v>
      </c>
    </row>
    <row r="434" spans="1:10" x14ac:dyDescent="0.25">
      <c r="A434" s="168"/>
      <c r="B434" s="144"/>
      <c r="C434" s="34">
        <v>148</v>
      </c>
      <c r="D434" s="144" t="str">
        <f>'Vật liệu'!$B$353</f>
        <v>V00494</v>
      </c>
      <c r="E434" s="144" t="str">
        <f>" - " &amp; 'Vật liệu'!$D$353</f>
        <v xml:space="preserve"> - Nước</v>
      </c>
      <c r="F434" s="168" t="str">
        <f>'Vật liệu'!$E$353</f>
        <v>lít</v>
      </c>
      <c r="G434" s="34">
        <f>'Hao phí vật tư'!$G$435</f>
        <v>9.1</v>
      </c>
      <c r="H434" s="68">
        <f>'Vật liệu'!$W$353</f>
        <v>10</v>
      </c>
      <c r="I434" s="37">
        <v>1</v>
      </c>
      <c r="J434" s="166">
        <f>ROUND(G434*H434*I434,0)</f>
        <v>91</v>
      </c>
    </row>
    <row r="435" spans="1:10" x14ac:dyDescent="0.25">
      <c r="A435" s="56"/>
      <c r="B435" s="23"/>
      <c r="C435" s="88"/>
      <c r="D435" s="23"/>
      <c r="E435" s="23" t="s">
        <v>202</v>
      </c>
      <c r="F435" s="56"/>
      <c r="G435" s="88"/>
      <c r="H435" s="48"/>
      <c r="I435" s="90"/>
      <c r="J435" s="48">
        <f>ROUND(SUM(J436:J436),0)</f>
        <v>24431</v>
      </c>
    </row>
    <row r="436" spans="1:10" x14ac:dyDescent="0.25">
      <c r="A436" s="168"/>
      <c r="B436" s="144"/>
      <c r="C436" s="34">
        <v>550</v>
      </c>
      <c r="D436" s="144" t="str">
        <f>'Nhân công'!$B$130</f>
        <v>N0011</v>
      </c>
      <c r="E436" s="144" t="s">
        <v>671</v>
      </c>
      <c r="F436" s="168" t="str">
        <f>'Nhân công'!$G$130</f>
        <v>công</v>
      </c>
      <c r="G436" s="34">
        <f>'Hao phí vật tư'!$H$437</f>
        <v>0.106</v>
      </c>
      <c r="H436" s="68">
        <f>'Nhân công'!$M$130</f>
        <v>230481</v>
      </c>
      <c r="I436" s="37">
        <v>1</v>
      </c>
      <c r="J436" s="166">
        <f>ROUND(G436*H436*I436,0)</f>
        <v>24431</v>
      </c>
    </row>
    <row r="437" spans="1:10" x14ac:dyDescent="0.25">
      <c r="A437" s="56"/>
      <c r="B437" s="23"/>
      <c r="C437" s="88"/>
      <c r="D437" s="23"/>
      <c r="E437" s="23" t="s">
        <v>378</v>
      </c>
      <c r="F437" s="56"/>
      <c r="G437" s="88"/>
      <c r="H437" s="48"/>
      <c r="I437" s="90"/>
      <c r="J437" s="48">
        <f>ROUND(SUM(J438:J438),0)</f>
        <v>932</v>
      </c>
    </row>
    <row r="438" spans="1:10" x14ac:dyDescent="0.25">
      <c r="A438" s="168"/>
      <c r="B438" s="144"/>
      <c r="C438" s="34">
        <v>745</v>
      </c>
      <c r="D438" s="144" t="str">
        <f>'Máy thi công'!$B$341</f>
        <v>M9558</v>
      </c>
      <c r="E438" s="144" t="str">
        <f>" - " &amp; 'Máy thi công'!$D$341</f>
        <v xml:space="preserve"> - Máy trộn vữa - dung tích: 80 lít</v>
      </c>
      <c r="F438" s="168" t="str">
        <f>'Máy thi công'!$E$341</f>
        <v>ca</v>
      </c>
      <c r="G438" s="34">
        <f>'Hao phí vật tư'!$I$439</f>
        <v>4.0000000000000001E-3</v>
      </c>
      <c r="H438" s="68">
        <f>'Máy thi công'!$N$341</f>
        <v>232983</v>
      </c>
      <c r="I438" s="37">
        <v>1</v>
      </c>
      <c r="J438" s="166">
        <f>ROUND(G438*H438*I438,0)</f>
        <v>932</v>
      </c>
    </row>
    <row r="439" spans="1:10" ht="28.5" x14ac:dyDescent="0.25">
      <c r="A439" s="65">
        <f>'Công trình'!$A$59</f>
        <v>45</v>
      </c>
      <c r="B439" s="14" t="str">
        <f>'Công trình'!$B$59</f>
        <v>AF.82111</v>
      </c>
      <c r="C439" s="94"/>
      <c r="D439" s="31"/>
      <c r="E439" s="14" t="str">
        <f>'Công trình'!$C$59</f>
        <v>Sản xuất, lắp dựng tháo dỡ ván khuôn thép dầm, giằng, chiều cao &lt;=16m</v>
      </c>
      <c r="F439" s="46" t="str">
        <f>'Công trình'!$D$59</f>
        <v>100m2</v>
      </c>
      <c r="G439" s="94"/>
      <c r="H439" s="54"/>
      <c r="I439" s="98"/>
      <c r="J439" s="54"/>
    </row>
    <row r="440" spans="1:10" x14ac:dyDescent="0.25">
      <c r="A440" s="56"/>
      <c r="B440" s="23"/>
      <c r="C440" s="88"/>
      <c r="D440" s="23"/>
      <c r="E440" s="23" t="s">
        <v>479</v>
      </c>
      <c r="F440" s="56"/>
      <c r="G440" s="88"/>
      <c r="H440" s="48"/>
      <c r="I440" s="90"/>
      <c r="J440" s="48">
        <f>ROUND(SUM(J441:J445),0)</f>
        <v>3284877</v>
      </c>
    </row>
    <row r="441" spans="1:10" x14ac:dyDescent="0.25">
      <c r="A441" s="168"/>
      <c r="B441" s="144"/>
      <c r="C441" s="34">
        <v>154</v>
      </c>
      <c r="D441" s="144" t="str">
        <f>'Vật liệu'!$B$450</f>
        <v>V00515</v>
      </c>
      <c r="E441" s="144" t="str">
        <f>" - " &amp; 'Vật liệu'!$D$450</f>
        <v xml:space="preserve"> - Que hàn</v>
      </c>
      <c r="F441" s="168" t="str">
        <f>'Vật liệu'!$E$450</f>
        <v>kg</v>
      </c>
      <c r="G441" s="34">
        <f>'Hao phí vật tư'!$G$442</f>
        <v>5.6</v>
      </c>
      <c r="H441" s="68">
        <f>'Vật liệu'!$W$450</f>
        <v>19091</v>
      </c>
      <c r="I441" s="37">
        <v>1</v>
      </c>
      <c r="J441" s="166">
        <f>ROUND(G441*H441*I441,0)</f>
        <v>106910</v>
      </c>
    </row>
    <row r="442" spans="1:10" x14ac:dyDescent="0.25">
      <c r="A442" s="168"/>
      <c r="B442" s="144"/>
      <c r="C442" s="34">
        <v>140</v>
      </c>
      <c r="D442" s="144" t="str">
        <f>'Vật liệu'!$B$294</f>
        <v>V00390</v>
      </c>
      <c r="E442" s="144" t="str">
        <f>" - " &amp; 'Vật liệu'!$D$294</f>
        <v xml:space="preserve"> - Gỗ chống</v>
      </c>
      <c r="F442" s="168" t="str">
        <f>'Vật liệu'!$E$294</f>
        <v>m3</v>
      </c>
      <c r="G442" s="34">
        <f>'Hao phí vật tư'!$G$443</f>
        <v>0.496</v>
      </c>
      <c r="H442" s="68">
        <f>'Vật liệu'!$W$294</f>
        <v>3272727</v>
      </c>
      <c r="I442" s="37">
        <v>1</v>
      </c>
      <c r="J442" s="166">
        <f>ROUND(G442*H442*I442,0)</f>
        <v>1623273</v>
      </c>
    </row>
    <row r="443" spans="1:10" x14ac:dyDescent="0.25">
      <c r="A443" s="168"/>
      <c r="B443" s="144"/>
      <c r="C443" s="34">
        <v>166</v>
      </c>
      <c r="D443" s="144" t="str">
        <f>'Vật liệu'!$B$606</f>
        <v>V00671</v>
      </c>
      <c r="E443" s="144" t="str">
        <f>" - " &amp; 'Vật liệu'!$D$606</f>
        <v xml:space="preserve"> - Thép tấm</v>
      </c>
      <c r="F443" s="168" t="str">
        <f>'Vật liệu'!$E$606</f>
        <v>kg</v>
      </c>
      <c r="G443" s="34">
        <f>'Hao phí vật tư'!$G$444</f>
        <v>51.81</v>
      </c>
      <c r="H443" s="68">
        <f>'Vật liệu'!$W$606</f>
        <v>12574</v>
      </c>
      <c r="I443" s="37">
        <v>1</v>
      </c>
      <c r="J443" s="166">
        <f>ROUND(G443*H443*I443,0)</f>
        <v>651459</v>
      </c>
    </row>
    <row r="444" spans="1:10" x14ac:dyDescent="0.25">
      <c r="A444" s="168"/>
      <c r="B444" s="144"/>
      <c r="C444" s="34">
        <v>160</v>
      </c>
      <c r="D444" s="144" t="str">
        <f>'Vật liệu'!$B$556</f>
        <v>V00641</v>
      </c>
      <c r="E444" s="144" t="str">
        <f>" - " &amp; 'Vật liệu'!$D$556</f>
        <v xml:space="preserve"> - Thép hình</v>
      </c>
      <c r="F444" s="168" t="str">
        <f>'Vật liệu'!$E$556</f>
        <v>kg</v>
      </c>
      <c r="G444" s="34">
        <f>'Hao phí vật tư'!$G$445</f>
        <v>48.84</v>
      </c>
      <c r="H444" s="68">
        <f>'Vật liệu'!$W$556</f>
        <v>15291</v>
      </c>
      <c r="I444" s="37">
        <v>1</v>
      </c>
      <c r="J444" s="166">
        <f>ROUND(G444*H444*I444,0)</f>
        <v>746812</v>
      </c>
    </row>
    <row r="445" spans="1:10" x14ac:dyDescent="0.25">
      <c r="A445" s="168"/>
      <c r="B445" s="144"/>
      <c r="C445" s="34">
        <v>206</v>
      </c>
      <c r="D445" s="144" t="str">
        <f>'Vật liệu'!$B$766</f>
        <v>V00750</v>
      </c>
      <c r="E445" s="144" t="str">
        <f>" - " &amp; 'Vật liệu'!$D$766</f>
        <v xml:space="preserve"> - Vật liệu khác</v>
      </c>
      <c r="F445" s="168" t="str">
        <f>'Vật liệu'!$E$766</f>
        <v>%</v>
      </c>
      <c r="G445" s="34">
        <f>'Hao phí vật tư'!$G$446</f>
        <v>5</v>
      </c>
      <c r="H445" s="166">
        <f>'Vật liệu'!$W$766</f>
        <v>0</v>
      </c>
      <c r="I445" s="37">
        <v>1</v>
      </c>
      <c r="J445" s="166">
        <f>ROUND((J441+J442+J443+J444)*G445*I445/100,0)</f>
        <v>156423</v>
      </c>
    </row>
    <row r="446" spans="1:10" x14ac:dyDescent="0.25">
      <c r="A446" s="56"/>
      <c r="B446" s="23"/>
      <c r="C446" s="88"/>
      <c r="D446" s="23"/>
      <c r="E446" s="23" t="s">
        <v>202</v>
      </c>
      <c r="F446" s="56"/>
      <c r="G446" s="88"/>
      <c r="H446" s="48"/>
      <c r="I446" s="90"/>
      <c r="J446" s="48">
        <f>ROUND(SUM(J447:J447),0)</f>
        <v>8822813</v>
      </c>
    </row>
    <row r="447" spans="1:10" x14ac:dyDescent="0.25">
      <c r="A447" s="168"/>
      <c r="B447" s="144"/>
      <c r="C447" s="34">
        <v>550</v>
      </c>
      <c r="D447" s="144" t="str">
        <f>'Nhân công'!$B$130</f>
        <v>N0011</v>
      </c>
      <c r="E447" s="144" t="s">
        <v>671</v>
      </c>
      <c r="F447" s="168" t="str">
        <f>'Nhân công'!$G$130</f>
        <v>công</v>
      </c>
      <c r="G447" s="34">
        <f>'Hao phí vật tư'!$H$448</f>
        <v>38.28</v>
      </c>
      <c r="H447" s="68">
        <f>'Nhân công'!$M$130</f>
        <v>230481</v>
      </c>
      <c r="I447" s="37">
        <v>1</v>
      </c>
      <c r="J447" s="166">
        <f>ROUND(G447*H447*I447,0)</f>
        <v>8822813</v>
      </c>
    </row>
    <row r="448" spans="1:10" x14ac:dyDescent="0.25">
      <c r="A448" s="56"/>
      <c r="B448" s="23"/>
      <c r="C448" s="88"/>
      <c r="D448" s="23"/>
      <c r="E448" s="23" t="s">
        <v>378</v>
      </c>
      <c r="F448" s="56"/>
      <c r="G448" s="88"/>
      <c r="H448" s="48"/>
      <c r="I448" s="90"/>
      <c r="J448" s="48">
        <f>ROUND(SUM(J449:J451),0)</f>
        <v>517171</v>
      </c>
    </row>
    <row r="449" spans="1:10" x14ac:dyDescent="0.25">
      <c r="A449" s="168"/>
      <c r="B449" s="144"/>
      <c r="C449" s="34">
        <v>746</v>
      </c>
      <c r="D449" s="144" t="str">
        <f>'Máy thi công'!$B$358</f>
        <v>M9560</v>
      </c>
      <c r="E449" s="144" t="str">
        <f>" - " &amp; 'Máy thi công'!$D$358</f>
        <v xml:space="preserve"> - Máy vận thăng - sức nâng: 0,8 t - H nâng 80 m</v>
      </c>
      <c r="F449" s="168" t="str">
        <f>'Máy thi công'!$E$358</f>
        <v>ca</v>
      </c>
      <c r="G449" s="34">
        <f>'Hao phí vật tư'!$I$450</f>
        <v>0</v>
      </c>
      <c r="H449" s="68">
        <f>'Máy thi công'!$N$358</f>
        <v>378219</v>
      </c>
      <c r="I449" s="37">
        <v>1</v>
      </c>
      <c r="J449" s="166">
        <f>ROUND(G449*H449*I449,0)</f>
        <v>0</v>
      </c>
    </row>
    <row r="450" spans="1:10" x14ac:dyDescent="0.25">
      <c r="A450" s="168"/>
      <c r="B450" s="144"/>
      <c r="C450" s="34">
        <v>714</v>
      </c>
      <c r="D450" s="144" t="str">
        <f>'Máy thi công'!$B$6</f>
        <v>M9438</v>
      </c>
      <c r="E450" s="144" t="str">
        <f>" - " &amp; 'Máy thi công'!$D$6</f>
        <v xml:space="preserve"> - Biến thế hàn xoay chiều - công suất: 23 kW</v>
      </c>
      <c r="F450" s="168" t="str">
        <f>'Máy thi công'!$E$6</f>
        <v>ca</v>
      </c>
      <c r="G450" s="34">
        <f>'Hao phí vật tư'!$I$451</f>
        <v>1.5</v>
      </c>
      <c r="H450" s="68">
        <f>'Máy thi công'!$N$6</f>
        <v>338020</v>
      </c>
      <c r="I450" s="37">
        <v>1</v>
      </c>
      <c r="J450" s="166">
        <f>ROUND(G450*H450*I450,0)</f>
        <v>507030</v>
      </c>
    </row>
    <row r="451" spans="1:10" x14ac:dyDescent="0.25">
      <c r="A451" s="168"/>
      <c r="B451" s="144"/>
      <c r="C451" s="34">
        <v>572</v>
      </c>
      <c r="D451" s="144" t="str">
        <f>'Máy thi công'!$B$398</f>
        <v>M0111</v>
      </c>
      <c r="E451" s="144" t="str">
        <f>" - " &amp; 'Máy thi công'!$D$398</f>
        <v xml:space="preserve"> - Máy khác</v>
      </c>
      <c r="F451" s="168" t="str">
        <f>'Máy thi công'!$E$398</f>
        <v>%</v>
      </c>
      <c r="G451" s="34">
        <f>'Hao phí vật tư'!$I$452</f>
        <v>2</v>
      </c>
      <c r="H451" s="166">
        <f>'Máy thi công'!$N$398</f>
        <v>0</v>
      </c>
      <c r="I451" s="37">
        <v>1</v>
      </c>
      <c r="J451" s="166">
        <f>ROUND((J449+J450)*G451*I451/100,0)</f>
        <v>10141</v>
      </c>
    </row>
    <row r="452" spans="1:10" ht="28.5" x14ac:dyDescent="0.25">
      <c r="A452" s="65">
        <f>'Công trình'!$A$60</f>
        <v>46</v>
      </c>
      <c r="B452" s="14" t="str">
        <f>'Công trình'!$B$60</f>
        <v>AF.61511</v>
      </c>
      <c r="C452" s="94"/>
      <c r="D452" s="31"/>
      <c r="E452" s="14" t="str">
        <f>'Công trình'!$C$60</f>
        <v>Sản xuất, lắp dựng cốt thép xà dầm, giằng đường kính &lt;=10mm, chiều cao &lt;=4m</v>
      </c>
      <c r="F452" s="46" t="str">
        <f>'Công trình'!$D$60</f>
        <v>tấn</v>
      </c>
      <c r="G452" s="94"/>
      <c r="H452" s="54"/>
      <c r="I452" s="98"/>
      <c r="J452" s="54"/>
    </row>
    <row r="453" spans="1:10" x14ac:dyDescent="0.25">
      <c r="A453" s="56"/>
      <c r="B453" s="23"/>
      <c r="C453" s="88"/>
      <c r="D453" s="23"/>
      <c r="E453" s="23" t="s">
        <v>479</v>
      </c>
      <c r="F453" s="56"/>
      <c r="G453" s="88"/>
      <c r="H453" s="48"/>
      <c r="I453" s="90"/>
      <c r="J453" s="48">
        <f>ROUND(SUM(J454:J455),0)</f>
        <v>14603640</v>
      </c>
    </row>
    <row r="454" spans="1:10" x14ac:dyDescent="0.25">
      <c r="A454" s="168"/>
      <c r="B454" s="144"/>
      <c r="C454" s="34">
        <v>135</v>
      </c>
      <c r="D454" s="144" t="str">
        <f>'Vật liệu'!$B$221</f>
        <v>V00226</v>
      </c>
      <c r="E454" s="144" t="str">
        <f>" - " &amp; 'Vật liệu'!$D$221</f>
        <v xml:space="preserve"> - Dây thép</v>
      </c>
      <c r="F454" s="168" t="str">
        <f>'Vật liệu'!$E$221</f>
        <v>kg</v>
      </c>
      <c r="G454" s="34">
        <f>'Hao phí vật tư'!$G$455</f>
        <v>21.42</v>
      </c>
      <c r="H454" s="68">
        <f>'Vật liệu'!$W$221</f>
        <v>17500</v>
      </c>
      <c r="I454" s="37">
        <v>1</v>
      </c>
      <c r="J454" s="166">
        <f>ROUND(G454*H454*I454,0)</f>
        <v>374850</v>
      </c>
    </row>
    <row r="455" spans="1:10" x14ac:dyDescent="0.25">
      <c r="A455" s="168"/>
      <c r="B455" s="144"/>
      <c r="C455" s="34">
        <v>484</v>
      </c>
      <c r="D455" s="144" t="str">
        <f>'Vật liệu'!$B$650</f>
        <v>V48494</v>
      </c>
      <c r="E455" s="144" t="str">
        <f>" - " &amp; 'Vật liệu'!$D$650</f>
        <v xml:space="preserve"> - Thép tròn đường kính &lt;=10 mm</v>
      </c>
      <c r="F455" s="168" t="str">
        <f>'Vật liệu'!$E$650</f>
        <v>kg</v>
      </c>
      <c r="G455" s="34">
        <f>'Hao phí vật tư'!$G$456</f>
        <v>1005</v>
      </c>
      <c r="H455" s="68">
        <f>'Vật liệu'!$W$650</f>
        <v>14158</v>
      </c>
      <c r="I455" s="37">
        <v>1</v>
      </c>
      <c r="J455" s="166">
        <f>ROUND(G455*H455*I455,0)</f>
        <v>14228790</v>
      </c>
    </row>
    <row r="456" spans="1:10" x14ac:dyDescent="0.25">
      <c r="A456" s="56"/>
      <c r="B456" s="23"/>
      <c r="C456" s="88"/>
      <c r="D456" s="23"/>
      <c r="E456" s="23" t="s">
        <v>202</v>
      </c>
      <c r="F456" s="56"/>
      <c r="G456" s="88"/>
      <c r="H456" s="48"/>
      <c r="I456" s="90"/>
      <c r="J456" s="48">
        <f>ROUND(SUM(J457:J457),0)</f>
        <v>3448267</v>
      </c>
    </row>
    <row r="457" spans="1:10" x14ac:dyDescent="0.25">
      <c r="A457" s="168"/>
      <c r="B457" s="144"/>
      <c r="C457" s="34">
        <v>546</v>
      </c>
      <c r="D457" s="144" t="str">
        <f>'Nhân công'!$B$45</f>
        <v>N0009</v>
      </c>
      <c r="E457" s="144" t="s">
        <v>1052</v>
      </c>
      <c r="F457" s="168" t="str">
        <f>'Nhân công'!$G$45</f>
        <v>công</v>
      </c>
      <c r="G457" s="34">
        <f>'Hao phí vật tư'!$H$458</f>
        <v>16.2</v>
      </c>
      <c r="H457" s="68">
        <f>'Nhân công'!$M$45</f>
        <v>212856</v>
      </c>
      <c r="I457" s="37">
        <v>1</v>
      </c>
      <c r="J457" s="166">
        <f>ROUND(G457*H457*I457,0)</f>
        <v>3448267</v>
      </c>
    </row>
    <row r="458" spans="1:10" x14ac:dyDescent="0.25">
      <c r="A458" s="56"/>
      <c r="B458" s="23"/>
      <c r="C458" s="88"/>
      <c r="D458" s="23"/>
      <c r="E458" s="23" t="s">
        <v>378</v>
      </c>
      <c r="F458" s="56"/>
      <c r="G458" s="88"/>
      <c r="H458" s="48"/>
      <c r="I458" s="90"/>
      <c r="J458" s="48">
        <f>ROUND(SUM(J459:J459),0)</f>
        <v>91218</v>
      </c>
    </row>
    <row r="459" spans="1:10" x14ac:dyDescent="0.25">
      <c r="A459" s="168"/>
      <c r="B459" s="144"/>
      <c r="C459" s="34">
        <v>737</v>
      </c>
      <c r="D459" s="144" t="str">
        <f>'Máy thi công'!$B$184</f>
        <v>M9521</v>
      </c>
      <c r="E459" s="144" t="str">
        <f>" - " &amp; 'Máy thi công'!$D$184</f>
        <v xml:space="preserve"> - Máy cắt uốn cốt thép - công suất: 5 kW</v>
      </c>
      <c r="F459" s="168" t="str">
        <f>'Máy thi công'!$E$184</f>
        <v>ca</v>
      </c>
      <c r="G459" s="34">
        <f>'Hao phí vật tư'!$I$460</f>
        <v>0.4</v>
      </c>
      <c r="H459" s="68">
        <f>'Máy thi công'!$N$184</f>
        <v>228044</v>
      </c>
      <c r="I459" s="37">
        <v>1</v>
      </c>
      <c r="J459" s="166">
        <f>ROUND(G459*H459*I459,0)</f>
        <v>91218</v>
      </c>
    </row>
    <row r="460" spans="1:10" ht="28.5" x14ac:dyDescent="0.25">
      <c r="A460" s="65">
        <f>'Công trình'!$A$61</f>
        <v>47</v>
      </c>
      <c r="B460" s="14" t="str">
        <f>'Công trình'!$B$61</f>
        <v>AF.61521</v>
      </c>
      <c r="C460" s="94"/>
      <c r="D460" s="31"/>
      <c r="E460" s="14" t="str">
        <f>'Công trình'!$C$61</f>
        <v>Sản xuất, lắp dựng cốt thép xà dầm, giằng đường kính &lt;=18mm, chiều cao &lt;=4m</v>
      </c>
      <c r="F460" s="46" t="str">
        <f>'Công trình'!$D$61</f>
        <v>tấn</v>
      </c>
      <c r="G460" s="94"/>
      <c r="H460" s="54"/>
      <c r="I460" s="98"/>
      <c r="J460" s="54"/>
    </row>
    <row r="461" spans="1:10" x14ac:dyDescent="0.25">
      <c r="A461" s="56"/>
      <c r="B461" s="23"/>
      <c r="C461" s="88"/>
      <c r="D461" s="23"/>
      <c r="E461" s="23" t="s">
        <v>479</v>
      </c>
      <c r="F461" s="56"/>
      <c r="G461" s="88"/>
      <c r="H461" s="48"/>
      <c r="I461" s="90"/>
      <c r="J461" s="48">
        <f>ROUND(SUM(J462:J464),0)</f>
        <v>14678788</v>
      </c>
    </row>
    <row r="462" spans="1:10" x14ac:dyDescent="0.25">
      <c r="A462" s="168"/>
      <c r="B462" s="144"/>
      <c r="C462" s="34">
        <v>154</v>
      </c>
      <c r="D462" s="144" t="str">
        <f>'Vật liệu'!$B$450</f>
        <v>V00515</v>
      </c>
      <c r="E462" s="144" t="str">
        <f>" - " &amp; 'Vật liệu'!$D$450</f>
        <v xml:space="preserve"> - Que hàn</v>
      </c>
      <c r="F462" s="168" t="str">
        <f>'Vật liệu'!$E$450</f>
        <v>kg</v>
      </c>
      <c r="G462" s="34">
        <f>'Hao phí vật tư'!$G$463</f>
        <v>4.7</v>
      </c>
      <c r="H462" s="68">
        <f>'Vật liệu'!$W$450</f>
        <v>19091</v>
      </c>
      <c r="I462" s="37">
        <v>1</v>
      </c>
      <c r="J462" s="166">
        <f>ROUND(G462*H462*I462,0)</f>
        <v>89728</v>
      </c>
    </row>
    <row r="463" spans="1:10" x14ac:dyDescent="0.25">
      <c r="A463" s="168"/>
      <c r="B463" s="144"/>
      <c r="C463" s="34">
        <v>135</v>
      </c>
      <c r="D463" s="144" t="str">
        <f>'Vật liệu'!$B$221</f>
        <v>V00226</v>
      </c>
      <c r="E463" s="144" t="str">
        <f>" - " &amp; 'Vật liệu'!$D$221</f>
        <v xml:space="preserve"> - Dây thép</v>
      </c>
      <c r="F463" s="168" t="str">
        <f>'Vật liệu'!$E$221</f>
        <v>kg</v>
      </c>
      <c r="G463" s="34">
        <f>'Hao phí vật tư'!$G$464</f>
        <v>14.28</v>
      </c>
      <c r="H463" s="68">
        <f>'Vật liệu'!$W$221</f>
        <v>17500</v>
      </c>
      <c r="I463" s="37">
        <v>1</v>
      </c>
      <c r="J463" s="166">
        <f>ROUND(G463*H463*I463,0)</f>
        <v>249900</v>
      </c>
    </row>
    <row r="464" spans="1:10" x14ac:dyDescent="0.25">
      <c r="A464" s="168"/>
      <c r="B464" s="144"/>
      <c r="C464" s="34">
        <v>485</v>
      </c>
      <c r="D464" s="144" t="str">
        <f>'Vật liệu'!$B$665</f>
        <v>V48495</v>
      </c>
      <c r="E464" s="144" t="str">
        <f>" - " &amp; 'Vật liệu'!$D$665</f>
        <v xml:space="preserve"> - Thép tròn đường kính &lt;=18mm</v>
      </c>
      <c r="F464" s="168" t="str">
        <f>'Vật liệu'!$E$665</f>
        <v>kg</v>
      </c>
      <c r="G464" s="34">
        <f>'Hao phí vật tư'!$G$465</f>
        <v>1020</v>
      </c>
      <c r="H464" s="68">
        <f>'Vật liệu'!$W$665</f>
        <v>14058</v>
      </c>
      <c r="I464" s="37">
        <v>1</v>
      </c>
      <c r="J464" s="166">
        <f>ROUND(G464*H464*I464,0)</f>
        <v>14339160</v>
      </c>
    </row>
    <row r="465" spans="1:10" x14ac:dyDescent="0.25">
      <c r="A465" s="56"/>
      <c r="B465" s="23"/>
      <c r="C465" s="88"/>
      <c r="D465" s="23"/>
      <c r="E465" s="23" t="s">
        <v>202</v>
      </c>
      <c r="F465" s="56"/>
      <c r="G465" s="88"/>
      <c r="H465" s="48"/>
      <c r="I465" s="90"/>
      <c r="J465" s="48">
        <f>ROUND(SUM(J466:J466),0)</f>
        <v>2137074</v>
      </c>
    </row>
    <row r="466" spans="1:10" x14ac:dyDescent="0.25">
      <c r="A466" s="168"/>
      <c r="B466" s="144"/>
      <c r="C466" s="34">
        <v>546</v>
      </c>
      <c r="D466" s="144" t="str">
        <f>'Nhân công'!$B$45</f>
        <v>N0009</v>
      </c>
      <c r="E466" s="144" t="s">
        <v>1052</v>
      </c>
      <c r="F466" s="168" t="str">
        <f>'Nhân công'!$G$45</f>
        <v>công</v>
      </c>
      <c r="G466" s="34">
        <f>'Hao phí vật tư'!$H$467</f>
        <v>10.039999999999999</v>
      </c>
      <c r="H466" s="68">
        <f>'Nhân công'!$M$45</f>
        <v>212856</v>
      </c>
      <c r="I466" s="37">
        <v>1</v>
      </c>
      <c r="J466" s="166">
        <f>ROUND(G466*H466*I466,0)</f>
        <v>2137074</v>
      </c>
    </row>
    <row r="467" spans="1:10" x14ac:dyDescent="0.25">
      <c r="A467" s="56"/>
      <c r="B467" s="23"/>
      <c r="C467" s="88"/>
      <c r="D467" s="23"/>
      <c r="E467" s="23" t="s">
        <v>378</v>
      </c>
      <c r="F467" s="56"/>
      <c r="G467" s="88"/>
      <c r="H467" s="48"/>
      <c r="I467" s="90"/>
      <c r="J467" s="48">
        <f>ROUND(SUM(J468:J469),0)</f>
        <v>455951</v>
      </c>
    </row>
    <row r="468" spans="1:10" x14ac:dyDescent="0.25">
      <c r="A468" s="168"/>
      <c r="B468" s="144"/>
      <c r="C468" s="34">
        <v>737</v>
      </c>
      <c r="D468" s="144" t="str">
        <f>'Máy thi công'!$B$184</f>
        <v>M9521</v>
      </c>
      <c r="E468" s="144" t="str">
        <f>" - " &amp; 'Máy thi công'!$D$184</f>
        <v xml:space="preserve"> - Máy cắt uốn cốt thép - công suất: 5 kW</v>
      </c>
      <c r="F468" s="168" t="str">
        <f>'Máy thi công'!$E$184</f>
        <v>ca</v>
      </c>
      <c r="G468" s="34">
        <f>'Hao phí vật tư'!$I$469</f>
        <v>0.32</v>
      </c>
      <c r="H468" s="68">
        <f>'Máy thi công'!$N$184</f>
        <v>228044</v>
      </c>
      <c r="I468" s="37">
        <v>1</v>
      </c>
      <c r="J468" s="166">
        <f>ROUND(G468*H468*I468,0)</f>
        <v>72974</v>
      </c>
    </row>
    <row r="469" spans="1:10" x14ac:dyDescent="0.25">
      <c r="A469" s="168"/>
      <c r="B469" s="144"/>
      <c r="C469" s="34">
        <v>714</v>
      </c>
      <c r="D469" s="144" t="str">
        <f>'Máy thi công'!$B$6</f>
        <v>M9438</v>
      </c>
      <c r="E469" s="144" t="str">
        <f>" - " &amp; 'Máy thi công'!$D$6</f>
        <v xml:space="preserve"> - Biến thế hàn xoay chiều - công suất: 23 kW</v>
      </c>
      <c r="F469" s="168" t="str">
        <f>'Máy thi công'!$E$6</f>
        <v>ca</v>
      </c>
      <c r="G469" s="34">
        <f>'Hao phí vật tư'!$I$470</f>
        <v>1.133</v>
      </c>
      <c r="H469" s="68">
        <f>'Máy thi công'!$N$6</f>
        <v>338020</v>
      </c>
      <c r="I469" s="37">
        <v>1</v>
      </c>
      <c r="J469" s="166">
        <f>ROUND(G469*H469*I469,0)</f>
        <v>382977</v>
      </c>
    </row>
    <row r="470" spans="1:10" ht="28.5" x14ac:dyDescent="0.25">
      <c r="A470" s="65">
        <f>'Công trình'!$A$63</f>
        <v>48</v>
      </c>
      <c r="B470" s="14" t="str">
        <f>'Công trình'!$B$63</f>
        <v>AF.11223</v>
      </c>
      <c r="C470" s="94"/>
      <c r="D470" s="31"/>
      <c r="E470" s="14" t="str">
        <f>'Công trình'!$C$63</f>
        <v>Bê tông lát mái rộng &gt;250cm đá 1x2, vữa BT mác 200</v>
      </c>
      <c r="F470" s="46" t="str">
        <f>'Công trình'!$D$63</f>
        <v>m3</v>
      </c>
      <c r="G470" s="94"/>
      <c r="H470" s="54"/>
      <c r="I470" s="98"/>
      <c r="J470" s="54"/>
    </row>
    <row r="471" spans="1:10" x14ac:dyDescent="0.25">
      <c r="A471" s="56"/>
      <c r="B471" s="23"/>
      <c r="C471" s="88"/>
      <c r="D471" s="23"/>
      <c r="E471" s="23" t="s">
        <v>479</v>
      </c>
      <c r="F471" s="56"/>
      <c r="G471" s="88"/>
      <c r="H471" s="48"/>
      <c r="I471" s="90"/>
      <c r="J471" s="48">
        <f>ROUND(SUM(J472:J479),0)</f>
        <v>1041647</v>
      </c>
    </row>
    <row r="472" spans="1:10" x14ac:dyDescent="0.25">
      <c r="A472" s="168"/>
      <c r="B472" s="144"/>
      <c r="C472" s="34">
        <v>403</v>
      </c>
      <c r="D472" s="144" t="str">
        <f>'Vật liệu'!$B$275</f>
        <v>V00784</v>
      </c>
      <c r="E472" s="144" t="str">
        <f>" - " &amp; 'Vật liệu'!$D$275</f>
        <v xml:space="preserve"> - Đinh đỉa</v>
      </c>
      <c r="F472" s="168" t="str">
        <f>'Vật liệu'!$E$275</f>
        <v>cái</v>
      </c>
      <c r="G472" s="34">
        <f>'Hao phí vật tư'!$G$473</f>
        <v>0.60299999999999998</v>
      </c>
      <c r="H472" s="68">
        <f>'Vật liệu'!$W$275</f>
        <v>500</v>
      </c>
      <c r="I472" s="37">
        <v>1</v>
      </c>
      <c r="J472" s="166">
        <f t="shared" ref="J472:J478" si="4">ROUND(G472*H472*I472,0)</f>
        <v>302</v>
      </c>
    </row>
    <row r="473" spans="1:10" x14ac:dyDescent="0.25">
      <c r="A473" s="168"/>
      <c r="B473" s="144"/>
      <c r="C473" s="34">
        <v>401</v>
      </c>
      <c r="D473" s="144" t="str">
        <f>'Vật liệu'!$B$268</f>
        <v>V00772</v>
      </c>
      <c r="E473" s="144" t="str">
        <f>" - " &amp; 'Vật liệu'!$D$268</f>
        <v xml:space="preserve"> - Đinh</v>
      </c>
      <c r="F473" s="168" t="str">
        <f>'Vật liệu'!$E$268</f>
        <v>kg</v>
      </c>
      <c r="G473" s="34">
        <f>'Hao phí vật tư'!$G$474</f>
        <v>0.122</v>
      </c>
      <c r="H473" s="68">
        <f>'Vật liệu'!$W$268</f>
        <v>20000</v>
      </c>
      <c r="I473" s="37">
        <v>1</v>
      </c>
      <c r="J473" s="166">
        <f t="shared" si="4"/>
        <v>2440</v>
      </c>
    </row>
    <row r="474" spans="1:10" x14ac:dyDescent="0.25">
      <c r="A474" s="168"/>
      <c r="B474" s="144"/>
      <c r="C474" s="34">
        <v>397</v>
      </c>
      <c r="D474" s="144" t="str">
        <f>'Vật liệu'!$B$721</f>
        <v>V00761</v>
      </c>
      <c r="E474" s="144" t="str">
        <f>" - " &amp; 'Vật liệu'!$D$721</f>
        <v xml:space="preserve"> - Xi măng PC40</v>
      </c>
      <c r="F474" s="168" t="str">
        <f>'Vật liệu'!$E$721</f>
        <v>kg</v>
      </c>
      <c r="G474" s="34">
        <f>'Hao phí vật tư'!$G$475</f>
        <v>288.02499999999998</v>
      </c>
      <c r="H474" s="68">
        <f>'Vật liệu'!$W$721</f>
        <v>1513</v>
      </c>
      <c r="I474" s="37">
        <v>1</v>
      </c>
      <c r="J474" s="166">
        <f t="shared" si="4"/>
        <v>435782</v>
      </c>
    </row>
    <row r="475" spans="1:10" x14ac:dyDescent="0.25">
      <c r="A475" s="168"/>
      <c r="B475" s="144"/>
      <c r="C475" s="34">
        <v>125</v>
      </c>
      <c r="D475" s="144" t="str">
        <f>'Vật liệu'!$B$54</f>
        <v>V00112</v>
      </c>
      <c r="E475" s="144" t="str">
        <f>" - " &amp; 'Vật liệu'!$D$54</f>
        <v xml:space="preserve"> - Cát vàng</v>
      </c>
      <c r="F475" s="168" t="str">
        <f>'Vật liệu'!$E$54</f>
        <v>m3</v>
      </c>
      <c r="G475" s="34">
        <f>'Hao phí vật tư'!$G$476</f>
        <v>0.50529999999999997</v>
      </c>
      <c r="H475" s="68">
        <f>'Vật liệu'!$W$54</f>
        <v>420000</v>
      </c>
      <c r="I475" s="37">
        <v>1</v>
      </c>
      <c r="J475" s="166">
        <f t="shared" si="4"/>
        <v>212226</v>
      </c>
    </row>
    <row r="476" spans="1:10" x14ac:dyDescent="0.25">
      <c r="A476" s="168"/>
      <c r="B476" s="144"/>
      <c r="C476" s="34">
        <v>416</v>
      </c>
      <c r="D476" s="144" t="str">
        <f>'Vật liệu'!$B$142</f>
        <v>V05207</v>
      </c>
      <c r="E476" s="144" t="str">
        <f>" - " &amp; 'Vật liệu'!$D$142</f>
        <v xml:space="preserve"> - Đá 1x2</v>
      </c>
      <c r="F476" s="168" t="str">
        <f>'Vật liệu'!$E$142</f>
        <v>m3</v>
      </c>
      <c r="G476" s="34">
        <f>'Hao phí vật tư'!$G$477</f>
        <v>0.9133</v>
      </c>
      <c r="H476" s="68">
        <f>'Vật liệu'!$W$142</f>
        <v>360886</v>
      </c>
      <c r="I476" s="37">
        <v>1</v>
      </c>
      <c r="J476" s="166">
        <f t="shared" si="4"/>
        <v>329597</v>
      </c>
    </row>
    <row r="477" spans="1:10" x14ac:dyDescent="0.25">
      <c r="A477" s="168"/>
      <c r="B477" s="144"/>
      <c r="C477" s="34">
        <v>148</v>
      </c>
      <c r="D477" s="144" t="str">
        <f>'Vật liệu'!$B$353</f>
        <v>V00494</v>
      </c>
      <c r="E477" s="144" t="str">
        <f>" - " &amp; 'Vật liệu'!$D$353</f>
        <v xml:space="preserve"> - Nước</v>
      </c>
      <c r="F477" s="168" t="str">
        <f>'Vật liệu'!$E$353</f>
        <v>lít</v>
      </c>
      <c r="G477" s="34">
        <f>'Hao phí vật tư'!$G$478</f>
        <v>189.625</v>
      </c>
      <c r="H477" s="68">
        <f>'Vật liệu'!$W$353</f>
        <v>10</v>
      </c>
      <c r="I477" s="37">
        <v>1</v>
      </c>
      <c r="J477" s="166">
        <f t="shared" si="4"/>
        <v>1896</v>
      </c>
    </row>
    <row r="478" spans="1:10" x14ac:dyDescent="0.25">
      <c r="A478" s="168"/>
      <c r="B478" s="144"/>
      <c r="C478" s="34">
        <v>144</v>
      </c>
      <c r="D478" s="144" t="str">
        <f>'Vật liệu'!$B$314</f>
        <v>V00404</v>
      </c>
      <c r="E478" s="144" t="str">
        <f>" - " &amp; 'Vật liệu'!$D$314</f>
        <v xml:space="preserve"> - Gỗ ván cầu công tác</v>
      </c>
      <c r="F478" s="168" t="str">
        <f>'Vật liệu'!$E$314</f>
        <v>m3</v>
      </c>
      <c r="G478" s="34">
        <f>'Hao phí vật tư'!$G$479</f>
        <v>1.4999999999999999E-2</v>
      </c>
      <c r="H478" s="68">
        <f>'Vật liệu'!$W$314</f>
        <v>3272727</v>
      </c>
      <c r="I478" s="37">
        <v>1</v>
      </c>
      <c r="J478" s="166">
        <f t="shared" si="4"/>
        <v>49091</v>
      </c>
    </row>
    <row r="479" spans="1:10" x14ac:dyDescent="0.25">
      <c r="A479" s="168"/>
      <c r="B479" s="144"/>
      <c r="C479" s="34">
        <v>208</v>
      </c>
      <c r="D479" s="144" t="str">
        <f>'Vật liệu'!$B$766</f>
        <v>V00750</v>
      </c>
      <c r="E479" s="144" t="str">
        <f>" - " &amp; 'Vật liệu'!$D$766</f>
        <v xml:space="preserve"> - Vật liệu khác</v>
      </c>
      <c r="F479" s="168" t="str">
        <f>'Vật liệu'!$E$766</f>
        <v>%</v>
      </c>
      <c r="G479" s="34">
        <f>'Hao phí vật tư'!$G$480</f>
        <v>1</v>
      </c>
      <c r="H479" s="166">
        <f>'Vật liệu'!$W$766</f>
        <v>0</v>
      </c>
      <c r="I479" s="37">
        <v>1</v>
      </c>
      <c r="J479" s="166">
        <f>ROUND((J472+J473+J474+J475+J476+J477+J478)*G479*I479/100,0)</f>
        <v>10313</v>
      </c>
    </row>
    <row r="480" spans="1:10" x14ac:dyDescent="0.25">
      <c r="A480" s="56"/>
      <c r="B480" s="23"/>
      <c r="C480" s="88"/>
      <c r="D480" s="23"/>
      <c r="E480" s="23" t="s">
        <v>202</v>
      </c>
      <c r="F480" s="56"/>
      <c r="G480" s="88"/>
      <c r="H480" s="48"/>
      <c r="I480" s="90"/>
      <c r="J480" s="48">
        <f>ROUND(SUM(J481:J481),0)</f>
        <v>384605</v>
      </c>
    </row>
    <row r="481" spans="1:10" x14ac:dyDescent="0.25">
      <c r="A481" s="168"/>
      <c r="B481" s="144"/>
      <c r="C481" s="34">
        <v>545</v>
      </c>
      <c r="D481" s="144" t="str">
        <f>'Nhân công'!$B$6</f>
        <v>N0006</v>
      </c>
      <c r="E481" s="144" t="s">
        <v>256</v>
      </c>
      <c r="F481" s="168" t="str">
        <f>'Nhân công'!$G$6</f>
        <v>công</v>
      </c>
      <c r="G481" s="34">
        <f>'Hao phí vật tư'!$H$482</f>
        <v>1.97</v>
      </c>
      <c r="H481" s="68">
        <f>'Nhân công'!$M$6</f>
        <v>195231</v>
      </c>
      <c r="I481" s="37">
        <v>1</v>
      </c>
      <c r="J481" s="166">
        <f>ROUND(G481*H481*I481,0)</f>
        <v>384605</v>
      </c>
    </row>
    <row r="482" spans="1:10" x14ac:dyDescent="0.25">
      <c r="A482" s="56"/>
      <c r="B482" s="23"/>
      <c r="C482" s="88"/>
      <c r="D482" s="23"/>
      <c r="E482" s="23" t="s">
        <v>378</v>
      </c>
      <c r="F482" s="56"/>
      <c r="G482" s="88"/>
      <c r="H482" s="48"/>
      <c r="I482" s="90"/>
      <c r="J482" s="48">
        <f>ROUND(SUM(J483:J484),0)</f>
        <v>47495</v>
      </c>
    </row>
    <row r="483" spans="1:10" x14ac:dyDescent="0.25">
      <c r="A483" s="168"/>
      <c r="B483" s="144"/>
      <c r="C483" s="34">
        <v>750</v>
      </c>
      <c r="D483" s="144" t="str">
        <f>'Máy thi công'!$B$232</f>
        <v>M9571</v>
      </c>
      <c r="E483" s="144" t="str">
        <f>" - " &amp; 'Máy thi công'!$D$232</f>
        <v xml:space="preserve"> - Máy đầm bê tông, dầm dùi - công suất: 1,5 kW</v>
      </c>
      <c r="F483" s="168" t="str">
        <f>'Máy thi công'!$E$232</f>
        <v>ca</v>
      </c>
      <c r="G483" s="34">
        <f>'Hao phí vật tư'!$I$484</f>
        <v>8.8999999999999996E-2</v>
      </c>
      <c r="H483" s="68">
        <f>'Máy thi công'!$N$232</f>
        <v>225765</v>
      </c>
      <c r="I483" s="37">
        <v>1</v>
      </c>
      <c r="J483" s="166">
        <f>ROUND(G483*H483*I483,0)</f>
        <v>20093</v>
      </c>
    </row>
    <row r="484" spans="1:10" x14ac:dyDescent="0.25">
      <c r="A484" s="168"/>
      <c r="B484" s="144"/>
      <c r="C484" s="34">
        <v>744</v>
      </c>
      <c r="D484" s="144" t="str">
        <f>'Máy thi công'!$B$306</f>
        <v>M9555</v>
      </c>
      <c r="E484" s="144" t="str">
        <f>" - " &amp; 'Máy thi công'!$D$306</f>
        <v xml:space="preserve"> - Máy trộn bê tông - dung tích: 250 lít</v>
      </c>
      <c r="F484" s="168" t="str">
        <f>'Máy thi công'!$E$306</f>
        <v>ca</v>
      </c>
      <c r="G484" s="34">
        <f>'Hao phí vật tư'!$I$485</f>
        <v>9.5000000000000001E-2</v>
      </c>
      <c r="H484" s="68">
        <f>'Máy thi công'!$N$306</f>
        <v>288447</v>
      </c>
      <c r="I484" s="37">
        <v>1</v>
      </c>
      <c r="J484" s="166">
        <f>ROUND(G484*H484*I484,0)</f>
        <v>27402</v>
      </c>
    </row>
    <row r="485" spans="1:10" x14ac:dyDescent="0.25">
      <c r="A485" s="65">
        <f>'Công trình'!$A$64</f>
        <v>49</v>
      </c>
      <c r="B485" s="14" t="str">
        <f>'Công trình'!$B$64</f>
        <v>AK.41124</v>
      </c>
      <c r="C485" s="94"/>
      <c r="D485" s="31"/>
      <c r="E485" s="14" t="str">
        <f>'Công trình'!$C$64</f>
        <v>Vữa lót M75 dày 3cm</v>
      </c>
      <c r="F485" s="46" t="str">
        <f>'Công trình'!$D$64</f>
        <v>m2</v>
      </c>
      <c r="G485" s="94"/>
      <c r="H485" s="54"/>
      <c r="I485" s="98"/>
      <c r="J485" s="54"/>
    </row>
    <row r="486" spans="1:10" x14ac:dyDescent="0.25">
      <c r="A486" s="56"/>
      <c r="B486" s="23"/>
      <c r="C486" s="88"/>
      <c r="D486" s="23"/>
      <c r="E486" s="23" t="s">
        <v>479</v>
      </c>
      <c r="F486" s="56"/>
      <c r="G486" s="88"/>
      <c r="H486" s="48"/>
      <c r="I486" s="90"/>
      <c r="J486" s="48">
        <f>ROUND(SUM(J487:J489),0)</f>
        <v>28745</v>
      </c>
    </row>
    <row r="487" spans="1:10" x14ac:dyDescent="0.25">
      <c r="A487" s="168"/>
      <c r="B487" s="144"/>
      <c r="C487" s="34">
        <v>397</v>
      </c>
      <c r="D487" s="144" t="str">
        <f>'Vật liệu'!$B$721</f>
        <v>V00761</v>
      </c>
      <c r="E487" s="144" t="str">
        <f>" - " &amp; 'Vật liệu'!$D$721</f>
        <v xml:space="preserve"> - Xi măng PC40</v>
      </c>
      <c r="F487" s="168" t="str">
        <f>'Vật liệu'!$E$721</f>
        <v>kg</v>
      </c>
      <c r="G487" s="34">
        <f>'Hao phí vật tư'!$G$488</f>
        <v>7.9457000000000004</v>
      </c>
      <c r="H487" s="68">
        <f>'Vật liệu'!$W$721</f>
        <v>1513</v>
      </c>
      <c r="I487" s="37">
        <v>1</v>
      </c>
      <c r="J487" s="166">
        <f>ROUND(G487*H487*I487,0)</f>
        <v>12022</v>
      </c>
    </row>
    <row r="488" spans="1:10" x14ac:dyDescent="0.25">
      <c r="A488" s="168"/>
      <c r="B488" s="144"/>
      <c r="C488" s="34">
        <v>125</v>
      </c>
      <c r="D488" s="144" t="str">
        <f>'Vật liệu'!$B$54</f>
        <v>V00112</v>
      </c>
      <c r="E488" s="144" t="str">
        <f>" - " &amp; 'Vật liệu'!$D$54</f>
        <v xml:space="preserve"> - Cát vàng</v>
      </c>
      <c r="F488" s="168" t="str">
        <f>'Vật liệu'!$E$54</f>
        <v>m3</v>
      </c>
      <c r="G488" s="34">
        <f>'Hao phí vật tư'!$G$489</f>
        <v>3.9600000000000003E-2</v>
      </c>
      <c r="H488" s="68">
        <f>'Vật liệu'!$W$54</f>
        <v>420000</v>
      </c>
      <c r="I488" s="37">
        <v>1</v>
      </c>
      <c r="J488" s="166">
        <f>ROUND(G488*H488*I488,0)</f>
        <v>16632</v>
      </c>
    </row>
    <row r="489" spans="1:10" x14ac:dyDescent="0.25">
      <c r="A489" s="168"/>
      <c r="B489" s="144"/>
      <c r="C489" s="34">
        <v>148</v>
      </c>
      <c r="D489" s="144" t="str">
        <f>'Vật liệu'!$B$353</f>
        <v>V00494</v>
      </c>
      <c r="E489" s="144" t="str">
        <f>" - " &amp; 'Vật liệu'!$D$353</f>
        <v xml:space="preserve"> - Nước</v>
      </c>
      <c r="F489" s="168" t="str">
        <f>'Vật liệu'!$E$353</f>
        <v>lít</v>
      </c>
      <c r="G489" s="34">
        <f>'Hao phí vật tư'!$G$490</f>
        <v>9.1</v>
      </c>
      <c r="H489" s="68">
        <f>'Vật liệu'!$W$353</f>
        <v>10</v>
      </c>
      <c r="I489" s="37">
        <v>1</v>
      </c>
      <c r="J489" s="166">
        <f>ROUND(G489*H489*I489,0)</f>
        <v>91</v>
      </c>
    </row>
    <row r="490" spans="1:10" x14ac:dyDescent="0.25">
      <c r="A490" s="56"/>
      <c r="B490" s="23"/>
      <c r="C490" s="88"/>
      <c r="D490" s="23"/>
      <c r="E490" s="23" t="s">
        <v>202</v>
      </c>
      <c r="F490" s="56"/>
      <c r="G490" s="88"/>
      <c r="H490" s="48"/>
      <c r="I490" s="90"/>
      <c r="J490" s="48">
        <f>ROUND(SUM(J491:J491),0)</f>
        <v>24431</v>
      </c>
    </row>
    <row r="491" spans="1:10" x14ac:dyDescent="0.25">
      <c r="A491" s="168"/>
      <c r="B491" s="144"/>
      <c r="C491" s="34">
        <v>550</v>
      </c>
      <c r="D491" s="144" t="str">
        <f>'Nhân công'!$B$130</f>
        <v>N0011</v>
      </c>
      <c r="E491" s="144" t="s">
        <v>671</v>
      </c>
      <c r="F491" s="168" t="str">
        <f>'Nhân công'!$G$130</f>
        <v>công</v>
      </c>
      <c r="G491" s="34">
        <f>'Hao phí vật tư'!$H$492</f>
        <v>0.106</v>
      </c>
      <c r="H491" s="68">
        <f>'Nhân công'!$M$130</f>
        <v>230481</v>
      </c>
      <c r="I491" s="37">
        <v>1</v>
      </c>
      <c r="J491" s="166">
        <f>ROUND(G491*H491*I491,0)</f>
        <v>24431</v>
      </c>
    </row>
    <row r="492" spans="1:10" x14ac:dyDescent="0.25">
      <c r="A492" s="56"/>
      <c r="B492" s="23"/>
      <c r="C492" s="88"/>
      <c r="D492" s="23"/>
      <c r="E492" s="23" t="s">
        <v>378</v>
      </c>
      <c r="F492" s="56"/>
      <c r="G492" s="88"/>
      <c r="H492" s="48"/>
      <c r="I492" s="90"/>
      <c r="J492" s="48">
        <f>ROUND(SUM(J493:J493),0)</f>
        <v>932</v>
      </c>
    </row>
    <row r="493" spans="1:10" x14ac:dyDescent="0.25">
      <c r="A493" s="168"/>
      <c r="B493" s="144"/>
      <c r="C493" s="34">
        <v>745</v>
      </c>
      <c r="D493" s="144" t="str">
        <f>'Máy thi công'!$B$341</f>
        <v>M9558</v>
      </c>
      <c r="E493" s="144" t="str">
        <f>" - " &amp; 'Máy thi công'!$D$341</f>
        <v xml:space="preserve"> - Máy trộn vữa - dung tích: 80 lít</v>
      </c>
      <c r="F493" s="168" t="str">
        <f>'Máy thi công'!$E$341</f>
        <v>ca</v>
      </c>
      <c r="G493" s="34">
        <f>'Hao phí vật tư'!$I$494</f>
        <v>4.0000000000000001E-3</v>
      </c>
      <c r="H493" s="68">
        <f>'Máy thi công'!$N$341</f>
        <v>232983</v>
      </c>
      <c r="I493" s="37">
        <v>1</v>
      </c>
      <c r="J493" s="166">
        <f>ROUND(G493*H493*I493,0)</f>
        <v>932</v>
      </c>
    </row>
    <row r="494" spans="1:10" x14ac:dyDescent="0.25">
      <c r="A494" s="65">
        <f>'Công trình'!$A$65</f>
        <v>50</v>
      </c>
      <c r="B494" s="14" t="str">
        <f>'Công trình'!$B$65</f>
        <v>AF.82511</v>
      </c>
      <c r="C494" s="94"/>
      <c r="D494" s="31"/>
      <c r="E494" s="14" t="str">
        <f>'Công trình'!$C$65</f>
        <v>Sản xuất, lắp dựng tháo dỡ ván khuôn lát mái</v>
      </c>
      <c r="F494" s="46" t="str">
        <f>'Công trình'!$D$65</f>
        <v>100m2</v>
      </c>
      <c r="G494" s="94"/>
      <c r="H494" s="54"/>
      <c r="I494" s="98"/>
      <c r="J494" s="54"/>
    </row>
    <row r="495" spans="1:10" x14ac:dyDescent="0.25">
      <c r="A495" s="56"/>
      <c r="B495" s="23"/>
      <c r="C495" s="88"/>
      <c r="D495" s="23"/>
      <c r="E495" s="23" t="s">
        <v>479</v>
      </c>
      <c r="F495" s="56"/>
      <c r="G495" s="88"/>
      <c r="H495" s="48"/>
      <c r="I495" s="90"/>
      <c r="J495" s="48">
        <f>ROUND(SUM(J496:J500),0)</f>
        <v>4663446</v>
      </c>
    </row>
    <row r="496" spans="1:10" x14ac:dyDescent="0.25">
      <c r="A496" s="168"/>
      <c r="B496" s="144"/>
      <c r="C496" s="34">
        <v>401</v>
      </c>
      <c r="D496" s="144" t="str">
        <f>'Vật liệu'!$B$268</f>
        <v>V00772</v>
      </c>
      <c r="E496" s="144" t="str">
        <f>" - " &amp; 'Vật liệu'!$D$268</f>
        <v xml:space="preserve"> - Đinh</v>
      </c>
      <c r="F496" s="168" t="str">
        <f>'Vật liệu'!$E$268</f>
        <v>kg</v>
      </c>
      <c r="G496" s="34">
        <f>'Hao phí vật tư'!$G$497</f>
        <v>12</v>
      </c>
      <c r="H496" s="68">
        <f>'Vật liệu'!$W$268</f>
        <v>20000</v>
      </c>
      <c r="I496" s="37">
        <v>1</v>
      </c>
      <c r="J496" s="166">
        <f>ROUND(G496*H496*I496,0)</f>
        <v>240000</v>
      </c>
    </row>
    <row r="497" spans="1:10" x14ac:dyDescent="0.25">
      <c r="A497" s="168"/>
      <c r="B497" s="144"/>
      <c r="C497" s="34">
        <v>140</v>
      </c>
      <c r="D497" s="144" t="str">
        <f>'Vật liệu'!$B$294</f>
        <v>V00390</v>
      </c>
      <c r="E497" s="144" t="str">
        <f>" - " &amp; 'Vật liệu'!$D$294</f>
        <v xml:space="preserve"> - Gỗ chống</v>
      </c>
      <c r="F497" s="168" t="str">
        <f>'Vật liệu'!$E$294</f>
        <v>m3</v>
      </c>
      <c r="G497" s="34">
        <f>'Hao phí vật tư'!$G$498</f>
        <v>0.45900000000000002</v>
      </c>
      <c r="H497" s="68">
        <f>'Vật liệu'!$W$294</f>
        <v>3272727</v>
      </c>
      <c r="I497" s="37">
        <v>1</v>
      </c>
      <c r="J497" s="166">
        <f>ROUND(G497*H497*I497,0)</f>
        <v>1502182</v>
      </c>
    </row>
    <row r="498" spans="1:10" x14ac:dyDescent="0.25">
      <c r="A498" s="168"/>
      <c r="B498" s="144"/>
      <c r="C498" s="34">
        <v>142</v>
      </c>
      <c r="D498" s="144" t="str">
        <f>'Vật liệu'!$B$307</f>
        <v>V00402</v>
      </c>
      <c r="E498" s="144" t="str">
        <f>" - " &amp; 'Vật liệu'!$D$307</f>
        <v xml:space="preserve"> - Gỗ ván</v>
      </c>
      <c r="F498" s="168" t="str">
        <f>'Vật liệu'!$E$307</f>
        <v>m3</v>
      </c>
      <c r="G498" s="34">
        <f>'Hao phí vật tư'!$G$499</f>
        <v>0.79200000000000004</v>
      </c>
      <c r="H498" s="68">
        <f>'Vật liệu'!$W$307</f>
        <v>3272727</v>
      </c>
      <c r="I498" s="37">
        <v>1</v>
      </c>
      <c r="J498" s="166">
        <f>ROUND(G498*H498*I498,0)</f>
        <v>2592000</v>
      </c>
    </row>
    <row r="499" spans="1:10" x14ac:dyDescent="0.25">
      <c r="A499" s="168"/>
      <c r="B499" s="144"/>
      <c r="C499" s="34">
        <v>423</v>
      </c>
      <c r="D499" s="144" t="str">
        <f>'Vật liệu'!$B$305</f>
        <v>V05605</v>
      </c>
      <c r="E499" s="144" t="str">
        <f>" - " &amp; 'Vật liệu'!$D$305</f>
        <v xml:space="preserve"> - Gỗ đà nẹp</v>
      </c>
      <c r="F499" s="168" t="str">
        <f>'Vật liệu'!$E$305</f>
        <v>m3</v>
      </c>
      <c r="G499" s="34">
        <f>'Hao phí vật tư'!$G$500</f>
        <v>8.6499999999999994E-2</v>
      </c>
      <c r="H499" s="68">
        <f>'Vật liệu'!$W$305</f>
        <v>3272727</v>
      </c>
      <c r="I499" s="37">
        <v>1</v>
      </c>
      <c r="J499" s="166">
        <f>ROUND(G499*H499*I499,0)</f>
        <v>283091</v>
      </c>
    </row>
    <row r="500" spans="1:10" x14ac:dyDescent="0.25">
      <c r="A500" s="168"/>
      <c r="B500" s="144"/>
      <c r="C500" s="34">
        <v>209</v>
      </c>
      <c r="D500" s="144" t="str">
        <f>'Vật liệu'!$B$766</f>
        <v>V00750</v>
      </c>
      <c r="E500" s="144" t="str">
        <f>" - " &amp; 'Vật liệu'!$D$766</f>
        <v xml:space="preserve"> - Vật liệu khác</v>
      </c>
      <c r="F500" s="168" t="str">
        <f>'Vật liệu'!$E$766</f>
        <v>%</v>
      </c>
      <c r="G500" s="34">
        <f>'Hao phí vật tư'!$G$501</f>
        <v>1</v>
      </c>
      <c r="H500" s="166">
        <f>'Vật liệu'!$W$766</f>
        <v>0</v>
      </c>
      <c r="I500" s="37">
        <v>1</v>
      </c>
      <c r="J500" s="166">
        <f>ROUND((J496+J497+J498+J499)*G500*I500/100,0)</f>
        <v>46173</v>
      </c>
    </row>
    <row r="501" spans="1:10" x14ac:dyDescent="0.25">
      <c r="A501" s="56"/>
      <c r="B501" s="23"/>
      <c r="C501" s="88"/>
      <c r="D501" s="23"/>
      <c r="E501" s="23" t="s">
        <v>202</v>
      </c>
      <c r="F501" s="56"/>
      <c r="G501" s="88"/>
      <c r="H501" s="48"/>
      <c r="I501" s="90"/>
      <c r="J501" s="48">
        <f>ROUND(SUM(J502:J502),0)</f>
        <v>2896970</v>
      </c>
    </row>
    <row r="502" spans="1:10" x14ac:dyDescent="0.25">
      <c r="A502" s="168"/>
      <c r="B502" s="144"/>
      <c r="C502" s="34">
        <v>546</v>
      </c>
      <c r="D502" s="144" t="str">
        <f>'Nhân công'!$B$45</f>
        <v>N0009</v>
      </c>
      <c r="E502" s="144" t="s">
        <v>1052</v>
      </c>
      <c r="F502" s="168" t="str">
        <f>'Nhân công'!$G$45</f>
        <v>công</v>
      </c>
      <c r="G502" s="34">
        <f>'Hao phí vật tư'!$H$503</f>
        <v>13.61</v>
      </c>
      <c r="H502" s="68">
        <f>'Nhân công'!$M$45</f>
        <v>212856</v>
      </c>
      <c r="I502" s="37">
        <v>1</v>
      </c>
      <c r="J502" s="166">
        <f>ROUND(G502*H502*I502,0)</f>
        <v>2896970</v>
      </c>
    </row>
    <row r="503" spans="1:10" ht="28.5" x14ac:dyDescent="0.25">
      <c r="A503" s="65">
        <f>'Công trình'!$A$68</f>
        <v>51</v>
      </c>
      <c r="B503" s="14" t="str">
        <f>'Công trình'!$B$68</f>
        <v>AG.11125</v>
      </c>
      <c r="C503" s="94"/>
      <c r="D503" s="31"/>
      <c r="E503" s="14" t="str">
        <f>'Công trình'!$C$68</f>
        <v>Sản xuất bê tông cọc cừ đúc sẵn đá 1x2, vữa BT mác 300</v>
      </c>
      <c r="F503" s="46" t="str">
        <f>'Công trình'!$D$68</f>
        <v>m3</v>
      </c>
      <c r="G503" s="94"/>
      <c r="H503" s="54"/>
      <c r="I503" s="98"/>
      <c r="J503" s="54"/>
    </row>
    <row r="504" spans="1:10" x14ac:dyDescent="0.25">
      <c r="A504" s="56"/>
      <c r="B504" s="23"/>
      <c r="C504" s="88"/>
      <c r="D504" s="23"/>
      <c r="E504" s="23" t="s">
        <v>479</v>
      </c>
      <c r="F504" s="56"/>
      <c r="G504" s="88"/>
      <c r="H504" s="48"/>
      <c r="I504" s="90"/>
      <c r="J504" s="48">
        <f>ROUND(SUM(J505:J509),0)</f>
        <v>1095938</v>
      </c>
    </row>
    <row r="505" spans="1:10" x14ac:dyDescent="0.25">
      <c r="A505" s="168"/>
      <c r="B505" s="144"/>
      <c r="C505" s="34">
        <v>397</v>
      </c>
      <c r="D505" s="144" t="str">
        <f>'Vật liệu'!$B$721</f>
        <v>V00761</v>
      </c>
      <c r="E505" s="144" t="str">
        <f>" - " &amp; 'Vật liệu'!$D$721</f>
        <v xml:space="preserve"> - Xi măng PC40</v>
      </c>
      <c r="F505" s="168" t="str">
        <f>'Vật liệu'!$E$721</f>
        <v>kg</v>
      </c>
      <c r="G505" s="34">
        <f>'Hao phí vật tư'!$G$506</f>
        <v>379.61</v>
      </c>
      <c r="H505" s="68">
        <f>'Vật liệu'!$W$721</f>
        <v>1513</v>
      </c>
      <c r="I505" s="37">
        <v>1</v>
      </c>
      <c r="J505" s="166">
        <f>ROUND(G505*H505*I505,0)</f>
        <v>574350</v>
      </c>
    </row>
    <row r="506" spans="1:10" x14ac:dyDescent="0.25">
      <c r="A506" s="168"/>
      <c r="B506" s="144"/>
      <c r="C506" s="34">
        <v>125</v>
      </c>
      <c r="D506" s="144" t="str">
        <f>'Vật liệu'!$B$54</f>
        <v>V00112</v>
      </c>
      <c r="E506" s="144" t="str">
        <f>" - " &amp; 'Vật liệu'!$D$54</f>
        <v xml:space="preserve"> - Cát vàng</v>
      </c>
      <c r="F506" s="168" t="str">
        <f>'Vật liệu'!$E$54</f>
        <v>m3</v>
      </c>
      <c r="G506" s="34">
        <f>'Hao phí vật tư'!$G$507</f>
        <v>0.46389999999999998</v>
      </c>
      <c r="H506" s="68">
        <f>'Vật liệu'!$W$54</f>
        <v>420000</v>
      </c>
      <c r="I506" s="37">
        <v>1</v>
      </c>
      <c r="J506" s="166">
        <f>ROUND(G506*H506*I506,0)</f>
        <v>194838</v>
      </c>
    </row>
    <row r="507" spans="1:10" x14ac:dyDescent="0.25">
      <c r="A507" s="168"/>
      <c r="B507" s="144"/>
      <c r="C507" s="34">
        <v>416</v>
      </c>
      <c r="D507" s="144" t="str">
        <f>'Vật liệu'!$B$142</f>
        <v>V05207</v>
      </c>
      <c r="E507" s="144" t="str">
        <f>" - " &amp; 'Vật liệu'!$D$142</f>
        <v xml:space="preserve"> - Đá 1x2</v>
      </c>
      <c r="F507" s="168" t="str">
        <f>'Vật liệu'!$E$142</f>
        <v>m3</v>
      </c>
      <c r="G507" s="34">
        <f>'Hao phí vật tư'!$G$508</f>
        <v>0.8851</v>
      </c>
      <c r="H507" s="68">
        <f>'Vật liệu'!$W$142</f>
        <v>360886</v>
      </c>
      <c r="I507" s="37">
        <v>1</v>
      </c>
      <c r="J507" s="166">
        <f>ROUND(G507*H507*I507,0)</f>
        <v>319420</v>
      </c>
    </row>
    <row r="508" spans="1:10" x14ac:dyDescent="0.25">
      <c r="A508" s="168"/>
      <c r="B508" s="144"/>
      <c r="C508" s="34">
        <v>148</v>
      </c>
      <c r="D508" s="144" t="str">
        <f>'Vật liệu'!$B$353</f>
        <v>V00494</v>
      </c>
      <c r="E508" s="144" t="str">
        <f>" - " &amp; 'Vật liệu'!$D$353</f>
        <v xml:space="preserve"> - Nước</v>
      </c>
      <c r="F508" s="168" t="str">
        <f>'Vật liệu'!$E$353</f>
        <v>lít</v>
      </c>
      <c r="G508" s="34">
        <f>'Hao phí vật tư'!$G$509</f>
        <v>187.77500000000001</v>
      </c>
      <c r="H508" s="68">
        <f>'Vật liệu'!$W$353</f>
        <v>10</v>
      </c>
      <c r="I508" s="37">
        <v>1</v>
      </c>
      <c r="J508" s="166">
        <f>ROUND(G508*H508*I508,0)</f>
        <v>1878</v>
      </c>
    </row>
    <row r="509" spans="1:10" x14ac:dyDescent="0.25">
      <c r="A509" s="168"/>
      <c r="B509" s="144"/>
      <c r="C509" s="34">
        <v>210</v>
      </c>
      <c r="D509" s="144" t="str">
        <f>'Vật liệu'!$B$766</f>
        <v>V00750</v>
      </c>
      <c r="E509" s="144" t="str">
        <f>" - " &amp; 'Vật liệu'!$D$766</f>
        <v xml:space="preserve"> - Vật liệu khác</v>
      </c>
      <c r="F509" s="168" t="str">
        <f>'Vật liệu'!$E$766</f>
        <v>%</v>
      </c>
      <c r="G509" s="34">
        <f>'Hao phí vật tư'!$G$510</f>
        <v>0.5</v>
      </c>
      <c r="H509" s="166">
        <f>'Vật liệu'!$W$766</f>
        <v>0</v>
      </c>
      <c r="I509" s="37">
        <v>1</v>
      </c>
      <c r="J509" s="166">
        <f>ROUND((J505+J506+J507+J508)*G509*I509/100,0)</f>
        <v>5452</v>
      </c>
    </row>
    <row r="510" spans="1:10" x14ac:dyDescent="0.25">
      <c r="A510" s="56"/>
      <c r="B510" s="23"/>
      <c r="C510" s="88"/>
      <c r="D510" s="23"/>
      <c r="E510" s="23" t="s">
        <v>202</v>
      </c>
      <c r="F510" s="56"/>
      <c r="G510" s="88"/>
      <c r="H510" s="48"/>
      <c r="I510" s="90"/>
      <c r="J510" s="48">
        <f>ROUND(SUM(J511:J511),0)</f>
        <v>732116</v>
      </c>
    </row>
    <row r="511" spans="1:10" x14ac:dyDescent="0.25">
      <c r="A511" s="168"/>
      <c r="B511" s="144"/>
      <c r="C511" s="34">
        <v>545</v>
      </c>
      <c r="D511" s="144" t="str">
        <f>'Nhân công'!$B$6</f>
        <v>N0006</v>
      </c>
      <c r="E511" s="144" t="s">
        <v>256</v>
      </c>
      <c r="F511" s="168" t="str">
        <f>'Nhân công'!$G$6</f>
        <v>công</v>
      </c>
      <c r="G511" s="34">
        <f>'Hao phí vật tư'!$H$512</f>
        <v>3.75</v>
      </c>
      <c r="H511" s="68">
        <f>'Nhân công'!$M$6</f>
        <v>195231</v>
      </c>
      <c r="I511" s="37">
        <v>1</v>
      </c>
      <c r="J511" s="166">
        <f>ROUND(G511*H511*I511,0)</f>
        <v>732116</v>
      </c>
    </row>
    <row r="512" spans="1:10" x14ac:dyDescent="0.25">
      <c r="A512" s="56"/>
      <c r="B512" s="23"/>
      <c r="C512" s="88"/>
      <c r="D512" s="23"/>
      <c r="E512" s="23" t="s">
        <v>378</v>
      </c>
      <c r="F512" s="56"/>
      <c r="G512" s="88"/>
      <c r="H512" s="48"/>
      <c r="I512" s="90"/>
      <c r="J512" s="48">
        <f>ROUND(SUM(J513:J515),0)</f>
        <v>59943</v>
      </c>
    </row>
    <row r="513" spans="1:10" x14ac:dyDescent="0.25">
      <c r="A513" s="168"/>
      <c r="B513" s="144"/>
      <c r="C513" s="34">
        <v>750</v>
      </c>
      <c r="D513" s="144" t="str">
        <f>'Máy thi công'!$B$232</f>
        <v>M9571</v>
      </c>
      <c r="E513" s="144" t="str">
        <f>" - " &amp; 'Máy thi công'!$D$232</f>
        <v xml:space="preserve"> - Máy đầm bê tông, dầm dùi - công suất: 1,5 kW</v>
      </c>
      <c r="F513" s="168" t="str">
        <f>'Máy thi công'!$E$232</f>
        <v>ca</v>
      </c>
      <c r="G513" s="34">
        <f>'Hao phí vật tư'!$I$514</f>
        <v>0.12</v>
      </c>
      <c r="H513" s="68">
        <f>'Máy thi công'!$N$232</f>
        <v>225765</v>
      </c>
      <c r="I513" s="37">
        <v>1</v>
      </c>
      <c r="J513" s="166">
        <f>ROUND(G513*H513*I513,0)</f>
        <v>27092</v>
      </c>
    </row>
    <row r="514" spans="1:10" x14ac:dyDescent="0.25">
      <c r="A514" s="168"/>
      <c r="B514" s="144"/>
      <c r="C514" s="34">
        <v>744</v>
      </c>
      <c r="D514" s="144" t="str">
        <f>'Máy thi công'!$B$306</f>
        <v>M9555</v>
      </c>
      <c r="E514" s="144" t="str">
        <f>" - " &amp; 'Máy thi công'!$D$306</f>
        <v xml:space="preserve"> - Máy trộn bê tông - dung tích: 250 lít</v>
      </c>
      <c r="F514" s="168" t="str">
        <f>'Máy thi công'!$E$306</f>
        <v>ca</v>
      </c>
      <c r="G514" s="34">
        <f>'Hao phí vật tư'!$I$515</f>
        <v>9.5000000000000001E-2</v>
      </c>
      <c r="H514" s="68">
        <f>'Máy thi công'!$N$306</f>
        <v>288447</v>
      </c>
      <c r="I514" s="37">
        <v>1</v>
      </c>
      <c r="J514" s="166">
        <f>ROUND(G514*H514*I514,0)</f>
        <v>27402</v>
      </c>
    </row>
    <row r="515" spans="1:10" x14ac:dyDescent="0.25">
      <c r="A515" s="168"/>
      <c r="B515" s="144"/>
      <c r="C515" s="34">
        <v>573</v>
      </c>
      <c r="D515" s="144" t="str">
        <f>'Máy thi công'!$B$398</f>
        <v>M0111</v>
      </c>
      <c r="E515" s="144" t="str">
        <f>" - " &amp; 'Máy thi công'!$D$398</f>
        <v xml:space="preserve"> - Máy khác</v>
      </c>
      <c r="F515" s="168" t="str">
        <f>'Máy thi công'!$E$398</f>
        <v>%</v>
      </c>
      <c r="G515" s="34">
        <f>'Hao phí vật tư'!$I$516</f>
        <v>10</v>
      </c>
      <c r="H515" s="166">
        <f>'Máy thi công'!$N$398</f>
        <v>0</v>
      </c>
      <c r="I515" s="37">
        <v>1</v>
      </c>
      <c r="J515" s="166">
        <f>ROUND((J513+J514)*G515*I515/100,0)</f>
        <v>5449</v>
      </c>
    </row>
    <row r="516" spans="1:10" ht="28.5" x14ac:dyDescent="0.25">
      <c r="A516" s="65">
        <f>'Công trình'!$A$69</f>
        <v>52</v>
      </c>
      <c r="B516" s="14" t="str">
        <f>'Công trình'!$B$69</f>
        <v>AG.13111</v>
      </c>
      <c r="C516" s="94"/>
      <c r="D516" s="31"/>
      <c r="E516" s="14" t="str">
        <f>'Công trình'!$C$69</f>
        <v>Sản xuất, lắp dựng cốt thép BT đúc sẵn cọc, đường kính &lt;=10mm</v>
      </c>
      <c r="F516" s="46" t="str">
        <f>'Công trình'!$D$69</f>
        <v>tấn</v>
      </c>
      <c r="G516" s="94"/>
      <c r="H516" s="54"/>
      <c r="I516" s="98"/>
      <c r="J516" s="54"/>
    </row>
    <row r="517" spans="1:10" x14ac:dyDescent="0.25">
      <c r="A517" s="56"/>
      <c r="B517" s="23"/>
      <c r="C517" s="88"/>
      <c r="D517" s="23"/>
      <c r="E517" s="23" t="s">
        <v>479</v>
      </c>
      <c r="F517" s="56"/>
      <c r="G517" s="88"/>
      <c r="H517" s="48"/>
      <c r="I517" s="90"/>
      <c r="J517" s="48">
        <f>ROUND(SUM(J518:J519),0)</f>
        <v>14603640</v>
      </c>
    </row>
    <row r="518" spans="1:10" x14ac:dyDescent="0.25">
      <c r="A518" s="168"/>
      <c r="B518" s="144"/>
      <c r="C518" s="34">
        <v>135</v>
      </c>
      <c r="D518" s="144" t="str">
        <f>'Vật liệu'!$B$221</f>
        <v>V00226</v>
      </c>
      <c r="E518" s="144" t="str">
        <f>" - " &amp; 'Vật liệu'!$D$221</f>
        <v xml:space="preserve"> - Dây thép</v>
      </c>
      <c r="F518" s="168" t="str">
        <f>'Vật liệu'!$E$221</f>
        <v>kg</v>
      </c>
      <c r="G518" s="34">
        <f>'Hao phí vật tư'!$G$519</f>
        <v>21.42</v>
      </c>
      <c r="H518" s="68">
        <f>'Vật liệu'!$W$221</f>
        <v>17500</v>
      </c>
      <c r="I518" s="37">
        <v>1</v>
      </c>
      <c r="J518" s="166">
        <f>ROUND(G518*H518*I518,0)</f>
        <v>374850</v>
      </c>
    </row>
    <row r="519" spans="1:10" x14ac:dyDescent="0.25">
      <c r="A519" s="168"/>
      <c r="B519" s="144"/>
      <c r="C519" s="34">
        <v>484</v>
      </c>
      <c r="D519" s="144" t="str">
        <f>'Vật liệu'!$B$650</f>
        <v>V48494</v>
      </c>
      <c r="E519" s="144" t="str">
        <f>" - " &amp; 'Vật liệu'!$D$650</f>
        <v xml:space="preserve"> - Thép tròn đường kính &lt;=10 mm</v>
      </c>
      <c r="F519" s="168" t="str">
        <f>'Vật liệu'!$E$650</f>
        <v>kg</v>
      </c>
      <c r="G519" s="34">
        <f>'Hao phí vật tư'!$G$520</f>
        <v>1005</v>
      </c>
      <c r="H519" s="68">
        <f>'Vật liệu'!$W$650</f>
        <v>14158</v>
      </c>
      <c r="I519" s="37">
        <v>1</v>
      </c>
      <c r="J519" s="166">
        <f>ROUND(G519*H519*I519,0)</f>
        <v>14228790</v>
      </c>
    </row>
    <row r="520" spans="1:10" x14ac:dyDescent="0.25">
      <c r="A520" s="56"/>
      <c r="B520" s="23"/>
      <c r="C520" s="88"/>
      <c r="D520" s="23"/>
      <c r="E520" s="23" t="s">
        <v>202</v>
      </c>
      <c r="F520" s="56"/>
      <c r="G520" s="88"/>
      <c r="H520" s="48"/>
      <c r="I520" s="90"/>
      <c r="J520" s="48">
        <f>ROUND(SUM(J521:J521),0)</f>
        <v>3033198</v>
      </c>
    </row>
    <row r="521" spans="1:10" x14ac:dyDescent="0.25">
      <c r="A521" s="168"/>
      <c r="B521" s="144"/>
      <c r="C521" s="34">
        <v>546</v>
      </c>
      <c r="D521" s="144" t="str">
        <f>'Nhân công'!$B$45</f>
        <v>N0009</v>
      </c>
      <c r="E521" s="144" t="s">
        <v>1052</v>
      </c>
      <c r="F521" s="168" t="str">
        <f>'Nhân công'!$G$45</f>
        <v>công</v>
      </c>
      <c r="G521" s="34">
        <f>'Hao phí vật tư'!$H$522</f>
        <v>14.25</v>
      </c>
      <c r="H521" s="68">
        <f>'Nhân công'!$M$45</f>
        <v>212856</v>
      </c>
      <c r="I521" s="37">
        <v>1</v>
      </c>
      <c r="J521" s="166">
        <f>ROUND(G521*H521*I521,0)</f>
        <v>3033198</v>
      </c>
    </row>
    <row r="522" spans="1:10" x14ac:dyDescent="0.25">
      <c r="A522" s="56"/>
      <c r="B522" s="23"/>
      <c r="C522" s="88"/>
      <c r="D522" s="23"/>
      <c r="E522" s="23" t="s">
        <v>378</v>
      </c>
      <c r="F522" s="56"/>
      <c r="G522" s="88"/>
      <c r="H522" s="48"/>
      <c r="I522" s="90"/>
      <c r="J522" s="48">
        <f>ROUND(SUM(J523:J523),0)</f>
        <v>91218</v>
      </c>
    </row>
    <row r="523" spans="1:10" x14ac:dyDescent="0.25">
      <c r="A523" s="168"/>
      <c r="B523" s="144"/>
      <c r="C523" s="34">
        <v>737</v>
      </c>
      <c r="D523" s="144" t="str">
        <f>'Máy thi công'!$B$184</f>
        <v>M9521</v>
      </c>
      <c r="E523" s="144" t="str">
        <f>" - " &amp; 'Máy thi công'!$D$184</f>
        <v xml:space="preserve"> - Máy cắt uốn cốt thép - công suất: 5 kW</v>
      </c>
      <c r="F523" s="168" t="str">
        <f>'Máy thi công'!$E$184</f>
        <v>ca</v>
      </c>
      <c r="G523" s="34">
        <f>'Hao phí vật tư'!$I$524</f>
        <v>0.4</v>
      </c>
      <c r="H523" s="68">
        <f>'Máy thi công'!$N$184</f>
        <v>228044</v>
      </c>
      <c r="I523" s="37">
        <v>1</v>
      </c>
      <c r="J523" s="166">
        <f>ROUND(G523*H523*I523,0)</f>
        <v>91218</v>
      </c>
    </row>
    <row r="524" spans="1:10" ht="28.5" x14ac:dyDescent="0.25">
      <c r="A524" s="65">
        <f>'Công trình'!$A$70</f>
        <v>53</v>
      </c>
      <c r="B524" s="14" t="str">
        <f>'Công trình'!$B$70</f>
        <v>AG.13121</v>
      </c>
      <c r="C524" s="94"/>
      <c r="D524" s="31"/>
      <c r="E524" s="14" t="str">
        <f>'Công trình'!$C$70</f>
        <v>Sản xuất, lắp dựng cốt thép BT đúc sẵn cọc, đường kính &lt;=18mm</v>
      </c>
      <c r="F524" s="46" t="str">
        <f>'Công trình'!$D$70</f>
        <v>tấn</v>
      </c>
      <c r="G524" s="94"/>
      <c r="H524" s="54"/>
      <c r="I524" s="98"/>
      <c r="J524" s="54"/>
    </row>
    <row r="525" spans="1:10" x14ac:dyDescent="0.25">
      <c r="A525" s="56"/>
      <c r="B525" s="23"/>
      <c r="C525" s="88"/>
      <c r="D525" s="23"/>
      <c r="E525" s="23" t="s">
        <v>479</v>
      </c>
      <c r="F525" s="56"/>
      <c r="G525" s="88"/>
      <c r="H525" s="48"/>
      <c r="I525" s="90"/>
      <c r="J525" s="48">
        <f>ROUND(SUM(J526:J528),0)</f>
        <v>14678788</v>
      </c>
    </row>
    <row r="526" spans="1:10" x14ac:dyDescent="0.25">
      <c r="A526" s="168"/>
      <c r="B526" s="144"/>
      <c r="C526" s="34">
        <v>154</v>
      </c>
      <c r="D526" s="144" t="str">
        <f>'Vật liệu'!$B$450</f>
        <v>V00515</v>
      </c>
      <c r="E526" s="144" t="str">
        <f>" - " &amp; 'Vật liệu'!$D$450</f>
        <v xml:space="preserve"> - Que hàn</v>
      </c>
      <c r="F526" s="168" t="str">
        <f>'Vật liệu'!$E$450</f>
        <v>kg</v>
      </c>
      <c r="G526" s="34">
        <f>'Hao phí vật tư'!$G$527</f>
        <v>4.7</v>
      </c>
      <c r="H526" s="68">
        <f>'Vật liệu'!$W$450</f>
        <v>19091</v>
      </c>
      <c r="I526" s="37">
        <v>1</v>
      </c>
      <c r="J526" s="166">
        <f>ROUND(G526*H526*I526,0)</f>
        <v>89728</v>
      </c>
    </row>
    <row r="527" spans="1:10" x14ac:dyDescent="0.25">
      <c r="A527" s="168"/>
      <c r="B527" s="144"/>
      <c r="C527" s="34">
        <v>135</v>
      </c>
      <c r="D527" s="144" t="str">
        <f>'Vật liệu'!$B$221</f>
        <v>V00226</v>
      </c>
      <c r="E527" s="144" t="str">
        <f>" - " &amp; 'Vật liệu'!$D$221</f>
        <v xml:space="preserve"> - Dây thép</v>
      </c>
      <c r="F527" s="168" t="str">
        <f>'Vật liệu'!$E$221</f>
        <v>kg</v>
      </c>
      <c r="G527" s="34">
        <f>'Hao phí vật tư'!$G$528</f>
        <v>14.28</v>
      </c>
      <c r="H527" s="68">
        <f>'Vật liệu'!$W$221</f>
        <v>17500</v>
      </c>
      <c r="I527" s="37">
        <v>1</v>
      </c>
      <c r="J527" s="166">
        <f>ROUND(G527*H527*I527,0)</f>
        <v>249900</v>
      </c>
    </row>
    <row r="528" spans="1:10" x14ac:dyDescent="0.25">
      <c r="A528" s="168"/>
      <c r="B528" s="144"/>
      <c r="C528" s="34">
        <v>485</v>
      </c>
      <c r="D528" s="144" t="str">
        <f>'Vật liệu'!$B$665</f>
        <v>V48495</v>
      </c>
      <c r="E528" s="144" t="str">
        <f>" - " &amp; 'Vật liệu'!$D$665</f>
        <v xml:space="preserve"> - Thép tròn đường kính &lt;=18mm</v>
      </c>
      <c r="F528" s="168" t="str">
        <f>'Vật liệu'!$E$665</f>
        <v>kg</v>
      </c>
      <c r="G528" s="34">
        <f>'Hao phí vật tư'!$G$529</f>
        <v>1020</v>
      </c>
      <c r="H528" s="68">
        <f>'Vật liệu'!$W$665</f>
        <v>14058</v>
      </c>
      <c r="I528" s="37">
        <v>1</v>
      </c>
      <c r="J528" s="166">
        <f>ROUND(G528*H528*I528,0)</f>
        <v>14339160</v>
      </c>
    </row>
    <row r="529" spans="1:10" x14ac:dyDescent="0.25">
      <c r="A529" s="56"/>
      <c r="B529" s="23"/>
      <c r="C529" s="88"/>
      <c r="D529" s="23"/>
      <c r="E529" s="23" t="s">
        <v>202</v>
      </c>
      <c r="F529" s="56"/>
      <c r="G529" s="88"/>
      <c r="H529" s="48"/>
      <c r="I529" s="90"/>
      <c r="J529" s="48">
        <f>ROUND(SUM(J530:J530),0)</f>
        <v>1664534</v>
      </c>
    </row>
    <row r="530" spans="1:10" x14ac:dyDescent="0.25">
      <c r="A530" s="168"/>
      <c r="B530" s="144"/>
      <c r="C530" s="34">
        <v>546</v>
      </c>
      <c r="D530" s="144" t="str">
        <f>'Nhân công'!$B$45</f>
        <v>N0009</v>
      </c>
      <c r="E530" s="144" t="s">
        <v>1052</v>
      </c>
      <c r="F530" s="168" t="str">
        <f>'Nhân công'!$G$45</f>
        <v>công</v>
      </c>
      <c r="G530" s="34">
        <f>'Hao phí vật tư'!$H$531</f>
        <v>7.82</v>
      </c>
      <c r="H530" s="68">
        <f>'Nhân công'!$M$45</f>
        <v>212856</v>
      </c>
      <c r="I530" s="37">
        <v>1</v>
      </c>
      <c r="J530" s="166">
        <f>ROUND(G530*H530*I530,0)</f>
        <v>1664534</v>
      </c>
    </row>
    <row r="531" spans="1:10" x14ac:dyDescent="0.25">
      <c r="A531" s="56"/>
      <c r="B531" s="23"/>
      <c r="C531" s="88"/>
      <c r="D531" s="23"/>
      <c r="E531" s="23" t="s">
        <v>378</v>
      </c>
      <c r="F531" s="56"/>
      <c r="G531" s="88"/>
      <c r="H531" s="48"/>
      <c r="I531" s="90"/>
      <c r="J531" s="48">
        <f>ROUND(SUM(J532:J533),0)</f>
        <v>455951</v>
      </c>
    </row>
    <row r="532" spans="1:10" x14ac:dyDescent="0.25">
      <c r="A532" s="168"/>
      <c r="B532" s="144"/>
      <c r="C532" s="34">
        <v>737</v>
      </c>
      <c r="D532" s="144" t="str">
        <f>'Máy thi công'!$B$184</f>
        <v>M9521</v>
      </c>
      <c r="E532" s="144" t="str">
        <f>" - " &amp; 'Máy thi công'!$D$184</f>
        <v xml:space="preserve"> - Máy cắt uốn cốt thép - công suất: 5 kW</v>
      </c>
      <c r="F532" s="168" t="str">
        <f>'Máy thi công'!$E$184</f>
        <v>ca</v>
      </c>
      <c r="G532" s="34">
        <f>'Hao phí vật tư'!$I$533</f>
        <v>0.32</v>
      </c>
      <c r="H532" s="68">
        <f>'Máy thi công'!$N$184</f>
        <v>228044</v>
      </c>
      <c r="I532" s="37">
        <v>1</v>
      </c>
      <c r="J532" s="166">
        <f>ROUND(G532*H532*I532,0)</f>
        <v>72974</v>
      </c>
    </row>
    <row r="533" spans="1:10" x14ac:dyDescent="0.25">
      <c r="A533" s="168"/>
      <c r="B533" s="144"/>
      <c r="C533" s="34">
        <v>714</v>
      </c>
      <c r="D533" s="144" t="str">
        <f>'Máy thi công'!$B$6</f>
        <v>M9438</v>
      </c>
      <c r="E533" s="144" t="str">
        <f>" - " &amp; 'Máy thi công'!$D$6</f>
        <v xml:space="preserve"> - Biến thế hàn xoay chiều - công suất: 23 kW</v>
      </c>
      <c r="F533" s="168" t="str">
        <f>'Máy thi công'!$E$6</f>
        <v>ca</v>
      </c>
      <c r="G533" s="34">
        <f>'Hao phí vật tư'!$I$534</f>
        <v>1.133</v>
      </c>
      <c r="H533" s="68">
        <f>'Máy thi công'!$N$6</f>
        <v>338020</v>
      </c>
      <c r="I533" s="37">
        <v>1</v>
      </c>
      <c r="J533" s="166">
        <f>ROUND(G533*H533*I533,0)</f>
        <v>382977</v>
      </c>
    </row>
    <row r="534" spans="1:10" ht="28.5" x14ac:dyDescent="0.25">
      <c r="A534" s="65">
        <f>'Công trình'!$A$71</f>
        <v>54</v>
      </c>
      <c r="B534" s="14" t="str">
        <f>'Công trình'!$B$71</f>
        <v>AG.13131</v>
      </c>
      <c r="C534" s="94"/>
      <c r="D534" s="31"/>
      <c r="E534" s="14" t="str">
        <f>'Công trình'!$C$71</f>
        <v>Sản xuất, lắp dựng cốt thép BT đúc sẵn cọc, đường kính &gt;18mm</v>
      </c>
      <c r="F534" s="46" t="str">
        <f>'Công trình'!$D$71</f>
        <v>tấn</v>
      </c>
      <c r="G534" s="94"/>
      <c r="H534" s="54"/>
      <c r="I534" s="98"/>
      <c r="J534" s="54"/>
    </row>
    <row r="535" spans="1:10" x14ac:dyDescent="0.25">
      <c r="A535" s="56"/>
      <c r="B535" s="23"/>
      <c r="C535" s="88"/>
      <c r="D535" s="23"/>
      <c r="E535" s="23" t="s">
        <v>479</v>
      </c>
      <c r="F535" s="56"/>
      <c r="G535" s="88"/>
      <c r="H535" s="48"/>
      <c r="I535" s="90"/>
      <c r="J535" s="48">
        <f>ROUND(SUM(J536:J538),0)</f>
        <v>14678788</v>
      </c>
    </row>
    <row r="536" spans="1:10" x14ac:dyDescent="0.25">
      <c r="A536" s="168"/>
      <c r="B536" s="144"/>
      <c r="C536" s="34">
        <v>154</v>
      </c>
      <c r="D536" s="144" t="str">
        <f>'Vật liệu'!$B$450</f>
        <v>V00515</v>
      </c>
      <c r="E536" s="144" t="str">
        <f>" - " &amp; 'Vật liệu'!$D$450</f>
        <v xml:space="preserve"> - Que hàn</v>
      </c>
      <c r="F536" s="168" t="str">
        <f>'Vật liệu'!$E$450</f>
        <v>kg</v>
      </c>
      <c r="G536" s="34">
        <f>'Hao phí vật tư'!$G$537</f>
        <v>4.7</v>
      </c>
      <c r="H536" s="68">
        <f>'Vật liệu'!$W$450</f>
        <v>19091</v>
      </c>
      <c r="I536" s="37">
        <v>1</v>
      </c>
      <c r="J536" s="166">
        <f>ROUND(G536*H536*I536,0)</f>
        <v>89728</v>
      </c>
    </row>
    <row r="537" spans="1:10" x14ac:dyDescent="0.25">
      <c r="A537" s="168"/>
      <c r="B537" s="144"/>
      <c r="C537" s="34">
        <v>135</v>
      </c>
      <c r="D537" s="144" t="str">
        <f>'Vật liệu'!$B$221</f>
        <v>V00226</v>
      </c>
      <c r="E537" s="144" t="str">
        <f>" - " &amp; 'Vật liệu'!$D$221</f>
        <v xml:space="preserve"> - Dây thép</v>
      </c>
      <c r="F537" s="168" t="str">
        <f>'Vật liệu'!$E$221</f>
        <v>kg</v>
      </c>
      <c r="G537" s="34">
        <f>'Hao phí vật tư'!$G$538</f>
        <v>14.28</v>
      </c>
      <c r="H537" s="68">
        <f>'Vật liệu'!$W$221</f>
        <v>17500</v>
      </c>
      <c r="I537" s="37">
        <v>1</v>
      </c>
      <c r="J537" s="166">
        <f>ROUND(G537*H537*I537,0)</f>
        <v>249900</v>
      </c>
    </row>
    <row r="538" spans="1:10" x14ac:dyDescent="0.25">
      <c r="A538" s="168"/>
      <c r="B538" s="144"/>
      <c r="C538" s="34">
        <v>488</v>
      </c>
      <c r="D538" s="144" t="str">
        <f>'Vật liệu'!$B$689</f>
        <v>V48498</v>
      </c>
      <c r="E538" s="144" t="str">
        <f>" - " &amp; 'Vật liệu'!$D$689</f>
        <v xml:space="preserve"> - Thép tròn đường kính &gt;18mm</v>
      </c>
      <c r="F538" s="168" t="str">
        <f>'Vật liệu'!$E$689</f>
        <v>kg</v>
      </c>
      <c r="G538" s="34">
        <f>'Hao phí vật tư'!$G$539</f>
        <v>1020</v>
      </c>
      <c r="H538" s="68">
        <f>'Vật liệu'!$W$689</f>
        <v>14058</v>
      </c>
      <c r="I538" s="37">
        <v>1</v>
      </c>
      <c r="J538" s="166">
        <f>ROUND(G538*H538*I538,0)</f>
        <v>14339160</v>
      </c>
    </row>
    <row r="539" spans="1:10" x14ac:dyDescent="0.25">
      <c r="A539" s="56"/>
      <c r="B539" s="23"/>
      <c r="C539" s="88"/>
      <c r="D539" s="23"/>
      <c r="E539" s="23" t="s">
        <v>202</v>
      </c>
      <c r="F539" s="56"/>
      <c r="G539" s="88"/>
      <c r="H539" s="48"/>
      <c r="I539" s="90"/>
      <c r="J539" s="48">
        <f>ROUND(SUM(J540:J540),0)</f>
        <v>1594291</v>
      </c>
    </row>
    <row r="540" spans="1:10" x14ac:dyDescent="0.25">
      <c r="A540" s="168"/>
      <c r="B540" s="144"/>
      <c r="C540" s="34">
        <v>546</v>
      </c>
      <c r="D540" s="144" t="str">
        <f>'Nhân công'!$B$45</f>
        <v>N0009</v>
      </c>
      <c r="E540" s="144" t="s">
        <v>1052</v>
      </c>
      <c r="F540" s="168" t="str">
        <f>'Nhân công'!$G$45</f>
        <v>công</v>
      </c>
      <c r="G540" s="34">
        <f>'Hao phí vật tư'!$H$541</f>
        <v>7.49</v>
      </c>
      <c r="H540" s="68">
        <f>'Nhân công'!$M$45</f>
        <v>212856</v>
      </c>
      <c r="I540" s="37">
        <v>1</v>
      </c>
      <c r="J540" s="166">
        <f>ROUND(G540*H540*I540,0)</f>
        <v>1594291</v>
      </c>
    </row>
    <row r="541" spans="1:10" x14ac:dyDescent="0.25">
      <c r="A541" s="56"/>
      <c r="B541" s="23"/>
      <c r="C541" s="88"/>
      <c r="D541" s="23"/>
      <c r="E541" s="23" t="s">
        <v>378</v>
      </c>
      <c r="F541" s="56"/>
      <c r="G541" s="88"/>
      <c r="H541" s="48"/>
      <c r="I541" s="90"/>
      <c r="J541" s="48">
        <f>ROUND(SUM(J542:J543),0)</f>
        <v>405943</v>
      </c>
    </row>
    <row r="542" spans="1:10" x14ac:dyDescent="0.25">
      <c r="A542" s="168"/>
      <c r="B542" s="144"/>
      <c r="C542" s="34">
        <v>737</v>
      </c>
      <c r="D542" s="144" t="str">
        <f>'Máy thi công'!$B$184</f>
        <v>M9521</v>
      </c>
      <c r="E542" s="144" t="str">
        <f>" - " &amp; 'Máy thi công'!$D$184</f>
        <v xml:space="preserve"> - Máy cắt uốn cốt thép - công suất: 5 kW</v>
      </c>
      <c r="F542" s="168" t="str">
        <f>'Máy thi công'!$E$184</f>
        <v>ca</v>
      </c>
      <c r="G542" s="34">
        <f>'Hao phí vật tư'!$I$543</f>
        <v>0.16</v>
      </c>
      <c r="H542" s="68">
        <f>'Máy thi công'!$N$184</f>
        <v>228044</v>
      </c>
      <c r="I542" s="37">
        <v>1</v>
      </c>
      <c r="J542" s="166">
        <f>ROUND(G542*H542*I542,0)</f>
        <v>36487</v>
      </c>
    </row>
    <row r="543" spans="1:10" x14ac:dyDescent="0.25">
      <c r="A543" s="168"/>
      <c r="B543" s="144"/>
      <c r="C543" s="34">
        <v>714</v>
      </c>
      <c r="D543" s="144" t="str">
        <f>'Máy thi công'!$B$6</f>
        <v>M9438</v>
      </c>
      <c r="E543" s="144" t="str">
        <f>" - " &amp; 'Máy thi công'!$D$6</f>
        <v xml:space="preserve"> - Biến thế hàn xoay chiều - công suất: 23 kW</v>
      </c>
      <c r="F543" s="168" t="str">
        <f>'Máy thi công'!$E$6</f>
        <v>ca</v>
      </c>
      <c r="G543" s="34">
        <f>'Hao phí vật tư'!$I$544</f>
        <v>1.093</v>
      </c>
      <c r="H543" s="68">
        <f>'Máy thi công'!$N$6</f>
        <v>338020</v>
      </c>
      <c r="I543" s="37">
        <v>1</v>
      </c>
      <c r="J543" s="166">
        <f>ROUND(G543*H543*I543,0)</f>
        <v>369456</v>
      </c>
    </row>
    <row r="544" spans="1:10" ht="28.5" x14ac:dyDescent="0.25">
      <c r="A544" s="65">
        <f>'Công trình'!$A$72</f>
        <v>55</v>
      </c>
      <c r="B544" s="14" t="str">
        <f>'Công trình'!$B$72</f>
        <v>AI.13111</v>
      </c>
      <c r="C544" s="94"/>
      <c r="D544" s="31"/>
      <c r="E544" s="14" t="str">
        <f>'Công trình'!$C$72</f>
        <v>Sản xuất cấu kiện thép đặt sẵn trong bê tông, khối lượng &lt;=10kg/cấu kiện</v>
      </c>
      <c r="F544" s="46" t="str">
        <f>'Công trình'!$D$72</f>
        <v>tấn</v>
      </c>
      <c r="G544" s="94"/>
      <c r="H544" s="54"/>
      <c r="I544" s="98"/>
      <c r="J544" s="54"/>
    </row>
    <row r="545" spans="1:10" x14ac:dyDescent="0.25">
      <c r="A545" s="56"/>
      <c r="B545" s="23"/>
      <c r="C545" s="88"/>
      <c r="D545" s="23"/>
      <c r="E545" s="23" t="s">
        <v>479</v>
      </c>
      <c r="F545" s="56"/>
      <c r="G545" s="88"/>
      <c r="H545" s="48"/>
      <c r="I545" s="90"/>
      <c r="J545" s="48">
        <f>ROUND(SUM(J546:J552),0)</f>
        <v>15447317</v>
      </c>
    </row>
    <row r="546" spans="1:10" x14ac:dyDescent="0.25">
      <c r="A546" s="168"/>
      <c r="B546" s="144"/>
      <c r="C546" s="34">
        <v>407</v>
      </c>
      <c r="D546" s="144" t="str">
        <f>'Vật liệu'!$B$186</f>
        <v>V00824</v>
      </c>
      <c r="E546" s="144" t="str">
        <f>" - " &amp; 'Vật liệu'!$D$186</f>
        <v xml:space="preserve"> - Đá mài</v>
      </c>
      <c r="F546" s="168" t="str">
        <f>'Vật liệu'!$E$186</f>
        <v>viên</v>
      </c>
      <c r="G546" s="34">
        <f>'Hao phí vật tư'!$G$547</f>
        <v>0.7</v>
      </c>
      <c r="H546" s="68">
        <f>'Vật liệu'!$W$186</f>
        <v>13200</v>
      </c>
      <c r="I546" s="37">
        <v>1</v>
      </c>
      <c r="J546" s="166">
        <f t="shared" ref="J546:J551" si="5">ROUND(G546*H546*I546,0)</f>
        <v>9240</v>
      </c>
    </row>
    <row r="547" spans="1:10" x14ac:dyDescent="0.25">
      <c r="A547" s="168"/>
      <c r="B547" s="144"/>
      <c r="C547" s="34">
        <v>154</v>
      </c>
      <c r="D547" s="144" t="str">
        <f>'Vật liệu'!$B$450</f>
        <v>V00515</v>
      </c>
      <c r="E547" s="144" t="str">
        <f>" - " &amp; 'Vật liệu'!$D$450</f>
        <v xml:space="preserve"> - Que hàn</v>
      </c>
      <c r="F547" s="168" t="str">
        <f>'Vật liệu'!$E$450</f>
        <v>kg</v>
      </c>
      <c r="G547" s="34">
        <f>'Hao phí vật tư'!$G$548</f>
        <v>19.38</v>
      </c>
      <c r="H547" s="68">
        <f>'Vật liệu'!$W$450</f>
        <v>19091</v>
      </c>
      <c r="I547" s="37">
        <v>1</v>
      </c>
      <c r="J547" s="166">
        <f t="shared" si="5"/>
        <v>369984</v>
      </c>
    </row>
    <row r="548" spans="1:10" x14ac:dyDescent="0.25">
      <c r="A548" s="168"/>
      <c r="B548" s="144"/>
      <c r="C548" s="34">
        <v>411</v>
      </c>
      <c r="D548" s="144" t="str">
        <f>'Vật liệu'!$B$200</f>
        <v>V00833</v>
      </c>
      <c r="E548" s="144" t="str">
        <f>" - " &amp; 'Vật liệu'!$D$200</f>
        <v xml:space="preserve"> - Đất đèn</v>
      </c>
      <c r="F548" s="168" t="str">
        <f>'Vật liệu'!$E$200</f>
        <v>kg</v>
      </c>
      <c r="G548" s="34">
        <f>'Hao phí vật tư'!$G$549</f>
        <v>14.8</v>
      </c>
      <c r="H548" s="68">
        <f>'Vật liệu'!$W$200</f>
        <v>14000</v>
      </c>
      <c r="I548" s="37">
        <v>1</v>
      </c>
      <c r="J548" s="166">
        <f t="shared" si="5"/>
        <v>207200</v>
      </c>
    </row>
    <row r="549" spans="1:10" x14ac:dyDescent="0.25">
      <c r="A549" s="168"/>
      <c r="B549" s="144"/>
      <c r="C549" s="34">
        <v>166</v>
      </c>
      <c r="D549" s="144" t="str">
        <f>'Vật liệu'!$B$606</f>
        <v>V00671</v>
      </c>
      <c r="E549" s="144" t="str">
        <f>" - " &amp; 'Vật liệu'!$D$606</f>
        <v xml:space="preserve"> - Thép tấm</v>
      </c>
      <c r="F549" s="168" t="str">
        <f>'Vật liệu'!$E$606</f>
        <v>kg</v>
      </c>
      <c r="G549" s="34">
        <f>'Hao phí vật tư'!$G$550</f>
        <v>825</v>
      </c>
      <c r="H549" s="68">
        <f>'Vật liệu'!$W$606</f>
        <v>12574</v>
      </c>
      <c r="I549" s="37">
        <v>1</v>
      </c>
      <c r="J549" s="166">
        <f t="shared" si="5"/>
        <v>10373550</v>
      </c>
    </row>
    <row r="550" spans="1:10" x14ac:dyDescent="0.25">
      <c r="A550" s="168"/>
      <c r="B550" s="144"/>
      <c r="C550" s="34">
        <v>487</v>
      </c>
      <c r="D550" s="144" t="str">
        <f>'Vật liệu'!$B$684</f>
        <v>V48497</v>
      </c>
      <c r="E550" s="144" t="str">
        <f>" - " &amp; 'Vật liệu'!$D$684</f>
        <v xml:space="preserve"> - Thép tròn đường kính &gt;14</v>
      </c>
      <c r="F550" s="168" t="str">
        <f>'Vật liệu'!$E$684</f>
        <v>kg</v>
      </c>
      <c r="G550" s="34">
        <f>'Hao phí vật tư'!$G$551</f>
        <v>275.5</v>
      </c>
      <c r="H550" s="68">
        <f>'Vật liệu'!$W$684</f>
        <v>14058</v>
      </c>
      <c r="I550" s="37">
        <v>1</v>
      </c>
      <c r="J550" s="166">
        <f t="shared" si="5"/>
        <v>3872979</v>
      </c>
    </row>
    <row r="551" spans="1:10" x14ac:dyDescent="0.25">
      <c r="A551" s="168"/>
      <c r="B551" s="144"/>
      <c r="C551" s="34">
        <v>400</v>
      </c>
      <c r="D551" s="144" t="str">
        <f>'Vật liệu'!$B$401</f>
        <v>V00770</v>
      </c>
      <c r="E551" s="144" t="str">
        <f>" - " &amp; 'Vật liệu'!$D$401</f>
        <v xml:space="preserve"> - Ô xy</v>
      </c>
      <c r="F551" s="168" t="str">
        <f>'Vật liệu'!$E$401</f>
        <v>Chai</v>
      </c>
      <c r="G551" s="34">
        <f>'Hao phí vật tư'!$G$552</f>
        <v>3.3</v>
      </c>
      <c r="H551" s="68">
        <f>'Vật liệu'!$W$401</f>
        <v>72000</v>
      </c>
      <c r="I551" s="37">
        <v>1</v>
      </c>
      <c r="J551" s="166">
        <f t="shared" si="5"/>
        <v>237600</v>
      </c>
    </row>
    <row r="552" spans="1:10" x14ac:dyDescent="0.25">
      <c r="A552" s="168"/>
      <c r="B552" s="144"/>
      <c r="C552" s="34">
        <v>211</v>
      </c>
      <c r="D552" s="144" t="str">
        <f>'Vật liệu'!$B$766</f>
        <v>V00750</v>
      </c>
      <c r="E552" s="144" t="str">
        <f>" - " &amp; 'Vật liệu'!$D$766</f>
        <v xml:space="preserve"> - Vật liệu khác</v>
      </c>
      <c r="F552" s="168" t="str">
        <f>'Vật liệu'!$E$766</f>
        <v>%</v>
      </c>
      <c r="G552" s="34">
        <f>'Hao phí vật tư'!$G$553</f>
        <v>2.5</v>
      </c>
      <c r="H552" s="166">
        <f>'Vật liệu'!$W$766</f>
        <v>0</v>
      </c>
      <c r="I552" s="37">
        <v>1</v>
      </c>
      <c r="J552" s="166">
        <f>ROUND((J546+J547+J548+J549+J550+J551)*G552*I552/100,0)</f>
        <v>376764</v>
      </c>
    </row>
    <row r="553" spans="1:10" x14ac:dyDescent="0.25">
      <c r="A553" s="56"/>
      <c r="B553" s="23"/>
      <c r="C553" s="88"/>
      <c r="D553" s="23"/>
      <c r="E553" s="23" t="s">
        <v>202</v>
      </c>
      <c r="F553" s="56"/>
      <c r="G553" s="88"/>
      <c r="H553" s="48"/>
      <c r="I553" s="90"/>
      <c r="J553" s="48">
        <f>ROUND(SUM(J554:J554),0)</f>
        <v>8769288</v>
      </c>
    </row>
    <row r="554" spans="1:10" x14ac:dyDescent="0.25">
      <c r="A554" s="168"/>
      <c r="B554" s="144"/>
      <c r="C554" s="34">
        <v>553</v>
      </c>
      <c r="D554" s="144" t="str">
        <f>'Nhân công'!$B$221</f>
        <v>N0013</v>
      </c>
      <c r="E554" s="144" t="s">
        <v>275</v>
      </c>
      <c r="F554" s="168" t="str">
        <f>'Nhân công'!$G$221</f>
        <v>công</v>
      </c>
      <c r="G554" s="34">
        <f>'Hao phí vật tư'!$H$555</f>
        <v>34.9</v>
      </c>
      <c r="H554" s="68">
        <f>'Nhân công'!$M$221</f>
        <v>251269</v>
      </c>
      <c r="I554" s="37">
        <v>1</v>
      </c>
      <c r="J554" s="166">
        <f>ROUND(G554*H554*I554,0)</f>
        <v>8769288</v>
      </c>
    </row>
    <row r="555" spans="1:10" x14ac:dyDescent="0.25">
      <c r="A555" s="56"/>
      <c r="B555" s="23"/>
      <c r="C555" s="88"/>
      <c r="D555" s="23"/>
      <c r="E555" s="23" t="s">
        <v>378</v>
      </c>
      <c r="F555" s="56"/>
      <c r="G555" s="88"/>
      <c r="H555" s="48"/>
      <c r="I555" s="90"/>
      <c r="J555" s="48">
        <f>ROUND(SUM(J556:J559),0)</f>
        <v>1842565</v>
      </c>
    </row>
    <row r="556" spans="1:10" x14ac:dyDescent="0.25">
      <c r="A556" s="168"/>
      <c r="B556" s="144"/>
      <c r="C556" s="34">
        <v>701</v>
      </c>
      <c r="D556" s="144" t="str">
        <f>'Máy thi công'!$B$273</f>
        <v>M112.1501</v>
      </c>
      <c r="E556" s="144" t="str">
        <f>" - " &amp; 'Máy thi công'!$D$273</f>
        <v xml:space="preserve"> - Máy khoan đứng - công suất: 2,5 kW</v>
      </c>
      <c r="F556" s="168" t="str">
        <f>'Máy thi công'!$E$273</f>
        <v>ca</v>
      </c>
      <c r="G556" s="34">
        <f>'Hao phí vật tư'!$I$557</f>
        <v>1.55</v>
      </c>
      <c r="H556" s="68">
        <f>'Máy thi công'!$N$273</f>
        <v>247705</v>
      </c>
      <c r="I556" s="37">
        <v>1</v>
      </c>
      <c r="J556" s="166">
        <f>ROUND(G556*H556*I556,0)</f>
        <v>383943</v>
      </c>
    </row>
    <row r="557" spans="1:10" x14ac:dyDescent="0.25">
      <c r="A557" s="168"/>
      <c r="B557" s="144"/>
      <c r="C557" s="34">
        <v>714</v>
      </c>
      <c r="D557" s="144" t="str">
        <f>'Máy thi công'!$B$6</f>
        <v>M9438</v>
      </c>
      <c r="E557" s="144" t="str">
        <f>" - " &amp; 'Máy thi công'!$D$6</f>
        <v xml:space="preserve"> - Biến thế hàn xoay chiều - công suất: 23 kW</v>
      </c>
      <c r="F557" s="168" t="str">
        <f>'Máy thi công'!$E$6</f>
        <v>ca</v>
      </c>
      <c r="G557" s="34">
        <f>'Hao phí vật tư'!$I$558</f>
        <v>3.23</v>
      </c>
      <c r="H557" s="68">
        <f>'Máy thi công'!$N$6</f>
        <v>338020</v>
      </c>
      <c r="I557" s="37">
        <v>1</v>
      </c>
      <c r="J557" s="166">
        <f>ROUND(G557*H557*I557,0)</f>
        <v>1091805</v>
      </c>
    </row>
    <row r="558" spans="1:10" x14ac:dyDescent="0.25">
      <c r="A558" s="168"/>
      <c r="B558" s="144"/>
      <c r="C558" s="34">
        <v>705</v>
      </c>
      <c r="D558" s="144" t="str">
        <f>'Máy thi công'!$B$285</f>
        <v>M112.3702</v>
      </c>
      <c r="E558" s="144" t="str">
        <f>" - " &amp; 'Máy thi công'!$D$285</f>
        <v xml:space="preserve"> - Máy mài - công suất: 2,7 kW</v>
      </c>
      <c r="F558" s="168" t="str">
        <f>'Máy thi công'!$E$285</f>
        <v>ca</v>
      </c>
      <c r="G558" s="34">
        <f>'Hao phí vật tư'!$I$559</f>
        <v>1.55</v>
      </c>
      <c r="H558" s="68">
        <f>'Máy thi công'!$N$285</f>
        <v>213347</v>
      </c>
      <c r="I558" s="37">
        <v>1</v>
      </c>
      <c r="J558" s="166">
        <f>ROUND(G558*H558*I558,0)</f>
        <v>330688</v>
      </c>
    </row>
    <row r="559" spans="1:10" x14ac:dyDescent="0.25">
      <c r="A559" s="168"/>
      <c r="B559" s="144"/>
      <c r="C559" s="34">
        <v>574</v>
      </c>
      <c r="D559" s="144" t="str">
        <f>'Máy thi công'!$B$398</f>
        <v>M0111</v>
      </c>
      <c r="E559" s="144" t="str">
        <f>" - " &amp; 'Máy thi công'!$D$398</f>
        <v xml:space="preserve"> - Máy khác</v>
      </c>
      <c r="F559" s="168" t="str">
        <f>'Máy thi công'!$E$398</f>
        <v>%</v>
      </c>
      <c r="G559" s="34">
        <f>'Hao phí vật tư'!$I$560</f>
        <v>2</v>
      </c>
      <c r="H559" s="166">
        <f>'Máy thi công'!$N$398</f>
        <v>0</v>
      </c>
      <c r="I559" s="37">
        <v>1</v>
      </c>
      <c r="J559" s="166">
        <f>ROUND((J556+J557+J558)*G559*I559/100,0)</f>
        <v>36129</v>
      </c>
    </row>
    <row r="560" spans="1:10" ht="28.5" x14ac:dyDescent="0.25">
      <c r="A560" s="65">
        <f>'Công trình'!$A$73</f>
        <v>56</v>
      </c>
      <c r="B560" s="14" t="str">
        <f>'Công trình'!$B$73</f>
        <v>AG.32321</v>
      </c>
      <c r="C560" s="94"/>
      <c r="D560" s="31"/>
      <c r="E560" s="14" t="str">
        <f>'Công trình'!$C$73</f>
        <v>Sản xuất, lắp dựng, tháo dỡ ván khuôn thép bê tông đúc sẵn cọc</v>
      </c>
      <c r="F560" s="46" t="str">
        <f>'Công trình'!$D$73</f>
        <v>100m2</v>
      </c>
      <c r="G560" s="94"/>
      <c r="H560" s="54"/>
      <c r="I560" s="98"/>
      <c r="J560" s="54"/>
    </row>
    <row r="561" spans="1:10" x14ac:dyDescent="0.25">
      <c r="A561" s="56"/>
      <c r="B561" s="23"/>
      <c r="C561" s="88"/>
      <c r="D561" s="23"/>
      <c r="E561" s="23" t="s">
        <v>479</v>
      </c>
      <c r="F561" s="56"/>
      <c r="G561" s="88"/>
      <c r="H561" s="48"/>
      <c r="I561" s="90"/>
      <c r="J561" s="48">
        <f>ROUND(SUM(J562:J565),0)</f>
        <v>704451</v>
      </c>
    </row>
    <row r="562" spans="1:10" x14ac:dyDescent="0.25">
      <c r="A562" s="168"/>
      <c r="B562" s="144"/>
      <c r="C562" s="34">
        <v>154</v>
      </c>
      <c r="D562" s="144" t="str">
        <f>'Vật liệu'!$B$450</f>
        <v>V00515</v>
      </c>
      <c r="E562" s="144" t="str">
        <f>" - " &amp; 'Vật liệu'!$D$450</f>
        <v xml:space="preserve"> - Que hàn</v>
      </c>
      <c r="F562" s="168" t="str">
        <f>'Vật liệu'!$E$450</f>
        <v>kg</v>
      </c>
      <c r="G562" s="34">
        <f>'Hao phí vật tư'!$G$563</f>
        <v>1.22</v>
      </c>
      <c r="H562" s="68">
        <f>'Vật liệu'!$W$450</f>
        <v>19091</v>
      </c>
      <c r="I562" s="37">
        <v>1</v>
      </c>
      <c r="J562" s="166">
        <f>ROUND(G562*H562*I562,0)</f>
        <v>23291</v>
      </c>
    </row>
    <row r="563" spans="1:10" x14ac:dyDescent="0.25">
      <c r="A563" s="168"/>
      <c r="B563" s="144"/>
      <c r="C563" s="34">
        <v>166</v>
      </c>
      <c r="D563" s="144" t="str">
        <f>'Vật liệu'!$B$606</f>
        <v>V00671</v>
      </c>
      <c r="E563" s="144" t="str">
        <f>" - " &amp; 'Vật liệu'!$D$606</f>
        <v xml:space="preserve"> - Thép tấm</v>
      </c>
      <c r="F563" s="168" t="str">
        <f>'Vật liệu'!$E$606</f>
        <v>kg</v>
      </c>
      <c r="G563" s="34">
        <f>'Hao phí vật tư'!$G$564</f>
        <v>34.54</v>
      </c>
      <c r="H563" s="68">
        <f>'Vật liệu'!$W$606</f>
        <v>12574</v>
      </c>
      <c r="I563" s="37">
        <v>1</v>
      </c>
      <c r="J563" s="166">
        <f>ROUND(G563*H563*I563,0)</f>
        <v>434306</v>
      </c>
    </row>
    <row r="564" spans="1:10" x14ac:dyDescent="0.25">
      <c r="A564" s="168"/>
      <c r="B564" s="144"/>
      <c r="C564" s="34">
        <v>160</v>
      </c>
      <c r="D564" s="144" t="str">
        <f>'Vật liệu'!$B$556</f>
        <v>V00641</v>
      </c>
      <c r="E564" s="144" t="str">
        <f>" - " &amp; 'Vật liệu'!$D$556</f>
        <v xml:space="preserve"> - Thép hình</v>
      </c>
      <c r="F564" s="168" t="str">
        <f>'Vật liệu'!$E$556</f>
        <v>kg</v>
      </c>
      <c r="G564" s="34">
        <f>'Hao phí vật tư'!$G$565</f>
        <v>13.95</v>
      </c>
      <c r="H564" s="68">
        <f>'Vật liệu'!$W$556</f>
        <v>15291</v>
      </c>
      <c r="I564" s="37">
        <v>1</v>
      </c>
      <c r="J564" s="166">
        <f>ROUND(G564*H564*I564,0)</f>
        <v>213309</v>
      </c>
    </row>
    <row r="565" spans="1:10" x14ac:dyDescent="0.25">
      <c r="A565" s="168"/>
      <c r="B565" s="144"/>
      <c r="C565" s="34">
        <v>391</v>
      </c>
      <c r="D565" s="144" t="str">
        <f>'Vật liệu'!$B$766</f>
        <v>V00750</v>
      </c>
      <c r="E565" s="144" t="str">
        <f>" - " &amp; 'Vật liệu'!$D$766</f>
        <v xml:space="preserve"> - Vật liệu khác</v>
      </c>
      <c r="F565" s="168" t="str">
        <f>'Vật liệu'!$E$766</f>
        <v>%</v>
      </c>
      <c r="G565" s="34">
        <f>'Hao phí vật tư'!$G$566</f>
        <v>5</v>
      </c>
      <c r="H565" s="166">
        <f>'Vật liệu'!$W$766</f>
        <v>0</v>
      </c>
      <c r="I565" s="37">
        <v>1</v>
      </c>
      <c r="J565" s="166">
        <f>ROUND((J562+J563+J564)*G565*I565/100,0)</f>
        <v>33545</v>
      </c>
    </row>
    <row r="566" spans="1:10" x14ac:dyDescent="0.25">
      <c r="A566" s="56"/>
      <c r="B566" s="23"/>
      <c r="C566" s="88"/>
      <c r="D566" s="23"/>
      <c r="E566" s="23" t="s">
        <v>202</v>
      </c>
      <c r="F566" s="56"/>
      <c r="G566" s="88"/>
      <c r="H566" s="48"/>
      <c r="I566" s="90"/>
      <c r="J566" s="48">
        <f>ROUND(SUM(J567:J567),0)</f>
        <v>5500199</v>
      </c>
    </row>
    <row r="567" spans="1:10" x14ac:dyDescent="0.25">
      <c r="A567" s="168"/>
      <c r="B567" s="144"/>
      <c r="C567" s="34">
        <v>546</v>
      </c>
      <c r="D567" s="144" t="str">
        <f>'Nhân công'!$B$45</f>
        <v>N0009</v>
      </c>
      <c r="E567" s="144" t="s">
        <v>1052</v>
      </c>
      <c r="F567" s="168" t="str">
        <f>'Nhân công'!$G$45</f>
        <v>công</v>
      </c>
      <c r="G567" s="34">
        <f>'Hao phí vật tư'!$H$568</f>
        <v>25.84</v>
      </c>
      <c r="H567" s="68">
        <f>'Nhân công'!$M$45</f>
        <v>212856</v>
      </c>
      <c r="I567" s="37">
        <v>1</v>
      </c>
      <c r="J567" s="166">
        <f>ROUND(G567*H567*I567,0)</f>
        <v>5500199</v>
      </c>
    </row>
    <row r="568" spans="1:10" x14ac:dyDescent="0.25">
      <c r="A568" s="56"/>
      <c r="B568" s="23"/>
      <c r="C568" s="88"/>
      <c r="D568" s="23"/>
      <c r="E568" s="23" t="s">
        <v>378</v>
      </c>
      <c r="F568" s="56"/>
      <c r="G568" s="88"/>
      <c r="H568" s="48"/>
      <c r="I568" s="90"/>
      <c r="J568" s="48">
        <f>ROUND(SUM(J569:J570),0)</f>
        <v>163602</v>
      </c>
    </row>
    <row r="569" spans="1:10" x14ac:dyDescent="0.25">
      <c r="A569" s="168"/>
      <c r="B569" s="144"/>
      <c r="C569" s="34">
        <v>714</v>
      </c>
      <c r="D569" s="144" t="str">
        <f>'Máy thi công'!$B$6</f>
        <v>M9438</v>
      </c>
      <c r="E569" s="144" t="str">
        <f>" - " &amp; 'Máy thi công'!$D$6</f>
        <v xml:space="preserve"> - Biến thế hàn xoay chiều - công suất: 23 kW</v>
      </c>
      <c r="F569" s="168" t="str">
        <f>'Máy thi công'!$E$6</f>
        <v>ca</v>
      </c>
      <c r="G569" s="34">
        <f>'Hao phí vật tư'!$I$570</f>
        <v>0.44</v>
      </c>
      <c r="H569" s="68">
        <f>'Máy thi công'!$N$6</f>
        <v>338020</v>
      </c>
      <c r="I569" s="37">
        <v>1</v>
      </c>
      <c r="J569" s="166">
        <f>ROUND(G569*H569*I569,0)</f>
        <v>148729</v>
      </c>
    </row>
    <row r="570" spans="1:10" x14ac:dyDescent="0.25">
      <c r="A570" s="168"/>
      <c r="B570" s="144"/>
      <c r="C570" s="34">
        <v>691</v>
      </c>
      <c r="D570" s="144" t="str">
        <f>'Máy thi công'!$B$398</f>
        <v>M0111</v>
      </c>
      <c r="E570" s="144" t="str">
        <f>" - " &amp; 'Máy thi công'!$D$398</f>
        <v xml:space="preserve"> - Máy khác</v>
      </c>
      <c r="F570" s="168" t="str">
        <f>'Máy thi công'!$E$398</f>
        <v>%</v>
      </c>
      <c r="G570" s="34">
        <f>'Hao phí vật tư'!$I$571</f>
        <v>10</v>
      </c>
      <c r="H570" s="166">
        <f>'Máy thi công'!$N$398</f>
        <v>0</v>
      </c>
      <c r="I570" s="37">
        <v>1</v>
      </c>
      <c r="J570" s="166">
        <f>ROUND((J569)*G570*I570/100,0)</f>
        <v>14873</v>
      </c>
    </row>
    <row r="571" spans="1:10" x14ac:dyDescent="0.25">
      <c r="A571" s="65">
        <f>'Công trình'!$A$74</f>
        <v>57</v>
      </c>
      <c r="B571" s="14" t="str">
        <f>'Công trình'!$B$74</f>
        <v>AI.52211</v>
      </c>
      <c r="C571" s="94"/>
      <c r="D571" s="31"/>
      <c r="E571" s="14" t="str">
        <f>'Công trình'!$C$74</f>
        <v>Sản xuất kết cấu thép hộp nối cọc</v>
      </c>
      <c r="F571" s="46" t="str">
        <f>'Công trình'!$D$74</f>
        <v>tấn</v>
      </c>
      <c r="G571" s="94"/>
      <c r="H571" s="54"/>
      <c r="I571" s="98"/>
      <c r="J571" s="54"/>
    </row>
    <row r="572" spans="1:10" x14ac:dyDescent="0.25">
      <c r="A572" s="56"/>
      <c r="B572" s="23"/>
      <c r="C572" s="88"/>
      <c r="D572" s="23"/>
      <c r="E572" s="23" t="s">
        <v>479</v>
      </c>
      <c r="F572" s="56"/>
      <c r="G572" s="88"/>
      <c r="H572" s="48"/>
      <c r="I572" s="90"/>
      <c r="J572" s="48">
        <f>ROUND(SUM(J573:J579),0)</f>
        <v>16318605</v>
      </c>
    </row>
    <row r="573" spans="1:10" x14ac:dyDescent="0.25">
      <c r="A573" s="168"/>
      <c r="B573" s="144"/>
      <c r="C573" s="34">
        <v>411</v>
      </c>
      <c r="D573" s="144" t="str">
        <f>'Vật liệu'!$B$200</f>
        <v>V00833</v>
      </c>
      <c r="E573" s="144" t="str">
        <f>" - " &amp; 'Vật liệu'!$D$200</f>
        <v xml:space="preserve"> - Đất đèn</v>
      </c>
      <c r="F573" s="168" t="str">
        <f>'Vật liệu'!$E$200</f>
        <v>kg</v>
      </c>
      <c r="G573" s="34">
        <f>'Hao phí vật tư'!$G$574</f>
        <v>9.6199999999999992</v>
      </c>
      <c r="H573" s="68">
        <f>'Vật liệu'!$W$200</f>
        <v>14000</v>
      </c>
      <c r="I573" s="37">
        <v>1</v>
      </c>
      <c r="J573" s="166">
        <f t="shared" ref="J573:J578" si="6">ROUND(G573*H573*I573,0)</f>
        <v>134680</v>
      </c>
    </row>
    <row r="574" spans="1:10" x14ac:dyDescent="0.25">
      <c r="A574" s="168"/>
      <c r="B574" s="144"/>
      <c r="C574" s="34">
        <v>154</v>
      </c>
      <c r="D574" s="144" t="str">
        <f>'Vật liệu'!$B$450</f>
        <v>V00515</v>
      </c>
      <c r="E574" s="144" t="str">
        <f>" - " &amp; 'Vật liệu'!$D$450</f>
        <v xml:space="preserve"> - Que hàn</v>
      </c>
      <c r="F574" s="168" t="str">
        <f>'Vật liệu'!$E$450</f>
        <v>kg</v>
      </c>
      <c r="G574" s="34">
        <f>'Hao phí vật tư'!$G$575</f>
        <v>18.75</v>
      </c>
      <c r="H574" s="68">
        <f>'Vật liệu'!$W$450</f>
        <v>19091</v>
      </c>
      <c r="I574" s="37">
        <v>1</v>
      </c>
      <c r="J574" s="166">
        <f t="shared" si="6"/>
        <v>357956</v>
      </c>
    </row>
    <row r="575" spans="1:10" x14ac:dyDescent="0.25">
      <c r="A575" s="168"/>
      <c r="B575" s="144"/>
      <c r="C575" s="34">
        <v>400</v>
      </c>
      <c r="D575" s="144" t="str">
        <f>'Vật liệu'!$B$401</f>
        <v>V00770</v>
      </c>
      <c r="E575" s="144" t="str">
        <f>" - " &amp; 'Vật liệu'!$D$401</f>
        <v xml:space="preserve"> - Ô xy</v>
      </c>
      <c r="F575" s="168" t="str">
        <f>'Vật liệu'!$E$401</f>
        <v>Chai</v>
      </c>
      <c r="G575" s="34">
        <f>'Hao phí vật tư'!$G$576</f>
        <v>1.75</v>
      </c>
      <c r="H575" s="68">
        <f>'Vật liệu'!$W$401</f>
        <v>72000</v>
      </c>
      <c r="I575" s="37">
        <v>1</v>
      </c>
      <c r="J575" s="166">
        <f t="shared" si="6"/>
        <v>126000</v>
      </c>
    </row>
    <row r="576" spans="1:10" x14ac:dyDescent="0.25">
      <c r="A576" s="168"/>
      <c r="B576" s="144"/>
      <c r="C576" s="34">
        <v>166</v>
      </c>
      <c r="D576" s="144" t="str">
        <f>'Vật liệu'!$B$606</f>
        <v>V00671</v>
      </c>
      <c r="E576" s="144" t="str">
        <f>" - " &amp; 'Vật liệu'!$D$606</f>
        <v xml:space="preserve"> - Thép tấm</v>
      </c>
      <c r="F576" s="168" t="str">
        <f>'Vật liệu'!$E$606</f>
        <v>kg</v>
      </c>
      <c r="G576" s="34">
        <f>'Hao phí vật tư'!$G$577</f>
        <v>250</v>
      </c>
      <c r="H576" s="68">
        <f>'Vật liệu'!$W$606</f>
        <v>12574</v>
      </c>
      <c r="I576" s="37">
        <v>1</v>
      </c>
      <c r="J576" s="166">
        <f t="shared" si="6"/>
        <v>3143500</v>
      </c>
    </row>
    <row r="577" spans="1:10" x14ac:dyDescent="0.25">
      <c r="A577" s="168"/>
      <c r="B577" s="144"/>
      <c r="C577" s="34">
        <v>160</v>
      </c>
      <c r="D577" s="144" t="str">
        <f>'Vật liệu'!$B$556</f>
        <v>V00641</v>
      </c>
      <c r="E577" s="144" t="str">
        <f>" - " &amp; 'Vật liệu'!$D$556</f>
        <v xml:space="preserve"> - Thép hình</v>
      </c>
      <c r="F577" s="168" t="str">
        <f>'Vật liệu'!$E$556</f>
        <v>kg</v>
      </c>
      <c r="G577" s="34">
        <f>'Hao phí vật tư'!$G$578</f>
        <v>800</v>
      </c>
      <c r="H577" s="68">
        <f>'Vật liệu'!$W$556</f>
        <v>15291</v>
      </c>
      <c r="I577" s="37">
        <v>1</v>
      </c>
      <c r="J577" s="166">
        <f t="shared" si="6"/>
        <v>12232800</v>
      </c>
    </row>
    <row r="578" spans="1:10" x14ac:dyDescent="0.25">
      <c r="A578" s="168"/>
      <c r="B578" s="144"/>
      <c r="C578" s="34">
        <v>407</v>
      </c>
      <c r="D578" s="144" t="str">
        <f>'Vật liệu'!$B$186</f>
        <v>V00824</v>
      </c>
      <c r="E578" s="144" t="str">
        <f>" - " &amp; 'Vật liệu'!$D$186</f>
        <v xml:space="preserve"> - Đá mài</v>
      </c>
      <c r="F578" s="168" t="str">
        <f>'Vật liệu'!$E$186</f>
        <v>viên</v>
      </c>
      <c r="G578" s="34">
        <f>'Hao phí vật tư'!$G$579</f>
        <v>0.28000000000000003</v>
      </c>
      <c r="H578" s="68">
        <f>'Vật liệu'!$W$186</f>
        <v>13200</v>
      </c>
      <c r="I578" s="37">
        <v>1</v>
      </c>
      <c r="J578" s="166">
        <f t="shared" si="6"/>
        <v>3696</v>
      </c>
    </row>
    <row r="579" spans="1:10" x14ac:dyDescent="0.25">
      <c r="A579" s="168"/>
      <c r="B579" s="144"/>
      <c r="C579" s="34">
        <v>214</v>
      </c>
      <c r="D579" s="144" t="str">
        <f>'Vật liệu'!$B$766</f>
        <v>V00750</v>
      </c>
      <c r="E579" s="144" t="str">
        <f>" - " &amp; 'Vật liệu'!$D$766</f>
        <v xml:space="preserve"> - Vật liệu khác</v>
      </c>
      <c r="F579" s="168" t="str">
        <f>'Vật liệu'!$E$766</f>
        <v>%</v>
      </c>
      <c r="G579" s="34">
        <f>'Hao phí vật tư'!$G$580</f>
        <v>2</v>
      </c>
      <c r="H579" s="166">
        <f>'Vật liệu'!$W$766</f>
        <v>0</v>
      </c>
      <c r="I579" s="37">
        <v>1</v>
      </c>
      <c r="J579" s="166">
        <f>ROUND((J573+J574+J575+J576+J577+J578)*G579*I579/100,0)</f>
        <v>319973</v>
      </c>
    </row>
    <row r="580" spans="1:10" x14ac:dyDescent="0.25">
      <c r="A580" s="56"/>
      <c r="B580" s="23"/>
      <c r="C580" s="88"/>
      <c r="D580" s="23"/>
      <c r="E580" s="23" t="s">
        <v>202</v>
      </c>
      <c r="F580" s="56"/>
      <c r="G580" s="88"/>
      <c r="H580" s="48"/>
      <c r="I580" s="90"/>
      <c r="J580" s="48">
        <f>ROUND(SUM(J581:J581),0)</f>
        <v>6570684</v>
      </c>
    </row>
    <row r="581" spans="1:10" x14ac:dyDescent="0.25">
      <c r="A581" s="168"/>
      <c r="B581" s="144"/>
      <c r="C581" s="34">
        <v>553</v>
      </c>
      <c r="D581" s="144" t="str">
        <f>'Nhân công'!$B$221</f>
        <v>N0013</v>
      </c>
      <c r="E581" s="144" t="s">
        <v>275</v>
      </c>
      <c r="F581" s="168" t="str">
        <f>'Nhân công'!$G$221</f>
        <v>công</v>
      </c>
      <c r="G581" s="34">
        <f>'Hao phí vật tư'!$H$582</f>
        <v>26.15</v>
      </c>
      <c r="H581" s="68">
        <f>'Nhân công'!$M$221</f>
        <v>251269</v>
      </c>
      <c r="I581" s="37">
        <v>1</v>
      </c>
      <c r="J581" s="166">
        <f>ROUND(G581*H581*I581,0)</f>
        <v>6570684</v>
      </c>
    </row>
    <row r="582" spans="1:10" x14ac:dyDescent="0.25">
      <c r="A582" s="56"/>
      <c r="B582" s="23"/>
      <c r="C582" s="88"/>
      <c r="D582" s="23"/>
      <c r="E582" s="23" t="s">
        <v>378</v>
      </c>
      <c r="F582" s="56"/>
      <c r="G582" s="88"/>
      <c r="H582" s="48"/>
      <c r="I582" s="90"/>
      <c r="J582" s="48">
        <f>ROUND(SUM(J583:J586),0)</f>
        <v>1989622</v>
      </c>
    </row>
    <row r="583" spans="1:10" x14ac:dyDescent="0.25">
      <c r="A583" s="168"/>
      <c r="B583" s="144"/>
      <c r="C583" s="34">
        <v>701</v>
      </c>
      <c r="D583" s="144" t="str">
        <f>'Máy thi công'!$B$273</f>
        <v>M112.1501</v>
      </c>
      <c r="E583" s="144" t="str">
        <f>" - " &amp; 'Máy thi công'!$D$273</f>
        <v xml:space="preserve"> - Máy khoan đứng - công suất: 2,5 kW</v>
      </c>
      <c r="F583" s="168" t="str">
        <f>'Máy thi công'!$E$273</f>
        <v>ca</v>
      </c>
      <c r="G583" s="34">
        <f>'Hao phí vật tư'!$I$584</f>
        <v>1.06</v>
      </c>
      <c r="H583" s="68">
        <f>'Máy thi công'!$N$273</f>
        <v>247705</v>
      </c>
      <c r="I583" s="37">
        <v>1</v>
      </c>
      <c r="J583" s="166">
        <f>ROUND(G583*H583*I583,0)</f>
        <v>262567</v>
      </c>
    </row>
    <row r="584" spans="1:10" x14ac:dyDescent="0.25">
      <c r="A584" s="168"/>
      <c r="B584" s="144"/>
      <c r="C584" s="34">
        <v>714</v>
      </c>
      <c r="D584" s="144" t="str">
        <f>'Máy thi công'!$B$6</f>
        <v>M9438</v>
      </c>
      <c r="E584" s="144" t="str">
        <f>" - " &amp; 'Máy thi công'!$D$6</f>
        <v xml:space="preserve"> - Biến thế hàn xoay chiều - công suất: 23 kW</v>
      </c>
      <c r="F584" s="168" t="str">
        <f>'Máy thi công'!$E$6</f>
        <v>ca</v>
      </c>
      <c r="G584" s="34">
        <f>'Hao phí vật tư'!$I$585</f>
        <v>4.16</v>
      </c>
      <c r="H584" s="68">
        <f>'Máy thi công'!$N$6</f>
        <v>338020</v>
      </c>
      <c r="I584" s="37">
        <v>1</v>
      </c>
      <c r="J584" s="166">
        <f>ROUND(G584*H584*I584,0)</f>
        <v>1406163</v>
      </c>
    </row>
    <row r="585" spans="1:10" x14ac:dyDescent="0.25">
      <c r="A585" s="168"/>
      <c r="B585" s="144"/>
      <c r="C585" s="34">
        <v>705</v>
      </c>
      <c r="D585" s="144" t="str">
        <f>'Máy thi công'!$B$285</f>
        <v>M112.3702</v>
      </c>
      <c r="E585" s="144" t="str">
        <f>" - " &amp; 'Máy thi công'!$D$285</f>
        <v xml:space="preserve"> - Máy mài - công suất: 2,7 kW</v>
      </c>
      <c r="F585" s="168" t="str">
        <f>'Máy thi công'!$E$285</f>
        <v>ca</v>
      </c>
      <c r="G585" s="34">
        <f>'Hao phí vật tư'!$I$586</f>
        <v>1.06</v>
      </c>
      <c r="H585" s="68">
        <f>'Máy thi công'!$N$285</f>
        <v>213347</v>
      </c>
      <c r="I585" s="37">
        <v>1</v>
      </c>
      <c r="J585" s="166">
        <f>ROUND(G585*H585*I585,0)</f>
        <v>226148</v>
      </c>
    </row>
    <row r="586" spans="1:10" x14ac:dyDescent="0.25">
      <c r="A586" s="168"/>
      <c r="B586" s="144"/>
      <c r="C586" s="34">
        <v>577</v>
      </c>
      <c r="D586" s="144" t="str">
        <f>'Máy thi công'!$B$398</f>
        <v>M0111</v>
      </c>
      <c r="E586" s="144" t="str">
        <f>" - " &amp; 'Máy thi công'!$D$398</f>
        <v xml:space="preserve"> - Máy khác</v>
      </c>
      <c r="F586" s="168" t="str">
        <f>'Máy thi công'!$E$398</f>
        <v>%</v>
      </c>
      <c r="G586" s="34">
        <f>'Hao phí vật tư'!$I$587</f>
        <v>5</v>
      </c>
      <c r="H586" s="166">
        <f>'Máy thi công'!$N$398</f>
        <v>0</v>
      </c>
      <c r="I586" s="37">
        <v>1</v>
      </c>
      <c r="J586" s="166">
        <f>ROUND((J583+J584+J585)*G586*I586/100,0)</f>
        <v>94744</v>
      </c>
    </row>
    <row r="587" spans="1:10" ht="28.5" x14ac:dyDescent="0.25">
      <c r="A587" s="65">
        <f>'Công trình'!$A$75</f>
        <v>58</v>
      </c>
      <c r="B587" s="14" t="str">
        <f>'Công trình'!$B$75</f>
        <v>AC.17112</v>
      </c>
      <c r="C587" s="94"/>
      <c r="D587" s="31"/>
      <c r="E587" s="14" t="str">
        <f>'Công trình'!$C$75</f>
        <v>Đóng cọc BTCT 35x35 chiều dài &lt;=24m trên mặt nước bằng tàu đóng cọc búa 1,8T</v>
      </c>
      <c r="F587" s="46" t="str">
        <f>'Công trình'!$D$75</f>
        <v>100m</v>
      </c>
      <c r="G587" s="94"/>
      <c r="H587" s="54"/>
      <c r="I587" s="98"/>
      <c r="J587" s="54"/>
    </row>
    <row r="588" spans="1:10" x14ac:dyDescent="0.25">
      <c r="A588" s="56"/>
      <c r="B588" s="23"/>
      <c r="C588" s="88"/>
      <c r="D588" s="23"/>
      <c r="E588" s="23" t="s">
        <v>479</v>
      </c>
      <c r="F588" s="56"/>
      <c r="G588" s="88"/>
      <c r="H588" s="48"/>
      <c r="I588" s="90"/>
      <c r="J588" s="48">
        <f>ROUND(SUM(J589:J590),0)</f>
        <v>0</v>
      </c>
    </row>
    <row r="589" spans="1:10" x14ac:dyDescent="0.25">
      <c r="A589" s="168"/>
      <c r="B589" s="144"/>
      <c r="C589" s="34">
        <v>457</v>
      </c>
      <c r="D589" s="144" t="str">
        <f>'Vật liệu'!$B$111</f>
        <v>V12705</v>
      </c>
      <c r="E589" s="144" t="str">
        <f>" - " &amp; 'Vật liệu'!$D$111</f>
        <v xml:space="preserve"> - Cọc bê tông 35cmx35cm</v>
      </c>
      <c r="F589" s="168" t="str">
        <f>'Vật liệu'!$E$111</f>
        <v>m</v>
      </c>
      <c r="G589" s="34">
        <f>'Hao phí vật tư'!$G$590</f>
        <v>0</v>
      </c>
      <c r="H589" s="68">
        <f>'Vật liệu'!$W$111</f>
        <v>594300</v>
      </c>
      <c r="I589" s="37">
        <v>1</v>
      </c>
      <c r="J589" s="166">
        <f>ROUND(G589*H589*I589,0)</f>
        <v>0</v>
      </c>
    </row>
    <row r="590" spans="1:10" x14ac:dyDescent="0.25">
      <c r="A590" s="168"/>
      <c r="B590" s="144"/>
      <c r="C590" s="34">
        <v>236</v>
      </c>
      <c r="D590" s="144" t="str">
        <f>'Vật liệu'!$B$766</f>
        <v>V00750</v>
      </c>
      <c r="E590" s="144" t="str">
        <f>" - " &amp; 'Vật liệu'!$D$766</f>
        <v xml:space="preserve"> - Vật liệu khác</v>
      </c>
      <c r="F590" s="168" t="str">
        <f>'Vật liệu'!$E$766</f>
        <v>%</v>
      </c>
      <c r="G590" s="34">
        <f>'Hao phí vật tư'!$G$591</f>
        <v>2</v>
      </c>
      <c r="H590" s="166">
        <f>'Vật liệu'!$W$766</f>
        <v>0</v>
      </c>
      <c r="I590" s="37">
        <v>1</v>
      </c>
      <c r="J590" s="166">
        <f>ROUND((J589)*G590*I590/100,0)</f>
        <v>0</v>
      </c>
    </row>
    <row r="591" spans="1:10" x14ac:dyDescent="0.25">
      <c r="A591" s="56"/>
      <c r="B591" s="23"/>
      <c r="C591" s="88"/>
      <c r="D591" s="23"/>
      <c r="E591" s="23" t="s">
        <v>202</v>
      </c>
      <c r="F591" s="56"/>
      <c r="G591" s="88"/>
      <c r="H591" s="48"/>
      <c r="I591" s="90"/>
      <c r="J591" s="48">
        <f>ROUND(SUM(J592:J592),0)</f>
        <v>1628729</v>
      </c>
    </row>
    <row r="592" spans="1:10" x14ac:dyDescent="0.25">
      <c r="A592" s="168"/>
      <c r="B592" s="144"/>
      <c r="C592" s="34">
        <v>554</v>
      </c>
      <c r="D592" s="144" t="str">
        <f>'Nhân công'!$B$103</f>
        <v>N0015</v>
      </c>
      <c r="E592" s="144" t="s">
        <v>1014</v>
      </c>
      <c r="F592" s="168" t="str">
        <f>'Nhân công'!$G$103</f>
        <v>công</v>
      </c>
      <c r="G592" s="34">
        <f>'Hao phí vật tư'!$H$593</f>
        <v>6.8</v>
      </c>
      <c r="H592" s="68">
        <f>'Nhân công'!$M$103</f>
        <v>239519</v>
      </c>
      <c r="I592" s="37">
        <v>1</v>
      </c>
      <c r="J592" s="166">
        <f>ROUND(G592*H592*I592,0)</f>
        <v>1628729</v>
      </c>
    </row>
    <row r="593" spans="1:10" x14ac:dyDescent="0.25">
      <c r="A593" s="56"/>
      <c r="B593" s="23"/>
      <c r="C593" s="88"/>
      <c r="D593" s="23"/>
      <c r="E593" s="23" t="s">
        <v>378</v>
      </c>
      <c r="F593" s="56"/>
      <c r="G593" s="88"/>
      <c r="H593" s="48"/>
      <c r="I593" s="90"/>
      <c r="J593" s="48">
        <f>ROUND(SUM(J594:J598),0)</f>
        <v>22609136</v>
      </c>
    </row>
    <row r="594" spans="1:10" x14ac:dyDescent="0.25">
      <c r="A594" s="168"/>
      <c r="B594" s="144"/>
      <c r="C594" s="34">
        <v>755</v>
      </c>
      <c r="D594" s="144" t="str">
        <f>'Máy thi công'!$B$384</f>
        <v>M9596</v>
      </c>
      <c r="E594" s="144" t="str">
        <f>" - " &amp; 'Máy thi công'!$D$384</f>
        <v xml:space="preserve"> - Sà lan - trọng tải: 250 t</v>
      </c>
      <c r="F594" s="168" t="str">
        <f>'Máy thi công'!$E$384</f>
        <v>ca</v>
      </c>
      <c r="G594" s="34">
        <f>'Hao phí vật tư'!$I$595</f>
        <v>1.95</v>
      </c>
      <c r="H594" s="68">
        <f>'Máy thi công'!$N$384</f>
        <v>1107704</v>
      </c>
      <c r="I594" s="37">
        <v>1</v>
      </c>
      <c r="J594" s="166">
        <f>ROUND(G594*H594*I594,0)</f>
        <v>2160023</v>
      </c>
    </row>
    <row r="595" spans="1:10" ht="30" x14ac:dyDescent="0.25">
      <c r="A595" s="168"/>
      <c r="B595" s="144"/>
      <c r="C595" s="34">
        <v>757</v>
      </c>
      <c r="D595" s="144" t="str">
        <f>'Máy thi công'!$B$391</f>
        <v>M9622</v>
      </c>
      <c r="E595" s="144" t="str">
        <f>" - " &amp; 'Máy thi công'!$D$391</f>
        <v xml:space="preserve"> - Tầu kéo và phục vụ thi công thuỷ (làm neo, cấp dầu,...) - công suất: 150 cv</v>
      </c>
      <c r="F595" s="168" t="str">
        <f>'Máy thi công'!$E$391</f>
        <v>ca</v>
      </c>
      <c r="G595" s="34">
        <f>'Hao phí vật tư'!$I$596</f>
        <v>0.13500000000000001</v>
      </c>
      <c r="H595" s="68">
        <f>'Máy thi công'!$N$391</f>
        <v>4108162</v>
      </c>
      <c r="I595" s="37">
        <v>1</v>
      </c>
      <c r="J595" s="166">
        <f>ROUND(G595*H595*I595,0)</f>
        <v>554602</v>
      </c>
    </row>
    <row r="596" spans="1:10" ht="30" x14ac:dyDescent="0.25">
      <c r="A596" s="168"/>
      <c r="B596" s="144"/>
      <c r="C596" s="34">
        <v>722</v>
      </c>
      <c r="D596" s="144" t="str">
        <f>'Máy thi công'!$B$101</f>
        <v>M9449</v>
      </c>
      <c r="E596" s="144" t="str">
        <f>" - " &amp; 'Máy thi công'!$D$101</f>
        <v xml:space="preserve"> - Búa đóng cọc nổi (cả sà lan và máy phụ trợ) - trọng lượng búa: ≤ 1,8 t</v>
      </c>
      <c r="F596" s="168" t="str">
        <f>'Máy thi công'!$E$101</f>
        <v>ca</v>
      </c>
      <c r="G596" s="34">
        <f>'Hao phí vật tư'!$I$597</f>
        <v>2.4300000000000002</v>
      </c>
      <c r="H596" s="68">
        <f>'Máy thi công'!$N$101</f>
        <v>5164778</v>
      </c>
      <c r="I596" s="37">
        <v>1</v>
      </c>
      <c r="J596" s="166">
        <f>ROUND(G596*H596*I596,0)</f>
        <v>12550411</v>
      </c>
    </row>
    <row r="597" spans="1:10" x14ac:dyDescent="0.25">
      <c r="A597" s="168"/>
      <c r="B597" s="144"/>
      <c r="C597" s="34">
        <v>729</v>
      </c>
      <c r="D597" s="144" t="str">
        <f>'Máy thi công'!$B$135</f>
        <v>M9469</v>
      </c>
      <c r="E597" s="144" t="str">
        <f>" - " &amp; 'Máy thi công'!$D$135</f>
        <v xml:space="preserve"> - Cần trục bánh xích - sức nâng: 25 t</v>
      </c>
      <c r="F597" s="168" t="str">
        <f>'Máy thi công'!$E$135</f>
        <v>ca</v>
      </c>
      <c r="G597" s="34">
        <f>'Hao phí vật tư'!$I$598</f>
        <v>2.4300000000000002</v>
      </c>
      <c r="H597" s="68">
        <f>'Máy thi công'!$N$135</f>
        <v>2839829</v>
      </c>
      <c r="I597" s="37">
        <v>1</v>
      </c>
      <c r="J597" s="166">
        <f>ROUND(G597*H597*I597,0)</f>
        <v>6900784</v>
      </c>
    </row>
    <row r="598" spans="1:10" x14ac:dyDescent="0.25">
      <c r="A598" s="168"/>
      <c r="B598" s="144"/>
      <c r="C598" s="34">
        <v>600</v>
      </c>
      <c r="D598" s="144" t="str">
        <f>'Máy thi công'!$B$398</f>
        <v>M0111</v>
      </c>
      <c r="E598" s="144" t="str">
        <f>" - " &amp; 'Máy thi công'!$D$398</f>
        <v xml:space="preserve"> - Máy khác</v>
      </c>
      <c r="F598" s="168" t="str">
        <f>'Máy thi công'!$E$398</f>
        <v>%</v>
      </c>
      <c r="G598" s="34">
        <f>'Hao phí vật tư'!$I$599</f>
        <v>2</v>
      </c>
      <c r="H598" s="166">
        <f>'Máy thi công'!$N$398</f>
        <v>0</v>
      </c>
      <c r="I598" s="37">
        <v>1</v>
      </c>
      <c r="J598" s="166">
        <f>ROUND((J594+J595+J596+J597)*G598*I598/100,0)</f>
        <v>443316</v>
      </c>
    </row>
    <row r="599" spans="1:10" ht="28.5" x14ac:dyDescent="0.25">
      <c r="A599" s="65">
        <f>'Công trình'!$A$76</f>
        <v>59</v>
      </c>
      <c r="B599" s="14" t="str">
        <f>'Công trình'!$B$76</f>
        <v>AC.29341</v>
      </c>
      <c r="C599" s="94"/>
      <c r="D599" s="31"/>
      <c r="E599" s="14" t="str">
        <f>'Công trình'!$C$76</f>
        <v>Nối cọc BTCT 35x35cm</v>
      </c>
      <c r="F599" s="46" t="str">
        <f>'Công trình'!$D$76</f>
        <v>1mối nối</v>
      </c>
      <c r="G599" s="94"/>
      <c r="H599" s="54"/>
      <c r="I599" s="98"/>
      <c r="J599" s="54"/>
    </row>
    <row r="600" spans="1:10" x14ac:dyDescent="0.25">
      <c r="A600" s="56"/>
      <c r="B600" s="23"/>
      <c r="C600" s="88"/>
      <c r="D600" s="23"/>
      <c r="E600" s="23" t="s">
        <v>479</v>
      </c>
      <c r="F600" s="56"/>
      <c r="G600" s="88"/>
      <c r="H600" s="48"/>
      <c r="I600" s="90"/>
      <c r="J600" s="48">
        <f>ROUND(SUM(J601:J603),0)</f>
        <v>82784</v>
      </c>
    </row>
    <row r="601" spans="1:10" x14ac:dyDescent="0.25">
      <c r="A601" s="168"/>
      <c r="B601" s="144"/>
      <c r="C601" s="34">
        <v>154</v>
      </c>
      <c r="D601" s="144" t="str">
        <f>'Vật liệu'!$B$450</f>
        <v>V00515</v>
      </c>
      <c r="E601" s="144" t="str">
        <f>" - " &amp; 'Vật liệu'!$D$450</f>
        <v xml:space="preserve"> - Que hàn</v>
      </c>
      <c r="F601" s="168" t="str">
        <f>'Vật liệu'!$E$450</f>
        <v>kg</v>
      </c>
      <c r="G601" s="34">
        <f>'Hao phí vật tư'!$G$602</f>
        <v>4.21</v>
      </c>
      <c r="H601" s="68">
        <f>'Vật liệu'!$W$450</f>
        <v>19091</v>
      </c>
      <c r="I601" s="37">
        <v>1</v>
      </c>
      <c r="J601" s="166">
        <f>ROUND(G601*H601*I601,0)</f>
        <v>80373</v>
      </c>
    </row>
    <row r="602" spans="1:10" x14ac:dyDescent="0.25">
      <c r="A602" s="168"/>
      <c r="B602" s="144"/>
      <c r="C602" s="34">
        <v>158</v>
      </c>
      <c r="D602" s="144" t="str">
        <f>'Vật liệu'!$B$551</f>
        <v>V00638</v>
      </c>
      <c r="E602" s="144" t="str">
        <f>" - " &amp; 'Vật liệu'!$D$551</f>
        <v xml:space="preserve"> - Thép góc 100x100mm</v>
      </c>
      <c r="F602" s="168" t="str">
        <f>'Vật liệu'!$E$551</f>
        <v>kg</v>
      </c>
      <c r="G602" s="34">
        <f>'Hao phí vật tư'!$G$603</f>
        <v>0</v>
      </c>
      <c r="H602" s="68">
        <f>'Vật liệu'!$W$551</f>
        <v>15291</v>
      </c>
      <c r="I602" s="37">
        <v>1</v>
      </c>
      <c r="J602" s="166">
        <f>ROUND(G602*H602*I602,0)</f>
        <v>0</v>
      </c>
    </row>
    <row r="603" spans="1:10" x14ac:dyDescent="0.25">
      <c r="A603" s="168"/>
      <c r="B603" s="144"/>
      <c r="C603" s="34">
        <v>213</v>
      </c>
      <c r="D603" s="144" t="str">
        <f>'Vật liệu'!$B$766</f>
        <v>V00750</v>
      </c>
      <c r="E603" s="144" t="str">
        <f>" - " &amp; 'Vật liệu'!$D$766</f>
        <v xml:space="preserve"> - Vật liệu khác</v>
      </c>
      <c r="F603" s="168" t="str">
        <f>'Vật liệu'!$E$766</f>
        <v>%</v>
      </c>
      <c r="G603" s="34">
        <f>'Hao phí vật tư'!$G$604</f>
        <v>3</v>
      </c>
      <c r="H603" s="166">
        <f>'Vật liệu'!$W$766</f>
        <v>0</v>
      </c>
      <c r="I603" s="37">
        <v>1</v>
      </c>
      <c r="J603" s="166">
        <f>ROUND((J601+J602)*G603*I603/100,0)</f>
        <v>2411</v>
      </c>
    </row>
    <row r="604" spans="1:10" x14ac:dyDescent="0.25">
      <c r="A604" s="56"/>
      <c r="B604" s="23"/>
      <c r="C604" s="88"/>
      <c r="D604" s="23"/>
      <c r="E604" s="23" t="s">
        <v>202</v>
      </c>
      <c r="F604" s="56"/>
      <c r="G604" s="88"/>
      <c r="H604" s="48"/>
      <c r="I604" s="90"/>
      <c r="J604" s="48">
        <f>ROUND(SUM(J605:J605),0)</f>
        <v>209385</v>
      </c>
    </row>
    <row r="605" spans="1:10" x14ac:dyDescent="0.25">
      <c r="A605" s="168"/>
      <c r="B605" s="144"/>
      <c r="C605" s="34">
        <v>555</v>
      </c>
      <c r="D605" s="144" t="str">
        <f>'Nhân công'!$B$185</f>
        <v>N0020</v>
      </c>
      <c r="E605" s="144" t="s">
        <v>625</v>
      </c>
      <c r="F605" s="168" t="str">
        <f>'Nhân công'!$G$185</f>
        <v>công</v>
      </c>
      <c r="G605" s="34">
        <f>'Hao phí vật tư'!$H$606</f>
        <v>0.81</v>
      </c>
      <c r="H605" s="68">
        <f>'Nhân công'!$M$185</f>
        <v>258500</v>
      </c>
      <c r="I605" s="37">
        <v>1</v>
      </c>
      <c r="J605" s="166">
        <f>ROUND(G605*H605*I605,0)</f>
        <v>209385</v>
      </c>
    </row>
    <row r="606" spans="1:10" x14ac:dyDescent="0.25">
      <c r="A606" s="56"/>
      <c r="B606" s="23"/>
      <c r="C606" s="88"/>
      <c r="D606" s="23"/>
      <c r="E606" s="23" t="s">
        <v>378</v>
      </c>
      <c r="F606" s="56"/>
      <c r="G606" s="88"/>
      <c r="H606" s="48"/>
      <c r="I606" s="90"/>
      <c r="J606" s="48">
        <f>ROUND(SUM(J607:J608),0)</f>
        <v>62669</v>
      </c>
    </row>
    <row r="607" spans="1:10" x14ac:dyDescent="0.25">
      <c r="A607" s="168"/>
      <c r="B607" s="144"/>
      <c r="C607" s="34">
        <v>714</v>
      </c>
      <c r="D607" s="144" t="str">
        <f>'Máy thi công'!$B$6</f>
        <v>M9438</v>
      </c>
      <c r="E607" s="144" t="str">
        <f>" - " &amp; 'Máy thi công'!$D$6</f>
        <v xml:space="preserve"> - Biến thế hàn xoay chiều - công suất: 23 kW</v>
      </c>
      <c r="F607" s="168" t="str">
        <f>'Máy thi công'!$E$6</f>
        <v>ca</v>
      </c>
      <c r="G607" s="34">
        <f>'Hao phí vật tư'!$I$608</f>
        <v>0.18</v>
      </c>
      <c r="H607" s="68">
        <f>'Máy thi công'!$N$6</f>
        <v>338020</v>
      </c>
      <c r="I607" s="37">
        <v>1</v>
      </c>
      <c r="J607" s="166">
        <f>ROUND(G607*H607*I607,0)</f>
        <v>60844</v>
      </c>
    </row>
    <row r="608" spans="1:10" x14ac:dyDescent="0.25">
      <c r="A608" s="168"/>
      <c r="B608" s="144"/>
      <c r="C608" s="34">
        <v>576</v>
      </c>
      <c r="D608" s="144" t="str">
        <f>'Máy thi công'!$B$398</f>
        <v>M0111</v>
      </c>
      <c r="E608" s="144" t="str">
        <f>" - " &amp; 'Máy thi công'!$D$398</f>
        <v xml:space="preserve"> - Máy khác</v>
      </c>
      <c r="F608" s="168" t="str">
        <f>'Máy thi công'!$E$398</f>
        <v>%</v>
      </c>
      <c r="G608" s="34">
        <f>'Hao phí vật tư'!$I$609</f>
        <v>3</v>
      </c>
      <c r="H608" s="166">
        <f>'Máy thi công'!$N$398</f>
        <v>0</v>
      </c>
      <c r="I608" s="37">
        <v>1</v>
      </c>
      <c r="J608" s="166">
        <f>ROUND((J607)*G608*I608/100,0)</f>
        <v>1825</v>
      </c>
    </row>
    <row r="609" spans="1:10" x14ac:dyDescent="0.25">
      <c r="A609" s="65">
        <f>'Công trình'!$A$77</f>
        <v>60</v>
      </c>
      <c r="B609" s="14" t="str">
        <f>'Công trình'!$B$77</f>
        <v>AA.22310</v>
      </c>
      <c r="C609" s="94"/>
      <c r="D609" s="31"/>
      <c r="E609" s="14" t="str">
        <f>'Công trình'!$C$77</f>
        <v>Đập đầu cọc trên cạn</v>
      </c>
      <c r="F609" s="46" t="str">
        <f>'Công trình'!$D$77</f>
        <v>m3</v>
      </c>
      <c r="G609" s="94"/>
      <c r="H609" s="54"/>
      <c r="I609" s="98"/>
      <c r="J609" s="54"/>
    </row>
    <row r="610" spans="1:10" x14ac:dyDescent="0.25">
      <c r="A610" s="56"/>
      <c r="B610" s="23"/>
      <c r="C610" s="88"/>
      <c r="D610" s="23"/>
      <c r="E610" s="23" t="s">
        <v>479</v>
      </c>
      <c r="F610" s="56"/>
      <c r="G610" s="88"/>
      <c r="H610" s="48"/>
      <c r="I610" s="90"/>
      <c r="J610" s="48">
        <f>ROUND(SUM(J611:J611),0)</f>
        <v>0</v>
      </c>
    </row>
    <row r="611" spans="1:10" x14ac:dyDescent="0.25">
      <c r="A611" s="168"/>
      <c r="B611" s="144"/>
      <c r="C611" s="34">
        <v>154</v>
      </c>
      <c r="D611" s="144" t="str">
        <f>'Vật liệu'!$B$450</f>
        <v>V00515</v>
      </c>
      <c r="E611" s="144" t="str">
        <f>" - " &amp; 'Vật liệu'!$D$450</f>
        <v xml:space="preserve"> - Que hàn</v>
      </c>
      <c r="F611" s="168" t="str">
        <f>'Vật liệu'!$E$450</f>
        <v>kg</v>
      </c>
      <c r="G611" s="34">
        <f>'Hao phí vật tư'!$G$612</f>
        <v>0</v>
      </c>
      <c r="H611" s="68">
        <f>'Vật liệu'!$W$450</f>
        <v>19091</v>
      </c>
      <c r="I611" s="37">
        <v>1</v>
      </c>
      <c r="J611" s="166">
        <f>ROUND(G611*H611*I611,0)</f>
        <v>0</v>
      </c>
    </row>
    <row r="612" spans="1:10" x14ac:dyDescent="0.25">
      <c r="A612" s="56"/>
      <c r="B612" s="23"/>
      <c r="C612" s="88"/>
      <c r="D612" s="23"/>
      <c r="E612" s="23" t="s">
        <v>202</v>
      </c>
      <c r="F612" s="56"/>
      <c r="G612" s="88"/>
      <c r="H612" s="48"/>
      <c r="I612" s="90"/>
      <c r="J612" s="48">
        <f>ROUND(SUM(J613:J613),0)</f>
        <v>186120</v>
      </c>
    </row>
    <row r="613" spans="1:10" x14ac:dyDescent="0.25">
      <c r="A613" s="168"/>
      <c r="B613" s="144"/>
      <c r="C613" s="34">
        <v>555</v>
      </c>
      <c r="D613" s="144" t="str">
        <f>'Nhân công'!$B$185</f>
        <v>N0020</v>
      </c>
      <c r="E613" s="144" t="s">
        <v>625</v>
      </c>
      <c r="F613" s="168" t="str">
        <f>'Nhân công'!$G$185</f>
        <v>công</v>
      </c>
      <c r="G613" s="34">
        <f>'Hao phí vật tư'!$H$614</f>
        <v>0.72</v>
      </c>
      <c r="H613" s="68">
        <f>'Nhân công'!$M$185</f>
        <v>258500</v>
      </c>
      <c r="I613" s="37">
        <v>1</v>
      </c>
      <c r="J613" s="166">
        <f>ROUND(G613*H613*I613,0)</f>
        <v>186120</v>
      </c>
    </row>
    <row r="614" spans="1:10" x14ac:dyDescent="0.25">
      <c r="A614" s="56"/>
      <c r="B614" s="23"/>
      <c r="C614" s="88"/>
      <c r="D614" s="23"/>
      <c r="E614" s="23" t="s">
        <v>378</v>
      </c>
      <c r="F614" s="56"/>
      <c r="G614" s="88"/>
      <c r="H614" s="48"/>
      <c r="I614" s="90"/>
      <c r="J614" s="48">
        <f>ROUND(SUM(J615:J618),0)</f>
        <v>574150</v>
      </c>
    </row>
    <row r="615" spans="1:10" x14ac:dyDescent="0.25">
      <c r="A615" s="168"/>
      <c r="B615" s="144"/>
      <c r="C615" s="34">
        <v>714</v>
      </c>
      <c r="D615" s="144" t="str">
        <f>'Máy thi công'!$B$6</f>
        <v>M9438</v>
      </c>
      <c r="E615" s="144" t="str">
        <f>" - " &amp; 'Máy thi công'!$D$6</f>
        <v xml:space="preserve"> - Biến thế hàn xoay chiều - công suất: 23 kW</v>
      </c>
      <c r="F615" s="168" t="str">
        <f>'Máy thi công'!$E$6</f>
        <v>ca</v>
      </c>
      <c r="G615" s="34">
        <f>'Hao phí vật tư'!$I$616</f>
        <v>0.23</v>
      </c>
      <c r="H615" s="68">
        <f>'Máy thi công'!$N$6</f>
        <v>338020</v>
      </c>
      <c r="I615" s="37">
        <v>1</v>
      </c>
      <c r="J615" s="166">
        <f>ROUND(G615*H615*I615,0)</f>
        <v>77745</v>
      </c>
    </row>
    <row r="616" spans="1:10" x14ac:dyDescent="0.25">
      <c r="A616" s="168"/>
      <c r="B616" s="144"/>
      <c r="C616" s="34">
        <v>725</v>
      </c>
      <c r="D616" s="144" t="str">
        <f>'Máy thi công'!$B$113</f>
        <v>M9465</v>
      </c>
      <c r="E616" s="144" t="str">
        <f>" - " &amp; 'Máy thi công'!$D$113</f>
        <v xml:space="preserve"> - Cần trục bánh hơi - sức nâng: 16 t</v>
      </c>
      <c r="F616" s="168" t="str">
        <f>'Máy thi công'!$E$113</f>
        <v>ca</v>
      </c>
      <c r="G616" s="34">
        <f>'Hao phí vật tư'!$I$617</f>
        <v>0.111</v>
      </c>
      <c r="H616" s="68">
        <f>'Máy thi công'!$N$113</f>
        <v>1878687</v>
      </c>
      <c r="I616" s="37">
        <v>1</v>
      </c>
      <c r="J616" s="166">
        <f>ROUND(G616*H616*I616,0)</f>
        <v>208534</v>
      </c>
    </row>
    <row r="617" spans="1:10" ht="30" x14ac:dyDescent="0.25">
      <c r="A617" s="168"/>
      <c r="B617" s="144"/>
      <c r="C617" s="34">
        <v>715</v>
      </c>
      <c r="D617" s="144" t="str">
        <f>'Máy thi công'!$B$81</f>
        <v>M9439</v>
      </c>
      <c r="E617" s="144" t="str">
        <f>" - " &amp; 'Máy thi công'!$D$81</f>
        <v xml:space="preserve"> - Búa căn khí nén (chưa tính khí nén) - tiêu hao khí nén: 1,5 m3/ph</v>
      </c>
      <c r="F617" s="168" t="str">
        <f>'Máy thi công'!$E$81</f>
        <v>ca</v>
      </c>
      <c r="G617" s="34">
        <f>'Hao phí vật tư'!$I$618</f>
        <v>0.35</v>
      </c>
      <c r="H617" s="68">
        <f>'Máy thi công'!$N$81</f>
        <v>250903</v>
      </c>
      <c r="I617" s="37">
        <v>1</v>
      </c>
      <c r="J617" s="166">
        <f>ROUND(G617*H617*I617,0)</f>
        <v>87816</v>
      </c>
    </row>
    <row r="618" spans="1:10" x14ac:dyDescent="0.25">
      <c r="A618" s="168"/>
      <c r="B618" s="144"/>
      <c r="C618" s="34">
        <v>741</v>
      </c>
      <c r="D618" s="144" t="str">
        <f>'Máy thi công'!$B$297</f>
        <v>M9538</v>
      </c>
      <c r="E618" s="144" t="str">
        <f>" - " &amp; 'Máy thi công'!$D$297</f>
        <v xml:space="preserve"> - Máy nén khí, động cơ diezel - năng suất: 360 m3/h</v>
      </c>
      <c r="F618" s="168" t="str">
        <f>'Máy thi công'!$E$297</f>
        <v>ca</v>
      </c>
      <c r="G618" s="34">
        <f>'Hao phí vật tư'!$I$619</f>
        <v>0.18</v>
      </c>
      <c r="H618" s="68">
        <f>'Máy thi công'!$N$297</f>
        <v>1111419</v>
      </c>
      <c r="I618" s="37">
        <v>1</v>
      </c>
      <c r="J618" s="166">
        <f>ROUND(G618*H618*I618,0)</f>
        <v>200055</v>
      </c>
    </row>
    <row r="619" spans="1:10" ht="28.5" x14ac:dyDescent="0.25">
      <c r="A619" s="65">
        <f>'Công trình'!$A$79</f>
        <v>61</v>
      </c>
      <c r="B619" s="14" t="str">
        <f>'Công trình'!$B$79</f>
        <v>AG.11125</v>
      </c>
      <c r="C619" s="94"/>
      <c r="D619" s="31"/>
      <c r="E619" s="14" t="str">
        <f>'Công trình'!$C$79</f>
        <v>Sản xuất bê tông cọc cừ đúc sẵn đá 1x2, vữa BT mác 300</v>
      </c>
      <c r="F619" s="46" t="str">
        <f>'Công trình'!$D$79</f>
        <v>m3</v>
      </c>
      <c r="G619" s="94"/>
      <c r="H619" s="54"/>
      <c r="I619" s="98"/>
      <c r="J619" s="54"/>
    </row>
    <row r="620" spans="1:10" x14ac:dyDescent="0.25">
      <c r="A620" s="56"/>
      <c r="B620" s="23"/>
      <c r="C620" s="88"/>
      <c r="D620" s="23"/>
      <c r="E620" s="23" t="s">
        <v>479</v>
      </c>
      <c r="F620" s="56"/>
      <c r="G620" s="88"/>
      <c r="H620" s="48"/>
      <c r="I620" s="90"/>
      <c r="J620" s="48">
        <f>ROUND(SUM(J621:J625),0)</f>
        <v>1095938</v>
      </c>
    </row>
    <row r="621" spans="1:10" x14ac:dyDescent="0.25">
      <c r="A621" s="168"/>
      <c r="B621" s="144"/>
      <c r="C621" s="34">
        <v>397</v>
      </c>
      <c r="D621" s="144" t="str">
        <f>'Vật liệu'!$B$721</f>
        <v>V00761</v>
      </c>
      <c r="E621" s="144" t="str">
        <f>" - " &amp; 'Vật liệu'!$D$721</f>
        <v xml:space="preserve"> - Xi măng PC40</v>
      </c>
      <c r="F621" s="168" t="str">
        <f>'Vật liệu'!$E$721</f>
        <v>kg</v>
      </c>
      <c r="G621" s="34">
        <f>'Hao phí vật tư'!$G$622</f>
        <v>379.61</v>
      </c>
      <c r="H621" s="68">
        <f>'Vật liệu'!$W$721</f>
        <v>1513</v>
      </c>
      <c r="I621" s="37">
        <v>1</v>
      </c>
      <c r="J621" s="166">
        <f>ROUND(G621*H621*I621,0)</f>
        <v>574350</v>
      </c>
    </row>
    <row r="622" spans="1:10" x14ac:dyDescent="0.25">
      <c r="A622" s="168"/>
      <c r="B622" s="144"/>
      <c r="C622" s="34">
        <v>125</v>
      </c>
      <c r="D622" s="144" t="str">
        <f>'Vật liệu'!$B$54</f>
        <v>V00112</v>
      </c>
      <c r="E622" s="144" t="str">
        <f>" - " &amp; 'Vật liệu'!$D$54</f>
        <v xml:space="preserve"> - Cát vàng</v>
      </c>
      <c r="F622" s="168" t="str">
        <f>'Vật liệu'!$E$54</f>
        <v>m3</v>
      </c>
      <c r="G622" s="34">
        <f>'Hao phí vật tư'!$G$623</f>
        <v>0.46389999999999998</v>
      </c>
      <c r="H622" s="68">
        <f>'Vật liệu'!$W$54</f>
        <v>420000</v>
      </c>
      <c r="I622" s="37">
        <v>1</v>
      </c>
      <c r="J622" s="166">
        <f>ROUND(G622*H622*I622,0)</f>
        <v>194838</v>
      </c>
    </row>
    <row r="623" spans="1:10" x14ac:dyDescent="0.25">
      <c r="A623" s="168"/>
      <c r="B623" s="144"/>
      <c r="C623" s="34">
        <v>416</v>
      </c>
      <c r="D623" s="144" t="str">
        <f>'Vật liệu'!$B$142</f>
        <v>V05207</v>
      </c>
      <c r="E623" s="144" t="str">
        <f>" - " &amp; 'Vật liệu'!$D$142</f>
        <v xml:space="preserve"> - Đá 1x2</v>
      </c>
      <c r="F623" s="168" t="str">
        <f>'Vật liệu'!$E$142</f>
        <v>m3</v>
      </c>
      <c r="G623" s="34">
        <f>'Hao phí vật tư'!$G$624</f>
        <v>0.8851</v>
      </c>
      <c r="H623" s="68">
        <f>'Vật liệu'!$W$142</f>
        <v>360886</v>
      </c>
      <c r="I623" s="37">
        <v>1</v>
      </c>
      <c r="J623" s="166">
        <f>ROUND(G623*H623*I623,0)</f>
        <v>319420</v>
      </c>
    </row>
    <row r="624" spans="1:10" x14ac:dyDescent="0.25">
      <c r="A624" s="168"/>
      <c r="B624" s="144"/>
      <c r="C624" s="34">
        <v>148</v>
      </c>
      <c r="D624" s="144" t="str">
        <f>'Vật liệu'!$B$353</f>
        <v>V00494</v>
      </c>
      <c r="E624" s="144" t="str">
        <f>" - " &amp; 'Vật liệu'!$D$353</f>
        <v xml:space="preserve"> - Nước</v>
      </c>
      <c r="F624" s="168" t="str">
        <f>'Vật liệu'!$E$353</f>
        <v>lít</v>
      </c>
      <c r="G624" s="34">
        <f>'Hao phí vật tư'!$G$625</f>
        <v>187.77500000000001</v>
      </c>
      <c r="H624" s="68">
        <f>'Vật liệu'!$W$353</f>
        <v>10</v>
      </c>
      <c r="I624" s="37">
        <v>1</v>
      </c>
      <c r="J624" s="166">
        <f>ROUND(G624*H624*I624,0)</f>
        <v>1878</v>
      </c>
    </row>
    <row r="625" spans="1:10" x14ac:dyDescent="0.25">
      <c r="A625" s="168"/>
      <c r="B625" s="144"/>
      <c r="C625" s="34">
        <v>217</v>
      </c>
      <c r="D625" s="144" t="str">
        <f>'Vật liệu'!$B$766</f>
        <v>V00750</v>
      </c>
      <c r="E625" s="144" t="str">
        <f>" - " &amp; 'Vật liệu'!$D$766</f>
        <v xml:space="preserve"> - Vật liệu khác</v>
      </c>
      <c r="F625" s="168" t="str">
        <f>'Vật liệu'!$E$766</f>
        <v>%</v>
      </c>
      <c r="G625" s="34">
        <f>'Hao phí vật tư'!$G$626</f>
        <v>0.5</v>
      </c>
      <c r="H625" s="166">
        <f>'Vật liệu'!$W$766</f>
        <v>0</v>
      </c>
      <c r="I625" s="37">
        <v>1</v>
      </c>
      <c r="J625" s="166">
        <f>ROUND((J621+J622+J623+J624)*G625*I625/100,0)</f>
        <v>5452</v>
      </c>
    </row>
    <row r="626" spans="1:10" x14ac:dyDescent="0.25">
      <c r="A626" s="56"/>
      <c r="B626" s="23"/>
      <c r="C626" s="88"/>
      <c r="D626" s="23"/>
      <c r="E626" s="23" t="s">
        <v>202</v>
      </c>
      <c r="F626" s="56"/>
      <c r="G626" s="88"/>
      <c r="H626" s="48"/>
      <c r="I626" s="90"/>
      <c r="J626" s="48">
        <f>ROUND(SUM(J627:J627),0)</f>
        <v>732116</v>
      </c>
    </row>
    <row r="627" spans="1:10" x14ac:dyDescent="0.25">
      <c r="A627" s="168"/>
      <c r="B627" s="144"/>
      <c r="C627" s="34">
        <v>545</v>
      </c>
      <c r="D627" s="144" t="str">
        <f>'Nhân công'!$B$6</f>
        <v>N0006</v>
      </c>
      <c r="E627" s="144" t="s">
        <v>256</v>
      </c>
      <c r="F627" s="168" t="str">
        <f>'Nhân công'!$G$6</f>
        <v>công</v>
      </c>
      <c r="G627" s="34">
        <f>'Hao phí vật tư'!$H$628</f>
        <v>3.75</v>
      </c>
      <c r="H627" s="68">
        <f>'Nhân công'!$M$6</f>
        <v>195231</v>
      </c>
      <c r="I627" s="37">
        <v>1</v>
      </c>
      <c r="J627" s="166">
        <f>ROUND(G627*H627*I627,0)</f>
        <v>732116</v>
      </c>
    </row>
    <row r="628" spans="1:10" x14ac:dyDescent="0.25">
      <c r="A628" s="56"/>
      <c r="B628" s="23"/>
      <c r="C628" s="88"/>
      <c r="D628" s="23"/>
      <c r="E628" s="23" t="s">
        <v>378</v>
      </c>
      <c r="F628" s="56"/>
      <c r="G628" s="88"/>
      <c r="H628" s="48"/>
      <c r="I628" s="90"/>
      <c r="J628" s="48">
        <f>ROUND(SUM(J629:J631),0)</f>
        <v>59943</v>
      </c>
    </row>
    <row r="629" spans="1:10" x14ac:dyDescent="0.25">
      <c r="A629" s="168"/>
      <c r="B629" s="144"/>
      <c r="C629" s="34">
        <v>750</v>
      </c>
      <c r="D629" s="144" t="str">
        <f>'Máy thi công'!$B$232</f>
        <v>M9571</v>
      </c>
      <c r="E629" s="144" t="str">
        <f>" - " &amp; 'Máy thi công'!$D$232</f>
        <v xml:space="preserve"> - Máy đầm bê tông, dầm dùi - công suất: 1,5 kW</v>
      </c>
      <c r="F629" s="168" t="str">
        <f>'Máy thi công'!$E$232</f>
        <v>ca</v>
      </c>
      <c r="G629" s="34">
        <f>'Hao phí vật tư'!$I$630</f>
        <v>0.12</v>
      </c>
      <c r="H629" s="68">
        <f>'Máy thi công'!$N$232</f>
        <v>225765</v>
      </c>
      <c r="I629" s="37">
        <v>1</v>
      </c>
      <c r="J629" s="166">
        <f>ROUND(G629*H629*I629,0)</f>
        <v>27092</v>
      </c>
    </row>
    <row r="630" spans="1:10" x14ac:dyDescent="0.25">
      <c r="A630" s="168"/>
      <c r="B630" s="144"/>
      <c r="C630" s="34">
        <v>744</v>
      </c>
      <c r="D630" s="144" t="str">
        <f>'Máy thi công'!$B$306</f>
        <v>M9555</v>
      </c>
      <c r="E630" s="144" t="str">
        <f>" - " &amp; 'Máy thi công'!$D$306</f>
        <v xml:space="preserve"> - Máy trộn bê tông - dung tích: 250 lít</v>
      </c>
      <c r="F630" s="168" t="str">
        <f>'Máy thi công'!$E$306</f>
        <v>ca</v>
      </c>
      <c r="G630" s="34">
        <f>'Hao phí vật tư'!$I$631</f>
        <v>9.5000000000000001E-2</v>
      </c>
      <c r="H630" s="68">
        <f>'Máy thi công'!$N$306</f>
        <v>288447</v>
      </c>
      <c r="I630" s="37">
        <v>1</v>
      </c>
      <c r="J630" s="166">
        <f>ROUND(G630*H630*I630,0)</f>
        <v>27402</v>
      </c>
    </row>
    <row r="631" spans="1:10" x14ac:dyDescent="0.25">
      <c r="A631" s="168"/>
      <c r="B631" s="144"/>
      <c r="C631" s="34">
        <v>580</v>
      </c>
      <c r="D631" s="144" t="str">
        <f>'Máy thi công'!$B$398</f>
        <v>M0111</v>
      </c>
      <c r="E631" s="144" t="str">
        <f>" - " &amp; 'Máy thi công'!$D$398</f>
        <v xml:space="preserve"> - Máy khác</v>
      </c>
      <c r="F631" s="168" t="str">
        <f>'Máy thi công'!$E$398</f>
        <v>%</v>
      </c>
      <c r="G631" s="34">
        <f>'Hao phí vật tư'!$I$632</f>
        <v>10</v>
      </c>
      <c r="H631" s="166">
        <f>'Máy thi công'!$N$398</f>
        <v>0</v>
      </c>
      <c r="I631" s="37">
        <v>1</v>
      </c>
      <c r="J631" s="166">
        <f>ROUND((J629+J630)*G631*I631/100,0)</f>
        <v>5449</v>
      </c>
    </row>
    <row r="632" spans="1:10" ht="28.5" x14ac:dyDescent="0.25">
      <c r="A632" s="65">
        <f>'Công trình'!$A$80</f>
        <v>62</v>
      </c>
      <c r="B632" s="14" t="str">
        <f>'Công trình'!$B$80</f>
        <v>AG.13111</v>
      </c>
      <c r="C632" s="94"/>
      <c r="D632" s="31"/>
      <c r="E632" s="14" t="str">
        <f>'Công trình'!$C$80</f>
        <v>Sản xuất, lắp dựng cốt thép BT đúc sẵn cọc, đường kính &lt;=10mm</v>
      </c>
      <c r="F632" s="46" t="str">
        <f>'Công trình'!$D$80</f>
        <v>tấn</v>
      </c>
      <c r="G632" s="94"/>
      <c r="H632" s="54"/>
      <c r="I632" s="98"/>
      <c r="J632" s="54"/>
    </row>
    <row r="633" spans="1:10" x14ac:dyDescent="0.25">
      <c r="A633" s="56"/>
      <c r="B633" s="23"/>
      <c r="C633" s="88"/>
      <c r="D633" s="23"/>
      <c r="E633" s="23" t="s">
        <v>479</v>
      </c>
      <c r="F633" s="56"/>
      <c r="G633" s="88"/>
      <c r="H633" s="48"/>
      <c r="I633" s="90"/>
      <c r="J633" s="48">
        <f>ROUND(SUM(J634:J635),0)</f>
        <v>14603640</v>
      </c>
    </row>
    <row r="634" spans="1:10" x14ac:dyDescent="0.25">
      <c r="A634" s="168"/>
      <c r="B634" s="144"/>
      <c r="C634" s="34">
        <v>135</v>
      </c>
      <c r="D634" s="144" t="str">
        <f>'Vật liệu'!$B$221</f>
        <v>V00226</v>
      </c>
      <c r="E634" s="144" t="str">
        <f>" - " &amp; 'Vật liệu'!$D$221</f>
        <v xml:space="preserve"> - Dây thép</v>
      </c>
      <c r="F634" s="168" t="str">
        <f>'Vật liệu'!$E$221</f>
        <v>kg</v>
      </c>
      <c r="G634" s="34">
        <f>'Hao phí vật tư'!$G$635</f>
        <v>21.42</v>
      </c>
      <c r="H634" s="68">
        <f>'Vật liệu'!$W$221</f>
        <v>17500</v>
      </c>
      <c r="I634" s="37">
        <v>1</v>
      </c>
      <c r="J634" s="166">
        <f>ROUND(G634*H634*I634,0)</f>
        <v>374850</v>
      </c>
    </row>
    <row r="635" spans="1:10" x14ac:dyDescent="0.25">
      <c r="A635" s="168"/>
      <c r="B635" s="144"/>
      <c r="C635" s="34">
        <v>484</v>
      </c>
      <c r="D635" s="144" t="str">
        <f>'Vật liệu'!$B$650</f>
        <v>V48494</v>
      </c>
      <c r="E635" s="144" t="str">
        <f>" - " &amp; 'Vật liệu'!$D$650</f>
        <v xml:space="preserve"> - Thép tròn đường kính &lt;=10 mm</v>
      </c>
      <c r="F635" s="168" t="str">
        <f>'Vật liệu'!$E$650</f>
        <v>kg</v>
      </c>
      <c r="G635" s="34">
        <f>'Hao phí vật tư'!$G$636</f>
        <v>1005</v>
      </c>
      <c r="H635" s="68">
        <f>'Vật liệu'!$W$650</f>
        <v>14158</v>
      </c>
      <c r="I635" s="37">
        <v>1</v>
      </c>
      <c r="J635" s="166">
        <f>ROUND(G635*H635*I635,0)</f>
        <v>14228790</v>
      </c>
    </row>
    <row r="636" spans="1:10" x14ac:dyDescent="0.25">
      <c r="A636" s="56"/>
      <c r="B636" s="23"/>
      <c r="C636" s="88"/>
      <c r="D636" s="23"/>
      <c r="E636" s="23" t="s">
        <v>202</v>
      </c>
      <c r="F636" s="56"/>
      <c r="G636" s="88"/>
      <c r="H636" s="48"/>
      <c r="I636" s="90"/>
      <c r="J636" s="48">
        <f>ROUND(SUM(J637:J637),0)</f>
        <v>3033198</v>
      </c>
    </row>
    <row r="637" spans="1:10" x14ac:dyDescent="0.25">
      <c r="A637" s="168"/>
      <c r="B637" s="144"/>
      <c r="C637" s="34">
        <v>546</v>
      </c>
      <c r="D637" s="144" t="str">
        <f>'Nhân công'!$B$45</f>
        <v>N0009</v>
      </c>
      <c r="E637" s="144" t="s">
        <v>1052</v>
      </c>
      <c r="F637" s="168" t="str">
        <f>'Nhân công'!$G$45</f>
        <v>công</v>
      </c>
      <c r="G637" s="34">
        <f>'Hao phí vật tư'!$H$638</f>
        <v>14.25</v>
      </c>
      <c r="H637" s="68">
        <f>'Nhân công'!$M$45</f>
        <v>212856</v>
      </c>
      <c r="I637" s="37">
        <v>1</v>
      </c>
      <c r="J637" s="166">
        <f>ROUND(G637*H637*I637,0)</f>
        <v>3033198</v>
      </c>
    </row>
    <row r="638" spans="1:10" x14ac:dyDescent="0.25">
      <c r="A638" s="56"/>
      <c r="B638" s="23"/>
      <c r="C638" s="88"/>
      <c r="D638" s="23"/>
      <c r="E638" s="23" t="s">
        <v>378</v>
      </c>
      <c r="F638" s="56"/>
      <c r="G638" s="88"/>
      <c r="H638" s="48"/>
      <c r="I638" s="90"/>
      <c r="J638" s="48">
        <f>ROUND(SUM(J639:J639),0)</f>
        <v>91218</v>
      </c>
    </row>
    <row r="639" spans="1:10" x14ac:dyDescent="0.25">
      <c r="A639" s="168"/>
      <c r="B639" s="144"/>
      <c r="C639" s="34">
        <v>737</v>
      </c>
      <c r="D639" s="144" t="str">
        <f>'Máy thi công'!$B$184</f>
        <v>M9521</v>
      </c>
      <c r="E639" s="144" t="str">
        <f>" - " &amp; 'Máy thi công'!$D$184</f>
        <v xml:space="preserve"> - Máy cắt uốn cốt thép - công suất: 5 kW</v>
      </c>
      <c r="F639" s="168" t="str">
        <f>'Máy thi công'!$E$184</f>
        <v>ca</v>
      </c>
      <c r="G639" s="34">
        <f>'Hao phí vật tư'!$I$640</f>
        <v>0.4</v>
      </c>
      <c r="H639" s="68">
        <f>'Máy thi công'!$N$184</f>
        <v>228044</v>
      </c>
      <c r="I639" s="37">
        <v>1</v>
      </c>
      <c r="J639" s="166">
        <f>ROUND(G639*H639*I639,0)</f>
        <v>91218</v>
      </c>
    </row>
    <row r="640" spans="1:10" ht="28.5" x14ac:dyDescent="0.25">
      <c r="A640" s="65">
        <f>'Công trình'!$A$81</f>
        <v>63</v>
      </c>
      <c r="B640" s="14" t="str">
        <f>'Công trình'!$B$81</f>
        <v>AG.13121</v>
      </c>
      <c r="C640" s="94"/>
      <c r="D640" s="31"/>
      <c r="E640" s="14" t="str">
        <f>'Công trình'!$C$81</f>
        <v>Sản xuất, lắp dựng cốt thép BT đúc sẵn cọc, đường kính &lt;=18mm</v>
      </c>
      <c r="F640" s="46" t="str">
        <f>'Công trình'!$D$81</f>
        <v>tấn</v>
      </c>
      <c r="G640" s="94"/>
      <c r="H640" s="54"/>
      <c r="I640" s="98"/>
      <c r="J640" s="54"/>
    </row>
    <row r="641" spans="1:10" x14ac:dyDescent="0.25">
      <c r="A641" s="56"/>
      <c r="B641" s="23"/>
      <c r="C641" s="88"/>
      <c r="D641" s="23"/>
      <c r="E641" s="23" t="s">
        <v>479</v>
      </c>
      <c r="F641" s="56"/>
      <c r="G641" s="88"/>
      <c r="H641" s="48"/>
      <c r="I641" s="90"/>
      <c r="J641" s="48">
        <f>ROUND(SUM(J642:J644),0)</f>
        <v>14678788</v>
      </c>
    </row>
    <row r="642" spans="1:10" x14ac:dyDescent="0.25">
      <c r="A642" s="168"/>
      <c r="B642" s="144"/>
      <c r="C642" s="34">
        <v>154</v>
      </c>
      <c r="D642" s="144" t="str">
        <f>'Vật liệu'!$B$450</f>
        <v>V00515</v>
      </c>
      <c r="E642" s="144" t="str">
        <f>" - " &amp; 'Vật liệu'!$D$450</f>
        <v xml:space="preserve"> - Que hàn</v>
      </c>
      <c r="F642" s="168" t="str">
        <f>'Vật liệu'!$E$450</f>
        <v>kg</v>
      </c>
      <c r="G642" s="34">
        <f>'Hao phí vật tư'!$G$643</f>
        <v>4.7</v>
      </c>
      <c r="H642" s="68">
        <f>'Vật liệu'!$W$450</f>
        <v>19091</v>
      </c>
      <c r="I642" s="37">
        <v>1</v>
      </c>
      <c r="J642" s="166">
        <f>ROUND(G642*H642*I642,0)</f>
        <v>89728</v>
      </c>
    </row>
    <row r="643" spans="1:10" x14ac:dyDescent="0.25">
      <c r="A643" s="168"/>
      <c r="B643" s="144"/>
      <c r="C643" s="34">
        <v>135</v>
      </c>
      <c r="D643" s="144" t="str">
        <f>'Vật liệu'!$B$221</f>
        <v>V00226</v>
      </c>
      <c r="E643" s="144" t="str">
        <f>" - " &amp; 'Vật liệu'!$D$221</f>
        <v xml:space="preserve"> - Dây thép</v>
      </c>
      <c r="F643" s="168" t="str">
        <f>'Vật liệu'!$E$221</f>
        <v>kg</v>
      </c>
      <c r="G643" s="34">
        <f>'Hao phí vật tư'!$G$644</f>
        <v>14.28</v>
      </c>
      <c r="H643" s="68">
        <f>'Vật liệu'!$W$221</f>
        <v>17500</v>
      </c>
      <c r="I643" s="37">
        <v>1</v>
      </c>
      <c r="J643" s="166">
        <f>ROUND(G643*H643*I643,0)</f>
        <v>249900</v>
      </c>
    </row>
    <row r="644" spans="1:10" x14ac:dyDescent="0.25">
      <c r="A644" s="168"/>
      <c r="B644" s="144"/>
      <c r="C644" s="34">
        <v>485</v>
      </c>
      <c r="D644" s="144" t="str">
        <f>'Vật liệu'!$B$665</f>
        <v>V48495</v>
      </c>
      <c r="E644" s="144" t="str">
        <f>" - " &amp; 'Vật liệu'!$D$665</f>
        <v xml:space="preserve"> - Thép tròn đường kính &lt;=18mm</v>
      </c>
      <c r="F644" s="168" t="str">
        <f>'Vật liệu'!$E$665</f>
        <v>kg</v>
      </c>
      <c r="G644" s="34">
        <f>'Hao phí vật tư'!$G$645</f>
        <v>1020</v>
      </c>
      <c r="H644" s="68">
        <f>'Vật liệu'!$W$665</f>
        <v>14058</v>
      </c>
      <c r="I644" s="37">
        <v>1</v>
      </c>
      <c r="J644" s="166">
        <f>ROUND(G644*H644*I644,0)</f>
        <v>14339160</v>
      </c>
    </row>
    <row r="645" spans="1:10" x14ac:dyDescent="0.25">
      <c r="A645" s="56"/>
      <c r="B645" s="23"/>
      <c r="C645" s="88"/>
      <c r="D645" s="23"/>
      <c r="E645" s="23" t="s">
        <v>202</v>
      </c>
      <c r="F645" s="56"/>
      <c r="G645" s="88"/>
      <c r="H645" s="48"/>
      <c r="I645" s="90"/>
      <c r="J645" s="48">
        <f>ROUND(SUM(J646:J646),0)</f>
        <v>1664534</v>
      </c>
    </row>
    <row r="646" spans="1:10" x14ac:dyDescent="0.25">
      <c r="A646" s="168"/>
      <c r="B646" s="144"/>
      <c r="C646" s="34">
        <v>546</v>
      </c>
      <c r="D646" s="144" t="str">
        <f>'Nhân công'!$B$45</f>
        <v>N0009</v>
      </c>
      <c r="E646" s="144" t="s">
        <v>1052</v>
      </c>
      <c r="F646" s="168" t="str">
        <f>'Nhân công'!$G$45</f>
        <v>công</v>
      </c>
      <c r="G646" s="34">
        <f>'Hao phí vật tư'!$H$647</f>
        <v>7.82</v>
      </c>
      <c r="H646" s="68">
        <f>'Nhân công'!$M$45</f>
        <v>212856</v>
      </c>
      <c r="I646" s="37">
        <v>1</v>
      </c>
      <c r="J646" s="166">
        <f>ROUND(G646*H646*I646,0)</f>
        <v>1664534</v>
      </c>
    </row>
    <row r="647" spans="1:10" x14ac:dyDescent="0.25">
      <c r="A647" s="56"/>
      <c r="B647" s="23"/>
      <c r="C647" s="88"/>
      <c r="D647" s="23"/>
      <c r="E647" s="23" t="s">
        <v>378</v>
      </c>
      <c r="F647" s="56"/>
      <c r="G647" s="88"/>
      <c r="H647" s="48"/>
      <c r="I647" s="90"/>
      <c r="J647" s="48">
        <f>ROUND(SUM(J648:J649),0)</f>
        <v>455951</v>
      </c>
    </row>
    <row r="648" spans="1:10" x14ac:dyDescent="0.25">
      <c r="A648" s="168"/>
      <c r="B648" s="144"/>
      <c r="C648" s="34">
        <v>737</v>
      </c>
      <c r="D648" s="144" t="str">
        <f>'Máy thi công'!$B$184</f>
        <v>M9521</v>
      </c>
      <c r="E648" s="144" t="str">
        <f>" - " &amp; 'Máy thi công'!$D$184</f>
        <v xml:space="preserve"> - Máy cắt uốn cốt thép - công suất: 5 kW</v>
      </c>
      <c r="F648" s="168" t="str">
        <f>'Máy thi công'!$E$184</f>
        <v>ca</v>
      </c>
      <c r="G648" s="34">
        <f>'Hao phí vật tư'!$I$649</f>
        <v>0.32</v>
      </c>
      <c r="H648" s="68">
        <f>'Máy thi công'!$N$184</f>
        <v>228044</v>
      </c>
      <c r="I648" s="37">
        <v>1</v>
      </c>
      <c r="J648" s="166">
        <f>ROUND(G648*H648*I648,0)</f>
        <v>72974</v>
      </c>
    </row>
    <row r="649" spans="1:10" x14ac:dyDescent="0.25">
      <c r="A649" s="168"/>
      <c r="B649" s="144"/>
      <c r="C649" s="34">
        <v>714</v>
      </c>
      <c r="D649" s="144" t="str">
        <f>'Máy thi công'!$B$6</f>
        <v>M9438</v>
      </c>
      <c r="E649" s="144" t="str">
        <f>" - " &amp; 'Máy thi công'!$D$6</f>
        <v xml:space="preserve"> - Biến thế hàn xoay chiều - công suất: 23 kW</v>
      </c>
      <c r="F649" s="168" t="str">
        <f>'Máy thi công'!$E$6</f>
        <v>ca</v>
      </c>
      <c r="G649" s="34">
        <f>'Hao phí vật tư'!$I$650</f>
        <v>1.133</v>
      </c>
      <c r="H649" s="68">
        <f>'Máy thi công'!$N$6</f>
        <v>338020</v>
      </c>
      <c r="I649" s="37">
        <v>1</v>
      </c>
      <c r="J649" s="166">
        <f>ROUND(G649*H649*I649,0)</f>
        <v>382977</v>
      </c>
    </row>
    <row r="650" spans="1:10" ht="28.5" x14ac:dyDescent="0.25">
      <c r="A650" s="65">
        <f>'Công trình'!$A$82</f>
        <v>64</v>
      </c>
      <c r="B650" s="14" t="str">
        <f>'Công trình'!$B$82</f>
        <v>AG.13131</v>
      </c>
      <c r="C650" s="94"/>
      <c r="D650" s="31"/>
      <c r="E650" s="14" t="str">
        <f>'Công trình'!$C$82</f>
        <v>Sản xuất, lắp dựng cốt thép BT đúc sẵn cọc, đường kính &gt;18mm</v>
      </c>
      <c r="F650" s="46" t="str">
        <f>'Công trình'!$D$82</f>
        <v>tấn</v>
      </c>
      <c r="G650" s="94"/>
      <c r="H650" s="54"/>
      <c r="I650" s="98"/>
      <c r="J650" s="54"/>
    </row>
    <row r="651" spans="1:10" x14ac:dyDescent="0.25">
      <c r="A651" s="56"/>
      <c r="B651" s="23"/>
      <c r="C651" s="88"/>
      <c r="D651" s="23"/>
      <c r="E651" s="23" t="s">
        <v>479</v>
      </c>
      <c r="F651" s="56"/>
      <c r="G651" s="88"/>
      <c r="H651" s="48"/>
      <c r="I651" s="90"/>
      <c r="J651" s="48">
        <f>ROUND(SUM(J652:J654),0)</f>
        <v>14678788</v>
      </c>
    </row>
    <row r="652" spans="1:10" x14ac:dyDescent="0.25">
      <c r="A652" s="168"/>
      <c r="B652" s="144"/>
      <c r="C652" s="34">
        <v>154</v>
      </c>
      <c r="D652" s="144" t="str">
        <f>'Vật liệu'!$B$450</f>
        <v>V00515</v>
      </c>
      <c r="E652" s="144" t="str">
        <f>" - " &amp; 'Vật liệu'!$D$450</f>
        <v xml:space="preserve"> - Que hàn</v>
      </c>
      <c r="F652" s="168" t="str">
        <f>'Vật liệu'!$E$450</f>
        <v>kg</v>
      </c>
      <c r="G652" s="34">
        <f>'Hao phí vật tư'!$G$653</f>
        <v>4.7</v>
      </c>
      <c r="H652" s="68">
        <f>'Vật liệu'!$W$450</f>
        <v>19091</v>
      </c>
      <c r="I652" s="37">
        <v>1</v>
      </c>
      <c r="J652" s="166">
        <f>ROUND(G652*H652*I652,0)</f>
        <v>89728</v>
      </c>
    </row>
    <row r="653" spans="1:10" x14ac:dyDescent="0.25">
      <c r="A653" s="168"/>
      <c r="B653" s="144"/>
      <c r="C653" s="34">
        <v>135</v>
      </c>
      <c r="D653" s="144" t="str">
        <f>'Vật liệu'!$B$221</f>
        <v>V00226</v>
      </c>
      <c r="E653" s="144" t="str">
        <f>" - " &amp; 'Vật liệu'!$D$221</f>
        <v xml:space="preserve"> - Dây thép</v>
      </c>
      <c r="F653" s="168" t="str">
        <f>'Vật liệu'!$E$221</f>
        <v>kg</v>
      </c>
      <c r="G653" s="34">
        <f>'Hao phí vật tư'!$G$654</f>
        <v>14.28</v>
      </c>
      <c r="H653" s="68">
        <f>'Vật liệu'!$W$221</f>
        <v>17500</v>
      </c>
      <c r="I653" s="37">
        <v>1</v>
      </c>
      <c r="J653" s="166">
        <f>ROUND(G653*H653*I653,0)</f>
        <v>249900</v>
      </c>
    </row>
    <row r="654" spans="1:10" x14ac:dyDescent="0.25">
      <c r="A654" s="168"/>
      <c r="B654" s="144"/>
      <c r="C654" s="34">
        <v>488</v>
      </c>
      <c r="D654" s="144" t="str">
        <f>'Vật liệu'!$B$689</f>
        <v>V48498</v>
      </c>
      <c r="E654" s="144" t="str">
        <f>" - " &amp; 'Vật liệu'!$D$689</f>
        <v xml:space="preserve"> - Thép tròn đường kính &gt;18mm</v>
      </c>
      <c r="F654" s="168" t="str">
        <f>'Vật liệu'!$E$689</f>
        <v>kg</v>
      </c>
      <c r="G654" s="34">
        <f>'Hao phí vật tư'!$G$655</f>
        <v>1020</v>
      </c>
      <c r="H654" s="68">
        <f>'Vật liệu'!$W$689</f>
        <v>14058</v>
      </c>
      <c r="I654" s="37">
        <v>1</v>
      </c>
      <c r="J654" s="166">
        <f>ROUND(G654*H654*I654,0)</f>
        <v>14339160</v>
      </c>
    </row>
    <row r="655" spans="1:10" x14ac:dyDescent="0.25">
      <c r="A655" s="56"/>
      <c r="B655" s="23"/>
      <c r="C655" s="88"/>
      <c r="D655" s="23"/>
      <c r="E655" s="23" t="s">
        <v>202</v>
      </c>
      <c r="F655" s="56"/>
      <c r="G655" s="88"/>
      <c r="H655" s="48"/>
      <c r="I655" s="90"/>
      <c r="J655" s="48">
        <f>ROUND(SUM(J656:J656),0)</f>
        <v>1594291</v>
      </c>
    </row>
    <row r="656" spans="1:10" x14ac:dyDescent="0.25">
      <c r="A656" s="168"/>
      <c r="B656" s="144"/>
      <c r="C656" s="34">
        <v>546</v>
      </c>
      <c r="D656" s="144" t="str">
        <f>'Nhân công'!$B$45</f>
        <v>N0009</v>
      </c>
      <c r="E656" s="144" t="s">
        <v>1052</v>
      </c>
      <c r="F656" s="168" t="str">
        <f>'Nhân công'!$G$45</f>
        <v>công</v>
      </c>
      <c r="G656" s="34">
        <f>'Hao phí vật tư'!$H$657</f>
        <v>7.49</v>
      </c>
      <c r="H656" s="68">
        <f>'Nhân công'!$M$45</f>
        <v>212856</v>
      </c>
      <c r="I656" s="37">
        <v>1</v>
      </c>
      <c r="J656" s="166">
        <f>ROUND(G656*H656*I656,0)</f>
        <v>1594291</v>
      </c>
    </row>
    <row r="657" spans="1:10" x14ac:dyDescent="0.25">
      <c r="A657" s="56"/>
      <c r="B657" s="23"/>
      <c r="C657" s="88"/>
      <c r="D657" s="23"/>
      <c r="E657" s="23" t="s">
        <v>378</v>
      </c>
      <c r="F657" s="56"/>
      <c r="G657" s="88"/>
      <c r="H657" s="48"/>
      <c r="I657" s="90"/>
      <c r="J657" s="48">
        <f>ROUND(SUM(J658:J659),0)</f>
        <v>405943</v>
      </c>
    </row>
    <row r="658" spans="1:10" x14ac:dyDescent="0.25">
      <c r="A658" s="168"/>
      <c r="B658" s="144"/>
      <c r="C658" s="34">
        <v>737</v>
      </c>
      <c r="D658" s="144" t="str">
        <f>'Máy thi công'!$B$184</f>
        <v>M9521</v>
      </c>
      <c r="E658" s="144" t="str">
        <f>" - " &amp; 'Máy thi công'!$D$184</f>
        <v xml:space="preserve"> - Máy cắt uốn cốt thép - công suất: 5 kW</v>
      </c>
      <c r="F658" s="168" t="str">
        <f>'Máy thi công'!$E$184</f>
        <v>ca</v>
      </c>
      <c r="G658" s="34">
        <f>'Hao phí vật tư'!$I$659</f>
        <v>0.16</v>
      </c>
      <c r="H658" s="68">
        <f>'Máy thi công'!$N$184</f>
        <v>228044</v>
      </c>
      <c r="I658" s="37">
        <v>1</v>
      </c>
      <c r="J658" s="166">
        <f>ROUND(G658*H658*I658,0)</f>
        <v>36487</v>
      </c>
    </row>
    <row r="659" spans="1:10" x14ac:dyDescent="0.25">
      <c r="A659" s="168"/>
      <c r="B659" s="144"/>
      <c r="C659" s="34">
        <v>714</v>
      </c>
      <c r="D659" s="144" t="str">
        <f>'Máy thi công'!$B$6</f>
        <v>M9438</v>
      </c>
      <c r="E659" s="144" t="str">
        <f>" - " &amp; 'Máy thi công'!$D$6</f>
        <v xml:space="preserve"> - Biến thế hàn xoay chiều - công suất: 23 kW</v>
      </c>
      <c r="F659" s="168" t="str">
        <f>'Máy thi công'!$E$6</f>
        <v>ca</v>
      </c>
      <c r="G659" s="34">
        <f>'Hao phí vật tư'!$I$660</f>
        <v>1.093</v>
      </c>
      <c r="H659" s="68">
        <f>'Máy thi công'!$N$6</f>
        <v>338020</v>
      </c>
      <c r="I659" s="37">
        <v>1</v>
      </c>
      <c r="J659" s="166">
        <f>ROUND(G659*H659*I659,0)</f>
        <v>369456</v>
      </c>
    </row>
    <row r="660" spans="1:10" ht="28.5" x14ac:dyDescent="0.25">
      <c r="A660" s="65">
        <f>'Công trình'!$A$83</f>
        <v>65</v>
      </c>
      <c r="B660" s="14" t="str">
        <f>'Công trình'!$B$83</f>
        <v>AI.13111</v>
      </c>
      <c r="C660" s="94"/>
      <c r="D660" s="31"/>
      <c r="E660" s="14" t="str">
        <f>'Công trình'!$C$83</f>
        <v>Sản xuất cấu kiện thép đặt sẵn trong bê tông, khối lượng &lt;=10kg/cấu kiện</v>
      </c>
      <c r="F660" s="46" t="str">
        <f>'Công trình'!$D$83</f>
        <v>tấn</v>
      </c>
      <c r="G660" s="94"/>
      <c r="H660" s="54"/>
      <c r="I660" s="98"/>
      <c r="J660" s="54"/>
    </row>
    <row r="661" spans="1:10" x14ac:dyDescent="0.25">
      <c r="A661" s="56"/>
      <c r="B661" s="23"/>
      <c r="C661" s="88"/>
      <c r="D661" s="23"/>
      <c r="E661" s="23" t="s">
        <v>479</v>
      </c>
      <c r="F661" s="56"/>
      <c r="G661" s="88"/>
      <c r="H661" s="48"/>
      <c r="I661" s="90"/>
      <c r="J661" s="48">
        <f>ROUND(SUM(J662:J668),0)</f>
        <v>15447317</v>
      </c>
    </row>
    <row r="662" spans="1:10" x14ac:dyDescent="0.25">
      <c r="A662" s="168"/>
      <c r="B662" s="144"/>
      <c r="C662" s="34">
        <v>407</v>
      </c>
      <c r="D662" s="144" t="str">
        <f>'Vật liệu'!$B$186</f>
        <v>V00824</v>
      </c>
      <c r="E662" s="144" t="str">
        <f>" - " &amp; 'Vật liệu'!$D$186</f>
        <v xml:space="preserve"> - Đá mài</v>
      </c>
      <c r="F662" s="168" t="str">
        <f>'Vật liệu'!$E$186</f>
        <v>viên</v>
      </c>
      <c r="G662" s="34">
        <f>'Hao phí vật tư'!$G$663</f>
        <v>0.7</v>
      </c>
      <c r="H662" s="68">
        <f>'Vật liệu'!$W$186</f>
        <v>13200</v>
      </c>
      <c r="I662" s="37">
        <v>1</v>
      </c>
      <c r="J662" s="166">
        <f t="shared" ref="J662:J667" si="7">ROUND(G662*H662*I662,0)</f>
        <v>9240</v>
      </c>
    </row>
    <row r="663" spans="1:10" x14ac:dyDescent="0.25">
      <c r="A663" s="168"/>
      <c r="B663" s="144"/>
      <c r="C663" s="34">
        <v>154</v>
      </c>
      <c r="D663" s="144" t="str">
        <f>'Vật liệu'!$B$450</f>
        <v>V00515</v>
      </c>
      <c r="E663" s="144" t="str">
        <f>" - " &amp; 'Vật liệu'!$D$450</f>
        <v xml:space="preserve"> - Que hàn</v>
      </c>
      <c r="F663" s="168" t="str">
        <f>'Vật liệu'!$E$450</f>
        <v>kg</v>
      </c>
      <c r="G663" s="34">
        <f>'Hao phí vật tư'!$G$664</f>
        <v>19.38</v>
      </c>
      <c r="H663" s="68">
        <f>'Vật liệu'!$W$450</f>
        <v>19091</v>
      </c>
      <c r="I663" s="37">
        <v>1</v>
      </c>
      <c r="J663" s="166">
        <f t="shared" si="7"/>
        <v>369984</v>
      </c>
    </row>
    <row r="664" spans="1:10" x14ac:dyDescent="0.25">
      <c r="A664" s="168"/>
      <c r="B664" s="144"/>
      <c r="C664" s="34">
        <v>411</v>
      </c>
      <c r="D664" s="144" t="str">
        <f>'Vật liệu'!$B$200</f>
        <v>V00833</v>
      </c>
      <c r="E664" s="144" t="str">
        <f>" - " &amp; 'Vật liệu'!$D$200</f>
        <v xml:space="preserve"> - Đất đèn</v>
      </c>
      <c r="F664" s="168" t="str">
        <f>'Vật liệu'!$E$200</f>
        <v>kg</v>
      </c>
      <c r="G664" s="34">
        <f>'Hao phí vật tư'!$G$665</f>
        <v>14.8</v>
      </c>
      <c r="H664" s="68">
        <f>'Vật liệu'!$W$200</f>
        <v>14000</v>
      </c>
      <c r="I664" s="37">
        <v>1</v>
      </c>
      <c r="J664" s="166">
        <f t="shared" si="7"/>
        <v>207200</v>
      </c>
    </row>
    <row r="665" spans="1:10" x14ac:dyDescent="0.25">
      <c r="A665" s="168"/>
      <c r="B665" s="144"/>
      <c r="C665" s="34">
        <v>166</v>
      </c>
      <c r="D665" s="144" t="str">
        <f>'Vật liệu'!$B$606</f>
        <v>V00671</v>
      </c>
      <c r="E665" s="144" t="str">
        <f>" - " &amp; 'Vật liệu'!$D$606</f>
        <v xml:space="preserve"> - Thép tấm</v>
      </c>
      <c r="F665" s="168" t="str">
        <f>'Vật liệu'!$E$606</f>
        <v>kg</v>
      </c>
      <c r="G665" s="34">
        <f>'Hao phí vật tư'!$G$666</f>
        <v>825</v>
      </c>
      <c r="H665" s="68">
        <f>'Vật liệu'!$W$606</f>
        <v>12574</v>
      </c>
      <c r="I665" s="37">
        <v>1</v>
      </c>
      <c r="J665" s="166">
        <f t="shared" si="7"/>
        <v>10373550</v>
      </c>
    </row>
    <row r="666" spans="1:10" x14ac:dyDescent="0.25">
      <c r="A666" s="168"/>
      <c r="B666" s="144"/>
      <c r="C666" s="34">
        <v>487</v>
      </c>
      <c r="D666" s="144" t="str">
        <f>'Vật liệu'!$B$684</f>
        <v>V48497</v>
      </c>
      <c r="E666" s="144" t="str">
        <f>" - " &amp; 'Vật liệu'!$D$684</f>
        <v xml:space="preserve"> - Thép tròn đường kính &gt;14</v>
      </c>
      <c r="F666" s="168" t="str">
        <f>'Vật liệu'!$E$684</f>
        <v>kg</v>
      </c>
      <c r="G666" s="34">
        <f>'Hao phí vật tư'!$G$667</f>
        <v>275.5</v>
      </c>
      <c r="H666" s="68">
        <f>'Vật liệu'!$W$684</f>
        <v>14058</v>
      </c>
      <c r="I666" s="37">
        <v>1</v>
      </c>
      <c r="J666" s="166">
        <f t="shared" si="7"/>
        <v>3872979</v>
      </c>
    </row>
    <row r="667" spans="1:10" x14ac:dyDescent="0.25">
      <c r="A667" s="168"/>
      <c r="B667" s="144"/>
      <c r="C667" s="34">
        <v>400</v>
      </c>
      <c r="D667" s="144" t="str">
        <f>'Vật liệu'!$B$401</f>
        <v>V00770</v>
      </c>
      <c r="E667" s="144" t="str">
        <f>" - " &amp; 'Vật liệu'!$D$401</f>
        <v xml:space="preserve"> - Ô xy</v>
      </c>
      <c r="F667" s="168" t="str">
        <f>'Vật liệu'!$E$401</f>
        <v>Chai</v>
      </c>
      <c r="G667" s="34">
        <f>'Hao phí vật tư'!$G$668</f>
        <v>3.3</v>
      </c>
      <c r="H667" s="68">
        <f>'Vật liệu'!$W$401</f>
        <v>72000</v>
      </c>
      <c r="I667" s="37">
        <v>1</v>
      </c>
      <c r="J667" s="166">
        <f t="shared" si="7"/>
        <v>237600</v>
      </c>
    </row>
    <row r="668" spans="1:10" x14ac:dyDescent="0.25">
      <c r="A668" s="168"/>
      <c r="B668" s="144"/>
      <c r="C668" s="34">
        <v>218</v>
      </c>
      <c r="D668" s="144" t="str">
        <f>'Vật liệu'!$B$766</f>
        <v>V00750</v>
      </c>
      <c r="E668" s="144" t="str">
        <f>" - " &amp; 'Vật liệu'!$D$766</f>
        <v xml:space="preserve"> - Vật liệu khác</v>
      </c>
      <c r="F668" s="168" t="str">
        <f>'Vật liệu'!$E$766</f>
        <v>%</v>
      </c>
      <c r="G668" s="34">
        <f>'Hao phí vật tư'!$G$669</f>
        <v>2.5</v>
      </c>
      <c r="H668" s="166">
        <f>'Vật liệu'!$W$766</f>
        <v>0</v>
      </c>
      <c r="I668" s="37">
        <v>1</v>
      </c>
      <c r="J668" s="166">
        <f>ROUND((J662+J663+J664+J665+J666+J667)*G668*I668/100,0)</f>
        <v>376764</v>
      </c>
    </row>
    <row r="669" spans="1:10" x14ac:dyDescent="0.25">
      <c r="A669" s="56"/>
      <c r="B669" s="23"/>
      <c r="C669" s="88"/>
      <c r="D669" s="23"/>
      <c r="E669" s="23" t="s">
        <v>202</v>
      </c>
      <c r="F669" s="56"/>
      <c r="G669" s="88"/>
      <c r="H669" s="48"/>
      <c r="I669" s="90"/>
      <c r="J669" s="48">
        <f>ROUND(SUM(J670:J670),0)</f>
        <v>8769288</v>
      </c>
    </row>
    <row r="670" spans="1:10" x14ac:dyDescent="0.25">
      <c r="A670" s="168"/>
      <c r="B670" s="144"/>
      <c r="C670" s="34">
        <v>553</v>
      </c>
      <c r="D670" s="144" t="str">
        <f>'Nhân công'!$B$221</f>
        <v>N0013</v>
      </c>
      <c r="E670" s="144" t="s">
        <v>275</v>
      </c>
      <c r="F670" s="168" t="str">
        <f>'Nhân công'!$G$221</f>
        <v>công</v>
      </c>
      <c r="G670" s="34">
        <f>'Hao phí vật tư'!$H$671</f>
        <v>34.9</v>
      </c>
      <c r="H670" s="68">
        <f>'Nhân công'!$M$221</f>
        <v>251269</v>
      </c>
      <c r="I670" s="37">
        <v>1</v>
      </c>
      <c r="J670" s="166">
        <f>ROUND(G670*H670*I670,0)</f>
        <v>8769288</v>
      </c>
    </row>
    <row r="671" spans="1:10" x14ac:dyDescent="0.25">
      <c r="A671" s="56"/>
      <c r="B671" s="23"/>
      <c r="C671" s="88"/>
      <c r="D671" s="23"/>
      <c r="E671" s="23" t="s">
        <v>378</v>
      </c>
      <c r="F671" s="56"/>
      <c r="G671" s="88"/>
      <c r="H671" s="48"/>
      <c r="I671" s="90"/>
      <c r="J671" s="48">
        <f>ROUND(SUM(J672:J675),0)</f>
        <v>1842565</v>
      </c>
    </row>
    <row r="672" spans="1:10" x14ac:dyDescent="0.25">
      <c r="A672" s="168"/>
      <c r="B672" s="144"/>
      <c r="C672" s="34">
        <v>701</v>
      </c>
      <c r="D672" s="144" t="str">
        <f>'Máy thi công'!$B$273</f>
        <v>M112.1501</v>
      </c>
      <c r="E672" s="144" t="str">
        <f>" - " &amp; 'Máy thi công'!$D$273</f>
        <v xml:space="preserve"> - Máy khoan đứng - công suất: 2,5 kW</v>
      </c>
      <c r="F672" s="168" t="str">
        <f>'Máy thi công'!$E$273</f>
        <v>ca</v>
      </c>
      <c r="G672" s="34">
        <f>'Hao phí vật tư'!$I$673</f>
        <v>1.55</v>
      </c>
      <c r="H672" s="68">
        <f>'Máy thi công'!$N$273</f>
        <v>247705</v>
      </c>
      <c r="I672" s="37">
        <v>1</v>
      </c>
      <c r="J672" s="166">
        <f>ROUND(G672*H672*I672,0)</f>
        <v>383943</v>
      </c>
    </row>
    <row r="673" spans="1:10" x14ac:dyDescent="0.25">
      <c r="A673" s="168"/>
      <c r="B673" s="144"/>
      <c r="C673" s="34">
        <v>714</v>
      </c>
      <c r="D673" s="144" t="str">
        <f>'Máy thi công'!$B$6</f>
        <v>M9438</v>
      </c>
      <c r="E673" s="144" t="str">
        <f>" - " &amp; 'Máy thi công'!$D$6</f>
        <v xml:space="preserve"> - Biến thế hàn xoay chiều - công suất: 23 kW</v>
      </c>
      <c r="F673" s="168" t="str">
        <f>'Máy thi công'!$E$6</f>
        <v>ca</v>
      </c>
      <c r="G673" s="34">
        <f>'Hao phí vật tư'!$I$674</f>
        <v>3.23</v>
      </c>
      <c r="H673" s="68">
        <f>'Máy thi công'!$N$6</f>
        <v>338020</v>
      </c>
      <c r="I673" s="37">
        <v>1</v>
      </c>
      <c r="J673" s="166">
        <f>ROUND(G673*H673*I673,0)</f>
        <v>1091805</v>
      </c>
    </row>
    <row r="674" spans="1:10" x14ac:dyDescent="0.25">
      <c r="A674" s="168"/>
      <c r="B674" s="144"/>
      <c r="C674" s="34">
        <v>705</v>
      </c>
      <c r="D674" s="144" t="str">
        <f>'Máy thi công'!$B$285</f>
        <v>M112.3702</v>
      </c>
      <c r="E674" s="144" t="str">
        <f>" - " &amp; 'Máy thi công'!$D$285</f>
        <v xml:space="preserve"> - Máy mài - công suất: 2,7 kW</v>
      </c>
      <c r="F674" s="168" t="str">
        <f>'Máy thi công'!$E$285</f>
        <v>ca</v>
      </c>
      <c r="G674" s="34">
        <f>'Hao phí vật tư'!$I$675</f>
        <v>1.55</v>
      </c>
      <c r="H674" s="68">
        <f>'Máy thi công'!$N$285</f>
        <v>213347</v>
      </c>
      <c r="I674" s="37">
        <v>1</v>
      </c>
      <c r="J674" s="166">
        <f>ROUND(G674*H674*I674,0)</f>
        <v>330688</v>
      </c>
    </row>
    <row r="675" spans="1:10" x14ac:dyDescent="0.25">
      <c r="A675" s="168"/>
      <c r="B675" s="144"/>
      <c r="C675" s="34">
        <v>581</v>
      </c>
      <c r="D675" s="144" t="str">
        <f>'Máy thi công'!$B$398</f>
        <v>M0111</v>
      </c>
      <c r="E675" s="144" t="str">
        <f>" - " &amp; 'Máy thi công'!$D$398</f>
        <v xml:space="preserve"> - Máy khác</v>
      </c>
      <c r="F675" s="168" t="str">
        <f>'Máy thi công'!$E$398</f>
        <v>%</v>
      </c>
      <c r="G675" s="34">
        <f>'Hao phí vật tư'!$I$676</f>
        <v>2</v>
      </c>
      <c r="H675" s="166">
        <f>'Máy thi công'!$N$398</f>
        <v>0</v>
      </c>
      <c r="I675" s="37">
        <v>1</v>
      </c>
      <c r="J675" s="166">
        <f>ROUND((J672+J673+J674)*G675*I675/100,0)</f>
        <v>36129</v>
      </c>
    </row>
    <row r="676" spans="1:10" ht="28.5" x14ac:dyDescent="0.25">
      <c r="A676" s="65">
        <f>'Công trình'!$A$84</f>
        <v>66</v>
      </c>
      <c r="B676" s="14" t="str">
        <f>'Công trình'!$B$84</f>
        <v>AG.32321</v>
      </c>
      <c r="C676" s="94"/>
      <c r="D676" s="31"/>
      <c r="E676" s="14" t="str">
        <f>'Công trình'!$C$84</f>
        <v>Sản xuất, lắp dựng, tháo dỡ ván khuôn thép bê tông đúc sẵn cọc</v>
      </c>
      <c r="F676" s="46" t="str">
        <f>'Công trình'!$D$84</f>
        <v>100m2</v>
      </c>
      <c r="G676" s="94"/>
      <c r="H676" s="54"/>
      <c r="I676" s="98"/>
      <c r="J676" s="54"/>
    </row>
    <row r="677" spans="1:10" x14ac:dyDescent="0.25">
      <c r="A677" s="56"/>
      <c r="B677" s="23"/>
      <c r="C677" s="88"/>
      <c r="D677" s="23"/>
      <c r="E677" s="23" t="s">
        <v>479</v>
      </c>
      <c r="F677" s="56"/>
      <c r="G677" s="88"/>
      <c r="H677" s="48"/>
      <c r="I677" s="90"/>
      <c r="J677" s="48">
        <f>ROUND(SUM(J678:J681),0)</f>
        <v>704451</v>
      </c>
    </row>
    <row r="678" spans="1:10" x14ac:dyDescent="0.25">
      <c r="A678" s="168"/>
      <c r="B678" s="144"/>
      <c r="C678" s="34">
        <v>154</v>
      </c>
      <c r="D678" s="144" t="str">
        <f>'Vật liệu'!$B$450</f>
        <v>V00515</v>
      </c>
      <c r="E678" s="144" t="str">
        <f>" - " &amp; 'Vật liệu'!$D$450</f>
        <v xml:space="preserve"> - Que hàn</v>
      </c>
      <c r="F678" s="168" t="str">
        <f>'Vật liệu'!$E$450</f>
        <v>kg</v>
      </c>
      <c r="G678" s="34">
        <f>'Hao phí vật tư'!$G$679</f>
        <v>1.22</v>
      </c>
      <c r="H678" s="68">
        <f>'Vật liệu'!$W$450</f>
        <v>19091</v>
      </c>
      <c r="I678" s="37">
        <v>1</v>
      </c>
      <c r="J678" s="166">
        <f>ROUND(G678*H678*I678,0)</f>
        <v>23291</v>
      </c>
    </row>
    <row r="679" spans="1:10" x14ac:dyDescent="0.25">
      <c r="A679" s="168"/>
      <c r="B679" s="144"/>
      <c r="C679" s="34">
        <v>166</v>
      </c>
      <c r="D679" s="144" t="str">
        <f>'Vật liệu'!$B$606</f>
        <v>V00671</v>
      </c>
      <c r="E679" s="144" t="str">
        <f>" - " &amp; 'Vật liệu'!$D$606</f>
        <v xml:space="preserve"> - Thép tấm</v>
      </c>
      <c r="F679" s="168" t="str">
        <f>'Vật liệu'!$E$606</f>
        <v>kg</v>
      </c>
      <c r="G679" s="34">
        <f>'Hao phí vật tư'!$G$680</f>
        <v>34.54</v>
      </c>
      <c r="H679" s="68">
        <f>'Vật liệu'!$W$606</f>
        <v>12574</v>
      </c>
      <c r="I679" s="37">
        <v>1</v>
      </c>
      <c r="J679" s="166">
        <f>ROUND(G679*H679*I679,0)</f>
        <v>434306</v>
      </c>
    </row>
    <row r="680" spans="1:10" x14ac:dyDescent="0.25">
      <c r="A680" s="168"/>
      <c r="B680" s="144"/>
      <c r="C680" s="34">
        <v>160</v>
      </c>
      <c r="D680" s="144" t="str">
        <f>'Vật liệu'!$B$556</f>
        <v>V00641</v>
      </c>
      <c r="E680" s="144" t="str">
        <f>" - " &amp; 'Vật liệu'!$D$556</f>
        <v xml:space="preserve"> - Thép hình</v>
      </c>
      <c r="F680" s="168" t="str">
        <f>'Vật liệu'!$E$556</f>
        <v>kg</v>
      </c>
      <c r="G680" s="34">
        <f>'Hao phí vật tư'!$G$681</f>
        <v>13.95</v>
      </c>
      <c r="H680" s="68">
        <f>'Vật liệu'!$W$556</f>
        <v>15291</v>
      </c>
      <c r="I680" s="37">
        <v>1</v>
      </c>
      <c r="J680" s="166">
        <f>ROUND(G680*H680*I680,0)</f>
        <v>213309</v>
      </c>
    </row>
    <row r="681" spans="1:10" x14ac:dyDescent="0.25">
      <c r="A681" s="168"/>
      <c r="B681" s="144"/>
      <c r="C681" s="34">
        <v>392</v>
      </c>
      <c r="D681" s="144" t="str">
        <f>'Vật liệu'!$B$766</f>
        <v>V00750</v>
      </c>
      <c r="E681" s="144" t="str">
        <f>" - " &amp; 'Vật liệu'!$D$766</f>
        <v xml:space="preserve"> - Vật liệu khác</v>
      </c>
      <c r="F681" s="168" t="str">
        <f>'Vật liệu'!$E$766</f>
        <v>%</v>
      </c>
      <c r="G681" s="34">
        <f>'Hao phí vật tư'!$G$682</f>
        <v>5</v>
      </c>
      <c r="H681" s="166">
        <f>'Vật liệu'!$W$766</f>
        <v>0</v>
      </c>
      <c r="I681" s="37">
        <v>1</v>
      </c>
      <c r="J681" s="166">
        <f>ROUND((J678+J679+J680)*G681*I681/100,0)</f>
        <v>33545</v>
      </c>
    </row>
    <row r="682" spans="1:10" x14ac:dyDescent="0.25">
      <c r="A682" s="56"/>
      <c r="B682" s="23"/>
      <c r="C682" s="88"/>
      <c r="D682" s="23"/>
      <c r="E682" s="23" t="s">
        <v>202</v>
      </c>
      <c r="F682" s="56"/>
      <c r="G682" s="88"/>
      <c r="H682" s="48"/>
      <c r="I682" s="90"/>
      <c r="J682" s="48">
        <f>ROUND(SUM(J683:J683),0)</f>
        <v>5500199</v>
      </c>
    </row>
    <row r="683" spans="1:10" x14ac:dyDescent="0.25">
      <c r="A683" s="168"/>
      <c r="B683" s="144"/>
      <c r="C683" s="34">
        <v>546</v>
      </c>
      <c r="D683" s="144" t="str">
        <f>'Nhân công'!$B$45</f>
        <v>N0009</v>
      </c>
      <c r="E683" s="144" t="s">
        <v>1052</v>
      </c>
      <c r="F683" s="168" t="str">
        <f>'Nhân công'!$G$45</f>
        <v>công</v>
      </c>
      <c r="G683" s="34">
        <f>'Hao phí vật tư'!$H$684</f>
        <v>25.84</v>
      </c>
      <c r="H683" s="68">
        <f>'Nhân công'!$M$45</f>
        <v>212856</v>
      </c>
      <c r="I683" s="37">
        <v>1</v>
      </c>
      <c r="J683" s="166">
        <f>ROUND(G683*H683*I683,0)</f>
        <v>5500199</v>
      </c>
    </row>
    <row r="684" spans="1:10" x14ac:dyDescent="0.25">
      <c r="A684" s="56"/>
      <c r="B684" s="23"/>
      <c r="C684" s="88"/>
      <c r="D684" s="23"/>
      <c r="E684" s="23" t="s">
        <v>378</v>
      </c>
      <c r="F684" s="56"/>
      <c r="G684" s="88"/>
      <c r="H684" s="48"/>
      <c r="I684" s="90"/>
      <c r="J684" s="48">
        <f>ROUND(SUM(J685:J686),0)</f>
        <v>163602</v>
      </c>
    </row>
    <row r="685" spans="1:10" x14ac:dyDescent="0.25">
      <c r="A685" s="168"/>
      <c r="B685" s="144"/>
      <c r="C685" s="34">
        <v>714</v>
      </c>
      <c r="D685" s="144" t="str">
        <f>'Máy thi công'!$B$6</f>
        <v>M9438</v>
      </c>
      <c r="E685" s="144" t="str">
        <f>" - " &amp; 'Máy thi công'!$D$6</f>
        <v xml:space="preserve"> - Biến thế hàn xoay chiều - công suất: 23 kW</v>
      </c>
      <c r="F685" s="168" t="str">
        <f>'Máy thi công'!$E$6</f>
        <v>ca</v>
      </c>
      <c r="G685" s="34">
        <f>'Hao phí vật tư'!$I$686</f>
        <v>0.44</v>
      </c>
      <c r="H685" s="68">
        <f>'Máy thi công'!$N$6</f>
        <v>338020</v>
      </c>
      <c r="I685" s="37">
        <v>1</v>
      </c>
      <c r="J685" s="166">
        <f>ROUND(G685*H685*I685,0)</f>
        <v>148729</v>
      </c>
    </row>
    <row r="686" spans="1:10" x14ac:dyDescent="0.25">
      <c r="A686" s="168"/>
      <c r="B686" s="144"/>
      <c r="C686" s="34">
        <v>692</v>
      </c>
      <c r="D686" s="144" t="str">
        <f>'Máy thi công'!$B$398</f>
        <v>M0111</v>
      </c>
      <c r="E686" s="144" t="str">
        <f>" - " &amp; 'Máy thi công'!$D$398</f>
        <v xml:space="preserve"> - Máy khác</v>
      </c>
      <c r="F686" s="168" t="str">
        <f>'Máy thi công'!$E$398</f>
        <v>%</v>
      </c>
      <c r="G686" s="34">
        <f>'Hao phí vật tư'!$I$687</f>
        <v>10</v>
      </c>
      <c r="H686" s="166">
        <f>'Máy thi công'!$N$398</f>
        <v>0</v>
      </c>
      <c r="I686" s="37">
        <v>1</v>
      </c>
      <c r="J686" s="166">
        <f>ROUND((J685)*G686*I686/100,0)</f>
        <v>14873</v>
      </c>
    </row>
    <row r="687" spans="1:10" x14ac:dyDescent="0.25">
      <c r="A687" s="65">
        <f>'Công trình'!$A$85</f>
        <v>67</v>
      </c>
      <c r="B687" s="14" t="str">
        <f>'Công trình'!$B$85</f>
        <v>AI.52211</v>
      </c>
      <c r="C687" s="94"/>
      <c r="D687" s="31"/>
      <c r="E687" s="14" t="str">
        <f>'Công trình'!$C$85</f>
        <v>Sản xuất kết cấu thép hộp nối cọc</v>
      </c>
      <c r="F687" s="46" t="str">
        <f>'Công trình'!$D$85</f>
        <v>tấn</v>
      </c>
      <c r="G687" s="94"/>
      <c r="H687" s="54"/>
      <c r="I687" s="98"/>
      <c r="J687" s="54"/>
    </row>
    <row r="688" spans="1:10" x14ac:dyDescent="0.25">
      <c r="A688" s="56"/>
      <c r="B688" s="23"/>
      <c r="C688" s="88"/>
      <c r="D688" s="23"/>
      <c r="E688" s="23" t="s">
        <v>479</v>
      </c>
      <c r="F688" s="56"/>
      <c r="G688" s="88"/>
      <c r="H688" s="48"/>
      <c r="I688" s="90"/>
      <c r="J688" s="48">
        <f>ROUND(SUM(J689:J695),0)</f>
        <v>16318605</v>
      </c>
    </row>
    <row r="689" spans="1:10" x14ac:dyDescent="0.25">
      <c r="A689" s="168"/>
      <c r="B689" s="144"/>
      <c r="C689" s="34">
        <v>411</v>
      </c>
      <c r="D689" s="144" t="str">
        <f>'Vật liệu'!$B$200</f>
        <v>V00833</v>
      </c>
      <c r="E689" s="144" t="str">
        <f>" - " &amp; 'Vật liệu'!$D$200</f>
        <v xml:space="preserve"> - Đất đèn</v>
      </c>
      <c r="F689" s="168" t="str">
        <f>'Vật liệu'!$E$200</f>
        <v>kg</v>
      </c>
      <c r="G689" s="34">
        <f>'Hao phí vật tư'!$G$690</f>
        <v>9.6199999999999992</v>
      </c>
      <c r="H689" s="68">
        <f>'Vật liệu'!$W$200</f>
        <v>14000</v>
      </c>
      <c r="I689" s="37">
        <v>1</v>
      </c>
      <c r="J689" s="166">
        <f t="shared" ref="J689:J694" si="8">ROUND(G689*H689*I689,0)</f>
        <v>134680</v>
      </c>
    </row>
    <row r="690" spans="1:10" x14ac:dyDescent="0.25">
      <c r="A690" s="168"/>
      <c r="B690" s="144"/>
      <c r="C690" s="34">
        <v>154</v>
      </c>
      <c r="D690" s="144" t="str">
        <f>'Vật liệu'!$B$450</f>
        <v>V00515</v>
      </c>
      <c r="E690" s="144" t="str">
        <f>" - " &amp; 'Vật liệu'!$D$450</f>
        <v xml:space="preserve"> - Que hàn</v>
      </c>
      <c r="F690" s="168" t="str">
        <f>'Vật liệu'!$E$450</f>
        <v>kg</v>
      </c>
      <c r="G690" s="34">
        <f>'Hao phí vật tư'!$G$691</f>
        <v>18.75</v>
      </c>
      <c r="H690" s="68">
        <f>'Vật liệu'!$W$450</f>
        <v>19091</v>
      </c>
      <c r="I690" s="37">
        <v>1</v>
      </c>
      <c r="J690" s="166">
        <f t="shared" si="8"/>
        <v>357956</v>
      </c>
    </row>
    <row r="691" spans="1:10" x14ac:dyDescent="0.25">
      <c r="A691" s="168"/>
      <c r="B691" s="144"/>
      <c r="C691" s="34">
        <v>400</v>
      </c>
      <c r="D691" s="144" t="str">
        <f>'Vật liệu'!$B$401</f>
        <v>V00770</v>
      </c>
      <c r="E691" s="144" t="str">
        <f>" - " &amp; 'Vật liệu'!$D$401</f>
        <v xml:space="preserve"> - Ô xy</v>
      </c>
      <c r="F691" s="168" t="str">
        <f>'Vật liệu'!$E$401</f>
        <v>Chai</v>
      </c>
      <c r="G691" s="34">
        <f>'Hao phí vật tư'!$G$692</f>
        <v>1.75</v>
      </c>
      <c r="H691" s="68">
        <f>'Vật liệu'!$W$401</f>
        <v>72000</v>
      </c>
      <c r="I691" s="37">
        <v>1</v>
      </c>
      <c r="J691" s="166">
        <f t="shared" si="8"/>
        <v>126000</v>
      </c>
    </row>
    <row r="692" spans="1:10" x14ac:dyDescent="0.25">
      <c r="A692" s="168"/>
      <c r="B692" s="144"/>
      <c r="C692" s="34">
        <v>166</v>
      </c>
      <c r="D692" s="144" t="str">
        <f>'Vật liệu'!$B$606</f>
        <v>V00671</v>
      </c>
      <c r="E692" s="144" t="str">
        <f>" - " &amp; 'Vật liệu'!$D$606</f>
        <v xml:space="preserve"> - Thép tấm</v>
      </c>
      <c r="F692" s="168" t="str">
        <f>'Vật liệu'!$E$606</f>
        <v>kg</v>
      </c>
      <c r="G692" s="34">
        <f>'Hao phí vật tư'!$G$693</f>
        <v>250</v>
      </c>
      <c r="H692" s="68">
        <f>'Vật liệu'!$W$606</f>
        <v>12574</v>
      </c>
      <c r="I692" s="37">
        <v>1</v>
      </c>
      <c r="J692" s="166">
        <f t="shared" si="8"/>
        <v>3143500</v>
      </c>
    </row>
    <row r="693" spans="1:10" x14ac:dyDescent="0.25">
      <c r="A693" s="168"/>
      <c r="B693" s="144"/>
      <c r="C693" s="34">
        <v>160</v>
      </c>
      <c r="D693" s="144" t="str">
        <f>'Vật liệu'!$B$556</f>
        <v>V00641</v>
      </c>
      <c r="E693" s="144" t="str">
        <f>" - " &amp; 'Vật liệu'!$D$556</f>
        <v xml:space="preserve"> - Thép hình</v>
      </c>
      <c r="F693" s="168" t="str">
        <f>'Vật liệu'!$E$556</f>
        <v>kg</v>
      </c>
      <c r="G693" s="34">
        <f>'Hao phí vật tư'!$G$694</f>
        <v>800</v>
      </c>
      <c r="H693" s="68">
        <f>'Vật liệu'!$W$556</f>
        <v>15291</v>
      </c>
      <c r="I693" s="37">
        <v>1</v>
      </c>
      <c r="J693" s="166">
        <f t="shared" si="8"/>
        <v>12232800</v>
      </c>
    </row>
    <row r="694" spans="1:10" x14ac:dyDescent="0.25">
      <c r="A694" s="168"/>
      <c r="B694" s="144"/>
      <c r="C694" s="34">
        <v>407</v>
      </c>
      <c r="D694" s="144" t="str">
        <f>'Vật liệu'!$B$186</f>
        <v>V00824</v>
      </c>
      <c r="E694" s="144" t="str">
        <f>" - " &amp; 'Vật liệu'!$D$186</f>
        <v xml:space="preserve"> - Đá mài</v>
      </c>
      <c r="F694" s="168" t="str">
        <f>'Vật liệu'!$E$186</f>
        <v>viên</v>
      </c>
      <c r="G694" s="34">
        <f>'Hao phí vật tư'!$G$695</f>
        <v>0.28000000000000003</v>
      </c>
      <c r="H694" s="68">
        <f>'Vật liệu'!$W$186</f>
        <v>13200</v>
      </c>
      <c r="I694" s="37">
        <v>1</v>
      </c>
      <c r="J694" s="166">
        <f t="shared" si="8"/>
        <v>3696</v>
      </c>
    </row>
    <row r="695" spans="1:10" x14ac:dyDescent="0.25">
      <c r="A695" s="168"/>
      <c r="B695" s="144"/>
      <c r="C695" s="34">
        <v>220</v>
      </c>
      <c r="D695" s="144" t="str">
        <f>'Vật liệu'!$B$766</f>
        <v>V00750</v>
      </c>
      <c r="E695" s="144" t="str">
        <f>" - " &amp; 'Vật liệu'!$D$766</f>
        <v xml:space="preserve"> - Vật liệu khác</v>
      </c>
      <c r="F695" s="168" t="str">
        <f>'Vật liệu'!$E$766</f>
        <v>%</v>
      </c>
      <c r="G695" s="34">
        <f>'Hao phí vật tư'!$G$696</f>
        <v>2</v>
      </c>
      <c r="H695" s="166">
        <f>'Vật liệu'!$W$766</f>
        <v>0</v>
      </c>
      <c r="I695" s="37">
        <v>1</v>
      </c>
      <c r="J695" s="166">
        <f>ROUND((J689+J690+J691+J692+J693+J694)*G695*I695/100,0)</f>
        <v>319973</v>
      </c>
    </row>
    <row r="696" spans="1:10" x14ac:dyDescent="0.25">
      <c r="A696" s="56"/>
      <c r="B696" s="23"/>
      <c r="C696" s="88"/>
      <c r="D696" s="23"/>
      <c r="E696" s="23" t="s">
        <v>202</v>
      </c>
      <c r="F696" s="56"/>
      <c r="G696" s="88"/>
      <c r="H696" s="48"/>
      <c r="I696" s="90"/>
      <c r="J696" s="48">
        <f>ROUND(SUM(J697:J697),0)</f>
        <v>6570684</v>
      </c>
    </row>
    <row r="697" spans="1:10" x14ac:dyDescent="0.25">
      <c r="A697" s="168"/>
      <c r="B697" s="144"/>
      <c r="C697" s="34">
        <v>553</v>
      </c>
      <c r="D697" s="144" t="str">
        <f>'Nhân công'!$B$221</f>
        <v>N0013</v>
      </c>
      <c r="E697" s="144" t="s">
        <v>275</v>
      </c>
      <c r="F697" s="168" t="str">
        <f>'Nhân công'!$G$221</f>
        <v>công</v>
      </c>
      <c r="G697" s="34">
        <f>'Hao phí vật tư'!$H$698</f>
        <v>26.15</v>
      </c>
      <c r="H697" s="68">
        <f>'Nhân công'!$M$221</f>
        <v>251269</v>
      </c>
      <c r="I697" s="37">
        <v>1</v>
      </c>
      <c r="J697" s="166">
        <f>ROUND(G697*H697*I697,0)</f>
        <v>6570684</v>
      </c>
    </row>
    <row r="698" spans="1:10" x14ac:dyDescent="0.25">
      <c r="A698" s="56"/>
      <c r="B698" s="23"/>
      <c r="C698" s="88"/>
      <c r="D698" s="23"/>
      <c r="E698" s="23" t="s">
        <v>378</v>
      </c>
      <c r="F698" s="56"/>
      <c r="G698" s="88"/>
      <c r="H698" s="48"/>
      <c r="I698" s="90"/>
      <c r="J698" s="48">
        <f>ROUND(SUM(J699:J702),0)</f>
        <v>1989622</v>
      </c>
    </row>
    <row r="699" spans="1:10" x14ac:dyDescent="0.25">
      <c r="A699" s="168"/>
      <c r="B699" s="144"/>
      <c r="C699" s="34">
        <v>701</v>
      </c>
      <c r="D699" s="144" t="str">
        <f>'Máy thi công'!$B$273</f>
        <v>M112.1501</v>
      </c>
      <c r="E699" s="144" t="str">
        <f>" - " &amp; 'Máy thi công'!$D$273</f>
        <v xml:space="preserve"> - Máy khoan đứng - công suất: 2,5 kW</v>
      </c>
      <c r="F699" s="168" t="str">
        <f>'Máy thi công'!$E$273</f>
        <v>ca</v>
      </c>
      <c r="G699" s="34">
        <f>'Hao phí vật tư'!$I$700</f>
        <v>1.06</v>
      </c>
      <c r="H699" s="68">
        <f>'Máy thi công'!$N$273</f>
        <v>247705</v>
      </c>
      <c r="I699" s="37">
        <v>1</v>
      </c>
      <c r="J699" s="166">
        <f>ROUND(G699*H699*I699,0)</f>
        <v>262567</v>
      </c>
    </row>
    <row r="700" spans="1:10" x14ac:dyDescent="0.25">
      <c r="A700" s="168"/>
      <c r="B700" s="144"/>
      <c r="C700" s="34">
        <v>714</v>
      </c>
      <c r="D700" s="144" t="str">
        <f>'Máy thi công'!$B$6</f>
        <v>M9438</v>
      </c>
      <c r="E700" s="144" t="str">
        <f>" - " &amp; 'Máy thi công'!$D$6</f>
        <v xml:space="preserve"> - Biến thế hàn xoay chiều - công suất: 23 kW</v>
      </c>
      <c r="F700" s="168" t="str">
        <f>'Máy thi công'!$E$6</f>
        <v>ca</v>
      </c>
      <c r="G700" s="34">
        <f>'Hao phí vật tư'!$I$701</f>
        <v>4.16</v>
      </c>
      <c r="H700" s="68">
        <f>'Máy thi công'!$N$6</f>
        <v>338020</v>
      </c>
      <c r="I700" s="37">
        <v>1</v>
      </c>
      <c r="J700" s="166">
        <f>ROUND(G700*H700*I700,0)</f>
        <v>1406163</v>
      </c>
    </row>
    <row r="701" spans="1:10" x14ac:dyDescent="0.25">
      <c r="A701" s="168"/>
      <c r="B701" s="144"/>
      <c r="C701" s="34">
        <v>705</v>
      </c>
      <c r="D701" s="144" t="str">
        <f>'Máy thi công'!$B$285</f>
        <v>M112.3702</v>
      </c>
      <c r="E701" s="144" t="str">
        <f>" - " &amp; 'Máy thi công'!$D$285</f>
        <v xml:space="preserve"> - Máy mài - công suất: 2,7 kW</v>
      </c>
      <c r="F701" s="168" t="str">
        <f>'Máy thi công'!$E$285</f>
        <v>ca</v>
      </c>
      <c r="G701" s="34">
        <f>'Hao phí vật tư'!$I$702</f>
        <v>1.06</v>
      </c>
      <c r="H701" s="68">
        <f>'Máy thi công'!$N$285</f>
        <v>213347</v>
      </c>
      <c r="I701" s="37">
        <v>1</v>
      </c>
      <c r="J701" s="166">
        <f>ROUND(G701*H701*I701,0)</f>
        <v>226148</v>
      </c>
    </row>
    <row r="702" spans="1:10" x14ac:dyDescent="0.25">
      <c r="A702" s="168"/>
      <c r="B702" s="144"/>
      <c r="C702" s="34">
        <v>583</v>
      </c>
      <c r="D702" s="144" t="str">
        <f>'Máy thi công'!$B$398</f>
        <v>M0111</v>
      </c>
      <c r="E702" s="144" t="str">
        <f>" - " &amp; 'Máy thi công'!$D$398</f>
        <v xml:space="preserve"> - Máy khác</v>
      </c>
      <c r="F702" s="168" t="str">
        <f>'Máy thi công'!$E$398</f>
        <v>%</v>
      </c>
      <c r="G702" s="34">
        <f>'Hao phí vật tư'!$I$703</f>
        <v>5</v>
      </c>
      <c r="H702" s="166">
        <f>'Máy thi công'!$N$398</f>
        <v>0</v>
      </c>
      <c r="I702" s="37">
        <v>1</v>
      </c>
      <c r="J702" s="166">
        <f>ROUND((J699+J700+J701)*G702*I702/100,0)</f>
        <v>94744</v>
      </c>
    </row>
    <row r="703" spans="1:10" ht="28.5" x14ac:dyDescent="0.25">
      <c r="A703" s="65">
        <f>'Công trình'!$A$86</f>
        <v>68</v>
      </c>
      <c r="B703" s="14" t="str">
        <f>'Công trình'!$B$86</f>
        <v>AC.17111</v>
      </c>
      <c r="C703" s="94"/>
      <c r="D703" s="31"/>
      <c r="E703" s="14" t="str">
        <f>'Công trình'!$C$86</f>
        <v>Đóng cọc BTCT 30x30 chiều dài &lt;=24m trên mặt nước bằng tàu đóng cọc búa 1,8T</v>
      </c>
      <c r="F703" s="46" t="str">
        <f>'Công trình'!$D$86</f>
        <v>100m</v>
      </c>
      <c r="G703" s="94"/>
      <c r="H703" s="54"/>
      <c r="I703" s="98"/>
      <c r="J703" s="54"/>
    </row>
    <row r="704" spans="1:10" x14ac:dyDescent="0.25">
      <c r="A704" s="56"/>
      <c r="B704" s="23"/>
      <c r="C704" s="88"/>
      <c r="D704" s="23"/>
      <c r="E704" s="23" t="s">
        <v>479</v>
      </c>
      <c r="F704" s="56"/>
      <c r="G704" s="88"/>
      <c r="H704" s="48"/>
      <c r="I704" s="90"/>
      <c r="J704" s="48">
        <f>ROUND(SUM(J705:J706),0)</f>
        <v>0</v>
      </c>
    </row>
    <row r="705" spans="1:10" x14ac:dyDescent="0.25">
      <c r="A705" s="168"/>
      <c r="B705" s="144"/>
      <c r="C705" s="34">
        <v>456</v>
      </c>
      <c r="D705" s="144" t="str">
        <f>'Vật liệu'!$B$109</f>
        <v>V12704</v>
      </c>
      <c r="E705" s="144" t="str">
        <f>" - " &amp; 'Vật liệu'!$D$109</f>
        <v xml:space="preserve"> - Cọc bê tông 30cmx30cm</v>
      </c>
      <c r="F705" s="168" t="str">
        <f>'Vật liệu'!$E$109</f>
        <v>m</v>
      </c>
      <c r="G705" s="34">
        <f>'Hao phí vật tư'!$G$706</f>
        <v>0</v>
      </c>
      <c r="H705" s="68">
        <f>'Vật liệu'!$W$109</f>
        <v>439950</v>
      </c>
      <c r="I705" s="37">
        <v>1</v>
      </c>
      <c r="J705" s="166">
        <f>ROUND(G705*H705*I705,0)</f>
        <v>0</v>
      </c>
    </row>
    <row r="706" spans="1:10" x14ac:dyDescent="0.25">
      <c r="A706" s="168"/>
      <c r="B706" s="144"/>
      <c r="C706" s="34">
        <v>235</v>
      </c>
      <c r="D706" s="144" t="str">
        <f>'Vật liệu'!$B$766</f>
        <v>V00750</v>
      </c>
      <c r="E706" s="144" t="str">
        <f>" - " &amp; 'Vật liệu'!$D$766</f>
        <v xml:space="preserve"> - Vật liệu khác</v>
      </c>
      <c r="F706" s="168" t="str">
        <f>'Vật liệu'!$E$766</f>
        <v>%</v>
      </c>
      <c r="G706" s="34">
        <f>'Hao phí vật tư'!$G$707</f>
        <v>2</v>
      </c>
      <c r="H706" s="166">
        <f>'Vật liệu'!$W$766</f>
        <v>0</v>
      </c>
      <c r="I706" s="37">
        <v>1</v>
      </c>
      <c r="J706" s="166">
        <f>ROUND((J705)*G706*I706/100,0)</f>
        <v>0</v>
      </c>
    </row>
    <row r="707" spans="1:10" x14ac:dyDescent="0.25">
      <c r="A707" s="56"/>
      <c r="B707" s="23"/>
      <c r="C707" s="88"/>
      <c r="D707" s="23"/>
      <c r="E707" s="23" t="s">
        <v>202</v>
      </c>
      <c r="F707" s="56"/>
      <c r="G707" s="88"/>
      <c r="H707" s="48"/>
      <c r="I707" s="90"/>
      <c r="J707" s="48">
        <f>ROUND(SUM(J708:J708),0)</f>
        <v>1468251</v>
      </c>
    </row>
    <row r="708" spans="1:10" x14ac:dyDescent="0.25">
      <c r="A708" s="168"/>
      <c r="B708" s="144"/>
      <c r="C708" s="34">
        <v>554</v>
      </c>
      <c r="D708" s="144" t="str">
        <f>'Nhân công'!$B$103</f>
        <v>N0015</v>
      </c>
      <c r="E708" s="144" t="s">
        <v>1014</v>
      </c>
      <c r="F708" s="168" t="str">
        <f>'Nhân công'!$G$103</f>
        <v>công</v>
      </c>
      <c r="G708" s="34">
        <f>'Hao phí vật tư'!$H$709</f>
        <v>6.13</v>
      </c>
      <c r="H708" s="68">
        <f>'Nhân công'!$M$103</f>
        <v>239519</v>
      </c>
      <c r="I708" s="37">
        <v>1</v>
      </c>
      <c r="J708" s="166">
        <f>ROUND(G708*H708*I708,0)</f>
        <v>1468251</v>
      </c>
    </row>
    <row r="709" spans="1:10" x14ac:dyDescent="0.25">
      <c r="A709" s="56"/>
      <c r="B709" s="23"/>
      <c r="C709" s="88"/>
      <c r="D709" s="23"/>
      <c r="E709" s="23" t="s">
        <v>378</v>
      </c>
      <c r="F709" s="56"/>
      <c r="G709" s="88"/>
      <c r="H709" s="48"/>
      <c r="I709" s="90"/>
      <c r="J709" s="48">
        <f>ROUND(SUM(J710:J714),0)</f>
        <v>20341990</v>
      </c>
    </row>
    <row r="710" spans="1:10" x14ac:dyDescent="0.25">
      <c r="A710" s="168"/>
      <c r="B710" s="144"/>
      <c r="C710" s="34">
        <v>755</v>
      </c>
      <c r="D710" s="144" t="str">
        <f>'Máy thi công'!$B$384</f>
        <v>M9596</v>
      </c>
      <c r="E710" s="144" t="str">
        <f>" - " &amp; 'Máy thi công'!$D$384</f>
        <v xml:space="preserve"> - Sà lan - trọng tải: 250 t</v>
      </c>
      <c r="F710" s="168" t="str">
        <f>'Máy thi công'!$E$384</f>
        <v>ca</v>
      </c>
      <c r="G710" s="34">
        <f>'Hao phí vật tư'!$I$711</f>
        <v>1.75</v>
      </c>
      <c r="H710" s="68">
        <f>'Máy thi công'!$N$384</f>
        <v>1107704</v>
      </c>
      <c r="I710" s="37">
        <v>1</v>
      </c>
      <c r="J710" s="166">
        <f>ROUND(G710*H710*I710,0)</f>
        <v>1938482</v>
      </c>
    </row>
    <row r="711" spans="1:10" ht="30" x14ac:dyDescent="0.25">
      <c r="A711" s="168"/>
      <c r="B711" s="144"/>
      <c r="C711" s="34">
        <v>757</v>
      </c>
      <c r="D711" s="144" t="str">
        <f>'Máy thi công'!$B$391</f>
        <v>M9622</v>
      </c>
      <c r="E711" s="144" t="str">
        <f>" - " &amp; 'Máy thi công'!$D$391</f>
        <v xml:space="preserve"> - Tầu kéo và phục vụ thi công thuỷ (làm neo, cấp dầu,...) - công suất: 150 cv</v>
      </c>
      <c r="F711" s="168" t="str">
        <f>'Máy thi công'!$E$391</f>
        <v>ca</v>
      </c>
      <c r="G711" s="34">
        <f>'Hao phí vật tư'!$I$712</f>
        <v>0.13500000000000001</v>
      </c>
      <c r="H711" s="68">
        <f>'Máy thi công'!$N$391</f>
        <v>4108162</v>
      </c>
      <c r="I711" s="37">
        <v>1</v>
      </c>
      <c r="J711" s="166">
        <f>ROUND(G711*H711*I711,0)</f>
        <v>554602</v>
      </c>
    </row>
    <row r="712" spans="1:10" ht="30" x14ac:dyDescent="0.25">
      <c r="A712" s="168"/>
      <c r="B712" s="144"/>
      <c r="C712" s="34">
        <v>722</v>
      </c>
      <c r="D712" s="144" t="str">
        <f>'Máy thi công'!$B$101</f>
        <v>M9449</v>
      </c>
      <c r="E712" s="144" t="str">
        <f>" - " &amp; 'Máy thi công'!$D$101</f>
        <v xml:space="preserve"> - Búa đóng cọc nổi (cả sà lan và máy phụ trợ) - trọng lượng búa: ≤ 1,8 t</v>
      </c>
      <c r="F712" s="168" t="str">
        <f>'Máy thi công'!$E$101</f>
        <v>ca</v>
      </c>
      <c r="G712" s="34">
        <f>'Hao phí vật tư'!$I$713</f>
        <v>2.1800000000000002</v>
      </c>
      <c r="H712" s="68">
        <f>'Máy thi công'!$N$101</f>
        <v>5164778</v>
      </c>
      <c r="I712" s="37">
        <v>1</v>
      </c>
      <c r="J712" s="166">
        <f>ROUND(G712*H712*I712,0)</f>
        <v>11259216</v>
      </c>
    </row>
    <row r="713" spans="1:10" x14ac:dyDescent="0.25">
      <c r="A713" s="168"/>
      <c r="B713" s="144"/>
      <c r="C713" s="34">
        <v>729</v>
      </c>
      <c r="D713" s="144" t="str">
        <f>'Máy thi công'!$B$135</f>
        <v>M9469</v>
      </c>
      <c r="E713" s="144" t="str">
        <f>" - " &amp; 'Máy thi công'!$D$135</f>
        <v xml:space="preserve"> - Cần trục bánh xích - sức nâng: 25 t</v>
      </c>
      <c r="F713" s="168" t="str">
        <f>'Máy thi công'!$E$135</f>
        <v>ca</v>
      </c>
      <c r="G713" s="34">
        <f>'Hao phí vật tư'!$I$714</f>
        <v>2.1800000000000002</v>
      </c>
      <c r="H713" s="68">
        <f>'Máy thi công'!$N$135</f>
        <v>2839829</v>
      </c>
      <c r="I713" s="37">
        <v>1</v>
      </c>
      <c r="J713" s="166">
        <f>ROUND(G713*H713*I713,0)</f>
        <v>6190827</v>
      </c>
    </row>
    <row r="714" spans="1:10" x14ac:dyDescent="0.25">
      <c r="A714" s="168"/>
      <c r="B714" s="144"/>
      <c r="C714" s="34">
        <v>599</v>
      </c>
      <c r="D714" s="144" t="str">
        <f>'Máy thi công'!$B$398</f>
        <v>M0111</v>
      </c>
      <c r="E714" s="144" t="str">
        <f>" - " &amp; 'Máy thi công'!$D$398</f>
        <v xml:space="preserve"> - Máy khác</v>
      </c>
      <c r="F714" s="168" t="str">
        <f>'Máy thi công'!$E$398</f>
        <v>%</v>
      </c>
      <c r="G714" s="34">
        <f>'Hao phí vật tư'!$I$715</f>
        <v>2</v>
      </c>
      <c r="H714" s="166">
        <f>'Máy thi công'!$N$398</f>
        <v>0</v>
      </c>
      <c r="I714" s="37">
        <v>1</v>
      </c>
      <c r="J714" s="166">
        <f>ROUND((J710+J711+J712+J713)*G714*I714/100,0)</f>
        <v>398863</v>
      </c>
    </row>
    <row r="715" spans="1:10" ht="28.5" x14ac:dyDescent="0.25">
      <c r="A715" s="65">
        <f>'Công trình'!$A$87</f>
        <v>69</v>
      </c>
      <c r="B715" s="14" t="str">
        <f>'Công trình'!$B$87</f>
        <v>AC.29331</v>
      </c>
      <c r="C715" s="94"/>
      <c r="D715" s="31"/>
      <c r="E715" s="14" t="str">
        <f>'Công trình'!$C$87</f>
        <v>Nối cọc BTCT 30x30cm</v>
      </c>
      <c r="F715" s="46" t="str">
        <f>'Công trình'!$D$87</f>
        <v>1mối nối</v>
      </c>
      <c r="G715" s="94"/>
      <c r="H715" s="54"/>
      <c r="I715" s="98"/>
      <c r="J715" s="54"/>
    </row>
    <row r="716" spans="1:10" x14ac:dyDescent="0.25">
      <c r="A716" s="56"/>
      <c r="B716" s="23"/>
      <c r="C716" s="88"/>
      <c r="D716" s="23"/>
      <c r="E716" s="23" t="s">
        <v>479</v>
      </c>
      <c r="F716" s="56"/>
      <c r="G716" s="88"/>
      <c r="H716" s="48"/>
      <c r="I716" s="90"/>
      <c r="J716" s="48">
        <f>ROUND(SUM(J717:J719),0)</f>
        <v>41884</v>
      </c>
    </row>
    <row r="717" spans="1:10" x14ac:dyDescent="0.25">
      <c r="A717" s="168"/>
      <c r="B717" s="144"/>
      <c r="C717" s="34">
        <v>154</v>
      </c>
      <c r="D717" s="144" t="str">
        <f>'Vật liệu'!$B$450</f>
        <v>V00515</v>
      </c>
      <c r="E717" s="144" t="str">
        <f>" - " &amp; 'Vật liệu'!$D$450</f>
        <v xml:space="preserve"> - Que hàn</v>
      </c>
      <c r="F717" s="168" t="str">
        <f>'Vật liệu'!$E$450</f>
        <v>kg</v>
      </c>
      <c r="G717" s="34">
        <f>'Hao phí vật tư'!$G$718</f>
        <v>2.13</v>
      </c>
      <c r="H717" s="68">
        <f>'Vật liệu'!$W$450</f>
        <v>19091</v>
      </c>
      <c r="I717" s="37">
        <v>1</v>
      </c>
      <c r="J717" s="166">
        <f>ROUND(G717*H717*I717,0)</f>
        <v>40664</v>
      </c>
    </row>
    <row r="718" spans="1:10" x14ac:dyDescent="0.25">
      <c r="A718" s="168"/>
      <c r="B718" s="144"/>
      <c r="C718" s="34">
        <v>159</v>
      </c>
      <c r="D718" s="144" t="str">
        <f>'Vật liệu'!$B$554</f>
        <v>V00640</v>
      </c>
      <c r="E718" s="144" t="str">
        <f>" - " &amp; 'Vật liệu'!$D$554</f>
        <v xml:space="preserve"> - Thép góc 80x80mm</v>
      </c>
      <c r="F718" s="168" t="str">
        <f>'Vật liệu'!$E$554</f>
        <v>kg</v>
      </c>
      <c r="G718" s="34">
        <f>'Hao phí vật tư'!$G$719</f>
        <v>0</v>
      </c>
      <c r="H718" s="68">
        <f>'Vật liệu'!$W$554</f>
        <v>15291</v>
      </c>
      <c r="I718" s="37">
        <v>1</v>
      </c>
      <c r="J718" s="166">
        <f>ROUND(G718*H718*I718,0)</f>
        <v>0</v>
      </c>
    </row>
    <row r="719" spans="1:10" x14ac:dyDescent="0.25">
      <c r="A719" s="168"/>
      <c r="B719" s="144"/>
      <c r="C719" s="34">
        <v>224</v>
      </c>
      <c r="D719" s="144" t="str">
        <f>'Vật liệu'!$B$766</f>
        <v>V00750</v>
      </c>
      <c r="E719" s="144" t="str">
        <f>" - " &amp; 'Vật liệu'!$D$766</f>
        <v xml:space="preserve"> - Vật liệu khác</v>
      </c>
      <c r="F719" s="168" t="str">
        <f>'Vật liệu'!$E$766</f>
        <v>%</v>
      </c>
      <c r="G719" s="34">
        <f>'Hao phí vật tư'!$G$720</f>
        <v>3</v>
      </c>
      <c r="H719" s="166">
        <f>'Vật liệu'!$W$766</f>
        <v>0</v>
      </c>
      <c r="I719" s="37">
        <v>1</v>
      </c>
      <c r="J719" s="166">
        <f>ROUND((J717+J718)*G719*I719/100,0)</f>
        <v>1220</v>
      </c>
    </row>
    <row r="720" spans="1:10" x14ac:dyDescent="0.25">
      <c r="A720" s="56"/>
      <c r="B720" s="23"/>
      <c r="C720" s="88"/>
      <c r="D720" s="23"/>
      <c r="E720" s="23" t="s">
        <v>202</v>
      </c>
      <c r="F720" s="56"/>
      <c r="G720" s="88"/>
      <c r="H720" s="48"/>
      <c r="I720" s="90"/>
      <c r="J720" s="48">
        <f>ROUND(SUM(J721:J721),0)</f>
        <v>199045</v>
      </c>
    </row>
    <row r="721" spans="1:10" x14ac:dyDescent="0.25">
      <c r="A721" s="168"/>
      <c r="B721" s="144"/>
      <c r="C721" s="34">
        <v>555</v>
      </c>
      <c r="D721" s="144" t="str">
        <f>'Nhân công'!$B$185</f>
        <v>N0020</v>
      </c>
      <c r="E721" s="144" t="s">
        <v>625</v>
      </c>
      <c r="F721" s="168" t="str">
        <f>'Nhân công'!$G$185</f>
        <v>công</v>
      </c>
      <c r="G721" s="34">
        <f>'Hao phí vật tư'!$H$722</f>
        <v>0.77</v>
      </c>
      <c r="H721" s="68">
        <f>'Nhân công'!$M$185</f>
        <v>258500</v>
      </c>
      <c r="I721" s="37">
        <v>1</v>
      </c>
      <c r="J721" s="166">
        <f>ROUND(G721*H721*I721,0)</f>
        <v>199045</v>
      </c>
    </row>
    <row r="722" spans="1:10" x14ac:dyDescent="0.25">
      <c r="A722" s="56"/>
      <c r="B722" s="23"/>
      <c r="C722" s="88"/>
      <c r="D722" s="23"/>
      <c r="E722" s="23" t="s">
        <v>378</v>
      </c>
      <c r="F722" s="56"/>
      <c r="G722" s="88"/>
      <c r="H722" s="48"/>
      <c r="I722" s="90"/>
      <c r="J722" s="48">
        <f>ROUND(SUM(J723:J724),0)</f>
        <v>52224</v>
      </c>
    </row>
    <row r="723" spans="1:10" x14ac:dyDescent="0.25">
      <c r="A723" s="168"/>
      <c r="B723" s="144"/>
      <c r="C723" s="34">
        <v>714</v>
      </c>
      <c r="D723" s="144" t="str">
        <f>'Máy thi công'!$B$6</f>
        <v>M9438</v>
      </c>
      <c r="E723" s="144" t="str">
        <f>" - " &amp; 'Máy thi công'!$D$6</f>
        <v xml:space="preserve"> - Biến thế hàn xoay chiều - công suất: 23 kW</v>
      </c>
      <c r="F723" s="168" t="str">
        <f>'Máy thi công'!$E$6</f>
        <v>ca</v>
      </c>
      <c r="G723" s="34">
        <f>'Hao phí vật tư'!$I$724</f>
        <v>0.15</v>
      </c>
      <c r="H723" s="68">
        <f>'Máy thi công'!$N$6</f>
        <v>338020</v>
      </c>
      <c r="I723" s="37">
        <v>1</v>
      </c>
      <c r="J723" s="166">
        <f>ROUND(G723*H723*I723,0)</f>
        <v>50703</v>
      </c>
    </row>
    <row r="724" spans="1:10" x14ac:dyDescent="0.25">
      <c r="A724" s="168"/>
      <c r="B724" s="144"/>
      <c r="C724" s="34">
        <v>587</v>
      </c>
      <c r="D724" s="144" t="str">
        <f>'Máy thi công'!$B$398</f>
        <v>M0111</v>
      </c>
      <c r="E724" s="144" t="str">
        <f>" - " &amp; 'Máy thi công'!$D$398</f>
        <v xml:space="preserve"> - Máy khác</v>
      </c>
      <c r="F724" s="168" t="str">
        <f>'Máy thi công'!$E$398</f>
        <v>%</v>
      </c>
      <c r="G724" s="34">
        <f>'Hao phí vật tư'!$I$725</f>
        <v>3</v>
      </c>
      <c r="H724" s="166">
        <f>'Máy thi công'!$N$398</f>
        <v>0</v>
      </c>
      <c r="I724" s="37">
        <v>1</v>
      </c>
      <c r="J724" s="166">
        <f>ROUND((J723)*G724*I724/100,0)</f>
        <v>1521</v>
      </c>
    </row>
    <row r="725" spans="1:10" x14ac:dyDescent="0.25">
      <c r="A725" s="65">
        <f>'Công trình'!$A$88</f>
        <v>70</v>
      </c>
      <c r="B725" s="14" t="str">
        <f>'Công trình'!$B$88</f>
        <v>AA.22310</v>
      </c>
      <c r="C725" s="94"/>
      <c r="D725" s="31"/>
      <c r="E725" s="14" t="str">
        <f>'Công trình'!$C$88</f>
        <v>Đập đầu cọc trên cạn</v>
      </c>
      <c r="F725" s="46" t="str">
        <f>'Công trình'!$D$88</f>
        <v>m3</v>
      </c>
      <c r="G725" s="94"/>
      <c r="H725" s="54"/>
      <c r="I725" s="98"/>
      <c r="J725" s="54"/>
    </row>
    <row r="726" spans="1:10" x14ac:dyDescent="0.25">
      <c r="A726" s="56"/>
      <c r="B726" s="23"/>
      <c r="C726" s="88"/>
      <c r="D726" s="23"/>
      <c r="E726" s="23" t="s">
        <v>479</v>
      </c>
      <c r="F726" s="56"/>
      <c r="G726" s="88"/>
      <c r="H726" s="48"/>
      <c r="I726" s="90"/>
      <c r="J726" s="48">
        <f>ROUND(SUM(J727:J727),0)</f>
        <v>0</v>
      </c>
    </row>
    <row r="727" spans="1:10" x14ac:dyDescent="0.25">
      <c r="A727" s="168"/>
      <c r="B727" s="144"/>
      <c r="C727" s="34">
        <v>154</v>
      </c>
      <c r="D727" s="144" t="str">
        <f>'Vật liệu'!$B$450</f>
        <v>V00515</v>
      </c>
      <c r="E727" s="144" t="str">
        <f>" - " &amp; 'Vật liệu'!$D$450</f>
        <v xml:space="preserve"> - Que hàn</v>
      </c>
      <c r="F727" s="168" t="str">
        <f>'Vật liệu'!$E$450</f>
        <v>kg</v>
      </c>
      <c r="G727" s="34">
        <f>'Hao phí vật tư'!$G$728</f>
        <v>0</v>
      </c>
      <c r="H727" s="68">
        <f>'Vật liệu'!$W$450</f>
        <v>19091</v>
      </c>
      <c r="I727" s="37">
        <v>1</v>
      </c>
      <c r="J727" s="166">
        <f>ROUND(G727*H727*I727,0)</f>
        <v>0</v>
      </c>
    </row>
    <row r="728" spans="1:10" x14ac:dyDescent="0.25">
      <c r="A728" s="56"/>
      <c r="B728" s="23"/>
      <c r="C728" s="88"/>
      <c r="D728" s="23"/>
      <c r="E728" s="23" t="s">
        <v>202</v>
      </c>
      <c r="F728" s="56"/>
      <c r="G728" s="88"/>
      <c r="H728" s="48"/>
      <c r="I728" s="90"/>
      <c r="J728" s="48">
        <f>ROUND(SUM(J729:J729),0)</f>
        <v>186120</v>
      </c>
    </row>
    <row r="729" spans="1:10" x14ac:dyDescent="0.25">
      <c r="A729" s="168"/>
      <c r="B729" s="144"/>
      <c r="C729" s="34">
        <v>555</v>
      </c>
      <c r="D729" s="144" t="str">
        <f>'Nhân công'!$B$185</f>
        <v>N0020</v>
      </c>
      <c r="E729" s="144" t="s">
        <v>625</v>
      </c>
      <c r="F729" s="168" t="str">
        <f>'Nhân công'!$G$185</f>
        <v>công</v>
      </c>
      <c r="G729" s="34">
        <f>'Hao phí vật tư'!$H$730</f>
        <v>0.72</v>
      </c>
      <c r="H729" s="68">
        <f>'Nhân công'!$M$185</f>
        <v>258500</v>
      </c>
      <c r="I729" s="37">
        <v>1</v>
      </c>
      <c r="J729" s="166">
        <f>ROUND(G729*H729*I729,0)</f>
        <v>186120</v>
      </c>
    </row>
    <row r="730" spans="1:10" x14ac:dyDescent="0.25">
      <c r="A730" s="56"/>
      <c r="B730" s="23"/>
      <c r="C730" s="88"/>
      <c r="D730" s="23"/>
      <c r="E730" s="23" t="s">
        <v>378</v>
      </c>
      <c r="F730" s="56"/>
      <c r="G730" s="88"/>
      <c r="H730" s="48"/>
      <c r="I730" s="90"/>
      <c r="J730" s="48">
        <f>ROUND(SUM(J731:J734),0)</f>
        <v>574150</v>
      </c>
    </row>
    <row r="731" spans="1:10" x14ac:dyDescent="0.25">
      <c r="A731" s="168"/>
      <c r="B731" s="144"/>
      <c r="C731" s="34">
        <v>714</v>
      </c>
      <c r="D731" s="144" t="str">
        <f>'Máy thi công'!$B$6</f>
        <v>M9438</v>
      </c>
      <c r="E731" s="144" t="str">
        <f>" - " &amp; 'Máy thi công'!$D$6</f>
        <v xml:space="preserve"> - Biến thế hàn xoay chiều - công suất: 23 kW</v>
      </c>
      <c r="F731" s="168" t="str">
        <f>'Máy thi công'!$E$6</f>
        <v>ca</v>
      </c>
      <c r="G731" s="34">
        <f>'Hao phí vật tư'!$I$732</f>
        <v>0.23</v>
      </c>
      <c r="H731" s="68">
        <f>'Máy thi công'!$N$6</f>
        <v>338020</v>
      </c>
      <c r="I731" s="37">
        <v>1</v>
      </c>
      <c r="J731" s="166">
        <f>ROUND(G731*H731*I731,0)</f>
        <v>77745</v>
      </c>
    </row>
    <row r="732" spans="1:10" x14ac:dyDescent="0.25">
      <c r="A732" s="168"/>
      <c r="B732" s="144"/>
      <c r="C732" s="34">
        <v>725</v>
      </c>
      <c r="D732" s="144" t="str">
        <f>'Máy thi công'!$B$113</f>
        <v>M9465</v>
      </c>
      <c r="E732" s="144" t="str">
        <f>" - " &amp; 'Máy thi công'!$D$113</f>
        <v xml:space="preserve"> - Cần trục bánh hơi - sức nâng: 16 t</v>
      </c>
      <c r="F732" s="168" t="str">
        <f>'Máy thi công'!$E$113</f>
        <v>ca</v>
      </c>
      <c r="G732" s="34">
        <f>'Hao phí vật tư'!$I$733</f>
        <v>0.111</v>
      </c>
      <c r="H732" s="68">
        <f>'Máy thi công'!$N$113</f>
        <v>1878687</v>
      </c>
      <c r="I732" s="37">
        <v>1</v>
      </c>
      <c r="J732" s="166">
        <f>ROUND(G732*H732*I732,0)</f>
        <v>208534</v>
      </c>
    </row>
    <row r="733" spans="1:10" ht="30" x14ac:dyDescent="0.25">
      <c r="A733" s="168"/>
      <c r="B733" s="144"/>
      <c r="C733" s="34">
        <v>715</v>
      </c>
      <c r="D733" s="144" t="str">
        <f>'Máy thi công'!$B$81</f>
        <v>M9439</v>
      </c>
      <c r="E733" s="144" t="str">
        <f>" - " &amp; 'Máy thi công'!$D$81</f>
        <v xml:space="preserve"> - Búa căn khí nén (chưa tính khí nén) - tiêu hao khí nén: 1,5 m3/ph</v>
      </c>
      <c r="F733" s="168" t="str">
        <f>'Máy thi công'!$E$81</f>
        <v>ca</v>
      </c>
      <c r="G733" s="34">
        <f>'Hao phí vật tư'!$I$734</f>
        <v>0.35</v>
      </c>
      <c r="H733" s="68">
        <f>'Máy thi công'!$N$81</f>
        <v>250903</v>
      </c>
      <c r="I733" s="37">
        <v>1</v>
      </c>
      <c r="J733" s="166">
        <f>ROUND(G733*H733*I733,0)</f>
        <v>87816</v>
      </c>
    </row>
    <row r="734" spans="1:10" x14ac:dyDescent="0.25">
      <c r="A734" s="168"/>
      <c r="B734" s="144"/>
      <c r="C734" s="34">
        <v>741</v>
      </c>
      <c r="D734" s="144" t="str">
        <f>'Máy thi công'!$B$297</f>
        <v>M9538</v>
      </c>
      <c r="E734" s="144" t="str">
        <f>" - " &amp; 'Máy thi công'!$D$297</f>
        <v xml:space="preserve"> - Máy nén khí, động cơ diezel - năng suất: 360 m3/h</v>
      </c>
      <c r="F734" s="168" t="str">
        <f>'Máy thi công'!$E$297</f>
        <v>ca</v>
      </c>
      <c r="G734" s="34">
        <f>'Hao phí vật tư'!$I$735</f>
        <v>0.18</v>
      </c>
      <c r="H734" s="68">
        <f>'Máy thi công'!$N$297</f>
        <v>1111419</v>
      </c>
      <c r="I734" s="37">
        <v>1</v>
      </c>
      <c r="J734" s="166">
        <f>ROUND(G734*H734*I734,0)</f>
        <v>200055</v>
      </c>
    </row>
    <row r="735" spans="1:10" ht="28.5" x14ac:dyDescent="0.25">
      <c r="A735" s="65">
        <f>'Công trình'!$A$91</f>
        <v>71</v>
      </c>
      <c r="B735" s="14" t="str">
        <f>'Công trình'!$B$91</f>
        <v>AB.62111</v>
      </c>
      <c r="C735" s="94"/>
      <c r="D735" s="31"/>
      <c r="E735" s="14" t="str">
        <f>'Công trình'!$C$91</f>
        <v>San đầm đất mặt bằng bằng máy đầm 9T, độ chặt K=0,85</v>
      </c>
      <c r="F735" s="46" t="str">
        <f>'Công trình'!$D$91</f>
        <v>100m3</v>
      </c>
      <c r="G735" s="94"/>
      <c r="H735" s="54"/>
      <c r="I735" s="98"/>
      <c r="J735" s="54"/>
    </row>
    <row r="736" spans="1:10" x14ac:dyDescent="0.25">
      <c r="A736" s="56"/>
      <c r="B736" s="23"/>
      <c r="C736" s="88"/>
      <c r="D736" s="23"/>
      <c r="E736" s="23" t="s">
        <v>202</v>
      </c>
      <c r="F736" s="56"/>
      <c r="G736" s="88"/>
      <c r="H736" s="48"/>
      <c r="I736" s="90"/>
      <c r="J736" s="48">
        <f>ROUND(SUM(J737:J737),0)</f>
        <v>144471</v>
      </c>
    </row>
    <row r="737" spans="1:10" x14ac:dyDescent="0.25">
      <c r="A737" s="168"/>
      <c r="B737" s="144"/>
      <c r="C737" s="34">
        <v>545</v>
      </c>
      <c r="D737" s="144" t="str">
        <f>'Nhân công'!$B$6</f>
        <v>N0006</v>
      </c>
      <c r="E737" s="144" t="s">
        <v>256</v>
      </c>
      <c r="F737" s="168" t="str">
        <f>'Nhân công'!$G$6</f>
        <v>công</v>
      </c>
      <c r="G737" s="34">
        <f>'Hao phí vật tư'!$H$738</f>
        <v>0.74</v>
      </c>
      <c r="H737" s="68">
        <f>'Nhân công'!$M$6</f>
        <v>195231</v>
      </c>
      <c r="I737" s="37">
        <v>1</v>
      </c>
      <c r="J737" s="166">
        <f>ROUND(G737*H737*I737,0)</f>
        <v>144471</v>
      </c>
    </row>
    <row r="738" spans="1:10" x14ac:dyDescent="0.25">
      <c r="A738" s="56"/>
      <c r="B738" s="23"/>
      <c r="C738" s="88"/>
      <c r="D738" s="23"/>
      <c r="E738" s="23" t="s">
        <v>378</v>
      </c>
      <c r="F738" s="56"/>
      <c r="G738" s="88"/>
      <c r="H738" s="48"/>
      <c r="I738" s="90"/>
      <c r="J738" s="48">
        <f>ROUND(SUM(J739:J740),0)</f>
        <v>465532</v>
      </c>
    </row>
    <row r="739" spans="1:10" x14ac:dyDescent="0.25">
      <c r="A739" s="168"/>
      <c r="B739" s="144"/>
      <c r="C739" s="34">
        <v>753</v>
      </c>
      <c r="D739" s="144" t="str">
        <f>'Máy thi công'!$B$350</f>
        <v>M9578</v>
      </c>
      <c r="E739" s="144" t="str">
        <f>" - " &amp; 'Máy thi công'!$D$350</f>
        <v xml:space="preserve"> - Máy ủi - công suất: 108,0 CV (110CV)</v>
      </c>
      <c r="F739" s="168" t="str">
        <f>'Máy thi công'!$E$350</f>
        <v>ca</v>
      </c>
      <c r="G739" s="34">
        <f>'Hao phí vật tư'!$I$740</f>
        <v>9.4E-2</v>
      </c>
      <c r="H739" s="68">
        <f>'Máy thi công'!$N$350</f>
        <v>2049156</v>
      </c>
      <c r="I739" s="37">
        <v>1</v>
      </c>
      <c r="J739" s="166">
        <f>ROUND(G739*H739*I739,0)</f>
        <v>192621</v>
      </c>
    </row>
    <row r="740" spans="1:10" x14ac:dyDescent="0.25">
      <c r="A740" s="168"/>
      <c r="B740" s="144"/>
      <c r="C740" s="34">
        <v>765</v>
      </c>
      <c r="D740" s="144" t="str">
        <f>'Máy thi công'!$B$162</f>
        <v>M9656</v>
      </c>
      <c r="E740" s="144" t="str">
        <f>" - " &amp; 'Máy thi công'!$D$162</f>
        <v xml:space="preserve"> - Đầm bánh hơi tự hành - trọng lượng: 9 t</v>
      </c>
      <c r="F740" s="168" t="str">
        <f>'Máy thi công'!$E$162</f>
        <v>ca</v>
      </c>
      <c r="G740" s="34">
        <f>'Hao phí vật tư'!$I$741</f>
        <v>0.187</v>
      </c>
      <c r="H740" s="68">
        <f>'Máy thi công'!$N$162</f>
        <v>1459416</v>
      </c>
      <c r="I740" s="37">
        <v>1</v>
      </c>
      <c r="J740" s="166">
        <f>ROUND(G740*H740*I740,0)</f>
        <v>272911</v>
      </c>
    </row>
    <row r="741" spans="1:10" x14ac:dyDescent="0.25">
      <c r="A741" s="65">
        <f>'Công trình'!$A$92</f>
        <v>72</v>
      </c>
      <c r="B741" s="14" t="str">
        <f>'Công trình'!$B$92</f>
        <v>AF.11121</v>
      </c>
      <c r="C741" s="94"/>
      <c r="D741" s="31"/>
      <c r="E741" s="14" t="str">
        <f>'Công trình'!$C$92</f>
        <v>Bê tông M100 đá 4x6</v>
      </c>
      <c r="F741" s="46" t="str">
        <f>'Công trình'!$D$92</f>
        <v>m3</v>
      </c>
      <c r="G741" s="94"/>
      <c r="H741" s="54"/>
      <c r="I741" s="98"/>
      <c r="J741" s="54"/>
    </row>
    <row r="742" spans="1:10" x14ac:dyDescent="0.25">
      <c r="A742" s="56"/>
      <c r="B742" s="23"/>
      <c r="C742" s="88"/>
      <c r="D742" s="23"/>
      <c r="E742" s="23" t="s">
        <v>479</v>
      </c>
      <c r="F742" s="56"/>
      <c r="G742" s="88"/>
      <c r="H742" s="48"/>
      <c r="I742" s="90"/>
      <c r="J742" s="48">
        <f>ROUND(SUM(J743:J746),0)</f>
        <v>819664</v>
      </c>
    </row>
    <row r="743" spans="1:10" x14ac:dyDescent="0.25">
      <c r="A743" s="168"/>
      <c r="B743" s="144"/>
      <c r="C743" s="34">
        <v>396</v>
      </c>
      <c r="D743" s="144" t="str">
        <f>'Vật liệu'!$B$716</f>
        <v>V00759</v>
      </c>
      <c r="E743" s="144" t="str">
        <f>" - " &amp; 'Vật liệu'!$D$716</f>
        <v xml:space="preserve"> - Xi măng PC30</v>
      </c>
      <c r="F743" s="168" t="str">
        <f>'Vật liệu'!$E$716</f>
        <v>kg</v>
      </c>
      <c r="G743" s="34">
        <f>'Hao phí vật tư'!$G$744</f>
        <v>200.85</v>
      </c>
      <c r="H743" s="68">
        <f>'Vật liệu'!$W$716</f>
        <v>1513</v>
      </c>
      <c r="I743" s="37">
        <v>1</v>
      </c>
      <c r="J743" s="166">
        <f>ROUND(G743*H743*I743,0)</f>
        <v>303886</v>
      </c>
    </row>
    <row r="744" spans="1:10" x14ac:dyDescent="0.25">
      <c r="A744" s="168"/>
      <c r="B744" s="144"/>
      <c r="C744" s="34">
        <v>125</v>
      </c>
      <c r="D744" s="144" t="str">
        <f>'Vật liệu'!$B$54</f>
        <v>V00112</v>
      </c>
      <c r="E744" s="144" t="str">
        <f>" - " &amp; 'Vật liệu'!$D$54</f>
        <v xml:space="preserve"> - Cát vàng</v>
      </c>
      <c r="F744" s="168" t="str">
        <f>'Vật liệu'!$E$54</f>
        <v>m3</v>
      </c>
      <c r="G744" s="34">
        <f>'Hao phí vật tư'!$G$745</f>
        <v>0.53149999999999997</v>
      </c>
      <c r="H744" s="68">
        <f>'Vật liệu'!$W$54</f>
        <v>420000</v>
      </c>
      <c r="I744" s="37">
        <v>1</v>
      </c>
      <c r="J744" s="166">
        <f>ROUND(G744*H744*I744,0)</f>
        <v>223230</v>
      </c>
    </row>
    <row r="745" spans="1:10" x14ac:dyDescent="0.25">
      <c r="A745" s="168"/>
      <c r="B745" s="144"/>
      <c r="C745" s="34">
        <v>419</v>
      </c>
      <c r="D745" s="144" t="str">
        <f>'Vật liệu'!$B$172</f>
        <v>V05209</v>
      </c>
      <c r="E745" s="144" t="str">
        <f>" - " &amp; 'Vật liệu'!$D$172</f>
        <v xml:space="preserve"> - Đá 4x6</v>
      </c>
      <c r="F745" s="168" t="str">
        <f>'Vật liệu'!$E$172</f>
        <v>m3</v>
      </c>
      <c r="G745" s="34">
        <f>'Hao phí vật tư'!$G$746</f>
        <v>0.93630000000000002</v>
      </c>
      <c r="H745" s="68">
        <f>'Vật liệu'!$W$172</f>
        <v>310636</v>
      </c>
      <c r="I745" s="37">
        <v>1</v>
      </c>
      <c r="J745" s="166">
        <f>ROUND(G745*H745*I745,0)</f>
        <v>290848</v>
      </c>
    </row>
    <row r="746" spans="1:10" x14ac:dyDescent="0.25">
      <c r="A746" s="168"/>
      <c r="B746" s="144"/>
      <c r="C746" s="34">
        <v>148</v>
      </c>
      <c r="D746" s="144" t="str">
        <f>'Vật liệu'!$B$353</f>
        <v>V00494</v>
      </c>
      <c r="E746" s="144" t="str">
        <f>" - " &amp; 'Vật liệu'!$D$353</f>
        <v xml:space="preserve"> - Nước</v>
      </c>
      <c r="F746" s="168" t="str">
        <f>'Vật liệu'!$E$353</f>
        <v>lít</v>
      </c>
      <c r="G746" s="34">
        <f>'Hao phí vật tư'!$G$747</f>
        <v>169.95</v>
      </c>
      <c r="H746" s="68">
        <f>'Vật liệu'!$W$353</f>
        <v>10</v>
      </c>
      <c r="I746" s="37">
        <v>1</v>
      </c>
      <c r="J746" s="166">
        <f>ROUND(G746*H746*I746,0)</f>
        <v>1700</v>
      </c>
    </row>
    <row r="747" spans="1:10" x14ac:dyDescent="0.25">
      <c r="A747" s="56"/>
      <c r="B747" s="23"/>
      <c r="C747" s="88"/>
      <c r="D747" s="23"/>
      <c r="E747" s="23" t="s">
        <v>202</v>
      </c>
      <c r="F747" s="56"/>
      <c r="G747" s="88"/>
      <c r="H747" s="48"/>
      <c r="I747" s="90"/>
      <c r="J747" s="48">
        <f>ROUND(SUM(J748:J748),0)</f>
        <v>230373</v>
      </c>
    </row>
    <row r="748" spans="1:10" x14ac:dyDescent="0.25">
      <c r="A748" s="168"/>
      <c r="B748" s="144"/>
      <c r="C748" s="34">
        <v>545</v>
      </c>
      <c r="D748" s="144" t="str">
        <f>'Nhân công'!$B$6</f>
        <v>N0006</v>
      </c>
      <c r="E748" s="144" t="s">
        <v>256</v>
      </c>
      <c r="F748" s="168" t="str">
        <f>'Nhân công'!$G$6</f>
        <v>công</v>
      </c>
      <c r="G748" s="34">
        <f>'Hao phí vật tư'!$H$749</f>
        <v>1.18</v>
      </c>
      <c r="H748" s="68">
        <f>'Nhân công'!$M$6</f>
        <v>195231</v>
      </c>
      <c r="I748" s="37">
        <v>1</v>
      </c>
      <c r="J748" s="166">
        <f>ROUND(G748*H748*I748,0)</f>
        <v>230373</v>
      </c>
    </row>
    <row r="749" spans="1:10" x14ac:dyDescent="0.25">
      <c r="A749" s="56"/>
      <c r="B749" s="23"/>
      <c r="C749" s="88"/>
      <c r="D749" s="23"/>
      <c r="E749" s="23" t="s">
        <v>378</v>
      </c>
      <c r="F749" s="56"/>
      <c r="G749" s="88"/>
      <c r="H749" s="48"/>
      <c r="I749" s="90"/>
      <c r="J749" s="48">
        <f>ROUND(SUM(J750:J751),0)</f>
        <v>47209</v>
      </c>
    </row>
    <row r="750" spans="1:10" x14ac:dyDescent="0.25">
      <c r="A750" s="168"/>
      <c r="B750" s="144"/>
      <c r="C750" s="34">
        <v>699</v>
      </c>
      <c r="D750" s="144" t="str">
        <f>'Máy thi công'!$B$226</f>
        <v>M112.1101</v>
      </c>
      <c r="E750" s="144" t="str">
        <f>" - " &amp; 'Máy thi công'!$D$226</f>
        <v xml:space="preserve"> - Máy đầm bê tông, đầm bàn - công suất: 1,0 kW</v>
      </c>
      <c r="F750" s="168" t="str">
        <f>'Máy thi công'!$E$226</f>
        <v>ca</v>
      </c>
      <c r="G750" s="34">
        <f>'Hao phí vật tư'!$I$751</f>
        <v>8.8999999999999996E-2</v>
      </c>
      <c r="H750" s="68">
        <f>'Máy thi công'!$N$226</f>
        <v>222547</v>
      </c>
      <c r="I750" s="37">
        <v>1</v>
      </c>
      <c r="J750" s="166">
        <f>ROUND(G750*H750*I750,0)</f>
        <v>19807</v>
      </c>
    </row>
    <row r="751" spans="1:10" x14ac:dyDescent="0.25">
      <c r="A751" s="168"/>
      <c r="B751" s="144"/>
      <c r="C751" s="34">
        <v>744</v>
      </c>
      <c r="D751" s="144" t="str">
        <f>'Máy thi công'!$B$306</f>
        <v>M9555</v>
      </c>
      <c r="E751" s="144" t="str">
        <f>" - " &amp; 'Máy thi công'!$D$306</f>
        <v xml:space="preserve"> - Máy trộn bê tông - dung tích: 250 lít</v>
      </c>
      <c r="F751" s="168" t="str">
        <f>'Máy thi công'!$E$306</f>
        <v>ca</v>
      </c>
      <c r="G751" s="34">
        <f>'Hao phí vật tư'!$I$752</f>
        <v>9.5000000000000001E-2</v>
      </c>
      <c r="H751" s="68">
        <f>'Máy thi công'!$N$306</f>
        <v>288447</v>
      </c>
      <c r="I751" s="37">
        <v>1</v>
      </c>
      <c r="J751" s="166">
        <f>ROUND(G751*H751*I751,0)</f>
        <v>27402</v>
      </c>
    </row>
    <row r="752" spans="1:10" x14ac:dyDescent="0.25">
      <c r="A752" s="65">
        <f>'Công trình'!$A$93</f>
        <v>73</v>
      </c>
      <c r="B752" s="14" t="str">
        <f>'Công trình'!$B$93</f>
        <v>AD.11212</v>
      </c>
      <c r="C752" s="94"/>
      <c r="D752" s="31"/>
      <c r="E752" s="14" t="str">
        <f>'Công trình'!$C$93</f>
        <v>Cấp phối đá 0x4</v>
      </c>
      <c r="F752" s="46" t="str">
        <f>'Công trình'!$D$93</f>
        <v>100m3</v>
      </c>
      <c r="G752" s="94"/>
      <c r="H752" s="54"/>
      <c r="I752" s="98"/>
      <c r="J752" s="54"/>
    </row>
    <row r="753" spans="1:10" x14ac:dyDescent="0.25">
      <c r="A753" s="56"/>
      <c r="B753" s="23"/>
      <c r="C753" s="88"/>
      <c r="D753" s="23"/>
      <c r="E753" s="23" t="s">
        <v>479</v>
      </c>
      <c r="F753" s="56"/>
      <c r="G753" s="88"/>
      <c r="H753" s="48"/>
      <c r="I753" s="90"/>
      <c r="J753" s="48">
        <f>ROUND(SUM(J754:J754),0)</f>
        <v>29093244</v>
      </c>
    </row>
    <row r="754" spans="1:10" x14ac:dyDescent="0.25">
      <c r="A754" s="168"/>
      <c r="B754" s="144"/>
      <c r="C754" s="34">
        <v>132</v>
      </c>
      <c r="D754" s="144" t="str">
        <f>'Vật liệu'!$B$40</f>
        <v>V00127</v>
      </c>
      <c r="E754" s="144" t="str">
        <f>" - " &amp; 'Vật liệu'!$D$40</f>
        <v xml:space="preserve"> - Cấp phối đá 0x4</v>
      </c>
      <c r="F754" s="168" t="str">
        <f>'Vật liệu'!$E$40</f>
        <v>m3</v>
      </c>
      <c r="G754" s="34">
        <f>'Hao phí vật tư'!$G$755</f>
        <v>142</v>
      </c>
      <c r="H754" s="68">
        <f>'Vật liệu'!$W$40</f>
        <v>204882</v>
      </c>
      <c r="I754" s="37">
        <v>1</v>
      </c>
      <c r="J754" s="166">
        <f>ROUND(G754*H754*I754,0)</f>
        <v>29093244</v>
      </c>
    </row>
    <row r="755" spans="1:10" x14ac:dyDescent="0.25">
      <c r="A755" s="56"/>
      <c r="B755" s="23"/>
      <c r="C755" s="88"/>
      <c r="D755" s="23"/>
      <c r="E755" s="23" t="s">
        <v>202</v>
      </c>
      <c r="F755" s="56"/>
      <c r="G755" s="88"/>
      <c r="H755" s="48"/>
      <c r="I755" s="90"/>
      <c r="J755" s="48">
        <f>ROUND(SUM(J756:J756),0)</f>
        <v>1008150</v>
      </c>
    </row>
    <row r="756" spans="1:10" x14ac:dyDescent="0.25">
      <c r="A756" s="168"/>
      <c r="B756" s="144"/>
      <c r="C756" s="34">
        <v>555</v>
      </c>
      <c r="D756" s="144" t="str">
        <f>'Nhân công'!$B$185</f>
        <v>N0020</v>
      </c>
      <c r="E756" s="144" t="s">
        <v>625</v>
      </c>
      <c r="F756" s="168" t="str">
        <f>'Nhân công'!$G$185</f>
        <v>công</v>
      </c>
      <c r="G756" s="34">
        <f>'Hao phí vật tư'!$H$757</f>
        <v>3.9</v>
      </c>
      <c r="H756" s="68">
        <f>'Nhân công'!$M$185</f>
        <v>258500</v>
      </c>
      <c r="I756" s="37">
        <v>1</v>
      </c>
      <c r="J756" s="166">
        <f>ROUND(G756*H756*I756,0)</f>
        <v>1008150</v>
      </c>
    </row>
    <row r="757" spans="1:10" x14ac:dyDescent="0.25">
      <c r="A757" s="56"/>
      <c r="B757" s="23"/>
      <c r="C757" s="88"/>
      <c r="D757" s="23"/>
      <c r="E757" s="23" t="s">
        <v>378</v>
      </c>
      <c r="F757" s="56"/>
      <c r="G757" s="88"/>
      <c r="H757" s="48"/>
      <c r="I757" s="90"/>
      <c r="J757" s="48">
        <f>ROUND(SUM(J758:J764),0)</f>
        <v>2681964</v>
      </c>
    </row>
    <row r="758" spans="1:10" x14ac:dyDescent="0.25">
      <c r="A758" s="168"/>
      <c r="B758" s="144"/>
      <c r="C758" s="34">
        <v>766</v>
      </c>
      <c r="D758" s="144" t="str">
        <f>'Máy thi công'!$B$167</f>
        <v>M9657</v>
      </c>
      <c r="E758" s="144" t="str">
        <f>" - " &amp; 'Máy thi công'!$D$167</f>
        <v xml:space="preserve"> - Đầm bánh thép tự hành - trọng lượng: 10 t</v>
      </c>
      <c r="F758" s="168" t="str">
        <f>'Máy thi công'!$E$167</f>
        <v>ca</v>
      </c>
      <c r="G758" s="34">
        <f>'Hao phí vật tư'!$I$759</f>
        <v>0.21</v>
      </c>
      <c r="H758" s="68">
        <f>'Máy thi công'!$N$167</f>
        <v>1121307</v>
      </c>
      <c r="I758" s="37">
        <v>1</v>
      </c>
      <c r="J758" s="166">
        <f t="shared" ref="J758:J763" si="9">ROUND(G758*H758*I758,0)</f>
        <v>235474</v>
      </c>
    </row>
    <row r="759" spans="1:10" x14ac:dyDescent="0.25">
      <c r="A759" s="168"/>
      <c r="B759" s="144"/>
      <c r="C759" s="34">
        <v>759</v>
      </c>
      <c r="D759" s="144" t="str">
        <f>'Máy thi công'!$B$374</f>
        <v>M9637</v>
      </c>
      <c r="E759" s="144" t="str">
        <f>" - " &amp; 'Máy thi công'!$D$374</f>
        <v xml:space="preserve"> - Ô tô tưới nước - dung tích: 5 m3</v>
      </c>
      <c r="F759" s="168" t="str">
        <f>'Máy thi công'!$E$374</f>
        <v>ca</v>
      </c>
      <c r="G759" s="34">
        <f>'Hao phí vật tư'!$I$760</f>
        <v>0.21</v>
      </c>
      <c r="H759" s="68">
        <f>'Máy thi công'!$N$374</f>
        <v>1132383</v>
      </c>
      <c r="I759" s="37">
        <v>1</v>
      </c>
      <c r="J759" s="166">
        <f t="shared" si="9"/>
        <v>237800</v>
      </c>
    </row>
    <row r="760" spans="1:10" x14ac:dyDescent="0.25">
      <c r="A760" s="168"/>
      <c r="B760" s="144"/>
      <c r="C760" s="34">
        <v>764</v>
      </c>
      <c r="D760" s="144" t="str">
        <f>'Máy thi công'!$B$158</f>
        <v>M9654</v>
      </c>
      <c r="E760" s="144" t="str">
        <f>" - " &amp; 'Máy thi công'!$D$158</f>
        <v xml:space="preserve"> - Đầm bánh hơi tự hành - trọng lượng: 16 t</v>
      </c>
      <c r="F760" s="168" t="str">
        <f>'Máy thi công'!$E$158</f>
        <v>ca</v>
      </c>
      <c r="G760" s="34">
        <f>'Hao phí vật tư'!$I$761</f>
        <v>0.34</v>
      </c>
      <c r="H760" s="68">
        <f>'Máy thi công'!$N$158</f>
        <v>1610120</v>
      </c>
      <c r="I760" s="37">
        <v>1</v>
      </c>
      <c r="J760" s="166">
        <f t="shared" si="9"/>
        <v>547441</v>
      </c>
    </row>
    <row r="761" spans="1:10" x14ac:dyDescent="0.25">
      <c r="A761" s="168"/>
      <c r="B761" s="144"/>
      <c r="C761" s="34">
        <v>753</v>
      </c>
      <c r="D761" s="144" t="str">
        <f>'Máy thi công'!$B$350</f>
        <v>M9578</v>
      </c>
      <c r="E761" s="144" t="str">
        <f>" - " &amp; 'Máy thi công'!$D$350</f>
        <v xml:space="preserve"> - Máy ủi - công suất: 108,0 CV (110CV)</v>
      </c>
      <c r="F761" s="168" t="str">
        <f>'Máy thi công'!$E$350</f>
        <v>ca</v>
      </c>
      <c r="G761" s="34">
        <f>'Hao phí vật tư'!$I$762</f>
        <v>0.42</v>
      </c>
      <c r="H761" s="68">
        <f>'Máy thi công'!$N$350</f>
        <v>2049156</v>
      </c>
      <c r="I761" s="37">
        <v>1</v>
      </c>
      <c r="J761" s="166">
        <f t="shared" si="9"/>
        <v>860646</v>
      </c>
    </row>
    <row r="762" spans="1:10" x14ac:dyDescent="0.25">
      <c r="A762" s="168"/>
      <c r="B762" s="144"/>
      <c r="C762" s="34">
        <v>743</v>
      </c>
      <c r="D762" s="144" t="str">
        <f>'Máy thi công'!$B$303</f>
        <v>M9553</v>
      </c>
      <c r="E762" s="144" t="str">
        <f>" - " &amp; 'Máy thi công'!$D$303</f>
        <v xml:space="preserve"> - Máy san tự hành - công suất: 108 cv</v>
      </c>
      <c r="F762" s="168" t="str">
        <f>'Máy thi công'!$E$303</f>
        <v>ca</v>
      </c>
      <c r="G762" s="34">
        <f>'Hao phí vật tư'!$I$763</f>
        <v>0.08</v>
      </c>
      <c r="H762" s="68">
        <f>'Máy thi công'!$N$303</f>
        <v>2166080</v>
      </c>
      <c r="I762" s="37">
        <v>1</v>
      </c>
      <c r="J762" s="166">
        <f t="shared" si="9"/>
        <v>173286</v>
      </c>
    </row>
    <row r="763" spans="1:10" x14ac:dyDescent="0.25">
      <c r="A763" s="168"/>
      <c r="B763" s="144"/>
      <c r="C763" s="34">
        <v>751</v>
      </c>
      <c r="D763" s="144" t="str">
        <f>'Máy thi công'!$B$261</f>
        <v>M9576</v>
      </c>
      <c r="E763" s="144" t="str">
        <f>" - " &amp; 'Máy thi công'!$D$261</f>
        <v xml:space="preserve"> - Máy đầm rung tự hành - trọng lượng: 25 t</v>
      </c>
      <c r="F763" s="168" t="str">
        <f>'Máy thi công'!$E$261</f>
        <v>ca</v>
      </c>
      <c r="G763" s="34">
        <f>'Hao phí vật tư'!$I$764</f>
        <v>0.21</v>
      </c>
      <c r="H763" s="68">
        <f>'Máy thi công'!$N$261</f>
        <v>2923684</v>
      </c>
      <c r="I763" s="37">
        <v>1</v>
      </c>
      <c r="J763" s="166">
        <f t="shared" si="9"/>
        <v>613974</v>
      </c>
    </row>
    <row r="764" spans="1:10" x14ac:dyDescent="0.25">
      <c r="A764" s="168"/>
      <c r="B764" s="144"/>
      <c r="C764" s="34">
        <v>682</v>
      </c>
      <c r="D764" s="144" t="str">
        <f>'Máy thi công'!$B$398</f>
        <v>M0111</v>
      </c>
      <c r="E764" s="144" t="str">
        <f>" - " &amp; 'Máy thi công'!$D$398</f>
        <v xml:space="preserve"> - Máy khác</v>
      </c>
      <c r="F764" s="168" t="str">
        <f>'Máy thi công'!$E$398</f>
        <v>%</v>
      </c>
      <c r="G764" s="34">
        <f>'Hao phí vật tư'!$I$765</f>
        <v>0.5</v>
      </c>
      <c r="H764" s="166">
        <f>'Máy thi công'!$N$398</f>
        <v>0</v>
      </c>
      <c r="I764" s="37">
        <v>1</v>
      </c>
      <c r="J764" s="166">
        <f>ROUND((J758+J759+J760+J761+J762+J763)*G764*I764/100,0)</f>
        <v>13343</v>
      </c>
    </row>
    <row r="765" spans="1:10" ht="28.5" x14ac:dyDescent="0.25">
      <c r="A765" s="65">
        <f>'Công trình'!$A$95</f>
        <v>74</v>
      </c>
      <c r="B765" s="14" t="str">
        <f>'Công trình'!$B$95</f>
        <v>KH.0102</v>
      </c>
      <c r="C765" s="94"/>
      <c r="D765" s="31"/>
      <c r="E765" s="14" t="str">
        <f>'Công trình'!$C$95</f>
        <v>Đóng cừ dừa bằng máy đào (TT theo MHĐM KH.0102  định mức 1751)</v>
      </c>
      <c r="F765" s="46" t="str">
        <f>'Công trình'!$D$95</f>
        <v>100m</v>
      </c>
      <c r="G765" s="94"/>
      <c r="H765" s="54"/>
      <c r="I765" s="98"/>
      <c r="J765" s="54"/>
    </row>
    <row r="766" spans="1:10" x14ac:dyDescent="0.25">
      <c r="A766" s="56"/>
      <c r="B766" s="23"/>
      <c r="C766" s="88"/>
      <c r="D766" s="23"/>
      <c r="E766" s="23" t="s">
        <v>479</v>
      </c>
      <c r="F766" s="56"/>
      <c r="G766" s="88"/>
      <c r="H766" s="48"/>
      <c r="I766" s="90"/>
      <c r="J766" s="48">
        <f>ROUND(SUM(J767:J767),0)</f>
        <v>3681825</v>
      </c>
    </row>
    <row r="767" spans="1:10" x14ac:dyDescent="0.25">
      <c r="A767" s="168"/>
      <c r="B767" s="144"/>
      <c r="C767" s="34">
        <v>443</v>
      </c>
      <c r="D767" s="144" t="str">
        <f>'Vật liệu'!$B$132</f>
        <v>V10429</v>
      </c>
      <c r="E767" s="144" t="str">
        <f>" - " &amp; 'Vật liệu'!$D$132</f>
        <v xml:space="preserve"> - Cừ dừa</v>
      </c>
      <c r="F767" s="168" t="str">
        <f>'Vật liệu'!$E$132</f>
        <v>m</v>
      </c>
      <c r="G767" s="34">
        <f>'Hao phí vật tư'!$G$768</f>
        <v>105</v>
      </c>
      <c r="H767" s="68">
        <f>'Vật liệu'!$W$132</f>
        <v>35065</v>
      </c>
      <c r="I767" s="37">
        <v>1</v>
      </c>
      <c r="J767" s="166">
        <f>ROUND(G767*H767*I767,0)</f>
        <v>3681825</v>
      </c>
    </row>
    <row r="768" spans="1:10" x14ac:dyDescent="0.25">
      <c r="A768" s="56"/>
      <c r="B768" s="23"/>
      <c r="C768" s="88"/>
      <c r="D768" s="23"/>
      <c r="E768" s="23" t="s">
        <v>202</v>
      </c>
      <c r="F768" s="56"/>
      <c r="G768" s="88"/>
      <c r="H768" s="48"/>
      <c r="I768" s="90"/>
      <c r="J768" s="48">
        <f>ROUND(SUM(J769:J769),0)</f>
        <v>702425</v>
      </c>
    </row>
    <row r="769" spans="1:10" x14ac:dyDescent="0.25">
      <c r="A769" s="168"/>
      <c r="B769" s="144"/>
      <c r="C769" s="34">
        <v>546</v>
      </c>
      <c r="D769" s="144" t="str">
        <f>'Nhân công'!$B$45</f>
        <v>N0009</v>
      </c>
      <c r="E769" s="144" t="s">
        <v>1052</v>
      </c>
      <c r="F769" s="168" t="str">
        <f>'Nhân công'!$G$45</f>
        <v>công</v>
      </c>
      <c r="G769" s="34">
        <f>'Hao phí vật tư'!$H$770</f>
        <v>3.3</v>
      </c>
      <c r="H769" s="68">
        <f>'Nhân công'!$M$45</f>
        <v>212856</v>
      </c>
      <c r="I769" s="37">
        <v>1</v>
      </c>
      <c r="J769" s="166">
        <f>ROUND(G769*H769*I769,0)</f>
        <v>702425</v>
      </c>
    </row>
    <row r="770" spans="1:10" x14ac:dyDescent="0.25">
      <c r="A770" s="56"/>
      <c r="B770" s="23"/>
      <c r="C770" s="88"/>
      <c r="D770" s="23"/>
      <c r="E770" s="23" t="s">
        <v>378</v>
      </c>
      <c r="F770" s="56"/>
      <c r="G770" s="88"/>
      <c r="H770" s="48"/>
      <c r="I770" s="90"/>
      <c r="J770" s="48">
        <f>ROUND(SUM(J771:J771),0)</f>
        <v>823538</v>
      </c>
    </row>
    <row r="771" spans="1:10" x14ac:dyDescent="0.25">
      <c r="A771" s="168"/>
      <c r="B771" s="144"/>
      <c r="C771" s="34">
        <v>696</v>
      </c>
      <c r="D771" s="144" t="str">
        <f>'Máy thi công'!$B$265</f>
        <v>M0171</v>
      </c>
      <c r="E771" s="144" t="str">
        <f>" - " &amp; 'Máy thi công'!$D$265</f>
        <v xml:space="preserve"> - Máy đào 0,5m3</v>
      </c>
      <c r="F771" s="168" t="str">
        <f>'Máy thi công'!$E$265</f>
        <v>ca</v>
      </c>
      <c r="G771" s="34">
        <f>'Hao phí vật tư'!$I$772</f>
        <v>0.38700000000000001</v>
      </c>
      <c r="H771" s="68">
        <f>'Máy thi công'!$N$265</f>
        <v>2128006</v>
      </c>
      <c r="I771" s="37">
        <v>1</v>
      </c>
      <c r="J771" s="166">
        <f>ROUND(G771*H771*I771,0)</f>
        <v>823538</v>
      </c>
    </row>
    <row r="772" spans="1:10" ht="28.5" x14ac:dyDescent="0.25">
      <c r="A772" s="65">
        <f>'Công trình'!$A$96</f>
        <v>75</v>
      </c>
      <c r="B772" s="14" t="str">
        <f>'Công trình'!$B$96</f>
        <v>AC.11121</v>
      </c>
      <c r="C772" s="94"/>
      <c r="D772" s="31"/>
      <c r="E772" s="14" t="str">
        <f>'Công trình'!$C$96</f>
        <v>Đóng cọc tràm chiều dài cọc ngập đất &gt;2,5m đất cấp I</v>
      </c>
      <c r="F772" s="46" t="str">
        <f>'Công trình'!$D$96</f>
        <v>100m</v>
      </c>
      <c r="G772" s="94"/>
      <c r="H772" s="54"/>
      <c r="I772" s="98"/>
      <c r="J772" s="54"/>
    </row>
    <row r="773" spans="1:10" x14ac:dyDescent="0.25">
      <c r="A773" s="56"/>
      <c r="B773" s="23"/>
      <c r="C773" s="88"/>
      <c r="D773" s="23"/>
      <c r="E773" s="23" t="s">
        <v>479</v>
      </c>
      <c r="F773" s="56"/>
      <c r="G773" s="88"/>
      <c r="H773" s="48"/>
      <c r="I773" s="90"/>
      <c r="J773" s="48">
        <f>ROUND(SUM(J774:J777),0)</f>
        <v>767494</v>
      </c>
    </row>
    <row r="774" spans="1:10" x14ac:dyDescent="0.25">
      <c r="A774" s="168"/>
      <c r="B774" s="144"/>
      <c r="C774" s="34">
        <v>142</v>
      </c>
      <c r="D774" s="144" t="str">
        <f>'Vật liệu'!$B$307</f>
        <v>V00402</v>
      </c>
      <c r="E774" s="144" t="str">
        <f>" - " &amp; 'Vật liệu'!$D$307</f>
        <v xml:space="preserve"> - Gỗ ván</v>
      </c>
      <c r="F774" s="168" t="str">
        <f>'Vật liệu'!$E$307</f>
        <v>m3</v>
      </c>
      <c r="G774" s="34">
        <f>'Hao phí vật tư'!$G$775</f>
        <v>0.01</v>
      </c>
      <c r="H774" s="68">
        <f>'Vật liệu'!$W$307</f>
        <v>3272727</v>
      </c>
      <c r="I774" s="37">
        <v>1</v>
      </c>
      <c r="J774" s="166">
        <f>ROUND(G774*H774*I774,0)</f>
        <v>32727</v>
      </c>
    </row>
    <row r="775" spans="1:10" x14ac:dyDescent="0.25">
      <c r="A775" s="168"/>
      <c r="B775" s="144"/>
      <c r="C775" s="34">
        <v>466</v>
      </c>
      <c r="D775" s="144" t="str">
        <f>'Vật liệu'!$B$124</f>
        <v>V32325</v>
      </c>
      <c r="E775" s="144" t="str">
        <f>" - " &amp; 'Vật liệu'!$D$124</f>
        <v xml:space="preserve"> - Cọc tràm</v>
      </c>
      <c r="F775" s="168" t="str">
        <f>'Vật liệu'!$E$124</f>
        <v>m</v>
      </c>
      <c r="G775" s="34">
        <f>'Hao phí vật tư'!$G$776</f>
        <v>105</v>
      </c>
      <c r="H775" s="68">
        <f>'Vật liệu'!$W$124</f>
        <v>6364</v>
      </c>
      <c r="I775" s="37">
        <v>1</v>
      </c>
      <c r="J775" s="166">
        <f>ROUND(G775*H775*I775,0)</f>
        <v>668220</v>
      </c>
    </row>
    <row r="776" spans="1:10" x14ac:dyDescent="0.25">
      <c r="A776" s="168"/>
      <c r="B776" s="144"/>
      <c r="C776" s="34">
        <v>129</v>
      </c>
      <c r="D776" s="144" t="str">
        <f>'Vật liệu'!$B$101</f>
        <v>V00116</v>
      </c>
      <c r="E776" s="144" t="str">
        <f>" - " &amp; 'Vật liệu'!$D$101</f>
        <v xml:space="preserve"> - Cây chống</v>
      </c>
      <c r="F776" s="168" t="str">
        <f>'Vật liệu'!$E$101</f>
        <v>cây</v>
      </c>
      <c r="G776" s="34">
        <f>'Hao phí vật tư'!$G$777</f>
        <v>1.65</v>
      </c>
      <c r="H776" s="68">
        <f>'Vật liệu'!$W$101</f>
        <v>18182</v>
      </c>
      <c r="I776" s="37">
        <v>1</v>
      </c>
      <c r="J776" s="166">
        <f>ROUND(G776*H776*I776,0)</f>
        <v>30000</v>
      </c>
    </row>
    <row r="777" spans="1:10" x14ac:dyDescent="0.25">
      <c r="A777" s="168"/>
      <c r="B777" s="144"/>
      <c r="C777" s="34">
        <v>225</v>
      </c>
      <c r="D777" s="144" t="str">
        <f>'Vật liệu'!$B$766</f>
        <v>V00750</v>
      </c>
      <c r="E777" s="144" t="str">
        <f>" - " &amp; 'Vật liệu'!$D$766</f>
        <v xml:space="preserve"> - Vật liệu khác</v>
      </c>
      <c r="F777" s="168" t="str">
        <f>'Vật liệu'!$E$766</f>
        <v>%</v>
      </c>
      <c r="G777" s="34">
        <f>'Hao phí vật tư'!$G$778</f>
        <v>5</v>
      </c>
      <c r="H777" s="166">
        <f>'Vật liệu'!$W$766</f>
        <v>0</v>
      </c>
      <c r="I777" s="37">
        <v>1</v>
      </c>
      <c r="J777" s="166">
        <f>ROUND((J774+J775+J776)*G777*I777/100,0)</f>
        <v>36547</v>
      </c>
    </row>
    <row r="778" spans="1:10" x14ac:dyDescent="0.25">
      <c r="A778" s="56"/>
      <c r="B778" s="23"/>
      <c r="C778" s="88"/>
      <c r="D778" s="23"/>
      <c r="E778" s="23" t="s">
        <v>202</v>
      </c>
      <c r="F778" s="56"/>
      <c r="G778" s="88"/>
      <c r="H778" s="48"/>
      <c r="I778" s="90"/>
      <c r="J778" s="48">
        <f>ROUND(SUM(J779:J779),0)</f>
        <v>605983</v>
      </c>
    </row>
    <row r="779" spans="1:10" x14ac:dyDescent="0.25">
      <c r="A779" s="168"/>
      <c r="B779" s="144"/>
      <c r="C779" s="34">
        <v>554</v>
      </c>
      <c r="D779" s="144" t="str">
        <f>'Nhân công'!$B$103</f>
        <v>N0015</v>
      </c>
      <c r="E779" s="144" t="s">
        <v>1014</v>
      </c>
      <c r="F779" s="168" t="str">
        <f>'Nhân công'!$G$103</f>
        <v>công</v>
      </c>
      <c r="G779" s="34">
        <f>'Hao phí vật tư'!$H$780</f>
        <v>2.5299999999999998</v>
      </c>
      <c r="H779" s="68">
        <f>'Nhân công'!$M$103</f>
        <v>239519</v>
      </c>
      <c r="I779" s="37">
        <v>1</v>
      </c>
      <c r="J779" s="166">
        <f>ROUND(G779*H779*I779,0)</f>
        <v>605983</v>
      </c>
    </row>
    <row r="780" spans="1:10" x14ac:dyDescent="0.25">
      <c r="A780" s="65">
        <f>'Công trình'!$A$97</f>
        <v>76</v>
      </c>
      <c r="B780" s="14" t="str">
        <f>'Công trình'!$B$97</f>
        <v>AL.16122</v>
      </c>
      <c r="C780" s="94"/>
      <c r="D780" s="31"/>
      <c r="E780" s="14" t="str">
        <f>'Công trình'!$C$97</f>
        <v>Rải vải địa kỹ thuật làm móng công trình</v>
      </c>
      <c r="F780" s="46" t="str">
        <f>'Công trình'!$D$97</f>
        <v>100m2</v>
      </c>
      <c r="G780" s="94"/>
      <c r="H780" s="54"/>
      <c r="I780" s="98"/>
      <c r="J780" s="54"/>
    </row>
    <row r="781" spans="1:10" x14ac:dyDescent="0.25">
      <c r="A781" s="56"/>
      <c r="B781" s="23"/>
      <c r="C781" s="88"/>
      <c r="D781" s="23"/>
      <c r="E781" s="23" t="s">
        <v>479</v>
      </c>
      <c r="F781" s="56"/>
      <c r="G781" s="88"/>
      <c r="H781" s="48"/>
      <c r="I781" s="90"/>
      <c r="J781" s="48">
        <f>ROUND(SUM(J782:J783),0)</f>
        <v>2592044</v>
      </c>
    </row>
    <row r="782" spans="1:10" x14ac:dyDescent="0.25">
      <c r="A782" s="168"/>
      <c r="B782" s="144"/>
      <c r="C782" s="34">
        <v>174</v>
      </c>
      <c r="D782" s="144" t="str">
        <f>'Vật liệu'!$B$709</f>
        <v>V00749</v>
      </c>
      <c r="E782" s="144" t="str">
        <f>" - " &amp; 'Vật liệu'!$D$709</f>
        <v xml:space="preserve"> - Vải địa kỹ thuật</v>
      </c>
      <c r="F782" s="168" t="str">
        <f>'Vật liệu'!$E$709</f>
        <v>m2</v>
      </c>
      <c r="G782" s="34">
        <f>'Hao phí vật tư'!$G$783</f>
        <v>110</v>
      </c>
      <c r="H782" s="68">
        <f>'Vật liệu'!$W$709</f>
        <v>23517</v>
      </c>
      <c r="I782" s="37">
        <v>1</v>
      </c>
      <c r="J782" s="166">
        <f>ROUND(G782*H782*I782,0)</f>
        <v>2586870</v>
      </c>
    </row>
    <row r="783" spans="1:10" x14ac:dyDescent="0.25">
      <c r="A783" s="168"/>
      <c r="B783" s="144"/>
      <c r="C783" s="34">
        <v>226</v>
      </c>
      <c r="D783" s="144" t="str">
        <f>'Vật liệu'!$B$766</f>
        <v>V00750</v>
      </c>
      <c r="E783" s="144" t="str">
        <f>" - " &amp; 'Vật liệu'!$D$766</f>
        <v xml:space="preserve"> - Vật liệu khác</v>
      </c>
      <c r="F783" s="168" t="str">
        <f>'Vật liệu'!$E$766</f>
        <v>%</v>
      </c>
      <c r="G783" s="34">
        <f>'Hao phí vật tư'!$G$784</f>
        <v>0.2</v>
      </c>
      <c r="H783" s="166">
        <f>'Vật liệu'!$W$766</f>
        <v>0</v>
      </c>
      <c r="I783" s="37">
        <v>1</v>
      </c>
      <c r="J783" s="166">
        <f>ROUND((J782)*G783*I783/100,0)</f>
        <v>5174</v>
      </c>
    </row>
    <row r="784" spans="1:10" x14ac:dyDescent="0.25">
      <c r="A784" s="56"/>
      <c r="B784" s="23"/>
      <c r="C784" s="88"/>
      <c r="D784" s="23"/>
      <c r="E784" s="23" t="s">
        <v>202</v>
      </c>
      <c r="F784" s="56"/>
      <c r="G784" s="88"/>
      <c r="H784" s="48"/>
      <c r="I784" s="90"/>
      <c r="J784" s="48">
        <f>ROUND(SUM(J785:J785),0)</f>
        <v>258681</v>
      </c>
    </row>
    <row r="785" spans="1:10" x14ac:dyDescent="0.25">
      <c r="A785" s="168"/>
      <c r="B785" s="144"/>
      <c r="C785" s="34">
        <v>554</v>
      </c>
      <c r="D785" s="144" t="str">
        <f>'Nhân công'!$B$103</f>
        <v>N0015</v>
      </c>
      <c r="E785" s="144" t="s">
        <v>1014</v>
      </c>
      <c r="F785" s="168" t="str">
        <f>'Nhân công'!$G$103</f>
        <v>công</v>
      </c>
      <c r="G785" s="34">
        <f>'Hao phí vật tư'!$H$786</f>
        <v>1.08</v>
      </c>
      <c r="H785" s="68">
        <f>'Nhân công'!$M$103</f>
        <v>239519</v>
      </c>
      <c r="I785" s="37">
        <v>1</v>
      </c>
      <c r="J785" s="166">
        <f>ROUND(G785*H785*I785,0)</f>
        <v>258681</v>
      </c>
    </row>
    <row r="786" spans="1:10" x14ac:dyDescent="0.25">
      <c r="A786" s="65">
        <f>'Công trình'!$A$98</f>
        <v>77</v>
      </c>
      <c r="B786" s="14" t="str">
        <f>'Công trình'!$B$98</f>
        <v>AD.11212</v>
      </c>
      <c r="C786" s="94"/>
      <c r="D786" s="31"/>
      <c r="E786" s="14" t="str">
        <f>'Công trình'!$C$98</f>
        <v>Cấp phối đá 0x4</v>
      </c>
      <c r="F786" s="46" t="str">
        <f>'Công trình'!$D$98</f>
        <v>100m3</v>
      </c>
      <c r="G786" s="94"/>
      <c r="H786" s="54"/>
      <c r="I786" s="98"/>
      <c r="J786" s="54"/>
    </row>
    <row r="787" spans="1:10" x14ac:dyDescent="0.25">
      <c r="A787" s="56"/>
      <c r="B787" s="23"/>
      <c r="C787" s="88"/>
      <c r="D787" s="23"/>
      <c r="E787" s="23" t="s">
        <v>479</v>
      </c>
      <c r="F787" s="56"/>
      <c r="G787" s="88"/>
      <c r="H787" s="48"/>
      <c r="I787" s="90"/>
      <c r="J787" s="48">
        <f>ROUND(SUM(J788:J788),0)</f>
        <v>29093244</v>
      </c>
    </row>
    <row r="788" spans="1:10" x14ac:dyDescent="0.25">
      <c r="A788" s="168"/>
      <c r="B788" s="144"/>
      <c r="C788" s="34">
        <v>132</v>
      </c>
      <c r="D788" s="144" t="str">
        <f>'Vật liệu'!$B$40</f>
        <v>V00127</v>
      </c>
      <c r="E788" s="144" t="str">
        <f>" - " &amp; 'Vật liệu'!$D$40</f>
        <v xml:space="preserve"> - Cấp phối đá 0x4</v>
      </c>
      <c r="F788" s="168" t="str">
        <f>'Vật liệu'!$E$40</f>
        <v>m3</v>
      </c>
      <c r="G788" s="34">
        <f>'Hao phí vật tư'!$G$789</f>
        <v>142</v>
      </c>
      <c r="H788" s="68">
        <f>'Vật liệu'!$W$40</f>
        <v>204882</v>
      </c>
      <c r="I788" s="37">
        <v>1</v>
      </c>
      <c r="J788" s="166">
        <f>ROUND(G788*H788*I788,0)</f>
        <v>29093244</v>
      </c>
    </row>
    <row r="789" spans="1:10" x14ac:dyDescent="0.25">
      <c r="A789" s="56"/>
      <c r="B789" s="23"/>
      <c r="C789" s="88"/>
      <c r="D789" s="23"/>
      <c r="E789" s="23" t="s">
        <v>202</v>
      </c>
      <c r="F789" s="56"/>
      <c r="G789" s="88"/>
      <c r="H789" s="48"/>
      <c r="I789" s="90"/>
      <c r="J789" s="48">
        <f>ROUND(SUM(J790:J790),0)</f>
        <v>1008150</v>
      </c>
    </row>
    <row r="790" spans="1:10" x14ac:dyDescent="0.25">
      <c r="A790" s="168"/>
      <c r="B790" s="144"/>
      <c r="C790" s="34">
        <v>555</v>
      </c>
      <c r="D790" s="144" t="str">
        <f>'Nhân công'!$B$185</f>
        <v>N0020</v>
      </c>
      <c r="E790" s="144" t="s">
        <v>625</v>
      </c>
      <c r="F790" s="168" t="str">
        <f>'Nhân công'!$G$185</f>
        <v>công</v>
      </c>
      <c r="G790" s="34">
        <f>'Hao phí vật tư'!$H$791</f>
        <v>3.9</v>
      </c>
      <c r="H790" s="68">
        <f>'Nhân công'!$M$185</f>
        <v>258500</v>
      </c>
      <c r="I790" s="37">
        <v>1</v>
      </c>
      <c r="J790" s="166">
        <f>ROUND(G790*H790*I790,0)</f>
        <v>1008150</v>
      </c>
    </row>
    <row r="791" spans="1:10" x14ac:dyDescent="0.25">
      <c r="A791" s="56"/>
      <c r="B791" s="23"/>
      <c r="C791" s="88"/>
      <c r="D791" s="23"/>
      <c r="E791" s="23" t="s">
        <v>378</v>
      </c>
      <c r="F791" s="56"/>
      <c r="G791" s="88"/>
      <c r="H791" s="48"/>
      <c r="I791" s="90"/>
      <c r="J791" s="48">
        <f>ROUND(SUM(J792:J798),0)</f>
        <v>2681964</v>
      </c>
    </row>
    <row r="792" spans="1:10" x14ac:dyDescent="0.25">
      <c r="A792" s="168"/>
      <c r="B792" s="144"/>
      <c r="C792" s="34">
        <v>766</v>
      </c>
      <c r="D792" s="144" t="str">
        <f>'Máy thi công'!$B$167</f>
        <v>M9657</v>
      </c>
      <c r="E792" s="144" t="str">
        <f>" - " &amp; 'Máy thi công'!$D$167</f>
        <v xml:space="preserve"> - Đầm bánh thép tự hành - trọng lượng: 10 t</v>
      </c>
      <c r="F792" s="168" t="str">
        <f>'Máy thi công'!$E$167</f>
        <v>ca</v>
      </c>
      <c r="G792" s="34">
        <f>'Hao phí vật tư'!$I$793</f>
        <v>0.21</v>
      </c>
      <c r="H792" s="68">
        <f>'Máy thi công'!$N$167</f>
        <v>1121307</v>
      </c>
      <c r="I792" s="37">
        <v>1</v>
      </c>
      <c r="J792" s="166">
        <f t="shared" ref="J792:J797" si="10">ROUND(G792*H792*I792,0)</f>
        <v>235474</v>
      </c>
    </row>
    <row r="793" spans="1:10" x14ac:dyDescent="0.25">
      <c r="A793" s="168"/>
      <c r="B793" s="144"/>
      <c r="C793" s="34">
        <v>759</v>
      </c>
      <c r="D793" s="144" t="str">
        <f>'Máy thi công'!$B$374</f>
        <v>M9637</v>
      </c>
      <c r="E793" s="144" t="str">
        <f>" - " &amp; 'Máy thi công'!$D$374</f>
        <v xml:space="preserve"> - Ô tô tưới nước - dung tích: 5 m3</v>
      </c>
      <c r="F793" s="168" t="str">
        <f>'Máy thi công'!$E$374</f>
        <v>ca</v>
      </c>
      <c r="G793" s="34">
        <f>'Hao phí vật tư'!$I$794</f>
        <v>0.21</v>
      </c>
      <c r="H793" s="68">
        <f>'Máy thi công'!$N$374</f>
        <v>1132383</v>
      </c>
      <c r="I793" s="37">
        <v>1</v>
      </c>
      <c r="J793" s="166">
        <f t="shared" si="10"/>
        <v>237800</v>
      </c>
    </row>
    <row r="794" spans="1:10" x14ac:dyDescent="0.25">
      <c r="A794" s="168"/>
      <c r="B794" s="144"/>
      <c r="C794" s="34">
        <v>764</v>
      </c>
      <c r="D794" s="144" t="str">
        <f>'Máy thi công'!$B$158</f>
        <v>M9654</v>
      </c>
      <c r="E794" s="144" t="str">
        <f>" - " &amp; 'Máy thi công'!$D$158</f>
        <v xml:space="preserve"> - Đầm bánh hơi tự hành - trọng lượng: 16 t</v>
      </c>
      <c r="F794" s="168" t="str">
        <f>'Máy thi công'!$E$158</f>
        <v>ca</v>
      </c>
      <c r="G794" s="34">
        <f>'Hao phí vật tư'!$I$795</f>
        <v>0.34</v>
      </c>
      <c r="H794" s="68">
        <f>'Máy thi công'!$N$158</f>
        <v>1610120</v>
      </c>
      <c r="I794" s="37">
        <v>1</v>
      </c>
      <c r="J794" s="166">
        <f t="shared" si="10"/>
        <v>547441</v>
      </c>
    </row>
    <row r="795" spans="1:10" x14ac:dyDescent="0.25">
      <c r="A795" s="168"/>
      <c r="B795" s="144"/>
      <c r="C795" s="34">
        <v>753</v>
      </c>
      <c r="D795" s="144" t="str">
        <f>'Máy thi công'!$B$350</f>
        <v>M9578</v>
      </c>
      <c r="E795" s="144" t="str">
        <f>" - " &amp; 'Máy thi công'!$D$350</f>
        <v xml:space="preserve"> - Máy ủi - công suất: 108,0 CV (110CV)</v>
      </c>
      <c r="F795" s="168" t="str">
        <f>'Máy thi công'!$E$350</f>
        <v>ca</v>
      </c>
      <c r="G795" s="34">
        <f>'Hao phí vật tư'!$I$796</f>
        <v>0.42</v>
      </c>
      <c r="H795" s="68">
        <f>'Máy thi công'!$N$350</f>
        <v>2049156</v>
      </c>
      <c r="I795" s="37">
        <v>1</v>
      </c>
      <c r="J795" s="166">
        <f t="shared" si="10"/>
        <v>860646</v>
      </c>
    </row>
    <row r="796" spans="1:10" x14ac:dyDescent="0.25">
      <c r="A796" s="168"/>
      <c r="B796" s="144"/>
      <c r="C796" s="34">
        <v>743</v>
      </c>
      <c r="D796" s="144" t="str">
        <f>'Máy thi công'!$B$303</f>
        <v>M9553</v>
      </c>
      <c r="E796" s="144" t="str">
        <f>" - " &amp; 'Máy thi công'!$D$303</f>
        <v xml:space="preserve"> - Máy san tự hành - công suất: 108 cv</v>
      </c>
      <c r="F796" s="168" t="str">
        <f>'Máy thi công'!$E$303</f>
        <v>ca</v>
      </c>
      <c r="G796" s="34">
        <f>'Hao phí vật tư'!$I$797</f>
        <v>0.08</v>
      </c>
      <c r="H796" s="68">
        <f>'Máy thi công'!$N$303</f>
        <v>2166080</v>
      </c>
      <c r="I796" s="37">
        <v>1</v>
      </c>
      <c r="J796" s="166">
        <f t="shared" si="10"/>
        <v>173286</v>
      </c>
    </row>
    <row r="797" spans="1:10" x14ac:dyDescent="0.25">
      <c r="A797" s="168"/>
      <c r="B797" s="144"/>
      <c r="C797" s="34">
        <v>751</v>
      </c>
      <c r="D797" s="144" t="str">
        <f>'Máy thi công'!$B$261</f>
        <v>M9576</v>
      </c>
      <c r="E797" s="144" t="str">
        <f>" - " &amp; 'Máy thi công'!$D$261</f>
        <v xml:space="preserve"> - Máy đầm rung tự hành - trọng lượng: 25 t</v>
      </c>
      <c r="F797" s="168" t="str">
        <f>'Máy thi công'!$E$261</f>
        <v>ca</v>
      </c>
      <c r="G797" s="34">
        <f>'Hao phí vật tư'!$I$798</f>
        <v>0.21</v>
      </c>
      <c r="H797" s="68">
        <f>'Máy thi công'!$N$261</f>
        <v>2923684</v>
      </c>
      <c r="I797" s="37">
        <v>1</v>
      </c>
      <c r="J797" s="166">
        <f t="shared" si="10"/>
        <v>613974</v>
      </c>
    </row>
    <row r="798" spans="1:10" x14ac:dyDescent="0.25">
      <c r="A798" s="168"/>
      <c r="B798" s="144"/>
      <c r="C798" s="34">
        <v>588</v>
      </c>
      <c r="D798" s="144" t="str">
        <f>'Máy thi công'!$B$398</f>
        <v>M0111</v>
      </c>
      <c r="E798" s="144" t="str">
        <f>" - " &amp; 'Máy thi công'!$D$398</f>
        <v xml:space="preserve"> - Máy khác</v>
      </c>
      <c r="F798" s="168" t="str">
        <f>'Máy thi công'!$E$398</f>
        <v>%</v>
      </c>
      <c r="G798" s="34">
        <f>'Hao phí vật tư'!$I$799</f>
        <v>0.5</v>
      </c>
      <c r="H798" s="166">
        <f>'Máy thi công'!$N$398</f>
        <v>0</v>
      </c>
      <c r="I798" s="37">
        <v>1</v>
      </c>
      <c r="J798" s="166">
        <f>ROUND((J792+J793+J794+J795+J796+J797)*G798*I798/100,0)</f>
        <v>13343</v>
      </c>
    </row>
    <row r="799" spans="1:10" ht="28.5" x14ac:dyDescent="0.25">
      <c r="A799" s="65">
        <f>'Công trình'!$A$99</f>
        <v>78</v>
      </c>
      <c r="B799" s="14" t="str">
        <f>'Công trình'!$B$99</f>
        <v>TT</v>
      </c>
      <c r="C799" s="94"/>
      <c r="D799" s="31"/>
      <c r="E799" s="14" t="str">
        <f>'Công trình'!$C$99</f>
        <v>Đắp đê quây bằng bao tải cát (VD định mức đắp bao tải đất theo QĐ số 4416/QĐ-BGTVT)</v>
      </c>
      <c r="F799" s="46" t="str">
        <f>'Công trình'!$D$99</f>
        <v>m3</v>
      </c>
      <c r="G799" s="94"/>
      <c r="H799" s="54"/>
      <c r="I799" s="98"/>
      <c r="J799" s="54"/>
    </row>
    <row r="800" spans="1:10" x14ac:dyDescent="0.25">
      <c r="A800" s="56"/>
      <c r="B800" s="23"/>
      <c r="C800" s="88"/>
      <c r="D800" s="23"/>
      <c r="E800" s="23" t="s">
        <v>479</v>
      </c>
      <c r="F800" s="56"/>
      <c r="G800" s="88"/>
      <c r="H800" s="48"/>
      <c r="I800" s="90"/>
      <c r="J800" s="48">
        <f>ROUND(SUM(J801:J803),0)</f>
        <v>339240</v>
      </c>
    </row>
    <row r="801" spans="1:10" x14ac:dyDescent="0.25">
      <c r="A801" s="168"/>
      <c r="B801" s="144"/>
      <c r="C801" s="34">
        <v>127</v>
      </c>
      <c r="D801" s="144" t="str">
        <f>'Vật liệu'!$B$45</f>
        <v>V00113</v>
      </c>
      <c r="E801" s="144" t="str">
        <f>" - " &amp; 'Vật liệu'!$D$45</f>
        <v xml:space="preserve"> - Cát đen</v>
      </c>
      <c r="F801" s="168" t="str">
        <f>'Vật liệu'!$E$45</f>
        <v>m3</v>
      </c>
      <c r="G801" s="34">
        <f>'Hao phí vật tư'!$G$802</f>
        <v>1.22</v>
      </c>
      <c r="H801" s="68">
        <f>'Vật liệu'!$W$45</f>
        <v>225000</v>
      </c>
      <c r="I801" s="37">
        <v>1</v>
      </c>
      <c r="J801" s="166">
        <f>ROUND(G801*H801*I801,0)</f>
        <v>274500</v>
      </c>
    </row>
    <row r="802" spans="1:10" x14ac:dyDescent="0.25">
      <c r="A802" s="168"/>
      <c r="B802" s="144"/>
      <c r="C802" s="34">
        <v>520</v>
      </c>
      <c r="D802" s="144" t="str">
        <f>'Vật liệu'!$B$10</f>
        <v>baodua</v>
      </c>
      <c r="E802" s="144" t="str">
        <f>" - " &amp; 'Vật liệu'!$D$10</f>
        <v xml:space="preserve"> - Bao bải 0,025m3/bao</v>
      </c>
      <c r="F802" s="168" t="str">
        <f>'Vật liệu'!$E$10</f>
        <v>cái</v>
      </c>
      <c r="G802" s="34">
        <f>'Hao phí vật tư'!$G$803</f>
        <v>32.299999999999997</v>
      </c>
      <c r="H802" s="68">
        <f>'Vật liệu'!$W$10</f>
        <v>2000</v>
      </c>
      <c r="I802" s="37">
        <v>1</v>
      </c>
      <c r="J802" s="166">
        <f>ROUND(G802*H802*I802,0)</f>
        <v>64600</v>
      </c>
    </row>
    <row r="803" spans="1:10" x14ac:dyDescent="0.25">
      <c r="A803" s="168"/>
      <c r="B803" s="144"/>
      <c r="C803" s="34">
        <v>134</v>
      </c>
      <c r="D803" s="144" t="str">
        <f>'Vật liệu'!$B$219</f>
        <v>V00216</v>
      </c>
      <c r="E803" s="144" t="str">
        <f>" - " &amp; 'Vật liệu'!$D$219</f>
        <v xml:space="preserve"> - Dây buộc</v>
      </c>
      <c r="F803" s="168" t="str">
        <f>'Vật liệu'!$E$219</f>
        <v>kg</v>
      </c>
      <c r="G803" s="34">
        <f>'Hao phí vật tư'!$G$804</f>
        <v>0.01</v>
      </c>
      <c r="H803" s="68">
        <f>'Vật liệu'!$W$219</f>
        <v>14000</v>
      </c>
      <c r="I803" s="37">
        <v>1</v>
      </c>
      <c r="J803" s="166">
        <f>ROUND(G803*H803*I803,0)</f>
        <v>140</v>
      </c>
    </row>
    <row r="804" spans="1:10" x14ac:dyDescent="0.25">
      <c r="A804" s="56"/>
      <c r="B804" s="23"/>
      <c r="C804" s="88"/>
      <c r="D804" s="23"/>
      <c r="E804" s="23" t="s">
        <v>202</v>
      </c>
      <c r="F804" s="56"/>
      <c r="G804" s="88"/>
      <c r="H804" s="48"/>
      <c r="I804" s="90"/>
      <c r="J804" s="48">
        <f>ROUND(SUM(J805:J805),0)</f>
        <v>296751</v>
      </c>
    </row>
    <row r="805" spans="1:10" x14ac:dyDescent="0.25">
      <c r="A805" s="168"/>
      <c r="B805" s="144"/>
      <c r="C805" s="34">
        <v>545</v>
      </c>
      <c r="D805" s="144" t="str">
        <f>'Nhân công'!$B$6</f>
        <v>N0006</v>
      </c>
      <c r="E805" s="144" t="s">
        <v>256</v>
      </c>
      <c r="F805" s="168" t="str">
        <f>'Nhân công'!$G$6</f>
        <v>công</v>
      </c>
      <c r="G805" s="34">
        <f>'Hao phí vật tư'!$H$806</f>
        <v>1.52</v>
      </c>
      <c r="H805" s="68">
        <f>'Nhân công'!$M$6</f>
        <v>195231</v>
      </c>
      <c r="I805" s="37">
        <v>1</v>
      </c>
      <c r="J805" s="166">
        <f>ROUND(G805*H805*I805,0)</f>
        <v>296751</v>
      </c>
    </row>
    <row r="806" spans="1:10" ht="28.5" x14ac:dyDescent="0.25">
      <c r="A806" s="65">
        <f>'Công trình'!$A$100</f>
        <v>79</v>
      </c>
      <c r="B806" s="14" t="str">
        <f>'Công trình'!$B$100</f>
        <v>AB.66112</v>
      </c>
      <c r="C806" s="94"/>
      <c r="D806" s="31"/>
      <c r="E806" s="14" t="str">
        <f>'Công trình'!$C$100</f>
        <v>Đắp cát công trình bằng máy đầm 9T, độ chặt K=0,90</v>
      </c>
      <c r="F806" s="46" t="str">
        <f>'Công trình'!$D$100</f>
        <v>100m3</v>
      </c>
      <c r="G806" s="94"/>
      <c r="H806" s="54"/>
      <c r="I806" s="98"/>
      <c r="J806" s="54"/>
    </row>
    <row r="807" spans="1:10" x14ac:dyDescent="0.25">
      <c r="A807" s="56"/>
      <c r="B807" s="23"/>
      <c r="C807" s="88"/>
      <c r="D807" s="23"/>
      <c r="E807" s="23" t="s">
        <v>479</v>
      </c>
      <c r="F807" s="56"/>
      <c r="G807" s="88"/>
      <c r="H807" s="48"/>
      <c r="I807" s="90"/>
      <c r="J807" s="48">
        <f>ROUND(SUM(J808:J808),0)</f>
        <v>27450000</v>
      </c>
    </row>
    <row r="808" spans="1:10" x14ac:dyDescent="0.25">
      <c r="A808" s="168"/>
      <c r="B808" s="144"/>
      <c r="C808" s="34">
        <v>127</v>
      </c>
      <c r="D808" s="144" t="str">
        <f>'Vật liệu'!$B$45</f>
        <v>V00113</v>
      </c>
      <c r="E808" s="144" t="str">
        <f>" - " &amp; 'Vật liệu'!$D$45</f>
        <v xml:space="preserve"> - Cát đen</v>
      </c>
      <c r="F808" s="168" t="str">
        <f>'Vật liệu'!$E$45</f>
        <v>m3</v>
      </c>
      <c r="G808" s="34">
        <f>'Hao phí vật tư'!$G$809</f>
        <v>122</v>
      </c>
      <c r="H808" s="68">
        <f>'Vật liệu'!$W$45</f>
        <v>225000</v>
      </c>
      <c r="I808" s="37">
        <v>1</v>
      </c>
      <c r="J808" s="166">
        <f>ROUND(G808*H808*I808,0)</f>
        <v>27450000</v>
      </c>
    </row>
    <row r="809" spans="1:10" x14ac:dyDescent="0.25">
      <c r="A809" s="56"/>
      <c r="B809" s="23"/>
      <c r="C809" s="88"/>
      <c r="D809" s="23"/>
      <c r="E809" s="23" t="s">
        <v>202</v>
      </c>
      <c r="F809" s="56"/>
      <c r="G809" s="88"/>
      <c r="H809" s="48"/>
      <c r="I809" s="90"/>
      <c r="J809" s="48">
        <f>ROUND(SUM(J810:J810),0)</f>
        <v>292847</v>
      </c>
    </row>
    <row r="810" spans="1:10" x14ac:dyDescent="0.25">
      <c r="A810" s="168"/>
      <c r="B810" s="144"/>
      <c r="C810" s="34">
        <v>545</v>
      </c>
      <c r="D810" s="144" t="str">
        <f>'Nhân công'!$B$6</f>
        <v>N0006</v>
      </c>
      <c r="E810" s="144" t="s">
        <v>256</v>
      </c>
      <c r="F810" s="168" t="str">
        <f>'Nhân công'!$G$6</f>
        <v>công</v>
      </c>
      <c r="G810" s="34">
        <f>'Hao phí vật tư'!$H$811</f>
        <v>1.5</v>
      </c>
      <c r="H810" s="68">
        <f>'Nhân công'!$M$6</f>
        <v>195231</v>
      </c>
      <c r="I810" s="37">
        <v>1</v>
      </c>
      <c r="J810" s="166">
        <f>ROUND(G810*H810*I810,0)</f>
        <v>292847</v>
      </c>
    </row>
    <row r="811" spans="1:10" x14ac:dyDescent="0.25">
      <c r="A811" s="56"/>
      <c r="B811" s="23"/>
      <c r="C811" s="88"/>
      <c r="D811" s="23"/>
      <c r="E811" s="23" t="s">
        <v>378</v>
      </c>
      <c r="F811" s="56"/>
      <c r="G811" s="88"/>
      <c r="H811" s="48"/>
      <c r="I811" s="90"/>
      <c r="J811" s="48">
        <f>ROUND(SUM(J812:J814),0)</f>
        <v>700909</v>
      </c>
    </row>
    <row r="812" spans="1:10" x14ac:dyDescent="0.25">
      <c r="A812" s="168"/>
      <c r="B812" s="144"/>
      <c r="C812" s="34">
        <v>753</v>
      </c>
      <c r="D812" s="144" t="str">
        <f>'Máy thi công'!$B$350</f>
        <v>M9578</v>
      </c>
      <c r="E812" s="144" t="str">
        <f>" - " &amp; 'Máy thi công'!$D$350</f>
        <v xml:space="preserve"> - Máy ủi - công suất: 108,0 CV (110CV)</v>
      </c>
      <c r="F812" s="168" t="str">
        <f>'Máy thi công'!$E$350</f>
        <v>ca</v>
      </c>
      <c r="G812" s="34">
        <f>'Hao phí vật tư'!$I$813</f>
        <v>0.13900000000000001</v>
      </c>
      <c r="H812" s="68">
        <f>'Máy thi công'!$N$350</f>
        <v>2049156</v>
      </c>
      <c r="I812" s="37">
        <v>1</v>
      </c>
      <c r="J812" s="166">
        <f>ROUND(G812*H812*I812,0)</f>
        <v>284833</v>
      </c>
    </row>
    <row r="813" spans="1:10" x14ac:dyDescent="0.25">
      <c r="A813" s="168"/>
      <c r="B813" s="144"/>
      <c r="C813" s="34">
        <v>765</v>
      </c>
      <c r="D813" s="144" t="str">
        <f>'Máy thi công'!$B$162</f>
        <v>M9656</v>
      </c>
      <c r="E813" s="144" t="str">
        <f>" - " &amp; 'Máy thi công'!$D$162</f>
        <v xml:space="preserve"> - Đầm bánh hơi tự hành - trọng lượng: 9 t</v>
      </c>
      <c r="F813" s="168" t="str">
        <f>'Máy thi công'!$E$162</f>
        <v>ca</v>
      </c>
      <c r="G813" s="34">
        <f>'Hao phí vật tư'!$I$814</f>
        <v>0.27800000000000002</v>
      </c>
      <c r="H813" s="68">
        <f>'Máy thi công'!$N$162</f>
        <v>1459416</v>
      </c>
      <c r="I813" s="37">
        <v>1</v>
      </c>
      <c r="J813" s="166">
        <f>ROUND(G813*H813*I813,0)</f>
        <v>405718</v>
      </c>
    </row>
    <row r="814" spans="1:10" x14ac:dyDescent="0.25">
      <c r="A814" s="168"/>
      <c r="B814" s="144"/>
      <c r="C814" s="34">
        <v>590</v>
      </c>
      <c r="D814" s="144" t="str">
        <f>'Máy thi công'!$B$398</f>
        <v>M0111</v>
      </c>
      <c r="E814" s="144" t="str">
        <f>" - " &amp; 'Máy thi công'!$D$398</f>
        <v xml:space="preserve"> - Máy khác</v>
      </c>
      <c r="F814" s="168" t="str">
        <f>'Máy thi công'!$E$398</f>
        <v>%</v>
      </c>
      <c r="G814" s="34">
        <f>'Hao phí vật tư'!$I$815</f>
        <v>1.5</v>
      </c>
      <c r="H814" s="166">
        <f>'Máy thi công'!$N$398</f>
        <v>0</v>
      </c>
      <c r="I814" s="37">
        <v>1</v>
      </c>
      <c r="J814" s="166">
        <f>ROUND((J812+J813)*G814*I814/100,0)</f>
        <v>10358</v>
      </c>
    </row>
    <row r="815" spans="1:10" ht="28.5" x14ac:dyDescent="0.25">
      <c r="A815" s="65">
        <f>'Công trình'!$A$101</f>
        <v>80</v>
      </c>
      <c r="B815" s="14" t="str">
        <f>'Công trình'!$B$101</f>
        <v>AF.61110</v>
      </c>
      <c r="C815" s="94"/>
      <c r="D815" s="31"/>
      <c r="E815" s="14" t="str">
        <f>'Công trình'!$C$101</f>
        <v>Sản xuất, lắp dựng cốt thép móng đường kính &lt;=10mm</v>
      </c>
      <c r="F815" s="46" t="str">
        <f>'Công trình'!$D$101</f>
        <v>tấn</v>
      </c>
      <c r="G815" s="94"/>
      <c r="H815" s="54"/>
      <c r="I815" s="98"/>
      <c r="J815" s="54"/>
    </row>
    <row r="816" spans="1:10" x14ac:dyDescent="0.25">
      <c r="A816" s="56"/>
      <c r="B816" s="23"/>
      <c r="C816" s="88"/>
      <c r="D816" s="23"/>
      <c r="E816" s="23" t="s">
        <v>479</v>
      </c>
      <c r="F816" s="56"/>
      <c r="G816" s="88"/>
      <c r="H816" s="48"/>
      <c r="I816" s="90"/>
      <c r="J816" s="48">
        <f>ROUND(SUM(J817:J818),0)</f>
        <v>14603640</v>
      </c>
    </row>
    <row r="817" spans="1:10" x14ac:dyDescent="0.25">
      <c r="A817" s="168"/>
      <c r="B817" s="144"/>
      <c r="C817" s="34">
        <v>135</v>
      </c>
      <c r="D817" s="144" t="str">
        <f>'Vật liệu'!$B$221</f>
        <v>V00226</v>
      </c>
      <c r="E817" s="144" t="str">
        <f>" - " &amp; 'Vật liệu'!$D$221</f>
        <v xml:space="preserve"> - Dây thép</v>
      </c>
      <c r="F817" s="168" t="str">
        <f>'Vật liệu'!$E$221</f>
        <v>kg</v>
      </c>
      <c r="G817" s="34">
        <f>'Hao phí vật tư'!$G$818</f>
        <v>21.42</v>
      </c>
      <c r="H817" s="68">
        <f>'Vật liệu'!$W$221</f>
        <v>17500</v>
      </c>
      <c r="I817" s="37">
        <v>1</v>
      </c>
      <c r="J817" s="166">
        <f>ROUND(G817*H817*I817,0)</f>
        <v>374850</v>
      </c>
    </row>
    <row r="818" spans="1:10" x14ac:dyDescent="0.25">
      <c r="A818" s="168"/>
      <c r="B818" s="144"/>
      <c r="C818" s="34">
        <v>484</v>
      </c>
      <c r="D818" s="144" t="str">
        <f>'Vật liệu'!$B$650</f>
        <v>V48494</v>
      </c>
      <c r="E818" s="144" t="str">
        <f>" - " &amp; 'Vật liệu'!$D$650</f>
        <v xml:space="preserve"> - Thép tròn đường kính &lt;=10 mm</v>
      </c>
      <c r="F818" s="168" t="str">
        <f>'Vật liệu'!$E$650</f>
        <v>kg</v>
      </c>
      <c r="G818" s="34">
        <f>'Hao phí vật tư'!$G$819</f>
        <v>1005</v>
      </c>
      <c r="H818" s="68">
        <f>'Vật liệu'!$W$650</f>
        <v>14158</v>
      </c>
      <c r="I818" s="37">
        <v>1</v>
      </c>
      <c r="J818" s="166">
        <f>ROUND(G818*H818*I818,0)</f>
        <v>14228790</v>
      </c>
    </row>
    <row r="819" spans="1:10" x14ac:dyDescent="0.25">
      <c r="A819" s="56"/>
      <c r="B819" s="23"/>
      <c r="C819" s="88"/>
      <c r="D819" s="23"/>
      <c r="E819" s="23" t="s">
        <v>202</v>
      </c>
      <c r="F819" s="56"/>
      <c r="G819" s="88"/>
      <c r="H819" s="48"/>
      <c r="I819" s="90"/>
      <c r="J819" s="48">
        <f>ROUND(SUM(J820:J820),0)</f>
        <v>2409530</v>
      </c>
    </row>
    <row r="820" spans="1:10" x14ac:dyDescent="0.25">
      <c r="A820" s="168"/>
      <c r="B820" s="144"/>
      <c r="C820" s="34">
        <v>546</v>
      </c>
      <c r="D820" s="144" t="str">
        <f>'Nhân công'!$B$45</f>
        <v>N0009</v>
      </c>
      <c r="E820" s="144" t="s">
        <v>1052</v>
      </c>
      <c r="F820" s="168" t="str">
        <f>'Nhân công'!$G$45</f>
        <v>công</v>
      </c>
      <c r="G820" s="34">
        <f>'Hao phí vật tư'!$H$821</f>
        <v>11.32</v>
      </c>
      <c r="H820" s="68">
        <f>'Nhân công'!$M$45</f>
        <v>212856</v>
      </c>
      <c r="I820" s="37">
        <v>1</v>
      </c>
      <c r="J820" s="166">
        <f>ROUND(G820*H820*I820,0)</f>
        <v>2409530</v>
      </c>
    </row>
    <row r="821" spans="1:10" x14ac:dyDescent="0.25">
      <c r="A821" s="56"/>
      <c r="B821" s="23"/>
      <c r="C821" s="88"/>
      <c r="D821" s="23"/>
      <c r="E821" s="23" t="s">
        <v>378</v>
      </c>
      <c r="F821" s="56"/>
      <c r="G821" s="88"/>
      <c r="H821" s="48"/>
      <c r="I821" s="90"/>
      <c r="J821" s="48">
        <f>ROUND(SUM(J822:J822),0)</f>
        <v>91218</v>
      </c>
    </row>
    <row r="822" spans="1:10" x14ac:dyDescent="0.25">
      <c r="A822" s="168"/>
      <c r="B822" s="144"/>
      <c r="C822" s="34">
        <v>737</v>
      </c>
      <c r="D822" s="144" t="str">
        <f>'Máy thi công'!$B$184</f>
        <v>M9521</v>
      </c>
      <c r="E822" s="144" t="str">
        <f>" - " &amp; 'Máy thi công'!$D$184</f>
        <v xml:space="preserve"> - Máy cắt uốn cốt thép - công suất: 5 kW</v>
      </c>
      <c r="F822" s="168" t="str">
        <f>'Máy thi công'!$E$184</f>
        <v>ca</v>
      </c>
      <c r="G822" s="34">
        <f>'Hao phí vật tư'!$I$823</f>
        <v>0.4</v>
      </c>
      <c r="H822" s="68">
        <f>'Máy thi công'!$N$184</f>
        <v>228044</v>
      </c>
      <c r="I822" s="37">
        <v>1</v>
      </c>
      <c r="J822" s="166">
        <f>ROUND(G822*H822*I822,0)</f>
        <v>91218</v>
      </c>
    </row>
    <row r="823" spans="1:10" x14ac:dyDescent="0.25">
      <c r="A823" s="65">
        <f>'Công trình'!$A$102</f>
        <v>81</v>
      </c>
      <c r="B823" s="14" t="str">
        <f>'Công trình'!$B$102</f>
        <v>TT</v>
      </c>
      <c r="C823" s="94"/>
      <c r="D823" s="31"/>
      <c r="E823" s="14" t="str">
        <f>'Công trình'!$C$102</f>
        <v>Tăng đơ M10</v>
      </c>
      <c r="F823" s="46" t="str">
        <f>'Công trình'!$D$102</f>
        <v>cái</v>
      </c>
      <c r="G823" s="94"/>
      <c r="H823" s="54"/>
      <c r="I823" s="98"/>
      <c r="J823" s="54"/>
    </row>
    <row r="824" spans="1:10" x14ac:dyDescent="0.25">
      <c r="A824" s="56"/>
      <c r="B824" s="23"/>
      <c r="C824" s="88"/>
      <c r="D824" s="23"/>
      <c r="E824" s="23" t="s">
        <v>479</v>
      </c>
      <c r="F824" s="56"/>
      <c r="G824" s="88"/>
      <c r="H824" s="48"/>
      <c r="I824" s="90"/>
      <c r="J824" s="48">
        <f>ROUND(SUM(J825:J825),0)</f>
        <v>12500</v>
      </c>
    </row>
    <row r="825" spans="1:10" x14ac:dyDescent="0.25">
      <c r="A825" s="168"/>
      <c r="B825" s="144"/>
      <c r="C825" s="34">
        <v>173</v>
      </c>
      <c r="D825" s="144" t="str">
        <f>'Vật liệu'!$B$547</f>
        <v>V00708</v>
      </c>
      <c r="E825" s="144" t="str">
        <f>" - " &amp; 'Vật liệu'!$D$547</f>
        <v xml:space="preserve"> - Tăng đơ M10</v>
      </c>
      <c r="F825" s="168" t="str">
        <f>'Vật liệu'!$E$547</f>
        <v>cái</v>
      </c>
      <c r="G825" s="34">
        <f>'Hao phí vật tư'!$G$826</f>
        <v>1</v>
      </c>
      <c r="H825" s="68">
        <f>'Vật liệu'!$W$547</f>
        <v>12500</v>
      </c>
      <c r="I825" s="37">
        <v>1</v>
      </c>
      <c r="J825" s="166">
        <f>ROUND(G825*H825*I825,0)</f>
        <v>12500</v>
      </c>
    </row>
    <row r="826" spans="1:10" x14ac:dyDescent="0.25">
      <c r="A826" s="65">
        <f>'Công trình'!$A$104</f>
        <v>82</v>
      </c>
      <c r="B826" s="14" t="str">
        <f>'Công trình'!$B$104</f>
        <v>AI.11131</v>
      </c>
      <c r="C826" s="94"/>
      <c r="D826" s="31"/>
      <c r="E826" s="14" t="str">
        <f>'Công trình'!$C$104</f>
        <v>Sản xuất cọc dẫn bằng thép hình</v>
      </c>
      <c r="F826" s="46" t="str">
        <f>'Công trình'!$D$104</f>
        <v>tấn</v>
      </c>
      <c r="G826" s="94"/>
      <c r="H826" s="54"/>
      <c r="I826" s="98"/>
      <c r="J826" s="54"/>
    </row>
    <row r="827" spans="1:10" x14ac:dyDescent="0.25">
      <c r="A827" s="56"/>
      <c r="B827" s="23"/>
      <c r="C827" s="88"/>
      <c r="D827" s="23"/>
      <c r="E827" s="23" t="s">
        <v>479</v>
      </c>
      <c r="F827" s="56"/>
      <c r="G827" s="88"/>
      <c r="H827" s="48"/>
      <c r="I827" s="90"/>
      <c r="J827" s="48">
        <f>ROUND(SUM(J828:J833),0)</f>
        <v>346051</v>
      </c>
    </row>
    <row r="828" spans="1:10" x14ac:dyDescent="0.25">
      <c r="A828" s="168"/>
      <c r="B828" s="144"/>
      <c r="C828" s="34">
        <v>411</v>
      </c>
      <c r="D828" s="144" t="str">
        <f>'Vật liệu'!$B$200</f>
        <v>V00833</v>
      </c>
      <c r="E828" s="144" t="str">
        <f>" - " &amp; 'Vật liệu'!$D$200</f>
        <v xml:space="preserve"> - Đất đèn</v>
      </c>
      <c r="F828" s="168" t="str">
        <f>'Vật liệu'!$E$200</f>
        <v>kg</v>
      </c>
      <c r="G828" s="34">
        <f>'Hao phí vật tư'!$G$829</f>
        <v>6.5</v>
      </c>
      <c r="H828" s="68">
        <f>'Vật liệu'!$W$200</f>
        <v>14000</v>
      </c>
      <c r="I828" s="37">
        <v>1</v>
      </c>
      <c r="J828" s="166">
        <f>ROUND(G828*H828*I828,0)</f>
        <v>91000</v>
      </c>
    </row>
    <row r="829" spans="1:10" x14ac:dyDescent="0.25">
      <c r="A829" s="168"/>
      <c r="B829" s="144"/>
      <c r="C829" s="34">
        <v>154</v>
      </c>
      <c r="D829" s="144" t="str">
        <f>'Vật liệu'!$B$450</f>
        <v>V00515</v>
      </c>
      <c r="E829" s="144" t="str">
        <f>" - " &amp; 'Vật liệu'!$D$450</f>
        <v xml:space="preserve"> - Que hàn</v>
      </c>
      <c r="F829" s="168" t="str">
        <f>'Vật liệu'!$E$450</f>
        <v>kg</v>
      </c>
      <c r="G829" s="34">
        <f>'Hao phí vật tư'!$G$830</f>
        <v>6.5</v>
      </c>
      <c r="H829" s="68">
        <f>'Vật liệu'!$W$450</f>
        <v>19091</v>
      </c>
      <c r="I829" s="37">
        <v>1</v>
      </c>
      <c r="J829" s="166">
        <f>ROUND(G829*H829*I829,0)</f>
        <v>124092</v>
      </c>
    </row>
    <row r="830" spans="1:10" x14ac:dyDescent="0.25">
      <c r="A830" s="168"/>
      <c r="B830" s="144"/>
      <c r="C830" s="34">
        <v>160</v>
      </c>
      <c r="D830" s="144" t="str">
        <f>'Vật liệu'!$B$556</f>
        <v>V00641</v>
      </c>
      <c r="E830" s="144" t="str">
        <f>" - " &amp; 'Vật liệu'!$D$556</f>
        <v xml:space="preserve"> - Thép hình</v>
      </c>
      <c r="F830" s="168" t="str">
        <f>'Vật liệu'!$E$556</f>
        <v>kg</v>
      </c>
      <c r="G830" s="34">
        <f>'Hao phí vật tư'!$G$831</f>
        <v>0</v>
      </c>
      <c r="H830" s="68">
        <f>'Vật liệu'!$W$556</f>
        <v>15291</v>
      </c>
      <c r="I830" s="37">
        <v>1</v>
      </c>
      <c r="J830" s="166">
        <f>ROUND(G830*H830*I830,0)</f>
        <v>0</v>
      </c>
    </row>
    <row r="831" spans="1:10" x14ac:dyDescent="0.25">
      <c r="A831" s="168"/>
      <c r="B831" s="144"/>
      <c r="C831" s="34">
        <v>166</v>
      </c>
      <c r="D831" s="144" t="str">
        <f>'Vật liệu'!$B$606</f>
        <v>V00671</v>
      </c>
      <c r="E831" s="144" t="str">
        <f>" - " &amp; 'Vật liệu'!$D$606</f>
        <v xml:space="preserve"> - Thép tấm</v>
      </c>
      <c r="F831" s="168" t="str">
        <f>'Vật liệu'!$E$606</f>
        <v>kg</v>
      </c>
      <c r="G831" s="34">
        <f>'Hao phí vật tư'!$G$832</f>
        <v>0</v>
      </c>
      <c r="H831" s="68">
        <f>'Vật liệu'!$W$606</f>
        <v>12574</v>
      </c>
      <c r="I831" s="37">
        <v>1</v>
      </c>
      <c r="J831" s="166">
        <f>ROUND(G831*H831*I831,0)</f>
        <v>0</v>
      </c>
    </row>
    <row r="832" spans="1:10" x14ac:dyDescent="0.25">
      <c r="A832" s="168"/>
      <c r="B832" s="144"/>
      <c r="C832" s="34">
        <v>400</v>
      </c>
      <c r="D832" s="144" t="str">
        <f>'Vật liệu'!$B$401</f>
        <v>V00770</v>
      </c>
      <c r="E832" s="144" t="str">
        <f>" - " &amp; 'Vật liệu'!$D$401</f>
        <v xml:space="preserve"> - Ô xy</v>
      </c>
      <c r="F832" s="168" t="str">
        <f>'Vật liệu'!$E$401</f>
        <v>Chai</v>
      </c>
      <c r="G832" s="34">
        <f>'Hao phí vật tư'!$G$833</f>
        <v>1.59</v>
      </c>
      <c r="H832" s="68">
        <f>'Vật liệu'!$W$401</f>
        <v>72000</v>
      </c>
      <c r="I832" s="37">
        <v>1</v>
      </c>
      <c r="J832" s="166">
        <f>ROUND(G832*H832*I832,0)</f>
        <v>114480</v>
      </c>
    </row>
    <row r="833" spans="1:10" x14ac:dyDescent="0.25">
      <c r="A833" s="168"/>
      <c r="B833" s="144"/>
      <c r="C833" s="34">
        <v>240</v>
      </c>
      <c r="D833" s="144" t="str">
        <f>'Vật liệu'!$B$766</f>
        <v>V00750</v>
      </c>
      <c r="E833" s="144" t="str">
        <f>" - " &amp; 'Vật liệu'!$D$766</f>
        <v xml:space="preserve"> - Vật liệu khác</v>
      </c>
      <c r="F833" s="168" t="str">
        <f>'Vật liệu'!$E$766</f>
        <v>%</v>
      </c>
      <c r="G833" s="34">
        <f>'Hao phí vật tư'!$G$834</f>
        <v>5</v>
      </c>
      <c r="H833" s="166">
        <f>'Vật liệu'!$W$766</f>
        <v>0</v>
      </c>
      <c r="I833" s="37">
        <v>1</v>
      </c>
      <c r="J833" s="166">
        <f>ROUND((J828+J829+J830+J831+J832)*G833*I833/100,0)</f>
        <v>16479</v>
      </c>
    </row>
    <row r="834" spans="1:10" x14ac:dyDescent="0.25">
      <c r="A834" s="56"/>
      <c r="B834" s="23"/>
      <c r="C834" s="88"/>
      <c r="D834" s="23"/>
      <c r="E834" s="23" t="s">
        <v>202</v>
      </c>
      <c r="F834" s="56"/>
      <c r="G834" s="88"/>
      <c r="H834" s="48"/>
      <c r="I834" s="90"/>
      <c r="J834" s="48">
        <f>ROUND(SUM(J835:J835),0)</f>
        <v>2189570</v>
      </c>
    </row>
    <row r="835" spans="1:10" x14ac:dyDescent="0.25">
      <c r="A835" s="168"/>
      <c r="B835" s="144"/>
      <c r="C835" s="34">
        <v>550</v>
      </c>
      <c r="D835" s="144" t="str">
        <f>'Nhân công'!$B$130</f>
        <v>N0011</v>
      </c>
      <c r="E835" s="144" t="s">
        <v>671</v>
      </c>
      <c r="F835" s="168" t="str">
        <f>'Nhân công'!$G$130</f>
        <v>công</v>
      </c>
      <c r="G835" s="34">
        <f>'Hao phí vật tư'!$H$836</f>
        <v>9.5</v>
      </c>
      <c r="H835" s="68">
        <f>'Nhân công'!$M$130</f>
        <v>230481</v>
      </c>
      <c r="I835" s="37">
        <v>1</v>
      </c>
      <c r="J835" s="166">
        <f>ROUND(G835*H835*I835,0)</f>
        <v>2189570</v>
      </c>
    </row>
    <row r="836" spans="1:10" x14ac:dyDescent="0.25">
      <c r="A836" s="56"/>
      <c r="B836" s="23"/>
      <c r="C836" s="88"/>
      <c r="D836" s="23"/>
      <c r="E836" s="23" t="s">
        <v>378</v>
      </c>
      <c r="F836" s="56"/>
      <c r="G836" s="88"/>
      <c r="H836" s="48"/>
      <c r="I836" s="90"/>
      <c r="J836" s="48">
        <f>ROUND(SUM(J837:J841),0)</f>
        <v>1600485</v>
      </c>
    </row>
    <row r="837" spans="1:10" x14ac:dyDescent="0.25">
      <c r="A837" s="168"/>
      <c r="B837" s="144"/>
      <c r="C837" s="34">
        <v>725</v>
      </c>
      <c r="D837" s="144" t="str">
        <f>'Máy thi công'!$B$113</f>
        <v>M9465</v>
      </c>
      <c r="E837" s="144" t="str">
        <f>" - " &amp; 'Máy thi công'!$D$113</f>
        <v xml:space="preserve"> - Cần trục bánh hơi - sức nâng: 16 t</v>
      </c>
      <c r="F837" s="168" t="str">
        <f>'Máy thi công'!$E$113</f>
        <v>ca</v>
      </c>
      <c r="G837" s="34">
        <f>'Hao phí vật tư'!$I$838</f>
        <v>0.32</v>
      </c>
      <c r="H837" s="68">
        <f>'Máy thi công'!$N$113</f>
        <v>1878687</v>
      </c>
      <c r="I837" s="37">
        <v>1</v>
      </c>
      <c r="J837" s="166">
        <f>ROUND(G837*H837*I837,0)</f>
        <v>601180</v>
      </c>
    </row>
    <row r="838" spans="1:10" x14ac:dyDescent="0.25">
      <c r="A838" s="168"/>
      <c r="B838" s="144"/>
      <c r="C838" s="34">
        <v>702</v>
      </c>
      <c r="D838" s="144" t="str">
        <f>'Máy thi công'!$B$281</f>
        <v>M112.1502</v>
      </c>
      <c r="E838" s="144" t="str">
        <f>" - " &amp; 'Máy thi công'!$D$281</f>
        <v xml:space="preserve"> - Máy khoan đứng - công suất: 4,5 kW</v>
      </c>
      <c r="F838" s="168" t="str">
        <f>'Máy thi công'!$E$281</f>
        <v>ca</v>
      </c>
      <c r="G838" s="34">
        <f>'Hao phí vật tư'!$I$839</f>
        <v>1.5</v>
      </c>
      <c r="H838" s="68">
        <f>'Máy thi công'!$N$281</f>
        <v>268963</v>
      </c>
      <c r="I838" s="37">
        <v>1</v>
      </c>
      <c r="J838" s="166">
        <f>ROUND(G838*H838*I838,0)</f>
        <v>403445</v>
      </c>
    </row>
    <row r="839" spans="1:10" x14ac:dyDescent="0.25">
      <c r="A839" s="168"/>
      <c r="B839" s="144"/>
      <c r="C839" s="34">
        <v>714</v>
      </c>
      <c r="D839" s="144" t="str">
        <f>'Máy thi công'!$B$6</f>
        <v>M9438</v>
      </c>
      <c r="E839" s="144" t="str">
        <f>" - " &amp; 'Máy thi công'!$D$6</f>
        <v xml:space="preserve"> - Biến thế hàn xoay chiều - công suất: 23 kW</v>
      </c>
      <c r="F839" s="168" t="str">
        <f>'Máy thi công'!$E$6</f>
        <v>ca</v>
      </c>
      <c r="G839" s="34">
        <f>'Hao phí vật tư'!$I$840</f>
        <v>1.2</v>
      </c>
      <c r="H839" s="68">
        <f>'Máy thi công'!$N$6</f>
        <v>338020</v>
      </c>
      <c r="I839" s="37">
        <v>1</v>
      </c>
      <c r="J839" s="166">
        <f>ROUND(G839*H839*I839,0)</f>
        <v>405624</v>
      </c>
    </row>
    <row r="840" spans="1:10" x14ac:dyDescent="0.25">
      <c r="A840" s="168"/>
      <c r="B840" s="144"/>
      <c r="C840" s="34">
        <v>737</v>
      </c>
      <c r="D840" s="144" t="str">
        <f>'Máy thi công'!$B$184</f>
        <v>M9521</v>
      </c>
      <c r="E840" s="144" t="str">
        <f>" - " &amp; 'Máy thi công'!$D$184</f>
        <v xml:space="preserve"> - Máy cắt uốn cốt thép - công suất: 5 kW</v>
      </c>
      <c r="F840" s="168" t="str">
        <f>'Máy thi công'!$E$184</f>
        <v>ca</v>
      </c>
      <c r="G840" s="34">
        <f>'Hao phí vật tư'!$I$841</f>
        <v>0.5</v>
      </c>
      <c r="H840" s="68">
        <f>'Máy thi công'!$N$184</f>
        <v>228044</v>
      </c>
      <c r="I840" s="37">
        <v>1</v>
      </c>
      <c r="J840" s="166">
        <f>ROUND(G840*H840*I840,0)</f>
        <v>114022</v>
      </c>
    </row>
    <row r="841" spans="1:10" x14ac:dyDescent="0.25">
      <c r="A841" s="168"/>
      <c r="B841" s="144"/>
      <c r="C841" s="34">
        <v>602</v>
      </c>
      <c r="D841" s="144" t="str">
        <f>'Máy thi công'!$B$398</f>
        <v>M0111</v>
      </c>
      <c r="E841" s="144" t="str">
        <f>" - " &amp; 'Máy thi công'!$D$398</f>
        <v xml:space="preserve"> - Máy khác</v>
      </c>
      <c r="F841" s="168" t="str">
        <f>'Máy thi công'!$E$398</f>
        <v>%</v>
      </c>
      <c r="G841" s="34">
        <f>'Hao phí vật tư'!$I$842</f>
        <v>5</v>
      </c>
      <c r="H841" s="166">
        <f>'Máy thi công'!$N$398</f>
        <v>0</v>
      </c>
      <c r="I841" s="37">
        <v>1</v>
      </c>
      <c r="J841" s="166">
        <f>ROUND((J837+J838+J839+J840)*G841*I841/100,0)</f>
        <v>76214</v>
      </c>
    </row>
    <row r="842" spans="1:10" ht="28.5" x14ac:dyDescent="0.25">
      <c r="A842" s="65">
        <f>'Công trình'!$A$105</f>
        <v>83</v>
      </c>
      <c r="B842" s="14" t="str">
        <f>'Công trình'!$B$105</f>
        <v>AI.11131</v>
      </c>
      <c r="C842" s="94"/>
      <c r="D842" s="31"/>
      <c r="E842" s="14" t="str">
        <f>'Công trình'!$C$105</f>
        <v>Khấu hao cọc dẫn bằng thép hình (đóng nhổ 40 lần trong 1 tháng)</v>
      </c>
      <c r="F842" s="46" t="str">
        <f>'Công trình'!$D$105</f>
        <v>tấn</v>
      </c>
      <c r="G842" s="94"/>
      <c r="H842" s="54"/>
      <c r="I842" s="98"/>
      <c r="J842" s="54"/>
    </row>
    <row r="843" spans="1:10" x14ac:dyDescent="0.25">
      <c r="A843" s="56"/>
      <c r="B843" s="23"/>
      <c r="C843" s="88"/>
      <c r="D843" s="23"/>
      <c r="E843" s="23" t="s">
        <v>479</v>
      </c>
      <c r="F843" s="56"/>
      <c r="G843" s="88"/>
      <c r="H843" s="48"/>
      <c r="I843" s="90"/>
      <c r="J843" s="48">
        <f>ROUND(SUM(J844:J849),0)</f>
        <v>16347071</v>
      </c>
    </row>
    <row r="844" spans="1:10" x14ac:dyDescent="0.25">
      <c r="A844" s="168"/>
      <c r="B844" s="144"/>
      <c r="C844" s="34">
        <v>411</v>
      </c>
      <c r="D844" s="144" t="str">
        <f>'Vật liệu'!$B$200</f>
        <v>V00833</v>
      </c>
      <c r="E844" s="144" t="str">
        <f>" - " &amp; 'Vật liệu'!$D$200</f>
        <v xml:space="preserve"> - Đất đèn</v>
      </c>
      <c r="F844" s="168" t="str">
        <f>'Vật liệu'!$E$200</f>
        <v>kg</v>
      </c>
      <c r="G844" s="34">
        <f>'Hao phí vật tư'!$G$845</f>
        <v>0</v>
      </c>
      <c r="H844" s="68">
        <f>'Vật liệu'!$W$200</f>
        <v>14000</v>
      </c>
      <c r="I844" s="37">
        <v>1</v>
      </c>
      <c r="J844" s="166">
        <f>ROUND(G844*H844*I844,0)</f>
        <v>0</v>
      </c>
    </row>
    <row r="845" spans="1:10" x14ac:dyDescent="0.25">
      <c r="A845" s="168"/>
      <c r="B845" s="144"/>
      <c r="C845" s="34">
        <v>154</v>
      </c>
      <c r="D845" s="144" t="str">
        <f>'Vật liệu'!$B$450</f>
        <v>V00515</v>
      </c>
      <c r="E845" s="144" t="str">
        <f>" - " &amp; 'Vật liệu'!$D$450</f>
        <v xml:space="preserve"> - Que hàn</v>
      </c>
      <c r="F845" s="168" t="str">
        <f>'Vật liệu'!$E$450</f>
        <v>kg</v>
      </c>
      <c r="G845" s="34">
        <f>'Hao phí vật tư'!$G$846</f>
        <v>0</v>
      </c>
      <c r="H845" s="68">
        <f>'Vật liệu'!$W$450</f>
        <v>19091</v>
      </c>
      <c r="I845" s="37">
        <v>1</v>
      </c>
      <c r="J845" s="166">
        <f>ROUND(G845*H845*I845,0)</f>
        <v>0</v>
      </c>
    </row>
    <row r="846" spans="1:10" x14ac:dyDescent="0.25">
      <c r="A846" s="168"/>
      <c r="B846" s="144"/>
      <c r="C846" s="34">
        <v>160</v>
      </c>
      <c r="D846" s="144" t="str">
        <f>'Vật liệu'!$B$556</f>
        <v>V00641</v>
      </c>
      <c r="E846" s="144" t="str">
        <f>" - " &amp; 'Vật liệu'!$D$556</f>
        <v xml:space="preserve"> - Thép hình</v>
      </c>
      <c r="F846" s="168" t="str">
        <f>'Vật liệu'!$E$556</f>
        <v>kg</v>
      </c>
      <c r="G846" s="34">
        <f>'Hao phí vật tư'!$G$847</f>
        <v>1005</v>
      </c>
      <c r="H846" s="68">
        <f>'Vật liệu'!$W$556</f>
        <v>15291</v>
      </c>
      <c r="I846" s="37">
        <v>1</v>
      </c>
      <c r="J846" s="166">
        <f>ROUND(G846*H846*I846,0)</f>
        <v>15367455</v>
      </c>
    </row>
    <row r="847" spans="1:10" x14ac:dyDescent="0.25">
      <c r="A847" s="168"/>
      <c r="B847" s="144"/>
      <c r="C847" s="34">
        <v>166</v>
      </c>
      <c r="D847" s="144" t="str">
        <f>'Vật liệu'!$B$606</f>
        <v>V00671</v>
      </c>
      <c r="E847" s="144" t="str">
        <f>" - " &amp; 'Vật liệu'!$D$606</f>
        <v xml:space="preserve"> - Thép tấm</v>
      </c>
      <c r="F847" s="168" t="str">
        <f>'Vật liệu'!$E$606</f>
        <v>kg</v>
      </c>
      <c r="G847" s="34">
        <f>'Hao phí vật tư'!$G$848</f>
        <v>16</v>
      </c>
      <c r="H847" s="68">
        <f>'Vật liệu'!$W$606</f>
        <v>12574</v>
      </c>
      <c r="I847" s="37">
        <v>1</v>
      </c>
      <c r="J847" s="166">
        <f>ROUND(G847*H847*I847,0)</f>
        <v>201184</v>
      </c>
    </row>
    <row r="848" spans="1:10" x14ac:dyDescent="0.25">
      <c r="A848" s="168"/>
      <c r="B848" s="144"/>
      <c r="C848" s="34">
        <v>400</v>
      </c>
      <c r="D848" s="144" t="str">
        <f>'Vật liệu'!$B$401</f>
        <v>V00770</v>
      </c>
      <c r="E848" s="144" t="str">
        <f>" - " &amp; 'Vật liệu'!$D$401</f>
        <v xml:space="preserve"> - Ô xy</v>
      </c>
      <c r="F848" s="168" t="str">
        <f>'Vật liệu'!$E$401</f>
        <v>Chai</v>
      </c>
      <c r="G848" s="34">
        <f>'Hao phí vật tư'!$G$849</f>
        <v>0</v>
      </c>
      <c r="H848" s="68">
        <f>'Vật liệu'!$W$401</f>
        <v>72000</v>
      </c>
      <c r="I848" s="37">
        <v>1</v>
      </c>
      <c r="J848" s="166">
        <f>ROUND(G848*H848*I848,0)</f>
        <v>0</v>
      </c>
    </row>
    <row r="849" spans="1:10" x14ac:dyDescent="0.25">
      <c r="A849" s="168"/>
      <c r="B849" s="144"/>
      <c r="C849" s="34">
        <v>233</v>
      </c>
      <c r="D849" s="144" t="str">
        <f>'Vật liệu'!$B$766</f>
        <v>V00750</v>
      </c>
      <c r="E849" s="144" t="str">
        <f>" - " &amp; 'Vật liệu'!$D$766</f>
        <v xml:space="preserve"> - Vật liệu khác</v>
      </c>
      <c r="F849" s="168" t="str">
        <f>'Vật liệu'!$E$766</f>
        <v>%</v>
      </c>
      <c r="G849" s="34">
        <f>'Hao phí vật tư'!$G$850</f>
        <v>5</v>
      </c>
      <c r="H849" s="166">
        <f>'Vật liệu'!$W$766</f>
        <v>0</v>
      </c>
      <c r="I849" s="37">
        <v>1</v>
      </c>
      <c r="J849" s="166">
        <f>ROUND((J844+J845+J846+J847+J848)*G849*I849/100,0)</f>
        <v>778432</v>
      </c>
    </row>
    <row r="850" spans="1:10" ht="28.5" x14ac:dyDescent="0.25">
      <c r="A850" s="65">
        <f>'Công trình'!$A$107</f>
        <v>84</v>
      </c>
      <c r="B850" s="14" t="str">
        <f>'Công trình'!$B$107</f>
        <v>AC.17112</v>
      </c>
      <c r="C850" s="94"/>
      <c r="D850" s="31"/>
      <c r="E850" s="14" t="str">
        <f>'Công trình'!$C$107</f>
        <v>Đóng cọc âm BTCT 35x35 chiều dài &lt;=24m trên mặt nước bằng tàu đóng cọc búa 1,8T</v>
      </c>
      <c r="F850" s="46" t="str">
        <f>'Công trình'!$D$107</f>
        <v>100m</v>
      </c>
      <c r="G850" s="94"/>
      <c r="H850" s="54"/>
      <c r="I850" s="98"/>
      <c r="J850" s="54"/>
    </row>
    <row r="851" spans="1:10" x14ac:dyDescent="0.25">
      <c r="A851" s="56"/>
      <c r="B851" s="23"/>
      <c r="C851" s="88"/>
      <c r="D851" s="23"/>
      <c r="E851" s="23" t="s">
        <v>479</v>
      </c>
      <c r="F851" s="56"/>
      <c r="G851" s="88"/>
      <c r="H851" s="48"/>
      <c r="I851" s="90"/>
      <c r="J851" s="48">
        <f>ROUND(SUM(J852:J853),0)</f>
        <v>0</v>
      </c>
    </row>
    <row r="852" spans="1:10" x14ac:dyDescent="0.25">
      <c r="A852" s="168"/>
      <c r="B852" s="144"/>
      <c r="C852" s="34">
        <v>457</v>
      </c>
      <c r="D852" s="144" t="str">
        <f>'Vật liệu'!$B$111</f>
        <v>V12705</v>
      </c>
      <c r="E852" s="144" t="str">
        <f>" - " &amp; 'Vật liệu'!$D$111</f>
        <v xml:space="preserve"> - Cọc bê tông 35cmx35cm</v>
      </c>
      <c r="F852" s="168" t="str">
        <f>'Vật liệu'!$E$111</f>
        <v>m</v>
      </c>
      <c r="G852" s="34">
        <f>'Hao phí vật tư'!$G$853</f>
        <v>0</v>
      </c>
      <c r="H852" s="68">
        <f>'Vật liệu'!$W$111</f>
        <v>594300</v>
      </c>
      <c r="I852" s="37">
        <v>1</v>
      </c>
      <c r="J852" s="166">
        <f>ROUND(G852*H852*I852,0)</f>
        <v>0</v>
      </c>
    </row>
    <row r="853" spans="1:10" x14ac:dyDescent="0.25">
      <c r="A853" s="168"/>
      <c r="B853" s="144"/>
      <c r="C853" s="34">
        <v>237</v>
      </c>
      <c r="D853" s="144" t="str">
        <f>'Vật liệu'!$B$766</f>
        <v>V00750</v>
      </c>
      <c r="E853" s="144" t="str">
        <f>" - " &amp; 'Vật liệu'!$D$766</f>
        <v xml:space="preserve"> - Vật liệu khác</v>
      </c>
      <c r="F853" s="168" t="str">
        <f>'Vật liệu'!$E$766</f>
        <v>%</v>
      </c>
      <c r="G853" s="34">
        <f>'Hao phí vật tư'!$G$854</f>
        <v>2</v>
      </c>
      <c r="H853" s="166">
        <f>'Vật liệu'!$W$766</f>
        <v>0</v>
      </c>
      <c r="I853" s="37">
        <v>1</v>
      </c>
      <c r="J853" s="166">
        <f>ROUND((J852)*G853*I853/100,0)</f>
        <v>0</v>
      </c>
    </row>
    <row r="854" spans="1:10" x14ac:dyDescent="0.25">
      <c r="A854" s="56"/>
      <c r="B854" s="23"/>
      <c r="C854" s="88"/>
      <c r="D854" s="23"/>
      <c r="E854" s="23" t="s">
        <v>202</v>
      </c>
      <c r="F854" s="56"/>
      <c r="G854" s="88"/>
      <c r="H854" s="48"/>
      <c r="I854" s="90"/>
      <c r="J854" s="48">
        <f>ROUND(SUM(J855:J855),0)</f>
        <v>1710166</v>
      </c>
    </row>
    <row r="855" spans="1:10" x14ac:dyDescent="0.25">
      <c r="A855" s="168"/>
      <c r="B855" s="144"/>
      <c r="C855" s="34">
        <v>554</v>
      </c>
      <c r="D855" s="144" t="str">
        <f>'Nhân công'!$B$103</f>
        <v>N0015</v>
      </c>
      <c r="E855" s="144" t="s">
        <v>1014</v>
      </c>
      <c r="F855" s="168" t="str">
        <f>'Nhân công'!$G$103</f>
        <v>công</v>
      </c>
      <c r="G855" s="34">
        <f>'Hao phí vật tư'!$H$856</f>
        <v>7.14</v>
      </c>
      <c r="H855" s="68">
        <f>'Nhân công'!$M$103</f>
        <v>239519</v>
      </c>
      <c r="I855" s="37">
        <v>1</v>
      </c>
      <c r="J855" s="166">
        <f>ROUND(G855*H855*I855,0)</f>
        <v>1710166</v>
      </c>
    </row>
    <row r="856" spans="1:10" x14ac:dyDescent="0.25">
      <c r="A856" s="56"/>
      <c r="B856" s="23"/>
      <c r="C856" s="88"/>
      <c r="D856" s="23"/>
      <c r="E856" s="23" t="s">
        <v>378</v>
      </c>
      <c r="F856" s="56"/>
      <c r="G856" s="88"/>
      <c r="H856" s="48"/>
      <c r="I856" s="90"/>
      <c r="J856" s="48">
        <f>ROUND(SUM(J857:J861),0)</f>
        <v>23727137</v>
      </c>
    </row>
    <row r="857" spans="1:10" x14ac:dyDescent="0.25">
      <c r="A857" s="168"/>
      <c r="B857" s="144"/>
      <c r="C857" s="34">
        <v>755</v>
      </c>
      <c r="D857" s="144" t="str">
        <f>'Máy thi công'!$B$384</f>
        <v>M9596</v>
      </c>
      <c r="E857" s="144" t="str">
        <f>" - " &amp; 'Máy thi công'!$D$384</f>
        <v xml:space="preserve"> - Sà lan - trọng tải: 250 t</v>
      </c>
      <c r="F857" s="168" t="str">
        <f>'Máy thi công'!$E$384</f>
        <v>ca</v>
      </c>
      <c r="G857" s="34">
        <f>'Hao phí vật tư'!$I$858</f>
        <v>2.0474999999999999</v>
      </c>
      <c r="H857" s="68">
        <f>'Máy thi công'!$N$384</f>
        <v>1107704</v>
      </c>
      <c r="I857" s="37">
        <v>1</v>
      </c>
      <c r="J857" s="166">
        <f>ROUND(G857*H857*I857,0)</f>
        <v>2268024</v>
      </c>
    </row>
    <row r="858" spans="1:10" ht="30" x14ac:dyDescent="0.25">
      <c r="A858" s="168"/>
      <c r="B858" s="144"/>
      <c r="C858" s="34">
        <v>757</v>
      </c>
      <c r="D858" s="144" t="str">
        <f>'Máy thi công'!$B$391</f>
        <v>M9622</v>
      </c>
      <c r="E858" s="144" t="str">
        <f>" - " &amp; 'Máy thi công'!$D$391</f>
        <v xml:space="preserve"> - Tầu kéo và phục vụ thi công thuỷ (làm neo, cấp dầu,...) - công suất: 150 cv</v>
      </c>
      <c r="F858" s="168" t="str">
        <f>'Máy thi công'!$E$391</f>
        <v>ca</v>
      </c>
      <c r="G858" s="34">
        <f>'Hao phí vật tư'!$I$859</f>
        <v>0.14169999999999999</v>
      </c>
      <c r="H858" s="68">
        <f>'Máy thi công'!$N$391</f>
        <v>4108162</v>
      </c>
      <c r="I858" s="37">
        <v>1</v>
      </c>
      <c r="J858" s="166">
        <f>ROUND(G858*H858*I858,0)</f>
        <v>582127</v>
      </c>
    </row>
    <row r="859" spans="1:10" ht="30" x14ac:dyDescent="0.25">
      <c r="A859" s="168"/>
      <c r="B859" s="144"/>
      <c r="C859" s="34">
        <v>722</v>
      </c>
      <c r="D859" s="144" t="str">
        <f>'Máy thi công'!$B$101</f>
        <v>M9449</v>
      </c>
      <c r="E859" s="144" t="str">
        <f>" - " &amp; 'Máy thi công'!$D$101</f>
        <v xml:space="preserve"> - Búa đóng cọc nổi (cả sà lan và máy phụ trợ) - trọng lượng búa: ≤ 1,8 t</v>
      </c>
      <c r="F859" s="168" t="str">
        <f>'Máy thi công'!$E$101</f>
        <v>ca</v>
      </c>
      <c r="G859" s="34">
        <f>'Hao phí vật tư'!$I$860</f>
        <v>2.5499999999999998</v>
      </c>
      <c r="H859" s="68">
        <f>'Máy thi công'!$N$101</f>
        <v>5164778</v>
      </c>
      <c r="I859" s="37">
        <v>1</v>
      </c>
      <c r="J859" s="166">
        <f>ROUND(G859*H859*I859,0)</f>
        <v>13170184</v>
      </c>
    </row>
    <row r="860" spans="1:10" x14ac:dyDescent="0.25">
      <c r="A860" s="168"/>
      <c r="B860" s="144"/>
      <c r="C860" s="34">
        <v>729</v>
      </c>
      <c r="D860" s="144" t="str">
        <f>'Máy thi công'!$B$135</f>
        <v>M9469</v>
      </c>
      <c r="E860" s="144" t="str">
        <f>" - " &amp; 'Máy thi công'!$D$135</f>
        <v xml:space="preserve"> - Cần trục bánh xích - sức nâng: 25 t</v>
      </c>
      <c r="F860" s="168" t="str">
        <f>'Máy thi công'!$E$135</f>
        <v>ca</v>
      </c>
      <c r="G860" s="34">
        <f>'Hao phí vật tư'!$I$861</f>
        <v>2.5499999999999998</v>
      </c>
      <c r="H860" s="68">
        <f>'Máy thi công'!$N$135</f>
        <v>2839829</v>
      </c>
      <c r="I860" s="37">
        <v>1</v>
      </c>
      <c r="J860" s="166">
        <f>ROUND(G860*H860*I860,0)</f>
        <v>7241564</v>
      </c>
    </row>
    <row r="861" spans="1:10" x14ac:dyDescent="0.25">
      <c r="A861" s="168"/>
      <c r="B861" s="144"/>
      <c r="C861" s="34">
        <v>601</v>
      </c>
      <c r="D861" s="144" t="str">
        <f>'Máy thi công'!$B$398</f>
        <v>M0111</v>
      </c>
      <c r="E861" s="144" t="str">
        <f>" - " &amp; 'Máy thi công'!$D$398</f>
        <v xml:space="preserve"> - Máy khác</v>
      </c>
      <c r="F861" s="168" t="str">
        <f>'Máy thi công'!$E$398</f>
        <v>%</v>
      </c>
      <c r="G861" s="34">
        <f>'Hao phí vật tư'!$I$862</f>
        <v>2</v>
      </c>
      <c r="H861" s="166">
        <f>'Máy thi công'!$N$398</f>
        <v>0</v>
      </c>
      <c r="I861" s="37">
        <v>1</v>
      </c>
      <c r="J861" s="166">
        <f>ROUND((J857+J858+J859+J860)*G861*I861/100,0)</f>
        <v>465238</v>
      </c>
    </row>
    <row r="862" spans="1:10" x14ac:dyDescent="0.25">
      <c r="A862" s="65">
        <f>'Công trình'!$A$109</f>
        <v>85</v>
      </c>
      <c r="B862" s="14" t="str">
        <f>'Công trình'!$B$109</f>
        <v>AI.11912</v>
      </c>
      <c r="C862" s="94"/>
      <c r="D862" s="31"/>
      <c r="E862" s="14" t="str">
        <f>'Công trình'!$C$109</f>
        <v>Sản xuất hệ sàn đạo, sàn thao tác</v>
      </c>
      <c r="F862" s="46" t="str">
        <f>'Công trình'!$D$109</f>
        <v>tấn</v>
      </c>
      <c r="G862" s="94"/>
      <c r="H862" s="54"/>
      <c r="I862" s="98"/>
      <c r="J862" s="54"/>
    </row>
    <row r="863" spans="1:10" x14ac:dyDescent="0.25">
      <c r="A863" s="56"/>
      <c r="B863" s="23"/>
      <c r="C863" s="88"/>
      <c r="D863" s="23"/>
      <c r="E863" s="23" t="s">
        <v>479</v>
      </c>
      <c r="F863" s="56"/>
      <c r="G863" s="88"/>
      <c r="H863" s="48"/>
      <c r="I863" s="90"/>
      <c r="J863" s="48">
        <f>ROUND(SUM(J864:J869),0)</f>
        <v>766340</v>
      </c>
    </row>
    <row r="864" spans="1:10" x14ac:dyDescent="0.25">
      <c r="A864" s="168"/>
      <c r="B864" s="144"/>
      <c r="C864" s="34">
        <v>400</v>
      </c>
      <c r="D864" s="144" t="str">
        <f>'Vật liệu'!$B$401</f>
        <v>V00770</v>
      </c>
      <c r="E864" s="144" t="str">
        <f>" - " &amp; 'Vật liệu'!$D$401</f>
        <v xml:space="preserve"> - Ô xy</v>
      </c>
      <c r="F864" s="168" t="str">
        <f>'Vật liệu'!$E$401</f>
        <v>Chai</v>
      </c>
      <c r="G864" s="34">
        <f>'Hao phí vật tư'!$G$865</f>
        <v>2.1</v>
      </c>
      <c r="H864" s="68">
        <f>'Vật liệu'!$W$401</f>
        <v>72000</v>
      </c>
      <c r="I864" s="37">
        <v>1</v>
      </c>
      <c r="J864" s="166">
        <f>ROUND(G864*H864*I864,0)</f>
        <v>151200</v>
      </c>
    </row>
    <row r="865" spans="1:10" x14ac:dyDescent="0.25">
      <c r="A865" s="168"/>
      <c r="B865" s="144"/>
      <c r="C865" s="34">
        <v>411</v>
      </c>
      <c r="D865" s="144" t="str">
        <f>'Vật liệu'!$B$200</f>
        <v>V00833</v>
      </c>
      <c r="E865" s="144" t="str">
        <f>" - " &amp; 'Vật liệu'!$D$200</f>
        <v xml:space="preserve"> - Đất đèn</v>
      </c>
      <c r="F865" s="168" t="str">
        <f>'Vật liệu'!$E$200</f>
        <v>kg</v>
      </c>
      <c r="G865" s="34">
        <f>'Hao phí vật tư'!$G$866</f>
        <v>8.4</v>
      </c>
      <c r="H865" s="68">
        <f>'Vật liệu'!$W$200</f>
        <v>14000</v>
      </c>
      <c r="I865" s="37">
        <v>1</v>
      </c>
      <c r="J865" s="166">
        <f>ROUND(G865*H865*I865,0)</f>
        <v>117600</v>
      </c>
    </row>
    <row r="866" spans="1:10" x14ac:dyDescent="0.25">
      <c r="A866" s="168"/>
      <c r="B866" s="144"/>
      <c r="C866" s="34">
        <v>160</v>
      </c>
      <c r="D866" s="144" t="str">
        <f>'Vật liệu'!$B$556</f>
        <v>V00641</v>
      </c>
      <c r="E866" s="144" t="str">
        <f>" - " &amp; 'Vật liệu'!$D$556</f>
        <v xml:space="preserve"> - Thép hình</v>
      </c>
      <c r="F866" s="168" t="str">
        <f>'Vật liệu'!$E$556</f>
        <v>kg</v>
      </c>
      <c r="G866" s="34">
        <f>'Hao phí vật tư'!$G$867</f>
        <v>0</v>
      </c>
      <c r="H866" s="68">
        <f>'Vật liệu'!$W$556</f>
        <v>15291</v>
      </c>
      <c r="I866" s="37">
        <v>1</v>
      </c>
      <c r="J866" s="166">
        <f>ROUND(G866*H866*I866,0)</f>
        <v>0</v>
      </c>
    </row>
    <row r="867" spans="1:10" x14ac:dyDescent="0.25">
      <c r="A867" s="168"/>
      <c r="B867" s="144"/>
      <c r="C867" s="34">
        <v>166</v>
      </c>
      <c r="D867" s="144" t="str">
        <f>'Vật liệu'!$B$606</f>
        <v>V00671</v>
      </c>
      <c r="E867" s="144" t="str">
        <f>" - " &amp; 'Vật liệu'!$D$606</f>
        <v xml:space="preserve"> - Thép tấm</v>
      </c>
      <c r="F867" s="168" t="str">
        <f>'Vật liệu'!$E$606</f>
        <v>kg</v>
      </c>
      <c r="G867" s="34">
        <f>'Hao phí vật tư'!$G$868</f>
        <v>0</v>
      </c>
      <c r="H867" s="68">
        <f>'Vật liệu'!$W$606</f>
        <v>12574</v>
      </c>
      <c r="I867" s="37">
        <v>1</v>
      </c>
      <c r="J867" s="166">
        <f>ROUND(G867*H867*I867,0)</f>
        <v>0</v>
      </c>
    </row>
    <row r="868" spans="1:10" x14ac:dyDescent="0.25">
      <c r="A868" s="168"/>
      <c r="B868" s="144"/>
      <c r="C868" s="34">
        <v>154</v>
      </c>
      <c r="D868" s="144" t="str">
        <f>'Vật liệu'!$B$450</f>
        <v>V00515</v>
      </c>
      <c r="E868" s="144" t="str">
        <f>" - " &amp; 'Vật liệu'!$D$450</f>
        <v xml:space="preserve"> - Que hàn</v>
      </c>
      <c r="F868" s="168" t="str">
        <f>'Vật liệu'!$E$450</f>
        <v>kg</v>
      </c>
      <c r="G868" s="34">
        <f>'Hao phí vật tư'!$G$869</f>
        <v>24.15</v>
      </c>
      <c r="H868" s="68">
        <f>'Vật liệu'!$W$450</f>
        <v>19091</v>
      </c>
      <c r="I868" s="37">
        <v>1</v>
      </c>
      <c r="J868" s="166">
        <f>ROUND(G868*H868*I868,0)</f>
        <v>461048</v>
      </c>
    </row>
    <row r="869" spans="1:10" x14ac:dyDescent="0.25">
      <c r="A869" s="168"/>
      <c r="B869" s="144"/>
      <c r="C869" s="34">
        <v>238</v>
      </c>
      <c r="D869" s="144" t="str">
        <f>'Vật liệu'!$B$766</f>
        <v>V00750</v>
      </c>
      <c r="E869" s="144" t="str">
        <f>" - " &amp; 'Vật liệu'!$D$766</f>
        <v xml:space="preserve"> - Vật liệu khác</v>
      </c>
      <c r="F869" s="168" t="str">
        <f>'Vật liệu'!$E$766</f>
        <v>%</v>
      </c>
      <c r="G869" s="34">
        <f>'Hao phí vật tư'!$G$870</f>
        <v>5</v>
      </c>
      <c r="H869" s="166">
        <f>'Vật liệu'!$W$766</f>
        <v>0</v>
      </c>
      <c r="I869" s="37">
        <v>1</v>
      </c>
      <c r="J869" s="166">
        <f>ROUND((J864+J865+J866+J867+J868)*G869*I869/100,0)</f>
        <v>36492</v>
      </c>
    </row>
    <row r="870" spans="1:10" x14ac:dyDescent="0.25">
      <c r="A870" s="56"/>
      <c r="B870" s="23"/>
      <c r="C870" s="88"/>
      <c r="D870" s="23"/>
      <c r="E870" s="23" t="s">
        <v>202</v>
      </c>
      <c r="F870" s="56"/>
      <c r="G870" s="88"/>
      <c r="H870" s="48"/>
      <c r="I870" s="90"/>
      <c r="J870" s="48">
        <f>ROUND(SUM(J871:J871),0)</f>
        <v>5211175</v>
      </c>
    </row>
    <row r="871" spans="1:10" x14ac:dyDescent="0.25">
      <c r="A871" s="168"/>
      <c r="B871" s="144"/>
      <c r="C871" s="34">
        <v>550</v>
      </c>
      <c r="D871" s="144" t="str">
        <f>'Nhân công'!$B$130</f>
        <v>N0011</v>
      </c>
      <c r="E871" s="144" t="s">
        <v>671</v>
      </c>
      <c r="F871" s="168" t="str">
        <f>'Nhân công'!$G$130</f>
        <v>công</v>
      </c>
      <c r="G871" s="34">
        <f>'Hao phí vật tư'!$H$872</f>
        <v>22.61</v>
      </c>
      <c r="H871" s="68">
        <f>'Nhân công'!$M$130</f>
        <v>230481</v>
      </c>
      <c r="I871" s="37">
        <v>1</v>
      </c>
      <c r="J871" s="166">
        <f>ROUND(G871*H871*I871,0)</f>
        <v>5211175</v>
      </c>
    </row>
    <row r="872" spans="1:10" x14ac:dyDescent="0.25">
      <c r="A872" s="56"/>
      <c r="B872" s="23"/>
      <c r="C872" s="88"/>
      <c r="D872" s="23"/>
      <c r="E872" s="23" t="s">
        <v>378</v>
      </c>
      <c r="F872" s="56"/>
      <c r="G872" s="88"/>
      <c r="H872" s="48"/>
      <c r="I872" s="90"/>
      <c r="J872" s="48">
        <f>ROUND(SUM(J873:J875),0)</f>
        <v>2229025</v>
      </c>
    </row>
    <row r="873" spans="1:10" x14ac:dyDescent="0.25">
      <c r="A873" s="168"/>
      <c r="B873" s="144"/>
      <c r="C873" s="34">
        <v>733</v>
      </c>
      <c r="D873" s="144" t="str">
        <f>'Máy thi công'!$B$148</f>
        <v>M9478</v>
      </c>
      <c r="E873" s="144" t="str">
        <f>" - " &amp; 'Máy thi công'!$D$148</f>
        <v xml:space="preserve"> - Cần trục ô tô - sức nâng: 10 t</v>
      </c>
      <c r="F873" s="168" t="str">
        <f>'Máy thi công'!$E$148</f>
        <v>ca</v>
      </c>
      <c r="G873" s="34">
        <f>'Hao phí vật tư'!$I$874</f>
        <v>0.27</v>
      </c>
      <c r="H873" s="68">
        <f>'Máy thi công'!$N$148</f>
        <v>2160679</v>
      </c>
      <c r="I873" s="37">
        <v>1</v>
      </c>
      <c r="J873" s="166">
        <f>ROUND(G873*H873*I873,0)</f>
        <v>583383</v>
      </c>
    </row>
    <row r="874" spans="1:10" x14ac:dyDescent="0.25">
      <c r="A874" s="168"/>
      <c r="B874" s="144"/>
      <c r="C874" s="34">
        <v>703</v>
      </c>
      <c r="D874" s="144" t="str">
        <f>'Máy thi công'!$B$177</f>
        <v>M112.2001</v>
      </c>
      <c r="E874" s="144" t="str">
        <f>" - " &amp; 'Máy thi công'!$D$177</f>
        <v xml:space="preserve"> - Máy cắt sắt cầm tay - công suất: 1,7 kW</v>
      </c>
      <c r="F874" s="168" t="str">
        <f>'Máy thi công'!$E$177</f>
        <v>ca</v>
      </c>
      <c r="G874" s="34">
        <f>'Hao phí vật tư'!$I$875</f>
        <v>0.4</v>
      </c>
      <c r="H874" s="68">
        <f>'Máy thi công'!$N$177</f>
        <v>226876</v>
      </c>
      <c r="I874" s="37">
        <v>1</v>
      </c>
      <c r="J874" s="166">
        <f>ROUND(G874*H874*I874,0)</f>
        <v>90750</v>
      </c>
    </row>
    <row r="875" spans="1:10" x14ac:dyDescent="0.25">
      <c r="A875" s="168"/>
      <c r="B875" s="144"/>
      <c r="C875" s="34">
        <v>714</v>
      </c>
      <c r="D875" s="144" t="str">
        <f>'Máy thi công'!$B$6</f>
        <v>M9438</v>
      </c>
      <c r="E875" s="144" t="str">
        <f>" - " &amp; 'Máy thi công'!$D$6</f>
        <v xml:space="preserve"> - Biến thế hàn xoay chiều - công suất: 23 kW</v>
      </c>
      <c r="F875" s="168" t="str">
        <f>'Máy thi công'!$E$6</f>
        <v>ca</v>
      </c>
      <c r="G875" s="34">
        <f>'Hao phí vật tư'!$I$876</f>
        <v>4.5999999999999996</v>
      </c>
      <c r="H875" s="68">
        <f>'Máy thi công'!$N$6</f>
        <v>338020</v>
      </c>
      <c r="I875" s="37">
        <v>1</v>
      </c>
      <c r="J875" s="166">
        <f>ROUND(G875*H875*I875,0)</f>
        <v>1554892</v>
      </c>
    </row>
    <row r="876" spans="1:10" ht="28.5" x14ac:dyDescent="0.25">
      <c r="A876" s="65">
        <f>'Công trình'!$A$110</f>
        <v>86</v>
      </c>
      <c r="B876" s="14" t="str">
        <f>'Công trình'!$B$110</f>
        <v>TT</v>
      </c>
      <c r="C876" s="94"/>
      <c r="D876" s="31"/>
      <c r="E876" s="14" t="str">
        <f>'Công trình'!$C$110</f>
        <v>Khấu hao hệ sàn đạo, sàn thao tác (Thi công trong vòng 1 tháng và 5 lần đóng nhổ)</v>
      </c>
      <c r="F876" s="46" t="str">
        <f>'Công trình'!$D$110</f>
        <v>tấn</v>
      </c>
      <c r="G876" s="94"/>
      <c r="H876" s="54"/>
      <c r="I876" s="98"/>
      <c r="J876" s="54"/>
    </row>
    <row r="877" spans="1:10" x14ac:dyDescent="0.25">
      <c r="A877" s="56"/>
      <c r="B877" s="23"/>
      <c r="C877" s="88"/>
      <c r="D877" s="23"/>
      <c r="E877" s="23" t="s">
        <v>479</v>
      </c>
      <c r="F877" s="56"/>
      <c r="G877" s="88"/>
      <c r="H877" s="48"/>
      <c r="I877" s="90"/>
      <c r="J877" s="48">
        <f>ROUND(SUM(J878:J883),0)</f>
        <v>15985723</v>
      </c>
    </row>
    <row r="878" spans="1:10" x14ac:dyDescent="0.25">
      <c r="A878" s="168"/>
      <c r="B878" s="144"/>
      <c r="C878" s="34">
        <v>400</v>
      </c>
      <c r="D878" s="144" t="str">
        <f>'Vật liệu'!$B$401</f>
        <v>V00770</v>
      </c>
      <c r="E878" s="144" t="str">
        <f>" - " &amp; 'Vật liệu'!$D$401</f>
        <v xml:space="preserve"> - Ô xy</v>
      </c>
      <c r="F878" s="168" t="str">
        <f>'Vật liệu'!$E$401</f>
        <v>Chai</v>
      </c>
      <c r="G878" s="34">
        <f>'Hao phí vật tư'!$G$879</f>
        <v>0</v>
      </c>
      <c r="H878" s="68">
        <f>'Vật liệu'!$W$401</f>
        <v>72000</v>
      </c>
      <c r="I878" s="37">
        <v>1</v>
      </c>
      <c r="J878" s="166">
        <f>ROUND(G878*H878*I878,0)</f>
        <v>0</v>
      </c>
    </row>
    <row r="879" spans="1:10" x14ac:dyDescent="0.25">
      <c r="A879" s="168"/>
      <c r="B879" s="144"/>
      <c r="C879" s="34">
        <v>411</v>
      </c>
      <c r="D879" s="144" t="str">
        <f>'Vật liệu'!$B$200</f>
        <v>V00833</v>
      </c>
      <c r="E879" s="144" t="str">
        <f>" - " &amp; 'Vật liệu'!$D$200</f>
        <v xml:space="preserve"> - Đất đèn</v>
      </c>
      <c r="F879" s="168" t="str">
        <f>'Vật liệu'!$E$200</f>
        <v>kg</v>
      </c>
      <c r="G879" s="34">
        <f>'Hao phí vật tư'!$G$880</f>
        <v>0</v>
      </c>
      <c r="H879" s="68">
        <f>'Vật liệu'!$W$200</f>
        <v>14000</v>
      </c>
      <c r="I879" s="37">
        <v>1</v>
      </c>
      <c r="J879" s="166">
        <f>ROUND(G879*H879*I879,0)</f>
        <v>0</v>
      </c>
    </row>
    <row r="880" spans="1:10" x14ac:dyDescent="0.25">
      <c r="A880" s="168"/>
      <c r="B880" s="144"/>
      <c r="C880" s="34">
        <v>160</v>
      </c>
      <c r="D880" s="144" t="str">
        <f>'Vật liệu'!$B$556</f>
        <v>V00641</v>
      </c>
      <c r="E880" s="144" t="str">
        <f>" - " &amp; 'Vật liệu'!$D$556</f>
        <v xml:space="preserve"> - Thép hình</v>
      </c>
      <c r="F880" s="168" t="str">
        <f>'Vật liệu'!$E$556</f>
        <v>kg</v>
      </c>
      <c r="G880" s="34">
        <f>'Hao phí vật tư'!$G$881</f>
        <v>697.85</v>
      </c>
      <c r="H880" s="68">
        <f>'Vật liệu'!$W$556</f>
        <v>15291</v>
      </c>
      <c r="I880" s="37">
        <v>1</v>
      </c>
      <c r="J880" s="166">
        <f>ROUND(G880*H880*I880,0)</f>
        <v>10670824</v>
      </c>
    </row>
    <row r="881" spans="1:10" x14ac:dyDescent="0.25">
      <c r="A881" s="168"/>
      <c r="B881" s="144"/>
      <c r="C881" s="34">
        <v>166</v>
      </c>
      <c r="D881" s="144" t="str">
        <f>'Vật liệu'!$B$606</f>
        <v>V00671</v>
      </c>
      <c r="E881" s="144" t="str">
        <f>" - " &amp; 'Vật liệu'!$D$606</f>
        <v xml:space="preserve"> - Thép tấm</v>
      </c>
      <c r="F881" s="168" t="str">
        <f>'Vật liệu'!$E$606</f>
        <v>kg</v>
      </c>
      <c r="G881" s="34">
        <f>'Hao phí vật tư'!$G$882</f>
        <v>362.15</v>
      </c>
      <c r="H881" s="68">
        <f>'Vật liệu'!$W$606</f>
        <v>12574</v>
      </c>
      <c r="I881" s="37">
        <v>1</v>
      </c>
      <c r="J881" s="166">
        <f>ROUND(G881*H881*I881,0)</f>
        <v>4553674</v>
      </c>
    </row>
    <row r="882" spans="1:10" x14ac:dyDescent="0.25">
      <c r="A882" s="168"/>
      <c r="B882" s="144"/>
      <c r="C882" s="34">
        <v>154</v>
      </c>
      <c r="D882" s="144" t="str">
        <f>'Vật liệu'!$B$450</f>
        <v>V00515</v>
      </c>
      <c r="E882" s="144" t="str">
        <f>" - " &amp; 'Vật liệu'!$D$450</f>
        <v xml:space="preserve"> - Que hàn</v>
      </c>
      <c r="F882" s="168" t="str">
        <f>'Vật liệu'!$E$450</f>
        <v>kg</v>
      </c>
      <c r="G882" s="34">
        <f>'Hao phí vật tư'!$G$883</f>
        <v>0</v>
      </c>
      <c r="H882" s="68">
        <f>'Vật liệu'!$W$450</f>
        <v>19091</v>
      </c>
      <c r="I882" s="37">
        <v>1</v>
      </c>
      <c r="J882" s="166">
        <f>ROUND(G882*H882*I882,0)</f>
        <v>0</v>
      </c>
    </row>
    <row r="883" spans="1:10" x14ac:dyDescent="0.25">
      <c r="A883" s="168"/>
      <c r="B883" s="144"/>
      <c r="C883" s="34">
        <v>239</v>
      </c>
      <c r="D883" s="144" t="str">
        <f>'Vật liệu'!$B$766</f>
        <v>V00750</v>
      </c>
      <c r="E883" s="144" t="str">
        <f>" - " &amp; 'Vật liệu'!$D$766</f>
        <v xml:space="preserve"> - Vật liệu khác</v>
      </c>
      <c r="F883" s="168" t="str">
        <f>'Vật liệu'!$E$766</f>
        <v>%</v>
      </c>
      <c r="G883" s="34">
        <f>'Hao phí vật tư'!$G$884</f>
        <v>5</v>
      </c>
      <c r="H883" s="166">
        <f>'Vật liệu'!$W$766</f>
        <v>0</v>
      </c>
      <c r="I883" s="37">
        <v>1</v>
      </c>
      <c r="J883" s="166">
        <f>ROUND((J878+J879+J880+J881+J882)*G883*I883/100,0)</f>
        <v>761225</v>
      </c>
    </row>
    <row r="884" spans="1:10" ht="28.5" x14ac:dyDescent="0.25">
      <c r="A884" s="65">
        <f>'Công trình'!$A$112</f>
        <v>87</v>
      </c>
      <c r="B884" s="14" t="str">
        <f>'Công trình'!$B$112</f>
        <v>AI.63311</v>
      </c>
      <c r="C884" s="94"/>
      <c r="D884" s="31"/>
      <c r="E884" s="14" t="str">
        <f>'Công trình'!$C$112</f>
        <v>Lắp dựng kết cấu thép hệ khung dàn, sàn đạo trên cạn</v>
      </c>
      <c r="F884" s="46" t="str">
        <f>'Công trình'!$D$112</f>
        <v>tấn</v>
      </c>
      <c r="G884" s="94"/>
      <c r="H884" s="54"/>
      <c r="I884" s="98"/>
      <c r="J884" s="54"/>
    </row>
    <row r="885" spans="1:10" x14ac:dyDescent="0.25">
      <c r="A885" s="56"/>
      <c r="B885" s="23"/>
      <c r="C885" s="88"/>
      <c r="D885" s="23"/>
      <c r="E885" s="23" t="s">
        <v>479</v>
      </c>
      <c r="F885" s="56"/>
      <c r="G885" s="88"/>
      <c r="H885" s="48"/>
      <c r="I885" s="90"/>
      <c r="J885" s="48">
        <f>ROUND(SUM(J886:J889),0)</f>
        <v>373772</v>
      </c>
    </row>
    <row r="886" spans="1:10" x14ac:dyDescent="0.25">
      <c r="A886" s="168"/>
      <c r="B886" s="144"/>
      <c r="C886" s="34">
        <v>154</v>
      </c>
      <c r="D886" s="144" t="str">
        <f>'Vật liệu'!$B$450</f>
        <v>V00515</v>
      </c>
      <c r="E886" s="144" t="str">
        <f>" - " &amp; 'Vật liệu'!$D$450</f>
        <v xml:space="preserve"> - Que hàn</v>
      </c>
      <c r="F886" s="168" t="str">
        <f>'Vật liệu'!$E$450</f>
        <v>kg</v>
      </c>
      <c r="G886" s="34">
        <f>'Hao phí vật tư'!$G$887</f>
        <v>12</v>
      </c>
      <c r="H886" s="68">
        <f>'Vật liệu'!$W$450</f>
        <v>19091</v>
      </c>
      <c r="I886" s="37">
        <v>1</v>
      </c>
      <c r="J886" s="166">
        <f>ROUND(G886*H886*I886,0)</f>
        <v>229092</v>
      </c>
    </row>
    <row r="887" spans="1:10" x14ac:dyDescent="0.25">
      <c r="A887" s="168"/>
      <c r="B887" s="144"/>
      <c r="C887" s="34">
        <v>160</v>
      </c>
      <c r="D887" s="144" t="str">
        <f>'Vật liệu'!$B$556</f>
        <v>V00641</v>
      </c>
      <c r="E887" s="144" t="str">
        <f>" - " &amp; 'Vật liệu'!$D$556</f>
        <v xml:space="preserve"> - Thép hình</v>
      </c>
      <c r="F887" s="168" t="str">
        <f>'Vật liệu'!$E$556</f>
        <v>kg</v>
      </c>
      <c r="G887" s="34">
        <f>'Hao phí vật tư'!$G$888</f>
        <v>0.45</v>
      </c>
      <c r="H887" s="68">
        <f>'Vật liệu'!$W$556</f>
        <v>15291</v>
      </c>
      <c r="I887" s="37">
        <v>1</v>
      </c>
      <c r="J887" s="166">
        <f>ROUND(G887*H887*I887,0)</f>
        <v>6881</v>
      </c>
    </row>
    <row r="888" spans="1:10" x14ac:dyDescent="0.25">
      <c r="A888" s="168"/>
      <c r="B888" s="144"/>
      <c r="C888" s="34">
        <v>122</v>
      </c>
      <c r="D888" s="144" t="str">
        <f>'Vật liệu'!$B$20</f>
        <v>V00039</v>
      </c>
      <c r="E888" s="144" t="str">
        <f>" - " &amp; 'Vật liệu'!$D$20</f>
        <v xml:space="preserve"> - Bu lông M20</v>
      </c>
      <c r="F888" s="168" t="str">
        <f>'Vật liệu'!$E$20</f>
        <v>cái</v>
      </c>
      <c r="G888" s="34">
        <f>'Hao phí vật tư'!$G$889</f>
        <v>12</v>
      </c>
      <c r="H888" s="68">
        <f>'Vật liệu'!$W$20</f>
        <v>10000</v>
      </c>
      <c r="I888" s="37">
        <v>1</v>
      </c>
      <c r="J888" s="166">
        <f>ROUND(G888*H888*I888,0)</f>
        <v>120000</v>
      </c>
    </row>
    <row r="889" spans="1:10" x14ac:dyDescent="0.25">
      <c r="A889" s="168"/>
      <c r="B889" s="144"/>
      <c r="C889" s="34">
        <v>243</v>
      </c>
      <c r="D889" s="144" t="str">
        <f>'Vật liệu'!$B$766</f>
        <v>V00750</v>
      </c>
      <c r="E889" s="144" t="str">
        <f>" - " &amp; 'Vật liệu'!$D$766</f>
        <v xml:space="preserve"> - Vật liệu khác</v>
      </c>
      <c r="F889" s="168" t="str">
        <f>'Vật liệu'!$E$766</f>
        <v>%</v>
      </c>
      <c r="G889" s="34">
        <f>'Hao phí vật tư'!$G$890</f>
        <v>5</v>
      </c>
      <c r="H889" s="166">
        <f>'Vật liệu'!$W$766</f>
        <v>0</v>
      </c>
      <c r="I889" s="37">
        <v>1</v>
      </c>
      <c r="J889" s="166">
        <f>ROUND((J886+J887+J888)*G889*I889/100,0)</f>
        <v>17799</v>
      </c>
    </row>
    <row r="890" spans="1:10" x14ac:dyDescent="0.25">
      <c r="A890" s="56"/>
      <c r="B890" s="23"/>
      <c r="C890" s="88"/>
      <c r="D890" s="23"/>
      <c r="E890" s="23" t="s">
        <v>202</v>
      </c>
      <c r="F890" s="56"/>
      <c r="G890" s="88"/>
      <c r="H890" s="48"/>
      <c r="I890" s="90"/>
      <c r="J890" s="48">
        <f>ROUND(SUM(J891:J891),0)</f>
        <v>2189570</v>
      </c>
    </row>
    <row r="891" spans="1:10" x14ac:dyDescent="0.25">
      <c r="A891" s="168"/>
      <c r="B891" s="144"/>
      <c r="C891" s="34">
        <v>550</v>
      </c>
      <c r="D891" s="144" t="str">
        <f>'Nhân công'!$B$130</f>
        <v>N0011</v>
      </c>
      <c r="E891" s="144" t="s">
        <v>671</v>
      </c>
      <c r="F891" s="168" t="str">
        <f>'Nhân công'!$G$130</f>
        <v>công</v>
      </c>
      <c r="G891" s="34">
        <f>'Hao phí vật tư'!$H$892</f>
        <v>9.5</v>
      </c>
      <c r="H891" s="68">
        <f>'Nhân công'!$M$130</f>
        <v>230481</v>
      </c>
      <c r="I891" s="37">
        <v>1</v>
      </c>
      <c r="J891" s="166">
        <f>ROUND(G891*H891*I891,0)</f>
        <v>2189570</v>
      </c>
    </row>
    <row r="892" spans="1:10" x14ac:dyDescent="0.25">
      <c r="A892" s="56"/>
      <c r="B892" s="23"/>
      <c r="C892" s="88"/>
      <c r="D892" s="23"/>
      <c r="E892" s="23" t="s">
        <v>378</v>
      </c>
      <c r="F892" s="56"/>
      <c r="G892" s="88"/>
      <c r="H892" s="48"/>
      <c r="I892" s="90"/>
      <c r="J892" s="48">
        <f>ROUND(SUM(J893:J894),0)</f>
        <v>1660581</v>
      </c>
    </row>
    <row r="893" spans="1:10" x14ac:dyDescent="0.25">
      <c r="A893" s="168"/>
      <c r="B893" s="144"/>
      <c r="C893" s="34">
        <v>714</v>
      </c>
      <c r="D893" s="144" t="str">
        <f>'Máy thi công'!$B$6</f>
        <v>M9438</v>
      </c>
      <c r="E893" s="144" t="str">
        <f>" - " &amp; 'Máy thi công'!$D$6</f>
        <v xml:space="preserve"> - Biến thế hàn xoay chiều - công suất: 23 kW</v>
      </c>
      <c r="F893" s="168" t="str">
        <f>'Máy thi công'!$E$6</f>
        <v>ca</v>
      </c>
      <c r="G893" s="34">
        <f>'Hao phí vật tư'!$I$894</f>
        <v>3</v>
      </c>
      <c r="H893" s="68">
        <f>'Máy thi công'!$N$6</f>
        <v>338020</v>
      </c>
      <c r="I893" s="37">
        <v>1</v>
      </c>
      <c r="J893" s="166">
        <f>ROUND(G893*H893*I893,0)</f>
        <v>1014060</v>
      </c>
    </row>
    <row r="894" spans="1:10" x14ac:dyDescent="0.25">
      <c r="A894" s="168"/>
      <c r="B894" s="144"/>
      <c r="C894" s="34">
        <v>728</v>
      </c>
      <c r="D894" s="144" t="str">
        <f>'Máy thi công'!$B$120</f>
        <v>M9468</v>
      </c>
      <c r="E894" s="144" t="str">
        <f>" - " &amp; 'Máy thi công'!$D$120</f>
        <v xml:space="preserve"> - Cần trục bánh xích - sức nâng: 16 t</v>
      </c>
      <c r="F894" s="168" t="str">
        <f>'Máy thi công'!$E$120</f>
        <v>ca</v>
      </c>
      <c r="G894" s="34">
        <f>'Hao phí vật tư'!$I$895</f>
        <v>0.27</v>
      </c>
      <c r="H894" s="68">
        <f>'Máy thi công'!$N$120</f>
        <v>2394521</v>
      </c>
      <c r="I894" s="37">
        <v>1</v>
      </c>
      <c r="J894" s="166">
        <f>ROUND(G894*H894*I894,0)</f>
        <v>646521</v>
      </c>
    </row>
    <row r="895" spans="1:10" ht="28.5" x14ac:dyDescent="0.25">
      <c r="A895" s="65">
        <f>'Công trình'!$A$113</f>
        <v>88</v>
      </c>
      <c r="B895" s="14" t="str">
        <f>'Công trình'!$B$113</f>
        <v>AI.63311</v>
      </c>
      <c r="C895" s="94"/>
      <c r="D895" s="31"/>
      <c r="E895" s="14" t="str">
        <f>'Công trình'!$C$113</f>
        <v>Tháo dỡ kết cấu thép hệ khung dàn, sàn đạo trên cạn (60% Đg)</v>
      </c>
      <c r="F895" s="46" t="str">
        <f>'Công trình'!$D$113</f>
        <v>tấn</v>
      </c>
      <c r="G895" s="94"/>
      <c r="H895" s="54"/>
      <c r="I895" s="98"/>
      <c r="J895" s="54"/>
    </row>
    <row r="896" spans="1:10" x14ac:dyDescent="0.25">
      <c r="A896" s="56"/>
      <c r="B896" s="23"/>
      <c r="C896" s="88"/>
      <c r="D896" s="23"/>
      <c r="E896" s="23" t="s">
        <v>479</v>
      </c>
      <c r="F896" s="56"/>
      <c r="G896" s="88"/>
      <c r="H896" s="48"/>
      <c r="I896" s="90"/>
      <c r="J896" s="48">
        <f>ROUND(SUM(J897:J900),0)</f>
        <v>224263</v>
      </c>
    </row>
    <row r="897" spans="1:10" x14ac:dyDescent="0.25">
      <c r="A897" s="168"/>
      <c r="B897" s="144"/>
      <c r="C897" s="34">
        <v>154</v>
      </c>
      <c r="D897" s="144" t="str">
        <f>'Vật liệu'!$B$450</f>
        <v>V00515</v>
      </c>
      <c r="E897" s="144" t="str">
        <f>" - " &amp; 'Vật liệu'!$D$450</f>
        <v xml:space="preserve"> - Que hàn</v>
      </c>
      <c r="F897" s="168" t="str">
        <f>'Vật liệu'!$E$450</f>
        <v>kg</v>
      </c>
      <c r="G897" s="34">
        <f>'Hao phí vật tư'!$G$898</f>
        <v>7.2</v>
      </c>
      <c r="H897" s="68">
        <f>'Vật liệu'!$W$450</f>
        <v>19091</v>
      </c>
      <c r="I897" s="37">
        <v>1</v>
      </c>
      <c r="J897" s="166">
        <f>ROUND(G897*H897*I897,0)</f>
        <v>137455</v>
      </c>
    </row>
    <row r="898" spans="1:10" x14ac:dyDescent="0.25">
      <c r="A898" s="168"/>
      <c r="B898" s="144"/>
      <c r="C898" s="34">
        <v>160</v>
      </c>
      <c r="D898" s="144" t="str">
        <f>'Vật liệu'!$B$556</f>
        <v>V00641</v>
      </c>
      <c r="E898" s="144" t="str">
        <f>" - " &amp; 'Vật liệu'!$D$556</f>
        <v xml:space="preserve"> - Thép hình</v>
      </c>
      <c r="F898" s="168" t="str">
        <f>'Vật liệu'!$E$556</f>
        <v>kg</v>
      </c>
      <c r="G898" s="34">
        <f>'Hao phí vật tư'!$G$899</f>
        <v>0.27</v>
      </c>
      <c r="H898" s="68">
        <f>'Vật liệu'!$W$556</f>
        <v>15291</v>
      </c>
      <c r="I898" s="37">
        <v>1</v>
      </c>
      <c r="J898" s="166">
        <f>ROUND(G898*H898*I898,0)</f>
        <v>4129</v>
      </c>
    </row>
    <row r="899" spans="1:10" x14ac:dyDescent="0.25">
      <c r="A899" s="168"/>
      <c r="B899" s="144"/>
      <c r="C899" s="34">
        <v>122</v>
      </c>
      <c r="D899" s="144" t="str">
        <f>'Vật liệu'!$B$20</f>
        <v>V00039</v>
      </c>
      <c r="E899" s="144" t="str">
        <f>" - " &amp; 'Vật liệu'!$D$20</f>
        <v xml:space="preserve"> - Bu lông M20</v>
      </c>
      <c r="F899" s="168" t="str">
        <f>'Vật liệu'!$E$20</f>
        <v>cái</v>
      </c>
      <c r="G899" s="34">
        <f>'Hao phí vật tư'!$G$900</f>
        <v>7.2</v>
      </c>
      <c r="H899" s="68">
        <f>'Vật liệu'!$W$20</f>
        <v>10000</v>
      </c>
      <c r="I899" s="37">
        <v>1</v>
      </c>
      <c r="J899" s="166">
        <f>ROUND(G899*H899*I899,0)</f>
        <v>72000</v>
      </c>
    </row>
    <row r="900" spans="1:10" x14ac:dyDescent="0.25">
      <c r="A900" s="168"/>
      <c r="B900" s="144"/>
      <c r="C900" s="34">
        <v>244</v>
      </c>
      <c r="D900" s="144" t="str">
        <f>'Vật liệu'!$B$766</f>
        <v>V00750</v>
      </c>
      <c r="E900" s="144" t="str">
        <f>" - " &amp; 'Vật liệu'!$D$766</f>
        <v xml:space="preserve"> - Vật liệu khác</v>
      </c>
      <c r="F900" s="168" t="str">
        <f>'Vật liệu'!$E$766</f>
        <v>%</v>
      </c>
      <c r="G900" s="34">
        <f>'Hao phí vật tư'!$G$901</f>
        <v>5</v>
      </c>
      <c r="H900" s="166">
        <f>'Vật liệu'!$W$766</f>
        <v>0</v>
      </c>
      <c r="I900" s="37">
        <v>1</v>
      </c>
      <c r="J900" s="166">
        <f>ROUND((J897+J898+J899)*G900*I900/100,0)</f>
        <v>10679</v>
      </c>
    </row>
    <row r="901" spans="1:10" x14ac:dyDescent="0.25">
      <c r="A901" s="56"/>
      <c r="B901" s="23"/>
      <c r="C901" s="88"/>
      <c r="D901" s="23"/>
      <c r="E901" s="23" t="s">
        <v>202</v>
      </c>
      <c r="F901" s="56"/>
      <c r="G901" s="88"/>
      <c r="H901" s="48"/>
      <c r="I901" s="90"/>
      <c r="J901" s="48">
        <f>ROUND(SUM(J902:J902),0)</f>
        <v>1313742</v>
      </c>
    </row>
    <row r="902" spans="1:10" x14ac:dyDescent="0.25">
      <c r="A902" s="168"/>
      <c r="B902" s="144"/>
      <c r="C902" s="34">
        <v>550</v>
      </c>
      <c r="D902" s="144" t="str">
        <f>'Nhân công'!$B$130</f>
        <v>N0011</v>
      </c>
      <c r="E902" s="144" t="s">
        <v>671</v>
      </c>
      <c r="F902" s="168" t="str">
        <f>'Nhân công'!$G$130</f>
        <v>công</v>
      </c>
      <c r="G902" s="34">
        <f>'Hao phí vật tư'!$H$903</f>
        <v>5.7</v>
      </c>
      <c r="H902" s="68">
        <f>'Nhân công'!$M$130</f>
        <v>230481</v>
      </c>
      <c r="I902" s="37">
        <v>1</v>
      </c>
      <c r="J902" s="166">
        <f>ROUND(G902*H902*I902,0)</f>
        <v>1313742</v>
      </c>
    </row>
    <row r="903" spans="1:10" x14ac:dyDescent="0.25">
      <c r="A903" s="56"/>
      <c r="B903" s="23"/>
      <c r="C903" s="88"/>
      <c r="D903" s="23"/>
      <c r="E903" s="23" t="s">
        <v>378</v>
      </c>
      <c r="F903" s="56"/>
      <c r="G903" s="88"/>
      <c r="H903" s="48"/>
      <c r="I903" s="90"/>
      <c r="J903" s="48">
        <f>ROUND(SUM(J904:J905),0)</f>
        <v>996348</v>
      </c>
    </row>
    <row r="904" spans="1:10" x14ac:dyDescent="0.25">
      <c r="A904" s="168"/>
      <c r="B904" s="144"/>
      <c r="C904" s="34">
        <v>714</v>
      </c>
      <c r="D904" s="144" t="str">
        <f>'Máy thi công'!$B$6</f>
        <v>M9438</v>
      </c>
      <c r="E904" s="144" t="str">
        <f>" - " &amp; 'Máy thi công'!$D$6</f>
        <v xml:space="preserve"> - Biến thế hàn xoay chiều - công suất: 23 kW</v>
      </c>
      <c r="F904" s="168" t="str">
        <f>'Máy thi công'!$E$6</f>
        <v>ca</v>
      </c>
      <c r="G904" s="34">
        <f>'Hao phí vật tư'!$I$905</f>
        <v>1.8</v>
      </c>
      <c r="H904" s="68">
        <f>'Máy thi công'!$N$6</f>
        <v>338020</v>
      </c>
      <c r="I904" s="37">
        <v>1</v>
      </c>
      <c r="J904" s="166">
        <f>ROUND(G904*H904*I904,0)</f>
        <v>608436</v>
      </c>
    </row>
    <row r="905" spans="1:10" x14ac:dyDescent="0.25">
      <c r="A905" s="168"/>
      <c r="B905" s="144"/>
      <c r="C905" s="34">
        <v>728</v>
      </c>
      <c r="D905" s="144" t="str">
        <f>'Máy thi công'!$B$120</f>
        <v>M9468</v>
      </c>
      <c r="E905" s="144" t="str">
        <f>" - " &amp; 'Máy thi công'!$D$120</f>
        <v xml:space="preserve"> - Cần trục bánh xích - sức nâng: 16 t</v>
      </c>
      <c r="F905" s="168" t="str">
        <f>'Máy thi công'!$E$120</f>
        <v>ca</v>
      </c>
      <c r="G905" s="34">
        <f>'Hao phí vật tư'!$I$906</f>
        <v>0.16200000000000001</v>
      </c>
      <c r="H905" s="68">
        <f>'Máy thi công'!$N$120</f>
        <v>2394521</v>
      </c>
      <c r="I905" s="37">
        <v>1</v>
      </c>
      <c r="J905" s="166">
        <f>ROUND(G905*H905*I905,0)</f>
        <v>387912</v>
      </c>
    </row>
    <row r="906" spans="1:10" ht="28.5" x14ac:dyDescent="0.25">
      <c r="A906" s="65">
        <f>'Công trình'!$A$114</f>
        <v>89</v>
      </c>
      <c r="B906" s="14" t="str">
        <f>'Công trình'!$B$114</f>
        <v>AC.22522</v>
      </c>
      <c r="C906" s="94"/>
      <c r="D906" s="31"/>
      <c r="E906" s="14" t="str">
        <f>'Công trình'!$C$114</f>
        <v>Đóng cọc thép hình H300 trên mặt đất, chiều dài cọc &gt;10m, đất cấp II, phần ngập đất</v>
      </c>
      <c r="F906" s="46" t="str">
        <f>'Công trình'!$D$114</f>
        <v>100m</v>
      </c>
      <c r="G906" s="94"/>
      <c r="H906" s="54"/>
      <c r="I906" s="98"/>
      <c r="J906" s="54"/>
    </row>
    <row r="907" spans="1:10" x14ac:dyDescent="0.25">
      <c r="A907" s="56"/>
      <c r="B907" s="23"/>
      <c r="C907" s="88"/>
      <c r="D907" s="23"/>
      <c r="E907" s="23" t="s">
        <v>479</v>
      </c>
      <c r="F907" s="56"/>
      <c r="G907" s="88"/>
      <c r="H907" s="48"/>
      <c r="I907" s="90"/>
      <c r="J907" s="48">
        <f>ROUND(SUM(J908:J909),0)</f>
        <v>0</v>
      </c>
    </row>
    <row r="908" spans="1:10" x14ac:dyDescent="0.25">
      <c r="A908" s="168"/>
      <c r="B908" s="144"/>
      <c r="C908" s="34">
        <v>430</v>
      </c>
      <c r="D908" s="144" t="str">
        <f>'Vật liệu'!$B$117</f>
        <v>V08281</v>
      </c>
      <c r="E908" s="144" t="str">
        <f>" - " &amp; 'Vật liệu'!$D$117</f>
        <v xml:space="preserve"> - Cọc H300, L=14m</v>
      </c>
      <c r="F908" s="168" t="str">
        <f>'Vật liệu'!$E$117</f>
        <v>m</v>
      </c>
      <c r="G908" s="34">
        <f>'Hao phí vật tư'!$G$909</f>
        <v>0</v>
      </c>
      <c r="H908" s="68">
        <f>'Vật liệu'!$W$117</f>
        <v>1830000</v>
      </c>
      <c r="I908" s="37">
        <v>1</v>
      </c>
      <c r="J908" s="166">
        <f>ROUND(G908*H908*I908,0)</f>
        <v>0</v>
      </c>
    </row>
    <row r="909" spans="1:10" x14ac:dyDescent="0.25">
      <c r="A909" s="168"/>
      <c r="B909" s="144"/>
      <c r="C909" s="34">
        <v>245</v>
      </c>
      <c r="D909" s="144" t="str">
        <f>'Vật liệu'!$B$766</f>
        <v>V00750</v>
      </c>
      <c r="E909" s="144" t="str">
        <f>" - " &amp; 'Vật liệu'!$D$766</f>
        <v xml:space="preserve"> - Vật liệu khác</v>
      </c>
      <c r="F909" s="168" t="str">
        <f>'Vật liệu'!$E$766</f>
        <v>%</v>
      </c>
      <c r="G909" s="34">
        <f>'Hao phí vật tư'!$G$910</f>
        <v>1</v>
      </c>
      <c r="H909" s="166">
        <f>'Vật liệu'!$W$766</f>
        <v>0</v>
      </c>
      <c r="I909" s="37">
        <v>1</v>
      </c>
      <c r="J909" s="166">
        <f>ROUND((J908)*G909*I909/100,0)</f>
        <v>0</v>
      </c>
    </row>
    <row r="910" spans="1:10" x14ac:dyDescent="0.25">
      <c r="A910" s="56"/>
      <c r="B910" s="23"/>
      <c r="C910" s="88"/>
      <c r="D910" s="23"/>
      <c r="E910" s="23" t="s">
        <v>202</v>
      </c>
      <c r="F910" s="56"/>
      <c r="G910" s="88"/>
      <c r="H910" s="48"/>
      <c r="I910" s="90"/>
      <c r="J910" s="48">
        <f>ROUND(SUM(J911:J911),0)</f>
        <v>1737120</v>
      </c>
    </row>
    <row r="911" spans="1:10" x14ac:dyDescent="0.25">
      <c r="A911" s="168"/>
      <c r="B911" s="144"/>
      <c r="C911" s="34">
        <v>555</v>
      </c>
      <c r="D911" s="144" t="str">
        <f>'Nhân công'!$B$185</f>
        <v>N0020</v>
      </c>
      <c r="E911" s="144" t="s">
        <v>625</v>
      </c>
      <c r="F911" s="168" t="str">
        <f>'Nhân công'!$G$185</f>
        <v>công</v>
      </c>
      <c r="G911" s="34">
        <f>'Hao phí vật tư'!$H$912</f>
        <v>6.72</v>
      </c>
      <c r="H911" s="68">
        <f>'Nhân công'!$M$185</f>
        <v>258500</v>
      </c>
      <c r="I911" s="37">
        <v>1</v>
      </c>
      <c r="J911" s="166">
        <f>ROUND(G911*H911*I911,0)</f>
        <v>1737120</v>
      </c>
    </row>
    <row r="912" spans="1:10" x14ac:dyDescent="0.25">
      <c r="A912" s="56"/>
      <c r="B912" s="23"/>
      <c r="C912" s="88"/>
      <c r="D912" s="23"/>
      <c r="E912" s="23" t="s">
        <v>378</v>
      </c>
      <c r="F912" s="56"/>
      <c r="G912" s="88"/>
      <c r="H912" s="48"/>
      <c r="I912" s="90"/>
      <c r="J912" s="48">
        <f>ROUND(SUM(J913:J914),0)</f>
        <v>5353673</v>
      </c>
    </row>
    <row r="913" spans="1:10" ht="30" x14ac:dyDescent="0.25">
      <c r="A913" s="168"/>
      <c r="B913" s="144"/>
      <c r="C913" s="34">
        <v>716</v>
      </c>
      <c r="D913" s="144" t="str">
        <f>'Máy thi công'!$B$85</f>
        <v>M9440</v>
      </c>
      <c r="E913" s="144" t="str">
        <f>" - " &amp; 'Máy thi công'!$D$85</f>
        <v xml:space="preserve"> - Búa diezel chạy trên ray - trọng lượng đầu búa: 1,2 t</v>
      </c>
      <c r="F913" s="168" t="str">
        <f>'Máy thi công'!$E$85</f>
        <v>ca</v>
      </c>
      <c r="G913" s="34">
        <f>'Hao phí vật tư'!$I$914</f>
        <v>3.36</v>
      </c>
      <c r="H913" s="68">
        <f>'Máy thi công'!$N$85</f>
        <v>1569808</v>
      </c>
      <c r="I913" s="37">
        <v>1</v>
      </c>
      <c r="J913" s="166">
        <f>ROUND(G913*H913*I913,0)</f>
        <v>5274555</v>
      </c>
    </row>
    <row r="914" spans="1:10" x14ac:dyDescent="0.25">
      <c r="A914" s="168"/>
      <c r="B914" s="144"/>
      <c r="C914" s="34">
        <v>603</v>
      </c>
      <c r="D914" s="144" t="str">
        <f>'Máy thi công'!$B$398</f>
        <v>M0111</v>
      </c>
      <c r="E914" s="144" t="str">
        <f>" - " &amp; 'Máy thi công'!$D$398</f>
        <v xml:space="preserve"> - Máy khác</v>
      </c>
      <c r="F914" s="168" t="str">
        <f>'Máy thi công'!$E$398</f>
        <v>%</v>
      </c>
      <c r="G914" s="34">
        <f>'Hao phí vật tư'!$I$915</f>
        <v>1.5</v>
      </c>
      <c r="H914" s="166">
        <f>'Máy thi công'!$N$398</f>
        <v>0</v>
      </c>
      <c r="I914" s="37">
        <v>1</v>
      </c>
      <c r="J914" s="166">
        <f>ROUND((J913)*G914*I914/100,0)</f>
        <v>79118</v>
      </c>
    </row>
    <row r="915" spans="1:10" ht="42.75" x14ac:dyDescent="0.25">
      <c r="A915" s="65">
        <f>'Công trình'!$A$115</f>
        <v>90</v>
      </c>
      <c r="B915" s="14" t="str">
        <f>'Công trình'!$B$115</f>
        <v>AC.22522</v>
      </c>
      <c r="C915" s="94"/>
      <c r="D915" s="31"/>
      <c r="E915" s="14" t="str">
        <f>'Công trình'!$C$115</f>
        <v>Đóng cọc thép hình H300 trên mặt đất, chiều dài cọc &gt;10m, đất cấp II, phần không ngập đất (NC, MTC * 0,75)</v>
      </c>
      <c r="F915" s="46" t="str">
        <f>'Công trình'!$D$115</f>
        <v>100m</v>
      </c>
      <c r="G915" s="94"/>
      <c r="H915" s="54"/>
      <c r="I915" s="98"/>
      <c r="J915" s="54"/>
    </row>
    <row r="916" spans="1:10" x14ac:dyDescent="0.25">
      <c r="A916" s="56"/>
      <c r="B916" s="23"/>
      <c r="C916" s="88"/>
      <c r="D916" s="23"/>
      <c r="E916" s="23" t="s">
        <v>479</v>
      </c>
      <c r="F916" s="56"/>
      <c r="G916" s="88"/>
      <c r="H916" s="48"/>
      <c r="I916" s="90"/>
      <c r="J916" s="48">
        <f>ROUND(SUM(J917:J918),0)</f>
        <v>0</v>
      </c>
    </row>
    <row r="917" spans="1:10" x14ac:dyDescent="0.25">
      <c r="A917" s="168"/>
      <c r="B917" s="144"/>
      <c r="C917" s="34">
        <v>430</v>
      </c>
      <c r="D917" s="144" t="str">
        <f>'Vật liệu'!$B$117</f>
        <v>V08281</v>
      </c>
      <c r="E917" s="144" t="str">
        <f>" - " &amp; 'Vật liệu'!$D$117</f>
        <v xml:space="preserve"> - Cọc H300, L=14m</v>
      </c>
      <c r="F917" s="168" t="str">
        <f>'Vật liệu'!$E$117</f>
        <v>m</v>
      </c>
      <c r="G917" s="34">
        <f>'Hao phí vật tư'!$G$918</f>
        <v>0</v>
      </c>
      <c r="H917" s="68">
        <f>'Vật liệu'!$W$117</f>
        <v>1830000</v>
      </c>
      <c r="I917" s="37">
        <v>1</v>
      </c>
      <c r="J917" s="166">
        <f>ROUND(G917*H917*I917,0)</f>
        <v>0</v>
      </c>
    </row>
    <row r="918" spans="1:10" x14ac:dyDescent="0.25">
      <c r="A918" s="168"/>
      <c r="B918" s="144"/>
      <c r="C918" s="34">
        <v>246</v>
      </c>
      <c r="D918" s="144" t="str">
        <f>'Vật liệu'!$B$766</f>
        <v>V00750</v>
      </c>
      <c r="E918" s="144" t="str">
        <f>" - " &amp; 'Vật liệu'!$D$766</f>
        <v xml:space="preserve"> - Vật liệu khác</v>
      </c>
      <c r="F918" s="168" t="str">
        <f>'Vật liệu'!$E$766</f>
        <v>%</v>
      </c>
      <c r="G918" s="34">
        <f>'Hao phí vật tư'!$G$919</f>
        <v>1</v>
      </c>
      <c r="H918" s="166">
        <f>'Vật liệu'!$W$766</f>
        <v>0</v>
      </c>
      <c r="I918" s="37">
        <v>1</v>
      </c>
      <c r="J918" s="166">
        <f>ROUND((J917)*G918*I918/100,0)</f>
        <v>0</v>
      </c>
    </row>
    <row r="919" spans="1:10" x14ac:dyDescent="0.25">
      <c r="A919" s="56"/>
      <c r="B919" s="23"/>
      <c r="C919" s="88"/>
      <c r="D919" s="23"/>
      <c r="E919" s="23" t="s">
        <v>202</v>
      </c>
      <c r="F919" s="56"/>
      <c r="G919" s="88"/>
      <c r="H919" s="48"/>
      <c r="I919" s="90"/>
      <c r="J919" s="48">
        <f>ROUND(SUM(J920:J920),0)</f>
        <v>1496715</v>
      </c>
    </row>
    <row r="920" spans="1:10" x14ac:dyDescent="0.25">
      <c r="A920" s="168"/>
      <c r="B920" s="144"/>
      <c r="C920" s="34">
        <v>555</v>
      </c>
      <c r="D920" s="144" t="str">
        <f>'Nhân công'!$B$185</f>
        <v>N0020</v>
      </c>
      <c r="E920" s="144" t="s">
        <v>625</v>
      </c>
      <c r="F920" s="168" t="str">
        <f>'Nhân công'!$G$185</f>
        <v>công</v>
      </c>
      <c r="G920" s="34">
        <f>'Hao phí vật tư'!$H$921</f>
        <v>5.79</v>
      </c>
      <c r="H920" s="68">
        <f>'Nhân công'!$M$185</f>
        <v>258500</v>
      </c>
      <c r="I920" s="37">
        <v>1</v>
      </c>
      <c r="J920" s="166">
        <f>ROUND(G920*H920*I920,0)</f>
        <v>1496715</v>
      </c>
    </row>
    <row r="921" spans="1:10" x14ac:dyDescent="0.25">
      <c r="A921" s="56"/>
      <c r="B921" s="23"/>
      <c r="C921" s="88"/>
      <c r="D921" s="23"/>
      <c r="E921" s="23" t="s">
        <v>378</v>
      </c>
      <c r="F921" s="56"/>
      <c r="G921" s="88"/>
      <c r="H921" s="48"/>
      <c r="I921" s="90"/>
      <c r="J921" s="48">
        <f>ROUND(SUM(J922:J923),0)</f>
        <v>4015255</v>
      </c>
    </row>
    <row r="922" spans="1:10" ht="30" x14ac:dyDescent="0.25">
      <c r="A922" s="168"/>
      <c r="B922" s="144"/>
      <c r="C922" s="34">
        <v>716</v>
      </c>
      <c r="D922" s="144" t="str">
        <f>'Máy thi công'!$B$85</f>
        <v>M9440</v>
      </c>
      <c r="E922" s="144" t="str">
        <f>" - " &amp; 'Máy thi công'!$D$85</f>
        <v xml:space="preserve"> - Búa diezel chạy trên ray - trọng lượng đầu búa: 1,2 t</v>
      </c>
      <c r="F922" s="168" t="str">
        <f>'Máy thi công'!$E$85</f>
        <v>ca</v>
      </c>
      <c r="G922" s="34">
        <f>'Hao phí vật tư'!$I$923</f>
        <v>2.52</v>
      </c>
      <c r="H922" s="68">
        <f>'Máy thi công'!$N$85</f>
        <v>1569808</v>
      </c>
      <c r="I922" s="37">
        <v>1</v>
      </c>
      <c r="J922" s="166">
        <f>ROUND(G922*H922*I922,0)</f>
        <v>3955916</v>
      </c>
    </row>
    <row r="923" spans="1:10" x14ac:dyDescent="0.25">
      <c r="A923" s="168"/>
      <c r="B923" s="144"/>
      <c r="C923" s="34">
        <v>604</v>
      </c>
      <c r="D923" s="144" t="str">
        <f>'Máy thi công'!$B$398</f>
        <v>M0111</v>
      </c>
      <c r="E923" s="144" t="str">
        <f>" - " &amp; 'Máy thi công'!$D$398</f>
        <v xml:space="preserve"> - Máy khác</v>
      </c>
      <c r="F923" s="168" t="str">
        <f>'Máy thi công'!$E$398</f>
        <v>%</v>
      </c>
      <c r="G923" s="34">
        <f>'Hao phí vật tư'!$I$924</f>
        <v>1.5</v>
      </c>
      <c r="H923" s="166">
        <f>'Máy thi công'!$N$398</f>
        <v>0</v>
      </c>
      <c r="I923" s="37">
        <v>1</v>
      </c>
      <c r="J923" s="166">
        <f>ROUND((J922)*G923*I923/100,0)</f>
        <v>59339</v>
      </c>
    </row>
    <row r="924" spans="1:10" ht="28.5" x14ac:dyDescent="0.25">
      <c r="A924" s="65">
        <f>'Công trình'!$A$116</f>
        <v>91</v>
      </c>
      <c r="B924" s="14" t="str">
        <f>'Công trình'!$B$116</f>
        <v>TT</v>
      </c>
      <c r="C924" s="94"/>
      <c r="D924" s="31"/>
      <c r="E924" s="14" t="str">
        <f>'Công trình'!$C$116</f>
        <v>Khấu hao cọc thép hình (Thi công trong vòng 3 tháng và 1 lần đóng nhổ)</v>
      </c>
      <c r="F924" s="46" t="str">
        <f>'Công trình'!$D$116</f>
        <v>100m</v>
      </c>
      <c r="G924" s="94"/>
      <c r="H924" s="54"/>
      <c r="I924" s="98"/>
      <c r="J924" s="54"/>
    </row>
    <row r="925" spans="1:10" x14ac:dyDescent="0.25">
      <c r="A925" s="56"/>
      <c r="B925" s="23"/>
      <c r="C925" s="88"/>
      <c r="D925" s="23"/>
      <c r="E925" s="23" t="s">
        <v>479</v>
      </c>
      <c r="F925" s="56"/>
      <c r="G925" s="88"/>
      <c r="H925" s="48"/>
      <c r="I925" s="90"/>
      <c r="J925" s="48">
        <f>ROUND(SUM(J926:J927),0)</f>
        <v>184830000</v>
      </c>
    </row>
    <row r="926" spans="1:10" x14ac:dyDescent="0.25">
      <c r="A926" s="168"/>
      <c r="B926" s="144"/>
      <c r="C926" s="34">
        <v>430</v>
      </c>
      <c r="D926" s="144" t="str">
        <f>'Vật liệu'!$B$117</f>
        <v>V08281</v>
      </c>
      <c r="E926" s="144" t="str">
        <f>" - " &amp; 'Vật liệu'!$D$117</f>
        <v xml:space="preserve"> - Cọc H300, L=14m</v>
      </c>
      <c r="F926" s="168" t="str">
        <f>'Vật liệu'!$E$117</f>
        <v>m</v>
      </c>
      <c r="G926" s="34">
        <f>'Hao phí vật tư'!$G$927</f>
        <v>100</v>
      </c>
      <c r="H926" s="68">
        <f>'Vật liệu'!$W$117</f>
        <v>1830000</v>
      </c>
      <c r="I926" s="37">
        <v>1</v>
      </c>
      <c r="J926" s="166">
        <f>ROUND(G926*H926*I926,0)</f>
        <v>183000000</v>
      </c>
    </row>
    <row r="927" spans="1:10" x14ac:dyDescent="0.25">
      <c r="A927" s="168"/>
      <c r="B927" s="144"/>
      <c r="C927" s="34">
        <v>261</v>
      </c>
      <c r="D927" s="144" t="str">
        <f>'Vật liệu'!$B$766</f>
        <v>V00750</v>
      </c>
      <c r="E927" s="144" t="str">
        <f>" - " &amp; 'Vật liệu'!$D$766</f>
        <v xml:space="preserve"> - Vật liệu khác</v>
      </c>
      <c r="F927" s="168" t="str">
        <f>'Vật liệu'!$E$766</f>
        <v>%</v>
      </c>
      <c r="G927" s="34">
        <f>'Hao phí vật tư'!$G$928</f>
        <v>1</v>
      </c>
      <c r="H927" s="166">
        <f>'Vật liệu'!$W$766</f>
        <v>0</v>
      </c>
      <c r="I927" s="37">
        <v>1</v>
      </c>
      <c r="J927" s="166">
        <f>ROUND((J926)*G927*I927/100,0)</f>
        <v>1830000</v>
      </c>
    </row>
    <row r="928" spans="1:10" ht="28.5" x14ac:dyDescent="0.25">
      <c r="A928" s="65">
        <f>'Công trình'!$A$118</f>
        <v>92</v>
      </c>
      <c r="B928" s="14" t="str">
        <f>'Công trình'!$B$118</f>
        <v>AC.23110</v>
      </c>
      <c r="C928" s="94"/>
      <c r="D928" s="31"/>
      <c r="E928" s="14" t="str">
        <f>'Công trình'!$C$118</f>
        <v>Nhổ cọc thép hình làm tường chắn đất, sàn thao tác trên cạn</v>
      </c>
      <c r="F928" s="46" t="str">
        <f>'Công trình'!$D$118</f>
        <v>100m</v>
      </c>
      <c r="G928" s="94"/>
      <c r="H928" s="54"/>
      <c r="I928" s="98"/>
      <c r="J928" s="54"/>
    </row>
    <row r="929" spans="1:10" x14ac:dyDescent="0.25">
      <c r="A929" s="56"/>
      <c r="B929" s="23"/>
      <c r="C929" s="88"/>
      <c r="D929" s="23"/>
      <c r="E929" s="23" t="s">
        <v>202</v>
      </c>
      <c r="F929" s="56"/>
      <c r="G929" s="88"/>
      <c r="H929" s="48"/>
      <c r="I929" s="90"/>
      <c r="J929" s="48">
        <f>ROUND(SUM(J930:J930),0)</f>
        <v>687610</v>
      </c>
    </row>
    <row r="930" spans="1:10" x14ac:dyDescent="0.25">
      <c r="A930" s="168"/>
      <c r="B930" s="144"/>
      <c r="C930" s="34">
        <v>555</v>
      </c>
      <c r="D930" s="144" t="str">
        <f>'Nhân công'!$B$185</f>
        <v>N0020</v>
      </c>
      <c r="E930" s="144" t="s">
        <v>625</v>
      </c>
      <c r="F930" s="168" t="str">
        <f>'Nhân công'!$G$185</f>
        <v>công</v>
      </c>
      <c r="G930" s="34">
        <f>'Hao phí vật tư'!$H$931</f>
        <v>2.66</v>
      </c>
      <c r="H930" s="68">
        <f>'Nhân công'!$M$185</f>
        <v>258500</v>
      </c>
      <c r="I930" s="37">
        <v>1</v>
      </c>
      <c r="J930" s="166">
        <f>ROUND(G930*H930*I930,0)</f>
        <v>687610</v>
      </c>
    </row>
    <row r="931" spans="1:10" x14ac:dyDescent="0.25">
      <c r="A931" s="56"/>
      <c r="B931" s="23"/>
      <c r="C931" s="88"/>
      <c r="D931" s="23"/>
      <c r="E931" s="23" t="s">
        <v>378</v>
      </c>
      <c r="F931" s="56"/>
      <c r="G931" s="88"/>
      <c r="H931" s="48"/>
      <c r="I931" s="90"/>
      <c r="J931" s="48">
        <f>ROUND(SUM(J932:J933),0)</f>
        <v>3852512</v>
      </c>
    </row>
    <row r="932" spans="1:10" x14ac:dyDescent="0.25">
      <c r="A932" s="168"/>
      <c r="B932" s="144"/>
      <c r="C932" s="34">
        <v>729</v>
      </c>
      <c r="D932" s="144" t="str">
        <f>'Máy thi công'!$B$135</f>
        <v>M9469</v>
      </c>
      <c r="E932" s="144" t="str">
        <f>" - " &amp; 'Máy thi công'!$D$135</f>
        <v xml:space="preserve"> - Cần trục bánh xích - sức nâng: 25 t</v>
      </c>
      <c r="F932" s="168" t="str">
        <f>'Máy thi công'!$E$135</f>
        <v>ca</v>
      </c>
      <c r="G932" s="34">
        <f>'Hao phí vật tư'!$I$933</f>
        <v>1.33</v>
      </c>
      <c r="H932" s="68">
        <f>'Máy thi công'!$N$135</f>
        <v>2839829</v>
      </c>
      <c r="I932" s="37">
        <v>1</v>
      </c>
      <c r="J932" s="166">
        <f>ROUND(G932*H932*I932,0)</f>
        <v>3776973</v>
      </c>
    </row>
    <row r="933" spans="1:10" x14ac:dyDescent="0.25">
      <c r="A933" s="168"/>
      <c r="B933" s="144"/>
      <c r="C933" s="34">
        <v>613</v>
      </c>
      <c r="D933" s="144" t="str">
        <f>'Máy thi công'!$B$398</f>
        <v>M0111</v>
      </c>
      <c r="E933" s="144" t="str">
        <f>" - " &amp; 'Máy thi công'!$D$398</f>
        <v xml:space="preserve"> - Máy khác</v>
      </c>
      <c r="F933" s="168" t="str">
        <f>'Máy thi công'!$E$398</f>
        <v>%</v>
      </c>
      <c r="G933" s="34">
        <f>'Hao phí vật tư'!$I$934</f>
        <v>2</v>
      </c>
      <c r="H933" s="166">
        <f>'Máy thi công'!$N$398</f>
        <v>0</v>
      </c>
      <c r="I933" s="37">
        <v>1</v>
      </c>
      <c r="J933" s="166">
        <f>ROUND((J932)*G933*I933/100,0)</f>
        <v>75539</v>
      </c>
    </row>
    <row r="934" spans="1:10" x14ac:dyDescent="0.25">
      <c r="A934" s="65">
        <f>'Công trình'!$A$120</f>
        <v>93</v>
      </c>
      <c r="B934" s="14" t="str">
        <f>'Công trình'!$B$120</f>
        <v>AI.11912</v>
      </c>
      <c r="C934" s="94"/>
      <c r="D934" s="31"/>
      <c r="E934" s="14" t="str">
        <f>'Công trình'!$C$120</f>
        <v>Sản xuất hệ sàn đạo, sàn thao tác</v>
      </c>
      <c r="F934" s="46" t="str">
        <f>'Công trình'!$D$120</f>
        <v>tấn</v>
      </c>
      <c r="G934" s="94"/>
      <c r="H934" s="54"/>
      <c r="I934" s="98"/>
      <c r="J934" s="54"/>
    </row>
    <row r="935" spans="1:10" x14ac:dyDescent="0.25">
      <c r="A935" s="56"/>
      <c r="B935" s="23"/>
      <c r="C935" s="88"/>
      <c r="D935" s="23"/>
      <c r="E935" s="23" t="s">
        <v>479</v>
      </c>
      <c r="F935" s="56"/>
      <c r="G935" s="88"/>
      <c r="H935" s="48"/>
      <c r="I935" s="90"/>
      <c r="J935" s="48">
        <f>ROUND(SUM(J936:J941),0)</f>
        <v>766340</v>
      </c>
    </row>
    <row r="936" spans="1:10" x14ac:dyDescent="0.25">
      <c r="A936" s="168"/>
      <c r="B936" s="144"/>
      <c r="C936" s="34">
        <v>400</v>
      </c>
      <c r="D936" s="144" t="str">
        <f>'Vật liệu'!$B$401</f>
        <v>V00770</v>
      </c>
      <c r="E936" s="144" t="str">
        <f>" - " &amp; 'Vật liệu'!$D$401</f>
        <v xml:space="preserve"> - Ô xy</v>
      </c>
      <c r="F936" s="168" t="str">
        <f>'Vật liệu'!$E$401</f>
        <v>Chai</v>
      </c>
      <c r="G936" s="34">
        <f>'Hao phí vật tư'!$G$937</f>
        <v>2.1</v>
      </c>
      <c r="H936" s="68">
        <f>'Vật liệu'!$W$401</f>
        <v>72000</v>
      </c>
      <c r="I936" s="37">
        <v>1</v>
      </c>
      <c r="J936" s="166">
        <f>ROUND(G936*H936*I936,0)</f>
        <v>151200</v>
      </c>
    </row>
    <row r="937" spans="1:10" x14ac:dyDescent="0.25">
      <c r="A937" s="168"/>
      <c r="B937" s="144"/>
      <c r="C937" s="34">
        <v>411</v>
      </c>
      <c r="D937" s="144" t="str">
        <f>'Vật liệu'!$B$200</f>
        <v>V00833</v>
      </c>
      <c r="E937" s="144" t="str">
        <f>" - " &amp; 'Vật liệu'!$D$200</f>
        <v xml:space="preserve"> - Đất đèn</v>
      </c>
      <c r="F937" s="168" t="str">
        <f>'Vật liệu'!$E$200</f>
        <v>kg</v>
      </c>
      <c r="G937" s="34">
        <f>'Hao phí vật tư'!$G$938</f>
        <v>8.4</v>
      </c>
      <c r="H937" s="68">
        <f>'Vật liệu'!$W$200</f>
        <v>14000</v>
      </c>
      <c r="I937" s="37">
        <v>1</v>
      </c>
      <c r="J937" s="166">
        <f>ROUND(G937*H937*I937,0)</f>
        <v>117600</v>
      </c>
    </row>
    <row r="938" spans="1:10" x14ac:dyDescent="0.25">
      <c r="A938" s="168"/>
      <c r="B938" s="144"/>
      <c r="C938" s="34">
        <v>160</v>
      </c>
      <c r="D938" s="144" t="str">
        <f>'Vật liệu'!$B$556</f>
        <v>V00641</v>
      </c>
      <c r="E938" s="144" t="str">
        <f>" - " &amp; 'Vật liệu'!$D$556</f>
        <v xml:space="preserve"> - Thép hình</v>
      </c>
      <c r="F938" s="168" t="str">
        <f>'Vật liệu'!$E$556</f>
        <v>kg</v>
      </c>
      <c r="G938" s="34">
        <f>'Hao phí vật tư'!$G$939</f>
        <v>0</v>
      </c>
      <c r="H938" s="68">
        <f>'Vật liệu'!$W$556</f>
        <v>15291</v>
      </c>
      <c r="I938" s="37">
        <v>1</v>
      </c>
      <c r="J938" s="166">
        <f>ROUND(G938*H938*I938,0)</f>
        <v>0</v>
      </c>
    </row>
    <row r="939" spans="1:10" x14ac:dyDescent="0.25">
      <c r="A939" s="168"/>
      <c r="B939" s="144"/>
      <c r="C939" s="34">
        <v>166</v>
      </c>
      <c r="D939" s="144" t="str">
        <f>'Vật liệu'!$B$606</f>
        <v>V00671</v>
      </c>
      <c r="E939" s="144" t="str">
        <f>" - " &amp; 'Vật liệu'!$D$606</f>
        <v xml:space="preserve"> - Thép tấm</v>
      </c>
      <c r="F939" s="168" t="str">
        <f>'Vật liệu'!$E$606</f>
        <v>kg</v>
      </c>
      <c r="G939" s="34">
        <f>'Hao phí vật tư'!$G$940</f>
        <v>0</v>
      </c>
      <c r="H939" s="68">
        <f>'Vật liệu'!$W$606</f>
        <v>12574</v>
      </c>
      <c r="I939" s="37">
        <v>1</v>
      </c>
      <c r="J939" s="166">
        <f>ROUND(G939*H939*I939,0)</f>
        <v>0</v>
      </c>
    </row>
    <row r="940" spans="1:10" x14ac:dyDescent="0.25">
      <c r="A940" s="168"/>
      <c r="B940" s="144"/>
      <c r="C940" s="34">
        <v>154</v>
      </c>
      <c r="D940" s="144" t="str">
        <f>'Vật liệu'!$B$450</f>
        <v>V00515</v>
      </c>
      <c r="E940" s="144" t="str">
        <f>" - " &amp; 'Vật liệu'!$D$450</f>
        <v xml:space="preserve"> - Que hàn</v>
      </c>
      <c r="F940" s="168" t="str">
        <f>'Vật liệu'!$E$450</f>
        <v>kg</v>
      </c>
      <c r="G940" s="34">
        <f>'Hao phí vật tư'!$G$941</f>
        <v>24.15</v>
      </c>
      <c r="H940" s="68">
        <f>'Vật liệu'!$W$450</f>
        <v>19091</v>
      </c>
      <c r="I940" s="37">
        <v>1</v>
      </c>
      <c r="J940" s="166">
        <f>ROUND(G940*H940*I940,0)</f>
        <v>461048</v>
      </c>
    </row>
    <row r="941" spans="1:10" x14ac:dyDescent="0.25">
      <c r="A941" s="168"/>
      <c r="B941" s="144"/>
      <c r="C941" s="34">
        <v>241</v>
      </c>
      <c r="D941" s="144" t="str">
        <f>'Vật liệu'!$B$766</f>
        <v>V00750</v>
      </c>
      <c r="E941" s="144" t="str">
        <f>" - " &amp; 'Vật liệu'!$D$766</f>
        <v xml:space="preserve"> - Vật liệu khác</v>
      </c>
      <c r="F941" s="168" t="str">
        <f>'Vật liệu'!$E$766</f>
        <v>%</v>
      </c>
      <c r="G941" s="34">
        <f>'Hao phí vật tư'!$G$942</f>
        <v>5</v>
      </c>
      <c r="H941" s="166">
        <f>'Vật liệu'!$W$766</f>
        <v>0</v>
      </c>
      <c r="I941" s="37">
        <v>1</v>
      </c>
      <c r="J941" s="166">
        <f>ROUND((J936+J937+J938+J939+J940)*G941*I941/100,0)</f>
        <v>36492</v>
      </c>
    </row>
    <row r="942" spans="1:10" x14ac:dyDescent="0.25">
      <c r="A942" s="56"/>
      <c r="B942" s="23"/>
      <c r="C942" s="88"/>
      <c r="D942" s="23"/>
      <c r="E942" s="23" t="s">
        <v>202</v>
      </c>
      <c r="F942" s="56"/>
      <c r="G942" s="88"/>
      <c r="H942" s="48"/>
      <c r="I942" s="90"/>
      <c r="J942" s="48">
        <f>ROUND(SUM(J943:J943),0)</f>
        <v>5211175</v>
      </c>
    </row>
    <row r="943" spans="1:10" x14ac:dyDescent="0.25">
      <c r="A943" s="168"/>
      <c r="B943" s="144"/>
      <c r="C943" s="34">
        <v>550</v>
      </c>
      <c r="D943" s="144" t="str">
        <f>'Nhân công'!$B$130</f>
        <v>N0011</v>
      </c>
      <c r="E943" s="144" t="s">
        <v>671</v>
      </c>
      <c r="F943" s="168" t="str">
        <f>'Nhân công'!$G$130</f>
        <v>công</v>
      </c>
      <c r="G943" s="34">
        <f>'Hao phí vật tư'!$H$944</f>
        <v>22.61</v>
      </c>
      <c r="H943" s="68">
        <f>'Nhân công'!$M$130</f>
        <v>230481</v>
      </c>
      <c r="I943" s="37">
        <v>1</v>
      </c>
      <c r="J943" s="166">
        <f>ROUND(G943*H943*I943,0)</f>
        <v>5211175</v>
      </c>
    </row>
    <row r="944" spans="1:10" x14ac:dyDescent="0.25">
      <c r="A944" s="56"/>
      <c r="B944" s="23"/>
      <c r="C944" s="88"/>
      <c r="D944" s="23"/>
      <c r="E944" s="23" t="s">
        <v>378</v>
      </c>
      <c r="F944" s="56"/>
      <c r="G944" s="88"/>
      <c r="H944" s="48"/>
      <c r="I944" s="90"/>
      <c r="J944" s="48">
        <f>ROUND(SUM(J945:J947),0)</f>
        <v>2229025</v>
      </c>
    </row>
    <row r="945" spans="1:10" x14ac:dyDescent="0.25">
      <c r="A945" s="168"/>
      <c r="B945" s="144"/>
      <c r="C945" s="34">
        <v>733</v>
      </c>
      <c r="D945" s="144" t="str">
        <f>'Máy thi công'!$B$148</f>
        <v>M9478</v>
      </c>
      <c r="E945" s="144" t="str">
        <f>" - " &amp; 'Máy thi công'!$D$148</f>
        <v xml:space="preserve"> - Cần trục ô tô - sức nâng: 10 t</v>
      </c>
      <c r="F945" s="168" t="str">
        <f>'Máy thi công'!$E$148</f>
        <v>ca</v>
      </c>
      <c r="G945" s="34">
        <f>'Hao phí vật tư'!$I$946</f>
        <v>0.27</v>
      </c>
      <c r="H945" s="68">
        <f>'Máy thi công'!$N$148</f>
        <v>2160679</v>
      </c>
      <c r="I945" s="37">
        <v>1</v>
      </c>
      <c r="J945" s="166">
        <f>ROUND(G945*H945*I945,0)</f>
        <v>583383</v>
      </c>
    </row>
    <row r="946" spans="1:10" x14ac:dyDescent="0.25">
      <c r="A946" s="168"/>
      <c r="B946" s="144"/>
      <c r="C946" s="34">
        <v>703</v>
      </c>
      <c r="D946" s="144" t="str">
        <f>'Máy thi công'!$B$177</f>
        <v>M112.2001</v>
      </c>
      <c r="E946" s="144" t="str">
        <f>" - " &amp; 'Máy thi công'!$D$177</f>
        <v xml:space="preserve"> - Máy cắt sắt cầm tay - công suất: 1,7 kW</v>
      </c>
      <c r="F946" s="168" t="str">
        <f>'Máy thi công'!$E$177</f>
        <v>ca</v>
      </c>
      <c r="G946" s="34">
        <f>'Hao phí vật tư'!$I$947</f>
        <v>0.4</v>
      </c>
      <c r="H946" s="68">
        <f>'Máy thi công'!$N$177</f>
        <v>226876</v>
      </c>
      <c r="I946" s="37">
        <v>1</v>
      </c>
      <c r="J946" s="166">
        <f>ROUND(G946*H946*I946,0)</f>
        <v>90750</v>
      </c>
    </row>
    <row r="947" spans="1:10" x14ac:dyDescent="0.25">
      <c r="A947" s="168"/>
      <c r="B947" s="144"/>
      <c r="C947" s="34">
        <v>714</v>
      </c>
      <c r="D947" s="144" t="str">
        <f>'Máy thi công'!$B$6</f>
        <v>M9438</v>
      </c>
      <c r="E947" s="144" t="str">
        <f>" - " &amp; 'Máy thi công'!$D$6</f>
        <v xml:space="preserve"> - Biến thế hàn xoay chiều - công suất: 23 kW</v>
      </c>
      <c r="F947" s="168" t="str">
        <f>'Máy thi công'!$E$6</f>
        <v>ca</v>
      </c>
      <c r="G947" s="34">
        <f>'Hao phí vật tư'!$I$948</f>
        <v>4.5999999999999996</v>
      </c>
      <c r="H947" s="68">
        <f>'Máy thi công'!$N$6</f>
        <v>338020</v>
      </c>
      <c r="I947" s="37">
        <v>1</v>
      </c>
      <c r="J947" s="166">
        <f>ROUND(G947*H947*I947,0)</f>
        <v>1554892</v>
      </c>
    </row>
    <row r="948" spans="1:10" ht="28.5" x14ac:dyDescent="0.25">
      <c r="A948" s="65">
        <f>'Công trình'!$A$121</f>
        <v>94</v>
      </c>
      <c r="B948" s="14" t="str">
        <f>'Công trình'!$B$121</f>
        <v>TT</v>
      </c>
      <c r="C948" s="94"/>
      <c r="D948" s="31"/>
      <c r="E948" s="14" t="str">
        <f>'Công trình'!$C$121</f>
        <v>Khấu hao hệ sàn đạo, sàn thao tác (Thi công trong vòng 1 tháng và 4 lần đóng nhổ)</v>
      </c>
      <c r="F948" s="46" t="str">
        <f>'Công trình'!$D$121</f>
        <v>tấn</v>
      </c>
      <c r="G948" s="94"/>
      <c r="H948" s="54"/>
      <c r="I948" s="98"/>
      <c r="J948" s="54"/>
    </row>
    <row r="949" spans="1:10" x14ac:dyDescent="0.25">
      <c r="A949" s="56"/>
      <c r="B949" s="23"/>
      <c r="C949" s="88"/>
      <c r="D949" s="23"/>
      <c r="E949" s="23" t="s">
        <v>479</v>
      </c>
      <c r="F949" s="56"/>
      <c r="G949" s="88"/>
      <c r="H949" s="48"/>
      <c r="I949" s="90"/>
      <c r="J949" s="48">
        <f>ROUND(SUM(J950:J955),0)</f>
        <v>15985723</v>
      </c>
    </row>
    <row r="950" spans="1:10" x14ac:dyDescent="0.25">
      <c r="A950" s="168"/>
      <c r="B950" s="144"/>
      <c r="C950" s="34">
        <v>400</v>
      </c>
      <c r="D950" s="144" t="str">
        <f>'Vật liệu'!$B$401</f>
        <v>V00770</v>
      </c>
      <c r="E950" s="144" t="str">
        <f>" - " &amp; 'Vật liệu'!$D$401</f>
        <v xml:space="preserve"> - Ô xy</v>
      </c>
      <c r="F950" s="168" t="str">
        <f>'Vật liệu'!$E$401</f>
        <v>Chai</v>
      </c>
      <c r="G950" s="34">
        <f>'Hao phí vật tư'!$G$951</f>
        <v>0</v>
      </c>
      <c r="H950" s="68">
        <f>'Vật liệu'!$W$401</f>
        <v>72000</v>
      </c>
      <c r="I950" s="37">
        <v>1</v>
      </c>
      <c r="J950" s="166">
        <f>ROUND(G950*H950*I950,0)</f>
        <v>0</v>
      </c>
    </row>
    <row r="951" spans="1:10" x14ac:dyDescent="0.25">
      <c r="A951" s="168"/>
      <c r="B951" s="144"/>
      <c r="C951" s="34">
        <v>411</v>
      </c>
      <c r="D951" s="144" t="str">
        <f>'Vật liệu'!$B$200</f>
        <v>V00833</v>
      </c>
      <c r="E951" s="144" t="str">
        <f>" - " &amp; 'Vật liệu'!$D$200</f>
        <v xml:space="preserve"> - Đất đèn</v>
      </c>
      <c r="F951" s="168" t="str">
        <f>'Vật liệu'!$E$200</f>
        <v>kg</v>
      </c>
      <c r="G951" s="34">
        <f>'Hao phí vật tư'!$G$952</f>
        <v>0</v>
      </c>
      <c r="H951" s="68">
        <f>'Vật liệu'!$W$200</f>
        <v>14000</v>
      </c>
      <c r="I951" s="37">
        <v>1</v>
      </c>
      <c r="J951" s="166">
        <f>ROUND(G951*H951*I951,0)</f>
        <v>0</v>
      </c>
    </row>
    <row r="952" spans="1:10" x14ac:dyDescent="0.25">
      <c r="A952" s="168"/>
      <c r="B952" s="144"/>
      <c r="C952" s="34">
        <v>160</v>
      </c>
      <c r="D952" s="144" t="str">
        <f>'Vật liệu'!$B$556</f>
        <v>V00641</v>
      </c>
      <c r="E952" s="144" t="str">
        <f>" - " &amp; 'Vật liệu'!$D$556</f>
        <v xml:space="preserve"> - Thép hình</v>
      </c>
      <c r="F952" s="168" t="str">
        <f>'Vật liệu'!$E$556</f>
        <v>kg</v>
      </c>
      <c r="G952" s="34">
        <f>'Hao phí vật tư'!$G$953</f>
        <v>697.85</v>
      </c>
      <c r="H952" s="68">
        <f>'Vật liệu'!$W$556</f>
        <v>15291</v>
      </c>
      <c r="I952" s="37">
        <v>1</v>
      </c>
      <c r="J952" s="166">
        <f>ROUND(G952*H952*I952,0)</f>
        <v>10670824</v>
      </c>
    </row>
    <row r="953" spans="1:10" x14ac:dyDescent="0.25">
      <c r="A953" s="168"/>
      <c r="B953" s="144"/>
      <c r="C953" s="34">
        <v>166</v>
      </c>
      <c r="D953" s="144" t="str">
        <f>'Vật liệu'!$B$606</f>
        <v>V00671</v>
      </c>
      <c r="E953" s="144" t="str">
        <f>" - " &amp; 'Vật liệu'!$D$606</f>
        <v xml:space="preserve"> - Thép tấm</v>
      </c>
      <c r="F953" s="168" t="str">
        <f>'Vật liệu'!$E$606</f>
        <v>kg</v>
      </c>
      <c r="G953" s="34">
        <f>'Hao phí vật tư'!$G$954</f>
        <v>362.15</v>
      </c>
      <c r="H953" s="68">
        <f>'Vật liệu'!$W$606</f>
        <v>12574</v>
      </c>
      <c r="I953" s="37">
        <v>1</v>
      </c>
      <c r="J953" s="166">
        <f>ROUND(G953*H953*I953,0)</f>
        <v>4553674</v>
      </c>
    </row>
    <row r="954" spans="1:10" x14ac:dyDescent="0.25">
      <c r="A954" s="168"/>
      <c r="B954" s="144"/>
      <c r="C954" s="34">
        <v>154</v>
      </c>
      <c r="D954" s="144" t="str">
        <f>'Vật liệu'!$B$450</f>
        <v>V00515</v>
      </c>
      <c r="E954" s="144" t="str">
        <f>" - " &amp; 'Vật liệu'!$D$450</f>
        <v xml:space="preserve"> - Que hàn</v>
      </c>
      <c r="F954" s="168" t="str">
        <f>'Vật liệu'!$E$450</f>
        <v>kg</v>
      </c>
      <c r="G954" s="34">
        <f>'Hao phí vật tư'!$G$955</f>
        <v>0</v>
      </c>
      <c r="H954" s="68">
        <f>'Vật liệu'!$W$450</f>
        <v>19091</v>
      </c>
      <c r="I954" s="37">
        <v>1</v>
      </c>
      <c r="J954" s="166">
        <f>ROUND(G954*H954*I954,0)</f>
        <v>0</v>
      </c>
    </row>
    <row r="955" spans="1:10" x14ac:dyDescent="0.25">
      <c r="A955" s="168"/>
      <c r="B955" s="144"/>
      <c r="C955" s="34">
        <v>242</v>
      </c>
      <c r="D955" s="144" t="str">
        <f>'Vật liệu'!$B$766</f>
        <v>V00750</v>
      </c>
      <c r="E955" s="144" t="str">
        <f>" - " &amp; 'Vật liệu'!$D$766</f>
        <v xml:space="preserve"> - Vật liệu khác</v>
      </c>
      <c r="F955" s="168" t="str">
        <f>'Vật liệu'!$E$766</f>
        <v>%</v>
      </c>
      <c r="G955" s="34">
        <f>'Hao phí vật tư'!$G$956</f>
        <v>5</v>
      </c>
      <c r="H955" s="166">
        <f>'Vật liệu'!$W$766</f>
        <v>0</v>
      </c>
      <c r="I955" s="37">
        <v>1</v>
      </c>
      <c r="J955" s="166">
        <f>ROUND((J950+J951+J952+J953+J954)*G955*I955/100,0)</f>
        <v>761225</v>
      </c>
    </row>
    <row r="956" spans="1:10" ht="28.5" x14ac:dyDescent="0.25">
      <c r="A956" s="65">
        <f>'Công trình'!$A$123</f>
        <v>95</v>
      </c>
      <c r="B956" s="14" t="str">
        <f>'Công trình'!$B$123</f>
        <v>AI.63311</v>
      </c>
      <c r="C956" s="94"/>
      <c r="D956" s="31"/>
      <c r="E956" s="14" t="str">
        <f>'Công trình'!$C$123</f>
        <v>Lắp dựng kết cấu thép hệ khung dàn, sàn đạo trên cạn</v>
      </c>
      <c r="F956" s="46" t="str">
        <f>'Công trình'!$D$123</f>
        <v>tấn</v>
      </c>
      <c r="G956" s="94"/>
      <c r="H956" s="54"/>
      <c r="I956" s="98"/>
      <c r="J956" s="54"/>
    </row>
    <row r="957" spans="1:10" x14ac:dyDescent="0.25">
      <c r="A957" s="56"/>
      <c r="B957" s="23"/>
      <c r="C957" s="88"/>
      <c r="D957" s="23"/>
      <c r="E957" s="23" t="s">
        <v>479</v>
      </c>
      <c r="F957" s="56"/>
      <c r="G957" s="88"/>
      <c r="H957" s="48"/>
      <c r="I957" s="90"/>
      <c r="J957" s="48">
        <f>ROUND(SUM(J958:J961),0)</f>
        <v>373772</v>
      </c>
    </row>
    <row r="958" spans="1:10" x14ac:dyDescent="0.25">
      <c r="A958" s="168"/>
      <c r="B958" s="144"/>
      <c r="C958" s="34">
        <v>154</v>
      </c>
      <c r="D958" s="144" t="str">
        <f>'Vật liệu'!$B$450</f>
        <v>V00515</v>
      </c>
      <c r="E958" s="144" t="str">
        <f>" - " &amp; 'Vật liệu'!$D$450</f>
        <v xml:space="preserve"> - Que hàn</v>
      </c>
      <c r="F958" s="168" t="str">
        <f>'Vật liệu'!$E$450</f>
        <v>kg</v>
      </c>
      <c r="G958" s="34">
        <f>'Hao phí vật tư'!$G$959</f>
        <v>12</v>
      </c>
      <c r="H958" s="68">
        <f>'Vật liệu'!$W$450</f>
        <v>19091</v>
      </c>
      <c r="I958" s="37">
        <v>1</v>
      </c>
      <c r="J958" s="166">
        <f>ROUND(G958*H958*I958,0)</f>
        <v>229092</v>
      </c>
    </row>
    <row r="959" spans="1:10" x14ac:dyDescent="0.25">
      <c r="A959" s="168"/>
      <c r="B959" s="144"/>
      <c r="C959" s="34">
        <v>160</v>
      </c>
      <c r="D959" s="144" t="str">
        <f>'Vật liệu'!$B$556</f>
        <v>V00641</v>
      </c>
      <c r="E959" s="144" t="str">
        <f>" - " &amp; 'Vật liệu'!$D$556</f>
        <v xml:space="preserve"> - Thép hình</v>
      </c>
      <c r="F959" s="168" t="str">
        <f>'Vật liệu'!$E$556</f>
        <v>kg</v>
      </c>
      <c r="G959" s="34">
        <f>'Hao phí vật tư'!$G$960</f>
        <v>0.45</v>
      </c>
      <c r="H959" s="68">
        <f>'Vật liệu'!$W$556</f>
        <v>15291</v>
      </c>
      <c r="I959" s="37">
        <v>1</v>
      </c>
      <c r="J959" s="166">
        <f>ROUND(G959*H959*I959,0)</f>
        <v>6881</v>
      </c>
    </row>
    <row r="960" spans="1:10" x14ac:dyDescent="0.25">
      <c r="A960" s="168"/>
      <c r="B960" s="144"/>
      <c r="C960" s="34">
        <v>122</v>
      </c>
      <c r="D960" s="144" t="str">
        <f>'Vật liệu'!$B$20</f>
        <v>V00039</v>
      </c>
      <c r="E960" s="144" t="str">
        <f>" - " &amp; 'Vật liệu'!$D$20</f>
        <v xml:space="preserve"> - Bu lông M20</v>
      </c>
      <c r="F960" s="168" t="str">
        <f>'Vật liệu'!$E$20</f>
        <v>cái</v>
      </c>
      <c r="G960" s="34">
        <f>'Hao phí vật tư'!$G$961</f>
        <v>12</v>
      </c>
      <c r="H960" s="68">
        <f>'Vật liệu'!$W$20</f>
        <v>10000</v>
      </c>
      <c r="I960" s="37">
        <v>1</v>
      </c>
      <c r="J960" s="166">
        <f>ROUND(G960*H960*I960,0)</f>
        <v>120000</v>
      </c>
    </row>
    <row r="961" spans="1:10" x14ac:dyDescent="0.25">
      <c r="A961" s="168"/>
      <c r="B961" s="144"/>
      <c r="C961" s="34">
        <v>247</v>
      </c>
      <c r="D961" s="144" t="str">
        <f>'Vật liệu'!$B$766</f>
        <v>V00750</v>
      </c>
      <c r="E961" s="144" t="str">
        <f>" - " &amp; 'Vật liệu'!$D$766</f>
        <v xml:space="preserve"> - Vật liệu khác</v>
      </c>
      <c r="F961" s="168" t="str">
        <f>'Vật liệu'!$E$766</f>
        <v>%</v>
      </c>
      <c r="G961" s="34">
        <f>'Hao phí vật tư'!$G$962</f>
        <v>5</v>
      </c>
      <c r="H961" s="166">
        <f>'Vật liệu'!$W$766</f>
        <v>0</v>
      </c>
      <c r="I961" s="37">
        <v>1</v>
      </c>
      <c r="J961" s="166">
        <f>ROUND((J958+J959+J960)*G961*I961/100,0)</f>
        <v>17799</v>
      </c>
    </row>
    <row r="962" spans="1:10" x14ac:dyDescent="0.25">
      <c r="A962" s="56"/>
      <c r="B962" s="23"/>
      <c r="C962" s="88"/>
      <c r="D962" s="23"/>
      <c r="E962" s="23" t="s">
        <v>202</v>
      </c>
      <c r="F962" s="56"/>
      <c r="G962" s="88"/>
      <c r="H962" s="48"/>
      <c r="I962" s="90"/>
      <c r="J962" s="48">
        <f>ROUND(SUM(J963:J963),0)</f>
        <v>2189570</v>
      </c>
    </row>
    <row r="963" spans="1:10" x14ac:dyDescent="0.25">
      <c r="A963" s="168"/>
      <c r="B963" s="144"/>
      <c r="C963" s="34">
        <v>550</v>
      </c>
      <c r="D963" s="144" t="str">
        <f>'Nhân công'!$B$130</f>
        <v>N0011</v>
      </c>
      <c r="E963" s="144" t="s">
        <v>671</v>
      </c>
      <c r="F963" s="168" t="str">
        <f>'Nhân công'!$G$130</f>
        <v>công</v>
      </c>
      <c r="G963" s="34">
        <f>'Hao phí vật tư'!$H$964</f>
        <v>9.5</v>
      </c>
      <c r="H963" s="68">
        <f>'Nhân công'!$M$130</f>
        <v>230481</v>
      </c>
      <c r="I963" s="37">
        <v>1</v>
      </c>
      <c r="J963" s="166">
        <f>ROUND(G963*H963*I963,0)</f>
        <v>2189570</v>
      </c>
    </row>
    <row r="964" spans="1:10" x14ac:dyDescent="0.25">
      <c r="A964" s="56"/>
      <c r="B964" s="23"/>
      <c r="C964" s="88"/>
      <c r="D964" s="23"/>
      <c r="E964" s="23" t="s">
        <v>378</v>
      </c>
      <c r="F964" s="56"/>
      <c r="G964" s="88"/>
      <c r="H964" s="48"/>
      <c r="I964" s="90"/>
      <c r="J964" s="48">
        <f>ROUND(SUM(J965:J966),0)</f>
        <v>1660581</v>
      </c>
    </row>
    <row r="965" spans="1:10" x14ac:dyDescent="0.25">
      <c r="A965" s="168"/>
      <c r="B965" s="144"/>
      <c r="C965" s="34">
        <v>714</v>
      </c>
      <c r="D965" s="144" t="str">
        <f>'Máy thi công'!$B$6</f>
        <v>M9438</v>
      </c>
      <c r="E965" s="144" t="str">
        <f>" - " &amp; 'Máy thi công'!$D$6</f>
        <v xml:space="preserve"> - Biến thế hàn xoay chiều - công suất: 23 kW</v>
      </c>
      <c r="F965" s="168" t="str">
        <f>'Máy thi công'!$E$6</f>
        <v>ca</v>
      </c>
      <c r="G965" s="34">
        <f>'Hao phí vật tư'!$I$966</f>
        <v>3</v>
      </c>
      <c r="H965" s="68">
        <f>'Máy thi công'!$N$6</f>
        <v>338020</v>
      </c>
      <c r="I965" s="37">
        <v>1</v>
      </c>
      <c r="J965" s="166">
        <f>ROUND(G965*H965*I965,0)</f>
        <v>1014060</v>
      </c>
    </row>
    <row r="966" spans="1:10" x14ac:dyDescent="0.25">
      <c r="A966" s="168"/>
      <c r="B966" s="144"/>
      <c r="C966" s="34">
        <v>728</v>
      </c>
      <c r="D966" s="144" t="str">
        <f>'Máy thi công'!$B$120</f>
        <v>M9468</v>
      </c>
      <c r="E966" s="144" t="str">
        <f>" - " &amp; 'Máy thi công'!$D$120</f>
        <v xml:space="preserve"> - Cần trục bánh xích - sức nâng: 16 t</v>
      </c>
      <c r="F966" s="168" t="str">
        <f>'Máy thi công'!$E$120</f>
        <v>ca</v>
      </c>
      <c r="G966" s="34">
        <f>'Hao phí vật tư'!$I$967</f>
        <v>0.27</v>
      </c>
      <c r="H966" s="68">
        <f>'Máy thi công'!$N$120</f>
        <v>2394521</v>
      </c>
      <c r="I966" s="37">
        <v>1</v>
      </c>
      <c r="J966" s="166">
        <f>ROUND(G966*H966*I966,0)</f>
        <v>646521</v>
      </c>
    </row>
    <row r="967" spans="1:10" ht="28.5" x14ac:dyDescent="0.25">
      <c r="A967" s="65">
        <f>'Công trình'!$A$124</f>
        <v>96</v>
      </c>
      <c r="B967" s="14" t="str">
        <f>'Công trình'!$B$124</f>
        <v>AI.63311</v>
      </c>
      <c r="C967" s="94"/>
      <c r="D967" s="31"/>
      <c r="E967" s="14" t="str">
        <f>'Công trình'!$C$124</f>
        <v>Tháo dỡ kết cấu thép hệ khung dàn, sàn đạo trên cạn (60% Đg)</v>
      </c>
      <c r="F967" s="46" t="str">
        <f>'Công trình'!$D$124</f>
        <v>tấn</v>
      </c>
      <c r="G967" s="94"/>
      <c r="H967" s="54"/>
      <c r="I967" s="98"/>
      <c r="J967" s="54"/>
    </row>
    <row r="968" spans="1:10" x14ac:dyDescent="0.25">
      <c r="A968" s="56"/>
      <c r="B968" s="23"/>
      <c r="C968" s="88"/>
      <c r="D968" s="23"/>
      <c r="E968" s="23" t="s">
        <v>479</v>
      </c>
      <c r="F968" s="56"/>
      <c r="G968" s="88"/>
      <c r="H968" s="48"/>
      <c r="I968" s="90"/>
      <c r="J968" s="48">
        <f>ROUND(SUM(J969:J972),0)</f>
        <v>224263</v>
      </c>
    </row>
    <row r="969" spans="1:10" x14ac:dyDescent="0.25">
      <c r="A969" s="168"/>
      <c r="B969" s="144"/>
      <c r="C969" s="34">
        <v>154</v>
      </c>
      <c r="D969" s="144" t="str">
        <f>'Vật liệu'!$B$450</f>
        <v>V00515</v>
      </c>
      <c r="E969" s="144" t="str">
        <f>" - " &amp; 'Vật liệu'!$D$450</f>
        <v xml:space="preserve"> - Que hàn</v>
      </c>
      <c r="F969" s="168" t="str">
        <f>'Vật liệu'!$E$450</f>
        <v>kg</v>
      </c>
      <c r="G969" s="34">
        <f>'Hao phí vật tư'!$G$970</f>
        <v>7.2</v>
      </c>
      <c r="H969" s="68">
        <f>'Vật liệu'!$W$450</f>
        <v>19091</v>
      </c>
      <c r="I969" s="37">
        <v>1</v>
      </c>
      <c r="J969" s="166">
        <f>ROUND(G969*H969*I969,0)</f>
        <v>137455</v>
      </c>
    </row>
    <row r="970" spans="1:10" x14ac:dyDescent="0.25">
      <c r="A970" s="168"/>
      <c r="B970" s="144"/>
      <c r="C970" s="34">
        <v>160</v>
      </c>
      <c r="D970" s="144" t="str">
        <f>'Vật liệu'!$B$556</f>
        <v>V00641</v>
      </c>
      <c r="E970" s="144" t="str">
        <f>" - " &amp; 'Vật liệu'!$D$556</f>
        <v xml:space="preserve"> - Thép hình</v>
      </c>
      <c r="F970" s="168" t="str">
        <f>'Vật liệu'!$E$556</f>
        <v>kg</v>
      </c>
      <c r="G970" s="34">
        <f>'Hao phí vật tư'!$G$971</f>
        <v>0.27</v>
      </c>
      <c r="H970" s="68">
        <f>'Vật liệu'!$W$556</f>
        <v>15291</v>
      </c>
      <c r="I970" s="37">
        <v>1</v>
      </c>
      <c r="J970" s="166">
        <f>ROUND(G970*H970*I970,0)</f>
        <v>4129</v>
      </c>
    </row>
    <row r="971" spans="1:10" x14ac:dyDescent="0.25">
      <c r="A971" s="168"/>
      <c r="B971" s="144"/>
      <c r="C971" s="34">
        <v>122</v>
      </c>
      <c r="D971" s="144" t="str">
        <f>'Vật liệu'!$B$20</f>
        <v>V00039</v>
      </c>
      <c r="E971" s="144" t="str">
        <f>" - " &amp; 'Vật liệu'!$D$20</f>
        <v xml:space="preserve"> - Bu lông M20</v>
      </c>
      <c r="F971" s="168" t="str">
        <f>'Vật liệu'!$E$20</f>
        <v>cái</v>
      </c>
      <c r="G971" s="34">
        <f>'Hao phí vật tư'!$G$972</f>
        <v>7.2</v>
      </c>
      <c r="H971" s="68">
        <f>'Vật liệu'!$W$20</f>
        <v>10000</v>
      </c>
      <c r="I971" s="37">
        <v>1</v>
      </c>
      <c r="J971" s="166">
        <f>ROUND(G971*H971*I971,0)</f>
        <v>72000</v>
      </c>
    </row>
    <row r="972" spans="1:10" x14ac:dyDescent="0.25">
      <c r="A972" s="168"/>
      <c r="B972" s="144"/>
      <c r="C972" s="34">
        <v>248</v>
      </c>
      <c r="D972" s="144" t="str">
        <f>'Vật liệu'!$B$766</f>
        <v>V00750</v>
      </c>
      <c r="E972" s="144" t="str">
        <f>" - " &amp; 'Vật liệu'!$D$766</f>
        <v xml:space="preserve"> - Vật liệu khác</v>
      </c>
      <c r="F972" s="168" t="str">
        <f>'Vật liệu'!$E$766</f>
        <v>%</v>
      </c>
      <c r="G972" s="34">
        <f>'Hao phí vật tư'!$G$973</f>
        <v>5</v>
      </c>
      <c r="H972" s="166">
        <f>'Vật liệu'!$W$766</f>
        <v>0</v>
      </c>
      <c r="I972" s="37">
        <v>1</v>
      </c>
      <c r="J972" s="166">
        <f>ROUND((J969+J970+J971)*G972*I972/100,0)</f>
        <v>10679</v>
      </c>
    </row>
    <row r="973" spans="1:10" x14ac:dyDescent="0.25">
      <c r="A973" s="56"/>
      <c r="B973" s="23"/>
      <c r="C973" s="88"/>
      <c r="D973" s="23"/>
      <c r="E973" s="23" t="s">
        <v>202</v>
      </c>
      <c r="F973" s="56"/>
      <c r="G973" s="88"/>
      <c r="H973" s="48"/>
      <c r="I973" s="90"/>
      <c r="J973" s="48">
        <f>ROUND(SUM(J974:J974),0)</f>
        <v>1313742</v>
      </c>
    </row>
    <row r="974" spans="1:10" x14ac:dyDescent="0.25">
      <c r="A974" s="168"/>
      <c r="B974" s="144"/>
      <c r="C974" s="34">
        <v>550</v>
      </c>
      <c r="D974" s="144" t="str">
        <f>'Nhân công'!$B$130</f>
        <v>N0011</v>
      </c>
      <c r="E974" s="144" t="s">
        <v>671</v>
      </c>
      <c r="F974" s="168" t="str">
        <f>'Nhân công'!$G$130</f>
        <v>công</v>
      </c>
      <c r="G974" s="34">
        <f>'Hao phí vật tư'!$H$975</f>
        <v>5.7</v>
      </c>
      <c r="H974" s="68">
        <f>'Nhân công'!$M$130</f>
        <v>230481</v>
      </c>
      <c r="I974" s="37">
        <v>1</v>
      </c>
      <c r="J974" s="166">
        <f>ROUND(G974*H974*I974,0)</f>
        <v>1313742</v>
      </c>
    </row>
    <row r="975" spans="1:10" x14ac:dyDescent="0.25">
      <c r="A975" s="56"/>
      <c r="B975" s="23"/>
      <c r="C975" s="88"/>
      <c r="D975" s="23"/>
      <c r="E975" s="23" t="s">
        <v>378</v>
      </c>
      <c r="F975" s="56"/>
      <c r="G975" s="88"/>
      <c r="H975" s="48"/>
      <c r="I975" s="90"/>
      <c r="J975" s="48">
        <f>ROUND(SUM(J976:J977),0)</f>
        <v>996348</v>
      </c>
    </row>
    <row r="976" spans="1:10" x14ac:dyDescent="0.25">
      <c r="A976" s="168"/>
      <c r="B976" s="144"/>
      <c r="C976" s="34">
        <v>714</v>
      </c>
      <c r="D976" s="144" t="str">
        <f>'Máy thi công'!$B$6</f>
        <v>M9438</v>
      </c>
      <c r="E976" s="144" t="str">
        <f>" - " &amp; 'Máy thi công'!$D$6</f>
        <v xml:space="preserve"> - Biến thế hàn xoay chiều - công suất: 23 kW</v>
      </c>
      <c r="F976" s="168" t="str">
        <f>'Máy thi công'!$E$6</f>
        <v>ca</v>
      </c>
      <c r="G976" s="34">
        <f>'Hao phí vật tư'!$I$977</f>
        <v>1.8</v>
      </c>
      <c r="H976" s="68">
        <f>'Máy thi công'!$N$6</f>
        <v>338020</v>
      </c>
      <c r="I976" s="37">
        <v>1</v>
      </c>
      <c r="J976" s="166">
        <f>ROUND(G976*H976*I976,0)</f>
        <v>608436</v>
      </c>
    </row>
    <row r="977" spans="1:10" x14ac:dyDescent="0.25">
      <c r="A977" s="168"/>
      <c r="B977" s="144"/>
      <c r="C977" s="34">
        <v>728</v>
      </c>
      <c r="D977" s="144" t="str">
        <f>'Máy thi công'!$B$120</f>
        <v>M9468</v>
      </c>
      <c r="E977" s="144" t="str">
        <f>" - " &amp; 'Máy thi công'!$D$120</f>
        <v xml:space="preserve"> - Cần trục bánh xích - sức nâng: 16 t</v>
      </c>
      <c r="F977" s="168" t="str">
        <f>'Máy thi công'!$E$120</f>
        <v>ca</v>
      </c>
      <c r="G977" s="34">
        <f>'Hao phí vật tư'!$I$978</f>
        <v>0.16200000000000001</v>
      </c>
      <c r="H977" s="68">
        <f>'Máy thi công'!$N$120</f>
        <v>2394521</v>
      </c>
      <c r="I977" s="37">
        <v>1</v>
      </c>
      <c r="J977" s="166">
        <f>ROUND(G977*H977*I977,0)</f>
        <v>387912</v>
      </c>
    </row>
    <row r="978" spans="1:10" ht="28.5" x14ac:dyDescent="0.25">
      <c r="A978" s="65">
        <f>'Công trình'!$A$125</f>
        <v>97</v>
      </c>
      <c r="B978" s="14" t="str">
        <f>'Công trình'!$B$125</f>
        <v>AC.22522</v>
      </c>
      <c r="C978" s="94"/>
      <c r="D978" s="31"/>
      <c r="E978" s="14" t="str">
        <f>'Công trình'!$C$125</f>
        <v>Đóng cọc thép hình H300 trên mặt đất, chiều dài cọc &gt;10m, đất cấp II, phần ngập đất</v>
      </c>
      <c r="F978" s="46" t="str">
        <f>'Công trình'!$D$125</f>
        <v>100m</v>
      </c>
      <c r="G978" s="94"/>
      <c r="H978" s="54"/>
      <c r="I978" s="98"/>
      <c r="J978" s="54"/>
    </row>
    <row r="979" spans="1:10" x14ac:dyDescent="0.25">
      <c r="A979" s="56"/>
      <c r="B979" s="23"/>
      <c r="C979" s="88"/>
      <c r="D979" s="23"/>
      <c r="E979" s="23" t="s">
        <v>479</v>
      </c>
      <c r="F979" s="56"/>
      <c r="G979" s="88"/>
      <c r="H979" s="48"/>
      <c r="I979" s="90"/>
      <c r="J979" s="48">
        <f>ROUND(SUM(J980:J981),0)</f>
        <v>0</v>
      </c>
    </row>
    <row r="980" spans="1:10" x14ac:dyDescent="0.25">
      <c r="A980" s="168"/>
      <c r="B980" s="144"/>
      <c r="C980" s="34">
        <v>430</v>
      </c>
      <c r="D980" s="144" t="str">
        <f>'Vật liệu'!$B$117</f>
        <v>V08281</v>
      </c>
      <c r="E980" s="144" t="str">
        <f>" - " &amp; 'Vật liệu'!$D$117</f>
        <v xml:space="preserve"> - Cọc H300, L=14m</v>
      </c>
      <c r="F980" s="168" t="str">
        <f>'Vật liệu'!$E$117</f>
        <v>m</v>
      </c>
      <c r="G980" s="34">
        <f>'Hao phí vật tư'!$G$981</f>
        <v>0</v>
      </c>
      <c r="H980" s="68">
        <f>'Vật liệu'!$W$117</f>
        <v>1830000</v>
      </c>
      <c r="I980" s="37">
        <v>1</v>
      </c>
      <c r="J980" s="166">
        <f>ROUND(G980*H980*I980,0)</f>
        <v>0</v>
      </c>
    </row>
    <row r="981" spans="1:10" x14ac:dyDescent="0.25">
      <c r="A981" s="168"/>
      <c r="B981" s="144"/>
      <c r="C981" s="34">
        <v>249</v>
      </c>
      <c r="D981" s="144" t="str">
        <f>'Vật liệu'!$B$766</f>
        <v>V00750</v>
      </c>
      <c r="E981" s="144" t="str">
        <f>" - " &amp; 'Vật liệu'!$D$766</f>
        <v xml:space="preserve"> - Vật liệu khác</v>
      </c>
      <c r="F981" s="168" t="str">
        <f>'Vật liệu'!$E$766</f>
        <v>%</v>
      </c>
      <c r="G981" s="34">
        <f>'Hao phí vật tư'!$G$982</f>
        <v>1</v>
      </c>
      <c r="H981" s="166">
        <f>'Vật liệu'!$W$766</f>
        <v>0</v>
      </c>
      <c r="I981" s="37">
        <v>1</v>
      </c>
      <c r="J981" s="166">
        <f>ROUND((J980)*G981*I981/100,0)</f>
        <v>0</v>
      </c>
    </row>
    <row r="982" spans="1:10" x14ac:dyDescent="0.25">
      <c r="A982" s="56"/>
      <c r="B982" s="23"/>
      <c r="C982" s="88"/>
      <c r="D982" s="23"/>
      <c r="E982" s="23" t="s">
        <v>202</v>
      </c>
      <c r="F982" s="56"/>
      <c r="G982" s="88"/>
      <c r="H982" s="48"/>
      <c r="I982" s="90"/>
      <c r="J982" s="48">
        <f>ROUND(SUM(J983:J983),0)</f>
        <v>1737120</v>
      </c>
    </row>
    <row r="983" spans="1:10" x14ac:dyDescent="0.25">
      <c r="A983" s="168"/>
      <c r="B983" s="144"/>
      <c r="C983" s="34">
        <v>555</v>
      </c>
      <c r="D983" s="144" t="str">
        <f>'Nhân công'!$B$185</f>
        <v>N0020</v>
      </c>
      <c r="E983" s="144" t="s">
        <v>625</v>
      </c>
      <c r="F983" s="168" t="str">
        <f>'Nhân công'!$G$185</f>
        <v>công</v>
      </c>
      <c r="G983" s="34">
        <f>'Hao phí vật tư'!$H$984</f>
        <v>6.72</v>
      </c>
      <c r="H983" s="68">
        <f>'Nhân công'!$M$185</f>
        <v>258500</v>
      </c>
      <c r="I983" s="37">
        <v>1</v>
      </c>
      <c r="J983" s="166">
        <f>ROUND(G983*H983*I983,0)</f>
        <v>1737120</v>
      </c>
    </row>
    <row r="984" spans="1:10" x14ac:dyDescent="0.25">
      <c r="A984" s="56"/>
      <c r="B984" s="23"/>
      <c r="C984" s="88"/>
      <c r="D984" s="23"/>
      <c r="E984" s="23" t="s">
        <v>378</v>
      </c>
      <c r="F984" s="56"/>
      <c r="G984" s="88"/>
      <c r="H984" s="48"/>
      <c r="I984" s="90"/>
      <c r="J984" s="48">
        <f>ROUND(SUM(J985:J986),0)</f>
        <v>5353673</v>
      </c>
    </row>
    <row r="985" spans="1:10" ht="30" x14ac:dyDescent="0.25">
      <c r="A985" s="168"/>
      <c r="B985" s="144"/>
      <c r="C985" s="34">
        <v>716</v>
      </c>
      <c r="D985" s="144" t="str">
        <f>'Máy thi công'!$B$85</f>
        <v>M9440</v>
      </c>
      <c r="E985" s="144" t="str">
        <f>" - " &amp; 'Máy thi công'!$D$85</f>
        <v xml:space="preserve"> - Búa diezel chạy trên ray - trọng lượng đầu búa: 1,2 t</v>
      </c>
      <c r="F985" s="168" t="str">
        <f>'Máy thi công'!$E$85</f>
        <v>ca</v>
      </c>
      <c r="G985" s="34">
        <f>'Hao phí vật tư'!$I$986</f>
        <v>3.36</v>
      </c>
      <c r="H985" s="68">
        <f>'Máy thi công'!$N$85</f>
        <v>1569808</v>
      </c>
      <c r="I985" s="37">
        <v>1</v>
      </c>
      <c r="J985" s="166">
        <f>ROUND(G985*H985*I985,0)</f>
        <v>5274555</v>
      </c>
    </row>
    <row r="986" spans="1:10" x14ac:dyDescent="0.25">
      <c r="A986" s="168"/>
      <c r="B986" s="144"/>
      <c r="C986" s="34">
        <v>605</v>
      </c>
      <c r="D986" s="144" t="str">
        <f>'Máy thi công'!$B$398</f>
        <v>M0111</v>
      </c>
      <c r="E986" s="144" t="str">
        <f>" - " &amp; 'Máy thi công'!$D$398</f>
        <v xml:space="preserve"> - Máy khác</v>
      </c>
      <c r="F986" s="168" t="str">
        <f>'Máy thi công'!$E$398</f>
        <v>%</v>
      </c>
      <c r="G986" s="34">
        <f>'Hao phí vật tư'!$I$987</f>
        <v>1.5</v>
      </c>
      <c r="H986" s="166">
        <f>'Máy thi công'!$N$398</f>
        <v>0</v>
      </c>
      <c r="I986" s="37">
        <v>1</v>
      </c>
      <c r="J986" s="166">
        <f>ROUND((J985)*G986*I986/100,0)</f>
        <v>79118</v>
      </c>
    </row>
    <row r="987" spans="1:10" ht="42.75" x14ac:dyDescent="0.25">
      <c r="A987" s="65">
        <f>'Công trình'!$A$126</f>
        <v>98</v>
      </c>
      <c r="B987" s="14" t="str">
        <f>'Công trình'!$B$126</f>
        <v>AC.22522</v>
      </c>
      <c r="C987" s="94"/>
      <c r="D987" s="31"/>
      <c r="E987" s="14" t="str">
        <f>'Công trình'!$C$126</f>
        <v>Đóng cọc thép hình H300 trên mặt đất, chiều dài cọc &gt;10m, đất cấp II, phần không ngập đất (NC, MTC * 0,75)</v>
      </c>
      <c r="F987" s="46" t="str">
        <f>'Công trình'!$D$126</f>
        <v>100m</v>
      </c>
      <c r="G987" s="94"/>
      <c r="H987" s="54"/>
      <c r="I987" s="98"/>
      <c r="J987" s="54"/>
    </row>
    <row r="988" spans="1:10" x14ac:dyDescent="0.25">
      <c r="A988" s="56"/>
      <c r="B988" s="23"/>
      <c r="C988" s="88"/>
      <c r="D988" s="23"/>
      <c r="E988" s="23" t="s">
        <v>479</v>
      </c>
      <c r="F988" s="56"/>
      <c r="G988" s="88"/>
      <c r="H988" s="48"/>
      <c r="I988" s="90"/>
      <c r="J988" s="48">
        <f>ROUND(SUM(J989:J990),0)</f>
        <v>0</v>
      </c>
    </row>
    <row r="989" spans="1:10" x14ac:dyDescent="0.25">
      <c r="A989" s="168"/>
      <c r="B989" s="144"/>
      <c r="C989" s="34">
        <v>430</v>
      </c>
      <c r="D989" s="144" t="str">
        <f>'Vật liệu'!$B$117</f>
        <v>V08281</v>
      </c>
      <c r="E989" s="144" t="str">
        <f>" - " &amp; 'Vật liệu'!$D$117</f>
        <v xml:space="preserve"> - Cọc H300, L=14m</v>
      </c>
      <c r="F989" s="168" t="str">
        <f>'Vật liệu'!$E$117</f>
        <v>m</v>
      </c>
      <c r="G989" s="34">
        <f>'Hao phí vật tư'!$G$990</f>
        <v>0</v>
      </c>
      <c r="H989" s="68">
        <f>'Vật liệu'!$W$117</f>
        <v>1830000</v>
      </c>
      <c r="I989" s="37">
        <v>1</v>
      </c>
      <c r="J989" s="166">
        <f>ROUND(G989*H989*I989,0)</f>
        <v>0</v>
      </c>
    </row>
    <row r="990" spans="1:10" x14ac:dyDescent="0.25">
      <c r="A990" s="168"/>
      <c r="B990" s="144"/>
      <c r="C990" s="34">
        <v>250</v>
      </c>
      <c r="D990" s="144" t="str">
        <f>'Vật liệu'!$B$766</f>
        <v>V00750</v>
      </c>
      <c r="E990" s="144" t="str">
        <f>" - " &amp; 'Vật liệu'!$D$766</f>
        <v xml:space="preserve"> - Vật liệu khác</v>
      </c>
      <c r="F990" s="168" t="str">
        <f>'Vật liệu'!$E$766</f>
        <v>%</v>
      </c>
      <c r="G990" s="34">
        <f>'Hao phí vật tư'!$G$991</f>
        <v>1</v>
      </c>
      <c r="H990" s="166">
        <f>'Vật liệu'!$W$766</f>
        <v>0</v>
      </c>
      <c r="I990" s="37">
        <v>1</v>
      </c>
      <c r="J990" s="166">
        <f>ROUND((J989)*G990*I990/100,0)</f>
        <v>0</v>
      </c>
    </row>
    <row r="991" spans="1:10" x14ac:dyDescent="0.25">
      <c r="A991" s="56"/>
      <c r="B991" s="23"/>
      <c r="C991" s="88"/>
      <c r="D991" s="23"/>
      <c r="E991" s="23" t="s">
        <v>202</v>
      </c>
      <c r="F991" s="56"/>
      <c r="G991" s="88"/>
      <c r="H991" s="48"/>
      <c r="I991" s="90"/>
      <c r="J991" s="48">
        <f>ROUND(SUM(J992:J992),0)</f>
        <v>1496715</v>
      </c>
    </row>
    <row r="992" spans="1:10" x14ac:dyDescent="0.25">
      <c r="A992" s="168"/>
      <c r="B992" s="144"/>
      <c r="C992" s="34">
        <v>555</v>
      </c>
      <c r="D992" s="144" t="str">
        <f>'Nhân công'!$B$185</f>
        <v>N0020</v>
      </c>
      <c r="E992" s="144" t="s">
        <v>625</v>
      </c>
      <c r="F992" s="168" t="str">
        <f>'Nhân công'!$G$185</f>
        <v>công</v>
      </c>
      <c r="G992" s="34">
        <f>'Hao phí vật tư'!$H$993</f>
        <v>5.79</v>
      </c>
      <c r="H992" s="68">
        <f>'Nhân công'!$M$185</f>
        <v>258500</v>
      </c>
      <c r="I992" s="37">
        <v>1</v>
      </c>
      <c r="J992" s="166">
        <f>ROUND(G992*H992*I992,0)</f>
        <v>1496715</v>
      </c>
    </row>
    <row r="993" spans="1:10" x14ac:dyDescent="0.25">
      <c r="A993" s="56"/>
      <c r="B993" s="23"/>
      <c r="C993" s="88"/>
      <c r="D993" s="23"/>
      <c r="E993" s="23" t="s">
        <v>378</v>
      </c>
      <c r="F993" s="56"/>
      <c r="G993" s="88"/>
      <c r="H993" s="48"/>
      <c r="I993" s="90"/>
      <c r="J993" s="48">
        <f>ROUND(SUM(J994:J995),0)</f>
        <v>4015255</v>
      </c>
    </row>
    <row r="994" spans="1:10" ht="30" x14ac:dyDescent="0.25">
      <c r="A994" s="168"/>
      <c r="B994" s="144"/>
      <c r="C994" s="34">
        <v>716</v>
      </c>
      <c r="D994" s="144" t="str">
        <f>'Máy thi công'!$B$85</f>
        <v>M9440</v>
      </c>
      <c r="E994" s="144" t="str">
        <f>" - " &amp; 'Máy thi công'!$D$85</f>
        <v xml:space="preserve"> - Búa diezel chạy trên ray - trọng lượng đầu búa: 1,2 t</v>
      </c>
      <c r="F994" s="168" t="str">
        <f>'Máy thi công'!$E$85</f>
        <v>ca</v>
      </c>
      <c r="G994" s="34">
        <f>'Hao phí vật tư'!$I$995</f>
        <v>2.52</v>
      </c>
      <c r="H994" s="68">
        <f>'Máy thi công'!$N$85</f>
        <v>1569808</v>
      </c>
      <c r="I994" s="37">
        <v>1</v>
      </c>
      <c r="J994" s="166">
        <f>ROUND(G994*H994*I994,0)</f>
        <v>3955916</v>
      </c>
    </row>
    <row r="995" spans="1:10" x14ac:dyDescent="0.25">
      <c r="A995" s="168"/>
      <c r="B995" s="144"/>
      <c r="C995" s="34">
        <v>606</v>
      </c>
      <c r="D995" s="144" t="str">
        <f>'Máy thi công'!$B$398</f>
        <v>M0111</v>
      </c>
      <c r="E995" s="144" t="str">
        <f>" - " &amp; 'Máy thi công'!$D$398</f>
        <v xml:space="preserve"> - Máy khác</v>
      </c>
      <c r="F995" s="168" t="str">
        <f>'Máy thi công'!$E$398</f>
        <v>%</v>
      </c>
      <c r="G995" s="34">
        <f>'Hao phí vật tư'!$I$996</f>
        <v>1.5</v>
      </c>
      <c r="H995" s="166">
        <f>'Máy thi công'!$N$398</f>
        <v>0</v>
      </c>
      <c r="I995" s="37">
        <v>1</v>
      </c>
      <c r="J995" s="166">
        <f>ROUND((J994)*G995*I995/100,0)</f>
        <v>59339</v>
      </c>
    </row>
    <row r="996" spans="1:10" ht="28.5" x14ac:dyDescent="0.25">
      <c r="A996" s="65">
        <f>'Công trình'!$A$127</f>
        <v>99</v>
      </c>
      <c r="B996" s="14" t="str">
        <f>'Công trình'!$B$127</f>
        <v>TT</v>
      </c>
      <c r="C996" s="94"/>
      <c r="D996" s="31"/>
      <c r="E996" s="14" t="str">
        <f>'Công trình'!$C$127</f>
        <v>Khấu hao cọc thép hình (Thi công trong vòng 3 tháng và 1 lần đóng nhổ)</v>
      </c>
      <c r="F996" s="46" t="str">
        <f>'Công trình'!$D$127</f>
        <v>100m</v>
      </c>
      <c r="G996" s="94"/>
      <c r="H996" s="54"/>
      <c r="I996" s="98"/>
      <c r="J996" s="54"/>
    </row>
    <row r="997" spans="1:10" x14ac:dyDescent="0.25">
      <c r="A997" s="56"/>
      <c r="B997" s="23"/>
      <c r="C997" s="88"/>
      <c r="D997" s="23"/>
      <c r="E997" s="23" t="s">
        <v>479</v>
      </c>
      <c r="F997" s="56"/>
      <c r="G997" s="88"/>
      <c r="H997" s="48"/>
      <c r="I997" s="90"/>
      <c r="J997" s="48">
        <f>ROUND(SUM(J998:J999),0)</f>
        <v>184830000</v>
      </c>
    </row>
    <row r="998" spans="1:10" x14ac:dyDescent="0.25">
      <c r="A998" s="168"/>
      <c r="B998" s="144"/>
      <c r="C998" s="34">
        <v>430</v>
      </c>
      <c r="D998" s="144" t="str">
        <f>'Vật liệu'!$B$117</f>
        <v>V08281</v>
      </c>
      <c r="E998" s="144" t="str">
        <f>" - " &amp; 'Vật liệu'!$D$117</f>
        <v xml:space="preserve"> - Cọc H300, L=14m</v>
      </c>
      <c r="F998" s="168" t="str">
        <f>'Vật liệu'!$E$117</f>
        <v>m</v>
      </c>
      <c r="G998" s="34">
        <f>'Hao phí vật tư'!$G$999</f>
        <v>100</v>
      </c>
      <c r="H998" s="68">
        <f>'Vật liệu'!$W$117</f>
        <v>1830000</v>
      </c>
      <c r="I998" s="37">
        <v>1</v>
      </c>
      <c r="J998" s="166">
        <f>ROUND(G998*H998*I998,0)</f>
        <v>183000000</v>
      </c>
    </row>
    <row r="999" spans="1:10" x14ac:dyDescent="0.25">
      <c r="A999" s="168"/>
      <c r="B999" s="144"/>
      <c r="C999" s="34">
        <v>262</v>
      </c>
      <c r="D999" s="144" t="str">
        <f>'Vật liệu'!$B$766</f>
        <v>V00750</v>
      </c>
      <c r="E999" s="144" t="str">
        <f>" - " &amp; 'Vật liệu'!$D$766</f>
        <v xml:space="preserve"> - Vật liệu khác</v>
      </c>
      <c r="F999" s="168" t="str">
        <f>'Vật liệu'!$E$766</f>
        <v>%</v>
      </c>
      <c r="G999" s="34">
        <f>'Hao phí vật tư'!$G$1000</f>
        <v>1</v>
      </c>
      <c r="H999" s="166">
        <f>'Vật liệu'!$W$766</f>
        <v>0</v>
      </c>
      <c r="I999" s="37">
        <v>1</v>
      </c>
      <c r="J999" s="166">
        <f>ROUND((J998)*G999*I999/100,0)</f>
        <v>1830000</v>
      </c>
    </row>
    <row r="1000" spans="1:10" ht="28.5" x14ac:dyDescent="0.25">
      <c r="A1000" s="65">
        <f>'Công trình'!$A$129</f>
        <v>100</v>
      </c>
      <c r="B1000" s="14" t="str">
        <f>'Công trình'!$B$129</f>
        <v>AC.23110</v>
      </c>
      <c r="C1000" s="94"/>
      <c r="D1000" s="31"/>
      <c r="E1000" s="14" t="str">
        <f>'Công trình'!$C$129</f>
        <v>Nhổ cọc thép hình làm tường chắn đất, sàn thao tác trên cạn</v>
      </c>
      <c r="F1000" s="46" t="str">
        <f>'Công trình'!$D$129</f>
        <v>100m</v>
      </c>
      <c r="G1000" s="94"/>
      <c r="H1000" s="54"/>
      <c r="I1000" s="98"/>
      <c r="J1000" s="54"/>
    </row>
    <row r="1001" spans="1:10" x14ac:dyDescent="0.25">
      <c r="A1001" s="56"/>
      <c r="B1001" s="23"/>
      <c r="C1001" s="88"/>
      <c r="D1001" s="23"/>
      <c r="E1001" s="23" t="s">
        <v>202</v>
      </c>
      <c r="F1001" s="56"/>
      <c r="G1001" s="88"/>
      <c r="H1001" s="48"/>
      <c r="I1001" s="90"/>
      <c r="J1001" s="48">
        <f>ROUND(SUM(J1002:J1002),0)</f>
        <v>687610</v>
      </c>
    </row>
    <row r="1002" spans="1:10" x14ac:dyDescent="0.25">
      <c r="A1002" s="168"/>
      <c r="B1002" s="144"/>
      <c r="C1002" s="34">
        <v>555</v>
      </c>
      <c r="D1002" s="144" t="str">
        <f>'Nhân công'!$B$185</f>
        <v>N0020</v>
      </c>
      <c r="E1002" s="144" t="s">
        <v>625</v>
      </c>
      <c r="F1002" s="168" t="str">
        <f>'Nhân công'!$G$185</f>
        <v>công</v>
      </c>
      <c r="G1002" s="34">
        <f>'Hao phí vật tư'!$H$1003</f>
        <v>2.66</v>
      </c>
      <c r="H1002" s="68">
        <f>'Nhân công'!$M$185</f>
        <v>258500</v>
      </c>
      <c r="I1002" s="37">
        <v>1</v>
      </c>
      <c r="J1002" s="166">
        <f>ROUND(G1002*H1002*I1002,0)</f>
        <v>687610</v>
      </c>
    </row>
    <row r="1003" spans="1:10" x14ac:dyDescent="0.25">
      <c r="A1003" s="56"/>
      <c r="B1003" s="23"/>
      <c r="C1003" s="88"/>
      <c r="D1003" s="23"/>
      <c r="E1003" s="23" t="s">
        <v>378</v>
      </c>
      <c r="F1003" s="56"/>
      <c r="G1003" s="88"/>
      <c r="H1003" s="48"/>
      <c r="I1003" s="90"/>
      <c r="J1003" s="48">
        <f>ROUND(SUM(J1004:J1005),0)</f>
        <v>3852512</v>
      </c>
    </row>
    <row r="1004" spans="1:10" x14ac:dyDescent="0.25">
      <c r="A1004" s="168"/>
      <c r="B1004" s="144"/>
      <c r="C1004" s="34">
        <v>729</v>
      </c>
      <c r="D1004" s="144" t="str">
        <f>'Máy thi công'!$B$135</f>
        <v>M9469</v>
      </c>
      <c r="E1004" s="144" t="str">
        <f>" - " &amp; 'Máy thi công'!$D$135</f>
        <v xml:space="preserve"> - Cần trục bánh xích - sức nâng: 25 t</v>
      </c>
      <c r="F1004" s="168" t="str">
        <f>'Máy thi công'!$E$135</f>
        <v>ca</v>
      </c>
      <c r="G1004" s="34">
        <f>'Hao phí vật tư'!$I$1005</f>
        <v>1.33</v>
      </c>
      <c r="H1004" s="68">
        <f>'Máy thi công'!$N$135</f>
        <v>2839829</v>
      </c>
      <c r="I1004" s="37">
        <v>1</v>
      </c>
      <c r="J1004" s="166">
        <f>ROUND(G1004*H1004*I1004,0)</f>
        <v>3776973</v>
      </c>
    </row>
    <row r="1005" spans="1:10" x14ac:dyDescent="0.25">
      <c r="A1005" s="168"/>
      <c r="B1005" s="144"/>
      <c r="C1005" s="34">
        <v>614</v>
      </c>
      <c r="D1005" s="144" t="str">
        <f>'Máy thi công'!$B$398</f>
        <v>M0111</v>
      </c>
      <c r="E1005" s="144" t="str">
        <f>" - " &amp; 'Máy thi công'!$D$398</f>
        <v xml:space="preserve"> - Máy khác</v>
      </c>
      <c r="F1005" s="168" t="str">
        <f>'Máy thi công'!$E$398</f>
        <v>%</v>
      </c>
      <c r="G1005" s="34">
        <f>'Hao phí vật tư'!$I$1006</f>
        <v>2</v>
      </c>
      <c r="H1005" s="166">
        <f>'Máy thi công'!$N$398</f>
        <v>0</v>
      </c>
      <c r="I1005" s="37">
        <v>1</v>
      </c>
      <c r="J1005" s="166">
        <f>ROUND((J1004)*G1005*I1005/100,0)</f>
        <v>75539</v>
      </c>
    </row>
    <row r="1006" spans="1:10" ht="28.5" x14ac:dyDescent="0.25">
      <c r="A1006" s="65">
        <f>'Công trình'!$A$131</f>
        <v>101</v>
      </c>
      <c r="B1006" s="14" t="str">
        <f>'Công trình'!$B$131</f>
        <v>AC.22112</v>
      </c>
      <c r="C1006" s="94"/>
      <c r="D1006" s="31"/>
      <c r="E1006" s="14" t="str">
        <f>'Công trình'!$C$131</f>
        <v>Đóng cừ Larsen IV trên mặt đất chiều dài cọc &lt;=12m đất cấp II, ngập đất 15,5m</v>
      </c>
      <c r="F1006" s="46" t="str">
        <f>'Công trình'!$D$131</f>
        <v>100m</v>
      </c>
      <c r="G1006" s="94"/>
      <c r="H1006" s="54"/>
      <c r="I1006" s="98"/>
      <c r="J1006" s="54"/>
    </row>
    <row r="1007" spans="1:10" x14ac:dyDescent="0.25">
      <c r="A1007" s="56"/>
      <c r="B1007" s="23"/>
      <c r="C1007" s="88"/>
      <c r="D1007" s="23"/>
      <c r="E1007" s="23" t="s">
        <v>479</v>
      </c>
      <c r="F1007" s="56"/>
      <c r="G1007" s="88"/>
      <c r="H1007" s="48"/>
      <c r="I1007" s="90"/>
      <c r="J1007" s="48">
        <f>ROUND(SUM(J1008:J1009),0)</f>
        <v>0</v>
      </c>
    </row>
    <row r="1008" spans="1:10" x14ac:dyDescent="0.25">
      <c r="A1008" s="168"/>
      <c r="B1008" s="144"/>
      <c r="C1008" s="34">
        <v>435</v>
      </c>
      <c r="D1008" s="144" t="str">
        <f>'Vật liệu'!$B$134</f>
        <v>V08282</v>
      </c>
      <c r="E1008" s="144" t="str">
        <f>" - " &amp; 'Vật liệu'!$D$134</f>
        <v xml:space="preserve"> - Cừ Larsen IV</v>
      </c>
      <c r="F1008" s="168" t="str">
        <f>'Vật liệu'!$E$134</f>
        <v>m</v>
      </c>
      <c r="G1008" s="34">
        <f>'Hao phí vật tư'!$G$1009</f>
        <v>0</v>
      </c>
      <c r="H1008" s="68">
        <f>'Vật liệu'!$W$134</f>
        <v>1162133</v>
      </c>
      <c r="I1008" s="37">
        <v>1</v>
      </c>
      <c r="J1008" s="166">
        <f>ROUND(G1008*H1008*I1008,0)</f>
        <v>0</v>
      </c>
    </row>
    <row r="1009" spans="1:10" x14ac:dyDescent="0.25">
      <c r="A1009" s="168"/>
      <c r="B1009" s="144"/>
      <c r="C1009" s="34">
        <v>251</v>
      </c>
      <c r="D1009" s="144" t="str">
        <f>'Vật liệu'!$B$766</f>
        <v>V00750</v>
      </c>
      <c r="E1009" s="144" t="str">
        <f>" - " &amp; 'Vật liệu'!$D$766</f>
        <v xml:space="preserve"> - Vật liệu khác</v>
      </c>
      <c r="F1009" s="168" t="str">
        <f>'Vật liệu'!$E$766</f>
        <v>%</v>
      </c>
      <c r="G1009" s="34">
        <f>'Hao phí vật tư'!$G$1010</f>
        <v>0.5</v>
      </c>
      <c r="H1009" s="166">
        <f>'Vật liệu'!$W$766</f>
        <v>0</v>
      </c>
      <c r="I1009" s="37">
        <v>1</v>
      </c>
      <c r="J1009" s="166">
        <f>ROUND((J1008)*G1009*I1009/100,0)</f>
        <v>0</v>
      </c>
    </row>
    <row r="1010" spans="1:10" x14ac:dyDescent="0.25">
      <c r="A1010" s="56"/>
      <c r="B1010" s="23"/>
      <c r="C1010" s="88"/>
      <c r="D1010" s="23"/>
      <c r="E1010" s="23" t="s">
        <v>202</v>
      </c>
      <c r="F1010" s="56"/>
      <c r="G1010" s="88"/>
      <c r="H1010" s="48"/>
      <c r="I1010" s="90"/>
      <c r="J1010" s="48">
        <f>ROUND(SUM(J1011:J1011),0)</f>
        <v>3153700</v>
      </c>
    </row>
    <row r="1011" spans="1:10" x14ac:dyDescent="0.25">
      <c r="A1011" s="168"/>
      <c r="B1011" s="144"/>
      <c r="C1011" s="34">
        <v>555</v>
      </c>
      <c r="D1011" s="144" t="str">
        <f>'Nhân công'!$B$185</f>
        <v>N0020</v>
      </c>
      <c r="E1011" s="144" t="s">
        <v>625</v>
      </c>
      <c r="F1011" s="168" t="str">
        <f>'Nhân công'!$G$185</f>
        <v>công</v>
      </c>
      <c r="G1011" s="34">
        <f>'Hao phí vật tư'!$H$1012</f>
        <v>12.2</v>
      </c>
      <c r="H1011" s="68">
        <f>'Nhân công'!$M$185</f>
        <v>258500</v>
      </c>
      <c r="I1011" s="37">
        <v>1</v>
      </c>
      <c r="J1011" s="166">
        <f>ROUND(G1011*H1011*I1011,0)</f>
        <v>3153700</v>
      </c>
    </row>
    <row r="1012" spans="1:10" x14ac:dyDescent="0.25">
      <c r="A1012" s="56"/>
      <c r="B1012" s="23"/>
      <c r="C1012" s="88"/>
      <c r="D1012" s="23"/>
      <c r="E1012" s="23" t="s">
        <v>378</v>
      </c>
      <c r="F1012" s="56"/>
      <c r="G1012" s="88"/>
      <c r="H1012" s="48"/>
      <c r="I1012" s="90"/>
      <c r="J1012" s="48">
        <f>ROUND(SUM(J1013:J1014),0)</f>
        <v>12469104</v>
      </c>
    </row>
    <row r="1013" spans="1:10" ht="30" x14ac:dyDescent="0.25">
      <c r="A1013" s="168"/>
      <c r="B1013" s="144"/>
      <c r="C1013" s="34">
        <v>719</v>
      </c>
      <c r="D1013" s="144" t="str">
        <f>'Máy thi công'!$B$98</f>
        <v>M9444</v>
      </c>
      <c r="E1013" s="144" t="str">
        <f>" - " &amp; 'Máy thi công'!$D$98</f>
        <v xml:space="preserve"> - Búa diezel tự hành, bánh xích - trọng lượng đầu búa: 1,8 t</v>
      </c>
      <c r="F1013" s="168" t="str">
        <f>'Máy thi công'!$E$98</f>
        <v>ca</v>
      </c>
      <c r="G1013" s="34">
        <f>'Hao phí vật tư'!$I$1014</f>
        <v>4.09</v>
      </c>
      <c r="H1013" s="68">
        <f>'Máy thi công'!$N$98</f>
        <v>2959884</v>
      </c>
      <c r="I1013" s="37">
        <v>1</v>
      </c>
      <c r="J1013" s="166">
        <f>ROUND(G1013*H1013*I1013,0)</f>
        <v>12105926</v>
      </c>
    </row>
    <row r="1014" spans="1:10" x14ac:dyDescent="0.25">
      <c r="A1014" s="168"/>
      <c r="B1014" s="144"/>
      <c r="C1014" s="34">
        <v>607</v>
      </c>
      <c r="D1014" s="144" t="str">
        <f>'Máy thi công'!$B$398</f>
        <v>M0111</v>
      </c>
      <c r="E1014" s="144" t="str">
        <f>" - " &amp; 'Máy thi công'!$D$398</f>
        <v xml:space="preserve"> - Máy khác</v>
      </c>
      <c r="F1014" s="168" t="str">
        <f>'Máy thi công'!$E$398</f>
        <v>%</v>
      </c>
      <c r="G1014" s="34">
        <f>'Hao phí vật tư'!$I$1015</f>
        <v>3</v>
      </c>
      <c r="H1014" s="166">
        <f>'Máy thi công'!$N$398</f>
        <v>0</v>
      </c>
      <c r="I1014" s="37">
        <v>1</v>
      </c>
      <c r="J1014" s="166">
        <f>ROUND((J1013)*G1014*I1014/100,0)</f>
        <v>363178</v>
      </c>
    </row>
    <row r="1015" spans="1:10" ht="42.75" x14ac:dyDescent="0.25">
      <c r="A1015" s="65">
        <f>'Công trình'!$A$132</f>
        <v>102</v>
      </c>
      <c r="B1015" s="14" t="str">
        <f>'Công trình'!$B$132</f>
        <v>AC.22112</v>
      </c>
      <c r="C1015" s="94"/>
      <c r="D1015" s="31"/>
      <c r="E1015" s="14" t="str">
        <f>'Công trình'!$C$132</f>
        <v>Đóng cừ Larsen IV trên mặt đất chiều dài cọc &lt;=12m đất cấp II, không ngập đất (NC, MTC * 0,75)</v>
      </c>
      <c r="F1015" s="46" t="str">
        <f>'Công trình'!$D$132</f>
        <v>100m</v>
      </c>
      <c r="G1015" s="94"/>
      <c r="H1015" s="54"/>
      <c r="I1015" s="98"/>
      <c r="J1015" s="54"/>
    </row>
    <row r="1016" spans="1:10" x14ac:dyDescent="0.25">
      <c r="A1016" s="56"/>
      <c r="B1016" s="23"/>
      <c r="C1016" s="88"/>
      <c r="D1016" s="23"/>
      <c r="E1016" s="23" t="s">
        <v>479</v>
      </c>
      <c r="F1016" s="56"/>
      <c r="G1016" s="88"/>
      <c r="H1016" s="48"/>
      <c r="I1016" s="90"/>
      <c r="J1016" s="48">
        <f>ROUND(SUM(J1017:J1018),0)</f>
        <v>0</v>
      </c>
    </row>
    <row r="1017" spans="1:10" x14ac:dyDescent="0.25">
      <c r="A1017" s="168"/>
      <c r="B1017" s="144"/>
      <c r="C1017" s="34">
        <v>435</v>
      </c>
      <c r="D1017" s="144" t="str">
        <f>'Vật liệu'!$B$134</f>
        <v>V08282</v>
      </c>
      <c r="E1017" s="144" t="str">
        <f>" - " &amp; 'Vật liệu'!$D$134</f>
        <v xml:space="preserve"> - Cừ Larsen IV</v>
      </c>
      <c r="F1017" s="168" t="str">
        <f>'Vật liệu'!$E$134</f>
        <v>m</v>
      </c>
      <c r="G1017" s="34">
        <f>'Hao phí vật tư'!$G$1018</f>
        <v>0</v>
      </c>
      <c r="H1017" s="68">
        <f>'Vật liệu'!$W$134</f>
        <v>1162133</v>
      </c>
      <c r="I1017" s="37">
        <v>1</v>
      </c>
      <c r="J1017" s="166">
        <f>ROUND(G1017*H1017*I1017,0)</f>
        <v>0</v>
      </c>
    </row>
    <row r="1018" spans="1:10" x14ac:dyDescent="0.25">
      <c r="A1018" s="168"/>
      <c r="B1018" s="144"/>
      <c r="C1018" s="34">
        <v>252</v>
      </c>
      <c r="D1018" s="144" t="str">
        <f>'Vật liệu'!$B$766</f>
        <v>V00750</v>
      </c>
      <c r="E1018" s="144" t="str">
        <f>" - " &amp; 'Vật liệu'!$D$766</f>
        <v xml:space="preserve"> - Vật liệu khác</v>
      </c>
      <c r="F1018" s="168" t="str">
        <f>'Vật liệu'!$E$766</f>
        <v>%</v>
      </c>
      <c r="G1018" s="34">
        <f>'Hao phí vật tư'!$G$1019</f>
        <v>0.5</v>
      </c>
      <c r="H1018" s="166">
        <f>'Vật liệu'!$W$766</f>
        <v>0</v>
      </c>
      <c r="I1018" s="37">
        <v>1</v>
      </c>
      <c r="J1018" s="166">
        <f>ROUND((J1017)*G1018*I1018/100,0)</f>
        <v>0</v>
      </c>
    </row>
    <row r="1019" spans="1:10" x14ac:dyDescent="0.25">
      <c r="A1019" s="56"/>
      <c r="B1019" s="23"/>
      <c r="C1019" s="88"/>
      <c r="D1019" s="23"/>
      <c r="E1019" s="23" t="s">
        <v>202</v>
      </c>
      <c r="F1019" s="56"/>
      <c r="G1019" s="88"/>
      <c r="H1019" s="48"/>
      <c r="I1019" s="90"/>
      <c r="J1019" s="48">
        <f>ROUND(SUM(J1020:J1020),0)</f>
        <v>2365275</v>
      </c>
    </row>
    <row r="1020" spans="1:10" x14ac:dyDescent="0.25">
      <c r="A1020" s="168"/>
      <c r="B1020" s="144"/>
      <c r="C1020" s="34">
        <v>555</v>
      </c>
      <c r="D1020" s="144" t="str">
        <f>'Nhân công'!$B$185</f>
        <v>N0020</v>
      </c>
      <c r="E1020" s="144" t="s">
        <v>625</v>
      </c>
      <c r="F1020" s="168" t="str">
        <f>'Nhân công'!$G$185</f>
        <v>công</v>
      </c>
      <c r="G1020" s="34">
        <f>'Hao phí vật tư'!$H$1021</f>
        <v>9.15</v>
      </c>
      <c r="H1020" s="68">
        <f>'Nhân công'!$M$185</f>
        <v>258500</v>
      </c>
      <c r="I1020" s="37">
        <v>1</v>
      </c>
      <c r="J1020" s="166">
        <f>ROUND(G1020*H1020*I1020,0)</f>
        <v>2365275</v>
      </c>
    </row>
    <row r="1021" spans="1:10" x14ac:dyDescent="0.25">
      <c r="A1021" s="56"/>
      <c r="B1021" s="23"/>
      <c r="C1021" s="88"/>
      <c r="D1021" s="23"/>
      <c r="E1021" s="23" t="s">
        <v>378</v>
      </c>
      <c r="F1021" s="56"/>
      <c r="G1021" s="88"/>
      <c r="H1021" s="48"/>
      <c r="I1021" s="90"/>
      <c r="J1021" s="48">
        <f>ROUND(SUM(J1022:J1023),0)</f>
        <v>9351827</v>
      </c>
    </row>
    <row r="1022" spans="1:10" ht="30" x14ac:dyDescent="0.25">
      <c r="A1022" s="168"/>
      <c r="B1022" s="144"/>
      <c r="C1022" s="34">
        <v>719</v>
      </c>
      <c r="D1022" s="144" t="str">
        <f>'Máy thi công'!$B$98</f>
        <v>M9444</v>
      </c>
      <c r="E1022" s="144" t="str">
        <f>" - " &amp; 'Máy thi công'!$D$98</f>
        <v xml:space="preserve"> - Búa diezel tự hành, bánh xích - trọng lượng đầu búa: 1,8 t</v>
      </c>
      <c r="F1022" s="168" t="str">
        <f>'Máy thi công'!$E$98</f>
        <v>ca</v>
      </c>
      <c r="G1022" s="34">
        <f>'Hao phí vật tư'!$I$1023</f>
        <v>3.0674999999999999</v>
      </c>
      <c r="H1022" s="68">
        <f>'Máy thi công'!$N$98</f>
        <v>2959884</v>
      </c>
      <c r="I1022" s="37">
        <v>1</v>
      </c>
      <c r="J1022" s="166">
        <f>ROUND(G1022*H1022*I1022,0)</f>
        <v>9079444</v>
      </c>
    </row>
    <row r="1023" spans="1:10" x14ac:dyDescent="0.25">
      <c r="A1023" s="168"/>
      <c r="B1023" s="144"/>
      <c r="C1023" s="34">
        <v>608</v>
      </c>
      <c r="D1023" s="144" t="str">
        <f>'Máy thi công'!$B$398</f>
        <v>M0111</v>
      </c>
      <c r="E1023" s="144" t="str">
        <f>" - " &amp; 'Máy thi công'!$D$398</f>
        <v xml:space="preserve"> - Máy khác</v>
      </c>
      <c r="F1023" s="168" t="str">
        <f>'Máy thi công'!$E$398</f>
        <v>%</v>
      </c>
      <c r="G1023" s="34">
        <f>'Hao phí vật tư'!$I$1024</f>
        <v>3</v>
      </c>
      <c r="H1023" s="166">
        <f>'Máy thi công'!$N$398</f>
        <v>0</v>
      </c>
      <c r="I1023" s="37">
        <v>1</v>
      </c>
      <c r="J1023" s="166">
        <f>ROUND((J1022)*G1023*I1023/100,0)</f>
        <v>272383</v>
      </c>
    </row>
    <row r="1024" spans="1:10" ht="28.5" x14ac:dyDescent="0.25">
      <c r="A1024" s="65">
        <f>'Công trình'!$A$133</f>
        <v>103</v>
      </c>
      <c r="B1024" s="14" t="str">
        <f>'Công trình'!$B$133</f>
        <v>TT</v>
      </c>
      <c r="C1024" s="94"/>
      <c r="D1024" s="31"/>
      <c r="E1024" s="14" t="str">
        <f>'Công trình'!$C$133</f>
        <v>Khấu hao cừ Larsen (Thi công trong vòng 3 tháng và 1 lần đóng nhổ)</v>
      </c>
      <c r="F1024" s="46" t="str">
        <f>'Công trình'!$D$133</f>
        <v>100m</v>
      </c>
      <c r="G1024" s="94"/>
      <c r="H1024" s="54"/>
      <c r="I1024" s="98"/>
      <c r="J1024" s="54"/>
    </row>
    <row r="1025" spans="1:10" x14ac:dyDescent="0.25">
      <c r="A1025" s="56"/>
      <c r="B1025" s="23"/>
      <c r="C1025" s="88"/>
      <c r="D1025" s="23"/>
      <c r="E1025" s="23" t="s">
        <v>479</v>
      </c>
      <c r="F1025" s="56"/>
      <c r="G1025" s="88"/>
      <c r="H1025" s="48"/>
      <c r="I1025" s="90"/>
      <c r="J1025" s="48">
        <f>ROUND(SUM(J1026:J1027),0)</f>
        <v>116794367</v>
      </c>
    </row>
    <row r="1026" spans="1:10" x14ac:dyDescent="0.25">
      <c r="A1026" s="168"/>
      <c r="B1026" s="144"/>
      <c r="C1026" s="34">
        <v>435</v>
      </c>
      <c r="D1026" s="144" t="str">
        <f>'Vật liệu'!$B$134</f>
        <v>V08282</v>
      </c>
      <c r="E1026" s="144" t="str">
        <f>" - " &amp; 'Vật liệu'!$D$134</f>
        <v xml:space="preserve"> - Cừ Larsen IV</v>
      </c>
      <c r="F1026" s="168" t="str">
        <f>'Vật liệu'!$E$134</f>
        <v>m</v>
      </c>
      <c r="G1026" s="34">
        <f>'Hao phí vật tư'!$G$1027</f>
        <v>100</v>
      </c>
      <c r="H1026" s="68">
        <f>'Vật liệu'!$W$134</f>
        <v>1162133</v>
      </c>
      <c r="I1026" s="37">
        <v>1</v>
      </c>
      <c r="J1026" s="166">
        <f>ROUND(G1026*H1026*I1026,0)</f>
        <v>116213300</v>
      </c>
    </row>
    <row r="1027" spans="1:10" x14ac:dyDescent="0.25">
      <c r="A1027" s="168"/>
      <c r="B1027" s="144"/>
      <c r="C1027" s="34">
        <v>253</v>
      </c>
      <c r="D1027" s="144" t="str">
        <f>'Vật liệu'!$B$766</f>
        <v>V00750</v>
      </c>
      <c r="E1027" s="144" t="str">
        <f>" - " &amp; 'Vật liệu'!$D$766</f>
        <v xml:space="preserve"> - Vật liệu khác</v>
      </c>
      <c r="F1027" s="168" t="str">
        <f>'Vật liệu'!$E$766</f>
        <v>%</v>
      </c>
      <c r="G1027" s="34">
        <f>'Hao phí vật tư'!$G$1028</f>
        <v>0.5</v>
      </c>
      <c r="H1027" s="166">
        <f>'Vật liệu'!$W$766</f>
        <v>0</v>
      </c>
      <c r="I1027" s="37">
        <v>1</v>
      </c>
      <c r="J1027" s="166">
        <f>ROUND((J1026)*G1027*I1027/100,0)</f>
        <v>581067</v>
      </c>
    </row>
    <row r="1028" spans="1:10" ht="28.5" x14ac:dyDescent="0.25">
      <c r="A1028" s="65">
        <f>'Công trình'!$A$135</f>
        <v>104</v>
      </c>
      <c r="B1028" s="14" t="str">
        <f>'Công trình'!$B$135</f>
        <v>AC.23210</v>
      </c>
      <c r="C1028" s="94"/>
      <c r="D1028" s="31"/>
      <c r="E1028" s="14" t="str">
        <f>'Công trình'!$C$135</f>
        <v>Nhổ cọc cừ Larsen 3, larsen 4 trên cạn bằng búa rung, cần cẩu 25T</v>
      </c>
      <c r="F1028" s="46" t="str">
        <f>'Công trình'!$D$135</f>
        <v>100m</v>
      </c>
      <c r="G1028" s="94"/>
      <c r="H1028" s="54"/>
      <c r="I1028" s="98"/>
      <c r="J1028" s="54"/>
    </row>
    <row r="1029" spans="1:10" x14ac:dyDescent="0.25">
      <c r="A1029" s="56"/>
      <c r="B1029" s="23"/>
      <c r="C1029" s="88"/>
      <c r="D1029" s="23"/>
      <c r="E1029" s="23" t="s">
        <v>202</v>
      </c>
      <c r="F1029" s="56"/>
      <c r="G1029" s="88"/>
      <c r="H1029" s="48"/>
      <c r="I1029" s="90"/>
      <c r="J1029" s="48">
        <f>ROUND(SUM(J1030:J1030),0)</f>
        <v>1848275</v>
      </c>
    </row>
    <row r="1030" spans="1:10" x14ac:dyDescent="0.25">
      <c r="A1030" s="168"/>
      <c r="B1030" s="144"/>
      <c r="C1030" s="34">
        <v>555</v>
      </c>
      <c r="D1030" s="144" t="str">
        <f>'Nhân công'!$B$185</f>
        <v>N0020</v>
      </c>
      <c r="E1030" s="144" t="s">
        <v>625</v>
      </c>
      <c r="F1030" s="168" t="str">
        <f>'Nhân công'!$G$185</f>
        <v>công</v>
      </c>
      <c r="G1030" s="34">
        <f>'Hao phí vật tư'!$H$1031</f>
        <v>7.15</v>
      </c>
      <c r="H1030" s="68">
        <f>'Nhân công'!$M$185</f>
        <v>258500</v>
      </c>
      <c r="I1030" s="37">
        <v>1</v>
      </c>
      <c r="J1030" s="166">
        <f>ROUND(G1030*H1030*I1030,0)</f>
        <v>1848275</v>
      </c>
    </row>
    <row r="1031" spans="1:10" x14ac:dyDescent="0.25">
      <c r="A1031" s="56"/>
      <c r="B1031" s="23"/>
      <c r="C1031" s="88"/>
      <c r="D1031" s="23"/>
      <c r="E1031" s="23" t="s">
        <v>378</v>
      </c>
      <c r="F1031" s="56"/>
      <c r="G1031" s="88"/>
      <c r="H1031" s="48"/>
      <c r="I1031" s="90"/>
      <c r="J1031" s="48">
        <f>ROUND(SUM(J1032:J1034),0)</f>
        <v>9384220</v>
      </c>
    </row>
    <row r="1032" spans="1:10" x14ac:dyDescent="0.25">
      <c r="A1032" s="168"/>
      <c r="B1032" s="144"/>
      <c r="C1032" s="34">
        <v>729</v>
      </c>
      <c r="D1032" s="144" t="str">
        <f>'Máy thi công'!$B$135</f>
        <v>M9469</v>
      </c>
      <c r="E1032" s="144" t="str">
        <f>" - " &amp; 'Máy thi công'!$D$135</f>
        <v xml:space="preserve"> - Cần trục bánh xích - sức nâng: 25 t</v>
      </c>
      <c r="F1032" s="168" t="str">
        <f>'Máy thi công'!$E$135</f>
        <v>ca</v>
      </c>
      <c r="G1032" s="34">
        <f>'Hao phí vật tư'!$I$1033</f>
        <v>2.2000000000000002</v>
      </c>
      <c r="H1032" s="68">
        <f>'Máy thi công'!$N$135</f>
        <v>2839829</v>
      </c>
      <c r="I1032" s="37">
        <v>1</v>
      </c>
      <c r="J1032" s="166">
        <f>ROUND(G1032*H1032*I1032,0)</f>
        <v>6247624</v>
      </c>
    </row>
    <row r="1033" spans="1:10" x14ac:dyDescent="0.25">
      <c r="A1033" s="168"/>
      <c r="B1033" s="144"/>
      <c r="C1033" s="34">
        <v>720</v>
      </c>
      <c r="D1033" s="144" t="str">
        <f>'Máy thi công'!$B$105</f>
        <v>M9446</v>
      </c>
      <c r="E1033" s="144" t="str">
        <f>" - " &amp; 'Máy thi công'!$D$105</f>
        <v xml:space="preserve"> - Búa rung - công suất: 170 kW</v>
      </c>
      <c r="F1033" s="168" t="str">
        <f>'Máy thi công'!$E$105</f>
        <v>ca</v>
      </c>
      <c r="G1033" s="34">
        <f>'Hao phí vật tư'!$I$1034</f>
        <v>2.23</v>
      </c>
      <c r="H1033" s="68">
        <f>'Máy thi công'!$N$105</f>
        <v>1283977</v>
      </c>
      <c r="I1033" s="37">
        <v>1</v>
      </c>
      <c r="J1033" s="166">
        <f>ROUND(G1033*H1033*I1033,0)</f>
        <v>2863269</v>
      </c>
    </row>
    <row r="1034" spans="1:10" x14ac:dyDescent="0.25">
      <c r="A1034" s="168"/>
      <c r="B1034" s="144"/>
      <c r="C1034" s="34">
        <v>683</v>
      </c>
      <c r="D1034" s="144" t="str">
        <f>'Máy thi công'!$B$398</f>
        <v>M0111</v>
      </c>
      <c r="E1034" s="144" t="str">
        <f>" - " &amp; 'Máy thi công'!$D$398</f>
        <v xml:space="preserve"> - Máy khác</v>
      </c>
      <c r="F1034" s="168" t="str">
        <f>'Máy thi công'!$E$398</f>
        <v>%</v>
      </c>
      <c r="G1034" s="34">
        <f>'Hao phí vật tư'!$I$1035</f>
        <v>3</v>
      </c>
      <c r="H1034" s="166">
        <f>'Máy thi công'!$N$398</f>
        <v>0</v>
      </c>
      <c r="I1034" s="37">
        <v>1</v>
      </c>
      <c r="J1034" s="166">
        <f>ROUND((J1032+J1033)*G1034*I1034/100,0)</f>
        <v>273327</v>
      </c>
    </row>
    <row r="1035" spans="1:10" x14ac:dyDescent="0.25">
      <c r="A1035" s="65">
        <f>'Công trình'!$A$136</f>
        <v>105</v>
      </c>
      <c r="B1035" s="14" t="str">
        <f>'Công trình'!$B$136</f>
        <v>AI.11912</v>
      </c>
      <c r="C1035" s="94"/>
      <c r="D1035" s="31"/>
      <c r="E1035" s="14" t="str">
        <f>'Công trình'!$C$136</f>
        <v>Sản xuất hệ sàn đạo, sàn thao tác</v>
      </c>
      <c r="F1035" s="46" t="str">
        <f>'Công trình'!$D$136</f>
        <v>tấn</v>
      </c>
      <c r="G1035" s="94"/>
      <c r="H1035" s="54"/>
      <c r="I1035" s="98"/>
      <c r="J1035" s="54"/>
    </row>
    <row r="1036" spans="1:10" x14ac:dyDescent="0.25">
      <c r="A1036" s="56"/>
      <c r="B1036" s="23"/>
      <c r="C1036" s="88"/>
      <c r="D1036" s="23"/>
      <c r="E1036" s="23" t="s">
        <v>479</v>
      </c>
      <c r="F1036" s="56"/>
      <c r="G1036" s="88"/>
      <c r="H1036" s="48"/>
      <c r="I1036" s="90"/>
      <c r="J1036" s="48">
        <f>ROUND(SUM(J1037:J1042),0)</f>
        <v>766340</v>
      </c>
    </row>
    <row r="1037" spans="1:10" x14ac:dyDescent="0.25">
      <c r="A1037" s="168"/>
      <c r="B1037" s="144"/>
      <c r="C1037" s="34">
        <v>400</v>
      </c>
      <c r="D1037" s="144" t="str">
        <f>'Vật liệu'!$B$401</f>
        <v>V00770</v>
      </c>
      <c r="E1037" s="144" t="str">
        <f>" - " &amp; 'Vật liệu'!$D$401</f>
        <v xml:space="preserve"> - Ô xy</v>
      </c>
      <c r="F1037" s="168" t="str">
        <f>'Vật liệu'!$E$401</f>
        <v>Chai</v>
      </c>
      <c r="G1037" s="34">
        <f>'Hao phí vật tư'!$G$1038</f>
        <v>2.1</v>
      </c>
      <c r="H1037" s="68">
        <f>'Vật liệu'!$W$401</f>
        <v>72000</v>
      </c>
      <c r="I1037" s="37">
        <v>1</v>
      </c>
      <c r="J1037" s="166">
        <f>ROUND(G1037*H1037*I1037,0)</f>
        <v>151200</v>
      </c>
    </row>
    <row r="1038" spans="1:10" x14ac:dyDescent="0.25">
      <c r="A1038" s="168"/>
      <c r="B1038" s="144"/>
      <c r="C1038" s="34">
        <v>411</v>
      </c>
      <c r="D1038" s="144" t="str">
        <f>'Vật liệu'!$B$200</f>
        <v>V00833</v>
      </c>
      <c r="E1038" s="144" t="str">
        <f>" - " &amp; 'Vật liệu'!$D$200</f>
        <v xml:space="preserve"> - Đất đèn</v>
      </c>
      <c r="F1038" s="168" t="str">
        <f>'Vật liệu'!$E$200</f>
        <v>kg</v>
      </c>
      <c r="G1038" s="34">
        <f>'Hao phí vật tư'!$G$1039</f>
        <v>8.4</v>
      </c>
      <c r="H1038" s="68">
        <f>'Vật liệu'!$W$200</f>
        <v>14000</v>
      </c>
      <c r="I1038" s="37">
        <v>1</v>
      </c>
      <c r="J1038" s="166">
        <f>ROUND(G1038*H1038*I1038,0)</f>
        <v>117600</v>
      </c>
    </row>
    <row r="1039" spans="1:10" x14ac:dyDescent="0.25">
      <c r="A1039" s="168"/>
      <c r="B1039" s="144"/>
      <c r="C1039" s="34">
        <v>160</v>
      </c>
      <c r="D1039" s="144" t="str">
        <f>'Vật liệu'!$B$556</f>
        <v>V00641</v>
      </c>
      <c r="E1039" s="144" t="str">
        <f>" - " &amp; 'Vật liệu'!$D$556</f>
        <v xml:space="preserve"> - Thép hình</v>
      </c>
      <c r="F1039" s="168" t="str">
        <f>'Vật liệu'!$E$556</f>
        <v>kg</v>
      </c>
      <c r="G1039" s="34">
        <f>'Hao phí vật tư'!$G$1040</f>
        <v>0</v>
      </c>
      <c r="H1039" s="68">
        <f>'Vật liệu'!$W$556</f>
        <v>15291</v>
      </c>
      <c r="I1039" s="37">
        <v>1</v>
      </c>
      <c r="J1039" s="166">
        <f>ROUND(G1039*H1039*I1039,0)</f>
        <v>0</v>
      </c>
    </row>
    <row r="1040" spans="1:10" x14ac:dyDescent="0.25">
      <c r="A1040" s="168"/>
      <c r="B1040" s="144"/>
      <c r="C1040" s="34">
        <v>166</v>
      </c>
      <c r="D1040" s="144" t="str">
        <f>'Vật liệu'!$B$606</f>
        <v>V00671</v>
      </c>
      <c r="E1040" s="144" t="str">
        <f>" - " &amp; 'Vật liệu'!$D$606</f>
        <v xml:space="preserve"> - Thép tấm</v>
      </c>
      <c r="F1040" s="168" t="str">
        <f>'Vật liệu'!$E$606</f>
        <v>kg</v>
      </c>
      <c r="G1040" s="34">
        <f>'Hao phí vật tư'!$G$1041</f>
        <v>0</v>
      </c>
      <c r="H1040" s="68">
        <f>'Vật liệu'!$W$606</f>
        <v>12574</v>
      </c>
      <c r="I1040" s="37">
        <v>1</v>
      </c>
      <c r="J1040" s="166">
        <f>ROUND(G1040*H1040*I1040,0)</f>
        <v>0</v>
      </c>
    </row>
    <row r="1041" spans="1:10" x14ac:dyDescent="0.25">
      <c r="A1041" s="168"/>
      <c r="B1041" s="144"/>
      <c r="C1041" s="34">
        <v>154</v>
      </c>
      <c r="D1041" s="144" t="str">
        <f>'Vật liệu'!$B$450</f>
        <v>V00515</v>
      </c>
      <c r="E1041" s="144" t="str">
        <f>" - " &amp; 'Vật liệu'!$D$450</f>
        <v xml:space="preserve"> - Que hàn</v>
      </c>
      <c r="F1041" s="168" t="str">
        <f>'Vật liệu'!$E$450</f>
        <v>kg</v>
      </c>
      <c r="G1041" s="34">
        <f>'Hao phí vật tư'!$G$1042</f>
        <v>24.15</v>
      </c>
      <c r="H1041" s="68">
        <f>'Vật liệu'!$W$450</f>
        <v>19091</v>
      </c>
      <c r="I1041" s="37">
        <v>1</v>
      </c>
      <c r="J1041" s="166">
        <f>ROUND(G1041*H1041*I1041,0)</f>
        <v>461048</v>
      </c>
    </row>
    <row r="1042" spans="1:10" x14ac:dyDescent="0.25">
      <c r="A1042" s="168"/>
      <c r="B1042" s="144"/>
      <c r="C1042" s="34">
        <v>254</v>
      </c>
      <c r="D1042" s="144" t="str">
        <f>'Vật liệu'!$B$766</f>
        <v>V00750</v>
      </c>
      <c r="E1042" s="144" t="str">
        <f>" - " &amp; 'Vật liệu'!$D$766</f>
        <v xml:space="preserve"> - Vật liệu khác</v>
      </c>
      <c r="F1042" s="168" t="str">
        <f>'Vật liệu'!$E$766</f>
        <v>%</v>
      </c>
      <c r="G1042" s="34">
        <f>'Hao phí vật tư'!$G$1043</f>
        <v>5</v>
      </c>
      <c r="H1042" s="166">
        <f>'Vật liệu'!$W$766</f>
        <v>0</v>
      </c>
      <c r="I1042" s="37">
        <v>1</v>
      </c>
      <c r="J1042" s="166">
        <f>ROUND((J1037+J1038+J1039+J1040+J1041)*G1042*I1042/100,0)</f>
        <v>36492</v>
      </c>
    </row>
    <row r="1043" spans="1:10" x14ac:dyDescent="0.25">
      <c r="A1043" s="56"/>
      <c r="B1043" s="23"/>
      <c r="C1043" s="88"/>
      <c r="D1043" s="23"/>
      <c r="E1043" s="23" t="s">
        <v>202</v>
      </c>
      <c r="F1043" s="56"/>
      <c r="G1043" s="88"/>
      <c r="H1043" s="48"/>
      <c r="I1043" s="90"/>
      <c r="J1043" s="48">
        <f>ROUND(SUM(J1044:J1044),0)</f>
        <v>5211175</v>
      </c>
    </row>
    <row r="1044" spans="1:10" x14ac:dyDescent="0.25">
      <c r="A1044" s="168"/>
      <c r="B1044" s="144"/>
      <c r="C1044" s="34">
        <v>550</v>
      </c>
      <c r="D1044" s="144" t="str">
        <f>'Nhân công'!$B$130</f>
        <v>N0011</v>
      </c>
      <c r="E1044" s="144" t="s">
        <v>671</v>
      </c>
      <c r="F1044" s="168" t="str">
        <f>'Nhân công'!$G$130</f>
        <v>công</v>
      </c>
      <c r="G1044" s="34">
        <f>'Hao phí vật tư'!$H$1045</f>
        <v>22.61</v>
      </c>
      <c r="H1044" s="68">
        <f>'Nhân công'!$M$130</f>
        <v>230481</v>
      </c>
      <c r="I1044" s="37">
        <v>1</v>
      </c>
      <c r="J1044" s="166">
        <f>ROUND(G1044*H1044*I1044,0)</f>
        <v>5211175</v>
      </c>
    </row>
    <row r="1045" spans="1:10" x14ac:dyDescent="0.25">
      <c r="A1045" s="56"/>
      <c r="B1045" s="23"/>
      <c r="C1045" s="88"/>
      <c r="D1045" s="23"/>
      <c r="E1045" s="23" t="s">
        <v>378</v>
      </c>
      <c r="F1045" s="56"/>
      <c r="G1045" s="88"/>
      <c r="H1045" s="48"/>
      <c r="I1045" s="90"/>
      <c r="J1045" s="48">
        <f>ROUND(SUM(J1046:J1048),0)</f>
        <v>2229025</v>
      </c>
    </row>
    <row r="1046" spans="1:10" x14ac:dyDescent="0.25">
      <c r="A1046" s="168"/>
      <c r="B1046" s="144"/>
      <c r="C1046" s="34">
        <v>733</v>
      </c>
      <c r="D1046" s="144" t="str">
        <f>'Máy thi công'!$B$148</f>
        <v>M9478</v>
      </c>
      <c r="E1046" s="144" t="str">
        <f>" - " &amp; 'Máy thi công'!$D$148</f>
        <v xml:space="preserve"> - Cần trục ô tô - sức nâng: 10 t</v>
      </c>
      <c r="F1046" s="168" t="str">
        <f>'Máy thi công'!$E$148</f>
        <v>ca</v>
      </c>
      <c r="G1046" s="34">
        <f>'Hao phí vật tư'!$I$1047</f>
        <v>0.27</v>
      </c>
      <c r="H1046" s="68">
        <f>'Máy thi công'!$N$148</f>
        <v>2160679</v>
      </c>
      <c r="I1046" s="37">
        <v>1</v>
      </c>
      <c r="J1046" s="166">
        <f>ROUND(G1046*H1046*I1046,0)</f>
        <v>583383</v>
      </c>
    </row>
    <row r="1047" spans="1:10" x14ac:dyDescent="0.25">
      <c r="A1047" s="168"/>
      <c r="B1047" s="144"/>
      <c r="C1047" s="34">
        <v>703</v>
      </c>
      <c r="D1047" s="144" t="str">
        <f>'Máy thi công'!$B$177</f>
        <v>M112.2001</v>
      </c>
      <c r="E1047" s="144" t="str">
        <f>" - " &amp; 'Máy thi công'!$D$177</f>
        <v xml:space="preserve"> - Máy cắt sắt cầm tay - công suất: 1,7 kW</v>
      </c>
      <c r="F1047" s="168" t="str">
        <f>'Máy thi công'!$E$177</f>
        <v>ca</v>
      </c>
      <c r="G1047" s="34">
        <f>'Hao phí vật tư'!$I$1048</f>
        <v>0.4</v>
      </c>
      <c r="H1047" s="68">
        <f>'Máy thi công'!$N$177</f>
        <v>226876</v>
      </c>
      <c r="I1047" s="37">
        <v>1</v>
      </c>
      <c r="J1047" s="166">
        <f>ROUND(G1047*H1047*I1047,0)</f>
        <v>90750</v>
      </c>
    </row>
    <row r="1048" spans="1:10" x14ac:dyDescent="0.25">
      <c r="A1048" s="168"/>
      <c r="B1048" s="144"/>
      <c r="C1048" s="34">
        <v>714</v>
      </c>
      <c r="D1048" s="144" t="str">
        <f>'Máy thi công'!$B$6</f>
        <v>M9438</v>
      </c>
      <c r="E1048" s="144" t="str">
        <f>" - " &amp; 'Máy thi công'!$D$6</f>
        <v xml:space="preserve"> - Biến thế hàn xoay chiều - công suất: 23 kW</v>
      </c>
      <c r="F1048" s="168" t="str">
        <f>'Máy thi công'!$E$6</f>
        <v>ca</v>
      </c>
      <c r="G1048" s="34">
        <f>'Hao phí vật tư'!$I$1049</f>
        <v>4.5999999999999996</v>
      </c>
      <c r="H1048" s="68">
        <f>'Máy thi công'!$N$6</f>
        <v>338020</v>
      </c>
      <c r="I1048" s="37">
        <v>1</v>
      </c>
      <c r="J1048" s="166">
        <f>ROUND(G1048*H1048*I1048,0)</f>
        <v>1554892</v>
      </c>
    </row>
    <row r="1049" spans="1:10" ht="28.5" x14ac:dyDescent="0.25">
      <c r="A1049" s="65">
        <f>'Công trình'!$A$137</f>
        <v>106</v>
      </c>
      <c r="B1049" s="14" t="str">
        <f>'Công trình'!$B$137</f>
        <v>TT</v>
      </c>
      <c r="C1049" s="94"/>
      <c r="D1049" s="31"/>
      <c r="E1049" s="14" t="str">
        <f>'Công trình'!$C$137</f>
        <v>Khấu hao hệ sàn đạo, sàn thao tác (Thi công trong vòng 3 tháng và 1 lần đóng nhổ)</v>
      </c>
      <c r="F1049" s="46" t="str">
        <f>'Công trình'!$D$137</f>
        <v>tấn</v>
      </c>
      <c r="G1049" s="94"/>
      <c r="H1049" s="54"/>
      <c r="I1049" s="98"/>
      <c r="J1049" s="54"/>
    </row>
    <row r="1050" spans="1:10" x14ac:dyDescent="0.25">
      <c r="A1050" s="56"/>
      <c r="B1050" s="23"/>
      <c r="C1050" s="88"/>
      <c r="D1050" s="23"/>
      <c r="E1050" s="23" t="s">
        <v>479</v>
      </c>
      <c r="F1050" s="56"/>
      <c r="G1050" s="88"/>
      <c r="H1050" s="48"/>
      <c r="I1050" s="90"/>
      <c r="J1050" s="48">
        <f>ROUND(SUM(J1051:J1056),0)</f>
        <v>15985723</v>
      </c>
    </row>
    <row r="1051" spans="1:10" x14ac:dyDescent="0.25">
      <c r="A1051" s="168"/>
      <c r="B1051" s="144"/>
      <c r="C1051" s="34">
        <v>400</v>
      </c>
      <c r="D1051" s="144" t="str">
        <f>'Vật liệu'!$B$401</f>
        <v>V00770</v>
      </c>
      <c r="E1051" s="144" t="str">
        <f>" - " &amp; 'Vật liệu'!$D$401</f>
        <v xml:space="preserve"> - Ô xy</v>
      </c>
      <c r="F1051" s="168" t="str">
        <f>'Vật liệu'!$E$401</f>
        <v>Chai</v>
      </c>
      <c r="G1051" s="34">
        <f>'Hao phí vật tư'!$G$1052</f>
        <v>0</v>
      </c>
      <c r="H1051" s="68">
        <f>'Vật liệu'!$W$401</f>
        <v>72000</v>
      </c>
      <c r="I1051" s="37">
        <v>1</v>
      </c>
      <c r="J1051" s="166">
        <f>ROUND(G1051*H1051*I1051,0)</f>
        <v>0</v>
      </c>
    </row>
    <row r="1052" spans="1:10" x14ac:dyDescent="0.25">
      <c r="A1052" s="168"/>
      <c r="B1052" s="144"/>
      <c r="C1052" s="34">
        <v>411</v>
      </c>
      <c r="D1052" s="144" t="str">
        <f>'Vật liệu'!$B$200</f>
        <v>V00833</v>
      </c>
      <c r="E1052" s="144" t="str">
        <f>" - " &amp; 'Vật liệu'!$D$200</f>
        <v xml:space="preserve"> - Đất đèn</v>
      </c>
      <c r="F1052" s="168" t="str">
        <f>'Vật liệu'!$E$200</f>
        <v>kg</v>
      </c>
      <c r="G1052" s="34">
        <f>'Hao phí vật tư'!$G$1053</f>
        <v>0</v>
      </c>
      <c r="H1052" s="68">
        <f>'Vật liệu'!$W$200</f>
        <v>14000</v>
      </c>
      <c r="I1052" s="37">
        <v>1</v>
      </c>
      <c r="J1052" s="166">
        <f>ROUND(G1052*H1052*I1052,0)</f>
        <v>0</v>
      </c>
    </row>
    <row r="1053" spans="1:10" x14ac:dyDescent="0.25">
      <c r="A1053" s="168"/>
      <c r="B1053" s="144"/>
      <c r="C1053" s="34">
        <v>160</v>
      </c>
      <c r="D1053" s="144" t="str">
        <f>'Vật liệu'!$B$556</f>
        <v>V00641</v>
      </c>
      <c r="E1053" s="144" t="str">
        <f>" - " &amp; 'Vật liệu'!$D$556</f>
        <v xml:space="preserve"> - Thép hình</v>
      </c>
      <c r="F1053" s="168" t="str">
        <f>'Vật liệu'!$E$556</f>
        <v>kg</v>
      </c>
      <c r="G1053" s="34">
        <f>'Hao phí vật tư'!$G$1054</f>
        <v>697.85</v>
      </c>
      <c r="H1053" s="68">
        <f>'Vật liệu'!$W$556</f>
        <v>15291</v>
      </c>
      <c r="I1053" s="37">
        <v>1</v>
      </c>
      <c r="J1053" s="166">
        <f>ROUND(G1053*H1053*I1053,0)</f>
        <v>10670824</v>
      </c>
    </row>
    <row r="1054" spans="1:10" x14ac:dyDescent="0.25">
      <c r="A1054" s="168"/>
      <c r="B1054" s="144"/>
      <c r="C1054" s="34">
        <v>166</v>
      </c>
      <c r="D1054" s="144" t="str">
        <f>'Vật liệu'!$B$606</f>
        <v>V00671</v>
      </c>
      <c r="E1054" s="144" t="str">
        <f>" - " &amp; 'Vật liệu'!$D$606</f>
        <v xml:space="preserve"> - Thép tấm</v>
      </c>
      <c r="F1054" s="168" t="str">
        <f>'Vật liệu'!$E$606</f>
        <v>kg</v>
      </c>
      <c r="G1054" s="34">
        <f>'Hao phí vật tư'!$G$1055</f>
        <v>362.15</v>
      </c>
      <c r="H1054" s="68">
        <f>'Vật liệu'!$W$606</f>
        <v>12574</v>
      </c>
      <c r="I1054" s="37">
        <v>1</v>
      </c>
      <c r="J1054" s="166">
        <f>ROUND(G1054*H1054*I1054,0)</f>
        <v>4553674</v>
      </c>
    </row>
    <row r="1055" spans="1:10" x14ac:dyDescent="0.25">
      <c r="A1055" s="168"/>
      <c r="B1055" s="144"/>
      <c r="C1055" s="34">
        <v>154</v>
      </c>
      <c r="D1055" s="144" t="str">
        <f>'Vật liệu'!$B$450</f>
        <v>V00515</v>
      </c>
      <c r="E1055" s="144" t="str">
        <f>" - " &amp; 'Vật liệu'!$D$450</f>
        <v xml:space="preserve"> - Que hàn</v>
      </c>
      <c r="F1055" s="168" t="str">
        <f>'Vật liệu'!$E$450</f>
        <v>kg</v>
      </c>
      <c r="G1055" s="34">
        <f>'Hao phí vật tư'!$G$1056</f>
        <v>0</v>
      </c>
      <c r="H1055" s="68">
        <f>'Vật liệu'!$W$450</f>
        <v>19091</v>
      </c>
      <c r="I1055" s="37">
        <v>1</v>
      </c>
      <c r="J1055" s="166">
        <f>ROUND(G1055*H1055*I1055,0)</f>
        <v>0</v>
      </c>
    </row>
    <row r="1056" spans="1:10" x14ac:dyDescent="0.25">
      <c r="A1056" s="168"/>
      <c r="B1056" s="144"/>
      <c r="C1056" s="34">
        <v>255</v>
      </c>
      <c r="D1056" s="144" t="str">
        <f>'Vật liệu'!$B$766</f>
        <v>V00750</v>
      </c>
      <c r="E1056" s="144" t="str">
        <f>" - " &amp; 'Vật liệu'!$D$766</f>
        <v xml:space="preserve"> - Vật liệu khác</v>
      </c>
      <c r="F1056" s="168" t="str">
        <f>'Vật liệu'!$E$766</f>
        <v>%</v>
      </c>
      <c r="G1056" s="34">
        <f>'Hao phí vật tư'!$G$1057</f>
        <v>5</v>
      </c>
      <c r="H1056" s="166">
        <f>'Vật liệu'!$W$766</f>
        <v>0</v>
      </c>
      <c r="I1056" s="37">
        <v>1</v>
      </c>
      <c r="J1056" s="166">
        <f>ROUND((J1051+J1052+J1053+J1054+J1055)*G1056*I1056/100,0)</f>
        <v>761225</v>
      </c>
    </row>
    <row r="1057" spans="1:10" ht="28.5" x14ac:dyDescent="0.25">
      <c r="A1057" s="65">
        <f>'Công trình'!$A$139</f>
        <v>107</v>
      </c>
      <c r="B1057" s="14" t="str">
        <f>'Công trình'!$B$139</f>
        <v>AI.63311</v>
      </c>
      <c r="C1057" s="94"/>
      <c r="D1057" s="31"/>
      <c r="E1057" s="14" t="str">
        <f>'Công trình'!$C$139</f>
        <v>Lắp dựng kết cấu thép hệ khung dàn, sàn đạo trên cạn</v>
      </c>
      <c r="F1057" s="46" t="str">
        <f>'Công trình'!$D$139</f>
        <v>tấn</v>
      </c>
      <c r="G1057" s="94"/>
      <c r="H1057" s="54"/>
      <c r="I1057" s="98"/>
      <c r="J1057" s="54"/>
    </row>
    <row r="1058" spans="1:10" x14ac:dyDescent="0.25">
      <c r="A1058" s="56"/>
      <c r="B1058" s="23"/>
      <c r="C1058" s="88"/>
      <c r="D1058" s="23"/>
      <c r="E1058" s="23" t="s">
        <v>479</v>
      </c>
      <c r="F1058" s="56"/>
      <c r="G1058" s="88"/>
      <c r="H1058" s="48"/>
      <c r="I1058" s="90"/>
      <c r="J1058" s="48">
        <f>ROUND(SUM(J1059:J1062),0)</f>
        <v>373772</v>
      </c>
    </row>
    <row r="1059" spans="1:10" x14ac:dyDescent="0.25">
      <c r="A1059" s="168"/>
      <c r="B1059" s="144"/>
      <c r="C1059" s="34">
        <v>154</v>
      </c>
      <c r="D1059" s="144" t="str">
        <f>'Vật liệu'!$B$450</f>
        <v>V00515</v>
      </c>
      <c r="E1059" s="144" t="str">
        <f>" - " &amp; 'Vật liệu'!$D$450</f>
        <v xml:space="preserve"> - Que hàn</v>
      </c>
      <c r="F1059" s="168" t="str">
        <f>'Vật liệu'!$E$450</f>
        <v>kg</v>
      </c>
      <c r="G1059" s="34">
        <f>'Hao phí vật tư'!$G$1060</f>
        <v>12</v>
      </c>
      <c r="H1059" s="68">
        <f>'Vật liệu'!$W$450</f>
        <v>19091</v>
      </c>
      <c r="I1059" s="37">
        <v>1</v>
      </c>
      <c r="J1059" s="166">
        <f>ROUND(G1059*H1059*I1059,0)</f>
        <v>229092</v>
      </c>
    </row>
    <row r="1060" spans="1:10" x14ac:dyDescent="0.25">
      <c r="A1060" s="168"/>
      <c r="B1060" s="144"/>
      <c r="C1060" s="34">
        <v>160</v>
      </c>
      <c r="D1060" s="144" t="str">
        <f>'Vật liệu'!$B$556</f>
        <v>V00641</v>
      </c>
      <c r="E1060" s="144" t="str">
        <f>" - " &amp; 'Vật liệu'!$D$556</f>
        <v xml:space="preserve"> - Thép hình</v>
      </c>
      <c r="F1060" s="168" t="str">
        <f>'Vật liệu'!$E$556</f>
        <v>kg</v>
      </c>
      <c r="G1060" s="34">
        <f>'Hao phí vật tư'!$G$1061</f>
        <v>0.45</v>
      </c>
      <c r="H1060" s="68">
        <f>'Vật liệu'!$W$556</f>
        <v>15291</v>
      </c>
      <c r="I1060" s="37">
        <v>1</v>
      </c>
      <c r="J1060" s="166">
        <f>ROUND(G1060*H1060*I1060,0)</f>
        <v>6881</v>
      </c>
    </row>
    <row r="1061" spans="1:10" x14ac:dyDescent="0.25">
      <c r="A1061" s="168"/>
      <c r="B1061" s="144"/>
      <c r="C1061" s="34">
        <v>122</v>
      </c>
      <c r="D1061" s="144" t="str">
        <f>'Vật liệu'!$B$20</f>
        <v>V00039</v>
      </c>
      <c r="E1061" s="144" t="str">
        <f>" - " &amp; 'Vật liệu'!$D$20</f>
        <v xml:space="preserve"> - Bu lông M20</v>
      </c>
      <c r="F1061" s="168" t="str">
        <f>'Vật liệu'!$E$20</f>
        <v>cái</v>
      </c>
      <c r="G1061" s="34">
        <f>'Hao phí vật tư'!$G$1062</f>
        <v>12</v>
      </c>
      <c r="H1061" s="68">
        <f>'Vật liệu'!$W$20</f>
        <v>10000</v>
      </c>
      <c r="I1061" s="37">
        <v>1</v>
      </c>
      <c r="J1061" s="166">
        <f>ROUND(G1061*H1061*I1061,0)</f>
        <v>120000</v>
      </c>
    </row>
    <row r="1062" spans="1:10" x14ac:dyDescent="0.25">
      <c r="A1062" s="168"/>
      <c r="B1062" s="144"/>
      <c r="C1062" s="34">
        <v>256</v>
      </c>
      <c r="D1062" s="144" t="str">
        <f>'Vật liệu'!$B$766</f>
        <v>V00750</v>
      </c>
      <c r="E1062" s="144" t="str">
        <f>" - " &amp; 'Vật liệu'!$D$766</f>
        <v xml:space="preserve"> - Vật liệu khác</v>
      </c>
      <c r="F1062" s="168" t="str">
        <f>'Vật liệu'!$E$766</f>
        <v>%</v>
      </c>
      <c r="G1062" s="34">
        <f>'Hao phí vật tư'!$G$1063</f>
        <v>5</v>
      </c>
      <c r="H1062" s="166">
        <f>'Vật liệu'!$W$766</f>
        <v>0</v>
      </c>
      <c r="I1062" s="37">
        <v>1</v>
      </c>
      <c r="J1062" s="166">
        <f>ROUND((J1059+J1060+J1061)*G1062*I1062/100,0)</f>
        <v>17799</v>
      </c>
    </row>
    <row r="1063" spans="1:10" x14ac:dyDescent="0.25">
      <c r="A1063" s="56"/>
      <c r="B1063" s="23"/>
      <c r="C1063" s="88"/>
      <c r="D1063" s="23"/>
      <c r="E1063" s="23" t="s">
        <v>202</v>
      </c>
      <c r="F1063" s="56"/>
      <c r="G1063" s="88"/>
      <c r="H1063" s="48"/>
      <c r="I1063" s="90"/>
      <c r="J1063" s="48">
        <f>ROUND(SUM(J1064:J1064),0)</f>
        <v>2189570</v>
      </c>
    </row>
    <row r="1064" spans="1:10" x14ac:dyDescent="0.25">
      <c r="A1064" s="168"/>
      <c r="B1064" s="144"/>
      <c r="C1064" s="34">
        <v>550</v>
      </c>
      <c r="D1064" s="144" t="str">
        <f>'Nhân công'!$B$130</f>
        <v>N0011</v>
      </c>
      <c r="E1064" s="144" t="s">
        <v>671</v>
      </c>
      <c r="F1064" s="168" t="str">
        <f>'Nhân công'!$G$130</f>
        <v>công</v>
      </c>
      <c r="G1064" s="34">
        <f>'Hao phí vật tư'!$H$1065</f>
        <v>9.5</v>
      </c>
      <c r="H1064" s="68">
        <f>'Nhân công'!$M$130</f>
        <v>230481</v>
      </c>
      <c r="I1064" s="37">
        <v>1</v>
      </c>
      <c r="J1064" s="166">
        <f>ROUND(G1064*H1064*I1064,0)</f>
        <v>2189570</v>
      </c>
    </row>
    <row r="1065" spans="1:10" x14ac:dyDescent="0.25">
      <c r="A1065" s="56"/>
      <c r="B1065" s="23"/>
      <c r="C1065" s="88"/>
      <c r="D1065" s="23"/>
      <c r="E1065" s="23" t="s">
        <v>378</v>
      </c>
      <c r="F1065" s="56"/>
      <c r="G1065" s="88"/>
      <c r="H1065" s="48"/>
      <c r="I1065" s="90"/>
      <c r="J1065" s="48">
        <f>ROUND(SUM(J1066:J1067),0)</f>
        <v>1660581</v>
      </c>
    </row>
    <row r="1066" spans="1:10" x14ac:dyDescent="0.25">
      <c r="A1066" s="168"/>
      <c r="B1066" s="144"/>
      <c r="C1066" s="34">
        <v>714</v>
      </c>
      <c r="D1066" s="144" t="str">
        <f>'Máy thi công'!$B$6</f>
        <v>M9438</v>
      </c>
      <c r="E1066" s="144" t="str">
        <f>" - " &amp; 'Máy thi công'!$D$6</f>
        <v xml:space="preserve"> - Biến thế hàn xoay chiều - công suất: 23 kW</v>
      </c>
      <c r="F1066" s="168" t="str">
        <f>'Máy thi công'!$E$6</f>
        <v>ca</v>
      </c>
      <c r="G1066" s="34">
        <f>'Hao phí vật tư'!$I$1067</f>
        <v>3</v>
      </c>
      <c r="H1066" s="68">
        <f>'Máy thi công'!$N$6</f>
        <v>338020</v>
      </c>
      <c r="I1066" s="37">
        <v>1</v>
      </c>
      <c r="J1066" s="166">
        <f>ROUND(G1066*H1066*I1066,0)</f>
        <v>1014060</v>
      </c>
    </row>
    <row r="1067" spans="1:10" x14ac:dyDescent="0.25">
      <c r="A1067" s="168"/>
      <c r="B1067" s="144"/>
      <c r="C1067" s="34">
        <v>728</v>
      </c>
      <c r="D1067" s="144" t="str">
        <f>'Máy thi công'!$B$120</f>
        <v>M9468</v>
      </c>
      <c r="E1067" s="144" t="str">
        <f>" - " &amp; 'Máy thi công'!$D$120</f>
        <v xml:space="preserve"> - Cần trục bánh xích - sức nâng: 16 t</v>
      </c>
      <c r="F1067" s="168" t="str">
        <f>'Máy thi công'!$E$120</f>
        <v>ca</v>
      </c>
      <c r="G1067" s="34">
        <f>'Hao phí vật tư'!$I$1068</f>
        <v>0.27</v>
      </c>
      <c r="H1067" s="68">
        <f>'Máy thi công'!$N$120</f>
        <v>2394521</v>
      </c>
      <c r="I1067" s="37">
        <v>1</v>
      </c>
      <c r="J1067" s="166">
        <f>ROUND(G1067*H1067*I1067,0)</f>
        <v>646521</v>
      </c>
    </row>
    <row r="1068" spans="1:10" ht="28.5" x14ac:dyDescent="0.25">
      <c r="A1068" s="65">
        <f>'Công trình'!$A$140</f>
        <v>108</v>
      </c>
      <c r="B1068" s="14" t="str">
        <f>'Công trình'!$B$140</f>
        <v>AI.63311</v>
      </c>
      <c r="C1068" s="94"/>
      <c r="D1068" s="31"/>
      <c r="E1068" s="14" t="str">
        <f>'Công trình'!$C$140</f>
        <v>Tháo dỡ kết cấu thép hệ khung dàn, sàn đạo trên cạn (60% Đg)</v>
      </c>
      <c r="F1068" s="46" t="str">
        <f>'Công trình'!$D$140</f>
        <v>tấn</v>
      </c>
      <c r="G1068" s="94"/>
      <c r="H1068" s="54"/>
      <c r="I1068" s="98"/>
      <c r="J1068" s="54"/>
    </row>
    <row r="1069" spans="1:10" x14ac:dyDescent="0.25">
      <c r="A1069" s="56"/>
      <c r="B1069" s="23"/>
      <c r="C1069" s="88"/>
      <c r="D1069" s="23"/>
      <c r="E1069" s="23" t="s">
        <v>479</v>
      </c>
      <c r="F1069" s="56"/>
      <c r="G1069" s="88"/>
      <c r="H1069" s="48"/>
      <c r="I1069" s="90"/>
      <c r="J1069" s="48">
        <f>ROUND(SUM(J1070:J1073),0)</f>
        <v>224263</v>
      </c>
    </row>
    <row r="1070" spans="1:10" x14ac:dyDescent="0.25">
      <c r="A1070" s="168"/>
      <c r="B1070" s="144"/>
      <c r="C1070" s="34">
        <v>154</v>
      </c>
      <c r="D1070" s="144" t="str">
        <f>'Vật liệu'!$B$450</f>
        <v>V00515</v>
      </c>
      <c r="E1070" s="144" t="str">
        <f>" - " &amp; 'Vật liệu'!$D$450</f>
        <v xml:space="preserve"> - Que hàn</v>
      </c>
      <c r="F1070" s="168" t="str">
        <f>'Vật liệu'!$E$450</f>
        <v>kg</v>
      </c>
      <c r="G1070" s="34">
        <f>'Hao phí vật tư'!$G$1071</f>
        <v>7.2</v>
      </c>
      <c r="H1070" s="68">
        <f>'Vật liệu'!$W$450</f>
        <v>19091</v>
      </c>
      <c r="I1070" s="37">
        <v>1</v>
      </c>
      <c r="J1070" s="166">
        <f>ROUND(G1070*H1070*I1070,0)</f>
        <v>137455</v>
      </c>
    </row>
    <row r="1071" spans="1:10" x14ac:dyDescent="0.25">
      <c r="A1071" s="168"/>
      <c r="B1071" s="144"/>
      <c r="C1071" s="34">
        <v>160</v>
      </c>
      <c r="D1071" s="144" t="str">
        <f>'Vật liệu'!$B$556</f>
        <v>V00641</v>
      </c>
      <c r="E1071" s="144" t="str">
        <f>" - " &amp; 'Vật liệu'!$D$556</f>
        <v xml:space="preserve"> - Thép hình</v>
      </c>
      <c r="F1071" s="168" t="str">
        <f>'Vật liệu'!$E$556</f>
        <v>kg</v>
      </c>
      <c r="G1071" s="34">
        <f>'Hao phí vật tư'!$G$1072</f>
        <v>0.27</v>
      </c>
      <c r="H1071" s="68">
        <f>'Vật liệu'!$W$556</f>
        <v>15291</v>
      </c>
      <c r="I1071" s="37">
        <v>1</v>
      </c>
      <c r="J1071" s="166">
        <f>ROUND(G1071*H1071*I1071,0)</f>
        <v>4129</v>
      </c>
    </row>
    <row r="1072" spans="1:10" x14ac:dyDescent="0.25">
      <c r="A1072" s="168"/>
      <c r="B1072" s="144"/>
      <c r="C1072" s="34">
        <v>122</v>
      </c>
      <c r="D1072" s="144" t="str">
        <f>'Vật liệu'!$B$20</f>
        <v>V00039</v>
      </c>
      <c r="E1072" s="144" t="str">
        <f>" - " &amp; 'Vật liệu'!$D$20</f>
        <v xml:space="preserve"> - Bu lông M20</v>
      </c>
      <c r="F1072" s="168" t="str">
        <f>'Vật liệu'!$E$20</f>
        <v>cái</v>
      </c>
      <c r="G1072" s="34">
        <f>'Hao phí vật tư'!$G$1073</f>
        <v>7.2</v>
      </c>
      <c r="H1072" s="68">
        <f>'Vật liệu'!$W$20</f>
        <v>10000</v>
      </c>
      <c r="I1072" s="37">
        <v>1</v>
      </c>
      <c r="J1072" s="166">
        <f>ROUND(G1072*H1072*I1072,0)</f>
        <v>72000</v>
      </c>
    </row>
    <row r="1073" spans="1:10" x14ac:dyDescent="0.25">
      <c r="A1073" s="168"/>
      <c r="B1073" s="144"/>
      <c r="C1073" s="34">
        <v>257</v>
      </c>
      <c r="D1073" s="144" t="str">
        <f>'Vật liệu'!$B$766</f>
        <v>V00750</v>
      </c>
      <c r="E1073" s="144" t="str">
        <f>" - " &amp; 'Vật liệu'!$D$766</f>
        <v xml:space="preserve"> - Vật liệu khác</v>
      </c>
      <c r="F1073" s="168" t="str">
        <f>'Vật liệu'!$E$766</f>
        <v>%</v>
      </c>
      <c r="G1073" s="34">
        <f>'Hao phí vật tư'!$G$1074</f>
        <v>5</v>
      </c>
      <c r="H1073" s="166">
        <f>'Vật liệu'!$W$766</f>
        <v>0</v>
      </c>
      <c r="I1073" s="37">
        <v>1</v>
      </c>
      <c r="J1073" s="166">
        <f>ROUND((J1070+J1071+J1072)*G1073*I1073/100,0)</f>
        <v>10679</v>
      </c>
    </row>
    <row r="1074" spans="1:10" x14ac:dyDescent="0.25">
      <c r="A1074" s="56"/>
      <c r="B1074" s="23"/>
      <c r="C1074" s="88"/>
      <c r="D1074" s="23"/>
      <c r="E1074" s="23" t="s">
        <v>202</v>
      </c>
      <c r="F1074" s="56"/>
      <c r="G1074" s="88"/>
      <c r="H1074" s="48"/>
      <c r="I1074" s="90"/>
      <c r="J1074" s="48">
        <f>ROUND(SUM(J1075:J1075),0)</f>
        <v>1313742</v>
      </c>
    </row>
    <row r="1075" spans="1:10" x14ac:dyDescent="0.25">
      <c r="A1075" s="168"/>
      <c r="B1075" s="144"/>
      <c r="C1075" s="34">
        <v>550</v>
      </c>
      <c r="D1075" s="144" t="str">
        <f>'Nhân công'!$B$130</f>
        <v>N0011</v>
      </c>
      <c r="E1075" s="144" t="s">
        <v>671</v>
      </c>
      <c r="F1075" s="168" t="str">
        <f>'Nhân công'!$G$130</f>
        <v>công</v>
      </c>
      <c r="G1075" s="34">
        <f>'Hao phí vật tư'!$H$1076</f>
        <v>5.7</v>
      </c>
      <c r="H1075" s="68">
        <f>'Nhân công'!$M$130</f>
        <v>230481</v>
      </c>
      <c r="I1075" s="37">
        <v>1</v>
      </c>
      <c r="J1075" s="166">
        <f>ROUND(G1075*H1075*I1075,0)</f>
        <v>1313742</v>
      </c>
    </row>
    <row r="1076" spans="1:10" x14ac:dyDescent="0.25">
      <c r="A1076" s="56"/>
      <c r="B1076" s="23"/>
      <c r="C1076" s="88"/>
      <c r="D1076" s="23"/>
      <c r="E1076" s="23" t="s">
        <v>378</v>
      </c>
      <c r="F1076" s="56"/>
      <c r="G1076" s="88"/>
      <c r="H1076" s="48"/>
      <c r="I1076" s="90"/>
      <c r="J1076" s="48">
        <f>ROUND(SUM(J1077:J1078),0)</f>
        <v>996348</v>
      </c>
    </row>
    <row r="1077" spans="1:10" x14ac:dyDescent="0.25">
      <c r="A1077" s="168"/>
      <c r="B1077" s="144"/>
      <c r="C1077" s="34">
        <v>714</v>
      </c>
      <c r="D1077" s="144" t="str">
        <f>'Máy thi công'!$B$6</f>
        <v>M9438</v>
      </c>
      <c r="E1077" s="144" t="str">
        <f>" - " &amp; 'Máy thi công'!$D$6</f>
        <v xml:space="preserve"> - Biến thế hàn xoay chiều - công suất: 23 kW</v>
      </c>
      <c r="F1077" s="168" t="str">
        <f>'Máy thi công'!$E$6</f>
        <v>ca</v>
      </c>
      <c r="G1077" s="34">
        <f>'Hao phí vật tư'!$I$1078</f>
        <v>1.8</v>
      </c>
      <c r="H1077" s="68">
        <f>'Máy thi công'!$N$6</f>
        <v>338020</v>
      </c>
      <c r="I1077" s="37">
        <v>1</v>
      </c>
      <c r="J1077" s="166">
        <f>ROUND(G1077*H1077*I1077,0)</f>
        <v>608436</v>
      </c>
    </row>
    <row r="1078" spans="1:10" x14ac:dyDescent="0.25">
      <c r="A1078" s="168"/>
      <c r="B1078" s="144"/>
      <c r="C1078" s="34">
        <v>728</v>
      </c>
      <c r="D1078" s="144" t="str">
        <f>'Máy thi công'!$B$120</f>
        <v>M9468</v>
      </c>
      <c r="E1078" s="144" t="str">
        <f>" - " &amp; 'Máy thi công'!$D$120</f>
        <v xml:space="preserve"> - Cần trục bánh xích - sức nâng: 16 t</v>
      </c>
      <c r="F1078" s="168" t="str">
        <f>'Máy thi công'!$E$120</f>
        <v>ca</v>
      </c>
      <c r="G1078" s="34">
        <f>'Hao phí vật tư'!$I$1079</f>
        <v>0.16200000000000001</v>
      </c>
      <c r="H1078" s="68">
        <f>'Máy thi công'!$N$120</f>
        <v>2394521</v>
      </c>
      <c r="I1078" s="37">
        <v>1</v>
      </c>
      <c r="J1078" s="166">
        <f>ROUND(G1078*H1078*I1078,0)</f>
        <v>387912</v>
      </c>
    </row>
    <row r="1079" spans="1:10" x14ac:dyDescent="0.25">
      <c r="A1079" s="65">
        <f>'Công trình'!$A$141</f>
        <v>109</v>
      </c>
      <c r="B1079" s="14" t="str">
        <f>'Công trình'!$B$141</f>
        <v>TT</v>
      </c>
      <c r="C1079" s="94"/>
      <c r="D1079" s="31"/>
      <c r="E1079" s="14" t="str">
        <f>'Công trình'!$C$141</f>
        <v>Bu long M22</v>
      </c>
      <c r="F1079" s="46" t="str">
        <f>'Công trình'!$D$141</f>
        <v>bộ</v>
      </c>
      <c r="G1079" s="94"/>
      <c r="H1079" s="54"/>
      <c r="I1079" s="98"/>
      <c r="J1079" s="54"/>
    </row>
    <row r="1080" spans="1:10" x14ac:dyDescent="0.25">
      <c r="A1080" s="56"/>
      <c r="B1080" s="23"/>
      <c r="C1080" s="88"/>
      <c r="D1080" s="23"/>
      <c r="E1080" s="23" t="s">
        <v>479</v>
      </c>
      <c r="F1080" s="56"/>
      <c r="G1080" s="88"/>
      <c r="H1080" s="48"/>
      <c r="I1080" s="90"/>
      <c r="J1080" s="48">
        <f>ROUND(SUM(J1081:J1081),0)</f>
        <v>21000</v>
      </c>
    </row>
    <row r="1081" spans="1:10" x14ac:dyDescent="0.25">
      <c r="A1081" s="168"/>
      <c r="B1081" s="144"/>
      <c r="C1081" s="34">
        <v>453</v>
      </c>
      <c r="D1081" s="144" t="str">
        <f>'Vật liệu'!$B$38</f>
        <v>V12689</v>
      </c>
      <c r="E1081" s="144" t="str">
        <f>" - " &amp; 'Vật liệu'!$D$38</f>
        <v xml:space="preserve"> - Bulông M22x350</v>
      </c>
      <c r="F1081" s="168" t="str">
        <f>'Vật liệu'!$E$38</f>
        <v>cái</v>
      </c>
      <c r="G1081" s="34">
        <f>'Hao phí vật tư'!$G$1082</f>
        <v>1</v>
      </c>
      <c r="H1081" s="68">
        <f>'Vật liệu'!$W$38</f>
        <v>21000</v>
      </c>
      <c r="I1081" s="37">
        <v>1</v>
      </c>
      <c r="J1081" s="166">
        <f>ROUND(G1081*H1081*I1081,0)</f>
        <v>21000</v>
      </c>
    </row>
    <row r="1082" spans="1:10" ht="28.5" x14ac:dyDescent="0.25">
      <c r="A1082" s="65">
        <f>'Công trình'!$A$142</f>
        <v>110</v>
      </c>
      <c r="B1082" s="14" t="str">
        <f>'Công trình'!$B$142</f>
        <v>AC.22522</v>
      </c>
      <c r="C1082" s="94"/>
      <c r="D1082" s="31"/>
      <c r="E1082" s="14" t="str">
        <f>'Công trình'!$C$142</f>
        <v>Đóng cọc thép hình H300 trên mặt đất, chiều dài cọc &gt;10m, đất cấp II, phần ngập đất</v>
      </c>
      <c r="F1082" s="46" t="str">
        <f>'Công trình'!$D$142</f>
        <v>100m</v>
      </c>
      <c r="G1082" s="94"/>
      <c r="H1082" s="54"/>
      <c r="I1082" s="98"/>
      <c r="J1082" s="54"/>
    </row>
    <row r="1083" spans="1:10" x14ac:dyDescent="0.25">
      <c r="A1083" s="56"/>
      <c r="B1083" s="23"/>
      <c r="C1083" s="88"/>
      <c r="D1083" s="23"/>
      <c r="E1083" s="23" t="s">
        <v>479</v>
      </c>
      <c r="F1083" s="56"/>
      <c r="G1083" s="88"/>
      <c r="H1083" s="48"/>
      <c r="I1083" s="90"/>
      <c r="J1083" s="48">
        <f>ROUND(SUM(J1084:J1085),0)</f>
        <v>0</v>
      </c>
    </row>
    <row r="1084" spans="1:10" x14ac:dyDescent="0.25">
      <c r="A1084" s="168"/>
      <c r="B1084" s="144"/>
      <c r="C1084" s="34">
        <v>433</v>
      </c>
      <c r="D1084" s="144" t="str">
        <f>'Vật liệu'!$B$323</f>
        <v>V08281</v>
      </c>
      <c r="E1084" s="144" t="str">
        <f>" - " &amp; 'Vật liệu'!$D$323</f>
        <v xml:space="preserve"> - H(300x300x13x21)mm</v>
      </c>
      <c r="F1084" s="168" t="str">
        <f>'Vật liệu'!$E$323</f>
        <v>m</v>
      </c>
      <c r="G1084" s="34">
        <f>'Hao phí vật tư'!$G$1085</f>
        <v>0</v>
      </c>
      <c r="H1084" s="68">
        <f>'Vật liệu'!$W$323</f>
        <v>1548220</v>
      </c>
      <c r="I1084" s="37">
        <v>1</v>
      </c>
      <c r="J1084" s="166">
        <f>ROUND(G1084*H1084*I1084,0)</f>
        <v>0</v>
      </c>
    </row>
    <row r="1085" spans="1:10" x14ac:dyDescent="0.25">
      <c r="A1085" s="168"/>
      <c r="B1085" s="144"/>
      <c r="C1085" s="34">
        <v>258</v>
      </c>
      <c r="D1085" s="144" t="str">
        <f>'Vật liệu'!$B$766</f>
        <v>V00750</v>
      </c>
      <c r="E1085" s="144" t="str">
        <f>" - " &amp; 'Vật liệu'!$D$766</f>
        <v xml:space="preserve"> - Vật liệu khác</v>
      </c>
      <c r="F1085" s="168" t="str">
        <f>'Vật liệu'!$E$766</f>
        <v>%</v>
      </c>
      <c r="G1085" s="34">
        <f>'Hao phí vật tư'!$G$1086</f>
        <v>1</v>
      </c>
      <c r="H1085" s="166">
        <f>'Vật liệu'!$W$766</f>
        <v>0</v>
      </c>
      <c r="I1085" s="37">
        <v>1</v>
      </c>
      <c r="J1085" s="166">
        <f>ROUND((J1084)*G1085*I1085/100,0)</f>
        <v>0</v>
      </c>
    </row>
    <row r="1086" spans="1:10" x14ac:dyDescent="0.25">
      <c r="A1086" s="56"/>
      <c r="B1086" s="23"/>
      <c r="C1086" s="88"/>
      <c r="D1086" s="23"/>
      <c r="E1086" s="23" t="s">
        <v>202</v>
      </c>
      <c r="F1086" s="56"/>
      <c r="G1086" s="88"/>
      <c r="H1086" s="48"/>
      <c r="I1086" s="90"/>
      <c r="J1086" s="48">
        <f>ROUND(SUM(J1087:J1087),0)</f>
        <v>1737120</v>
      </c>
    </row>
    <row r="1087" spans="1:10" x14ac:dyDescent="0.25">
      <c r="A1087" s="168"/>
      <c r="B1087" s="144"/>
      <c r="C1087" s="34">
        <v>555</v>
      </c>
      <c r="D1087" s="144" t="str">
        <f>'Nhân công'!$B$185</f>
        <v>N0020</v>
      </c>
      <c r="E1087" s="144" t="s">
        <v>625</v>
      </c>
      <c r="F1087" s="168" t="str">
        <f>'Nhân công'!$G$185</f>
        <v>công</v>
      </c>
      <c r="G1087" s="34">
        <f>'Hao phí vật tư'!$H$1088</f>
        <v>6.72</v>
      </c>
      <c r="H1087" s="68">
        <f>'Nhân công'!$M$185</f>
        <v>258500</v>
      </c>
      <c r="I1087" s="37">
        <v>1</v>
      </c>
      <c r="J1087" s="166">
        <f>ROUND(G1087*H1087*I1087,0)</f>
        <v>1737120</v>
      </c>
    </row>
    <row r="1088" spans="1:10" x14ac:dyDescent="0.25">
      <c r="A1088" s="56"/>
      <c r="B1088" s="23"/>
      <c r="C1088" s="88"/>
      <c r="D1088" s="23"/>
      <c r="E1088" s="23" t="s">
        <v>378</v>
      </c>
      <c r="F1088" s="56"/>
      <c r="G1088" s="88"/>
      <c r="H1088" s="48"/>
      <c r="I1088" s="90"/>
      <c r="J1088" s="48">
        <f>ROUND(SUM(J1089:J1090),0)</f>
        <v>5353673</v>
      </c>
    </row>
    <row r="1089" spans="1:10" ht="30" x14ac:dyDescent="0.25">
      <c r="A1089" s="168"/>
      <c r="B1089" s="144"/>
      <c r="C1089" s="34">
        <v>716</v>
      </c>
      <c r="D1089" s="144" t="str">
        <f>'Máy thi công'!$B$85</f>
        <v>M9440</v>
      </c>
      <c r="E1089" s="144" t="str">
        <f>" - " &amp; 'Máy thi công'!$D$85</f>
        <v xml:space="preserve"> - Búa diezel chạy trên ray - trọng lượng đầu búa: 1,2 t</v>
      </c>
      <c r="F1089" s="168" t="str">
        <f>'Máy thi công'!$E$85</f>
        <v>ca</v>
      </c>
      <c r="G1089" s="34">
        <f>'Hao phí vật tư'!$I$1090</f>
        <v>3.36</v>
      </c>
      <c r="H1089" s="68">
        <f>'Máy thi công'!$N$85</f>
        <v>1569808</v>
      </c>
      <c r="I1089" s="37">
        <v>1</v>
      </c>
      <c r="J1089" s="166">
        <f>ROUND(G1089*H1089*I1089,0)</f>
        <v>5274555</v>
      </c>
    </row>
    <row r="1090" spans="1:10" x14ac:dyDescent="0.25">
      <c r="A1090" s="168"/>
      <c r="B1090" s="144"/>
      <c r="C1090" s="34">
        <v>610</v>
      </c>
      <c r="D1090" s="144" t="str">
        <f>'Máy thi công'!$B$398</f>
        <v>M0111</v>
      </c>
      <c r="E1090" s="144" t="str">
        <f>" - " &amp; 'Máy thi công'!$D$398</f>
        <v xml:space="preserve"> - Máy khác</v>
      </c>
      <c r="F1090" s="168" t="str">
        <f>'Máy thi công'!$E$398</f>
        <v>%</v>
      </c>
      <c r="G1090" s="34">
        <f>'Hao phí vật tư'!$I$1091</f>
        <v>1.5</v>
      </c>
      <c r="H1090" s="166">
        <f>'Máy thi công'!$N$398</f>
        <v>0</v>
      </c>
      <c r="I1090" s="37">
        <v>1</v>
      </c>
      <c r="J1090" s="166">
        <f>ROUND((J1089)*G1090*I1090/100,0)</f>
        <v>79118</v>
      </c>
    </row>
    <row r="1091" spans="1:10" ht="42.75" x14ac:dyDescent="0.25">
      <c r="A1091" s="65">
        <f>'Công trình'!$A$143</f>
        <v>111</v>
      </c>
      <c r="B1091" s="14" t="str">
        <f>'Công trình'!$B$143</f>
        <v>AC.22522</v>
      </c>
      <c r="C1091" s="94"/>
      <c r="D1091" s="31"/>
      <c r="E1091" s="14" t="str">
        <f>'Công trình'!$C$143</f>
        <v>Đóng cọc thép hình H300 trên mặt đất, chiều dài cọc &gt;10m, đất cấp II, phần không ngập đất (NC, MTC * 0,75)</v>
      </c>
      <c r="F1091" s="46" t="str">
        <f>'Công trình'!$D$143</f>
        <v>100m</v>
      </c>
      <c r="G1091" s="94"/>
      <c r="H1091" s="54"/>
      <c r="I1091" s="98"/>
      <c r="J1091" s="54"/>
    </row>
    <row r="1092" spans="1:10" x14ac:dyDescent="0.25">
      <c r="A1092" s="56"/>
      <c r="B1092" s="23"/>
      <c r="C1092" s="88"/>
      <c r="D1092" s="23"/>
      <c r="E1092" s="23" t="s">
        <v>479</v>
      </c>
      <c r="F1092" s="56"/>
      <c r="G1092" s="88"/>
      <c r="H1092" s="48"/>
      <c r="I1092" s="90"/>
      <c r="J1092" s="48">
        <f>ROUND(SUM(J1093:J1094),0)</f>
        <v>0</v>
      </c>
    </row>
    <row r="1093" spans="1:10" x14ac:dyDescent="0.25">
      <c r="A1093" s="168"/>
      <c r="B1093" s="144"/>
      <c r="C1093" s="34">
        <v>433</v>
      </c>
      <c r="D1093" s="144" t="str">
        <f>'Vật liệu'!$B$323</f>
        <v>V08281</v>
      </c>
      <c r="E1093" s="144" t="str">
        <f>" - " &amp; 'Vật liệu'!$D$323</f>
        <v xml:space="preserve"> - H(300x300x13x21)mm</v>
      </c>
      <c r="F1093" s="168" t="str">
        <f>'Vật liệu'!$E$323</f>
        <v>m</v>
      </c>
      <c r="G1093" s="34">
        <f>'Hao phí vật tư'!$G$1094</f>
        <v>0</v>
      </c>
      <c r="H1093" s="68">
        <f>'Vật liệu'!$W$323</f>
        <v>1548220</v>
      </c>
      <c r="I1093" s="37">
        <v>1</v>
      </c>
      <c r="J1093" s="166">
        <f>ROUND(G1093*H1093*I1093,0)</f>
        <v>0</v>
      </c>
    </row>
    <row r="1094" spans="1:10" x14ac:dyDescent="0.25">
      <c r="A1094" s="168"/>
      <c r="B1094" s="144"/>
      <c r="C1094" s="34">
        <v>259</v>
      </c>
      <c r="D1094" s="144" t="str">
        <f>'Vật liệu'!$B$766</f>
        <v>V00750</v>
      </c>
      <c r="E1094" s="144" t="str">
        <f>" - " &amp; 'Vật liệu'!$D$766</f>
        <v xml:space="preserve"> - Vật liệu khác</v>
      </c>
      <c r="F1094" s="168" t="str">
        <f>'Vật liệu'!$E$766</f>
        <v>%</v>
      </c>
      <c r="G1094" s="34">
        <f>'Hao phí vật tư'!$G$1095</f>
        <v>1</v>
      </c>
      <c r="H1094" s="166">
        <f>'Vật liệu'!$W$766</f>
        <v>0</v>
      </c>
      <c r="I1094" s="37">
        <v>1</v>
      </c>
      <c r="J1094" s="166">
        <f>ROUND((J1093)*G1094*I1094/100,0)</f>
        <v>0</v>
      </c>
    </row>
    <row r="1095" spans="1:10" x14ac:dyDescent="0.25">
      <c r="A1095" s="56"/>
      <c r="B1095" s="23"/>
      <c r="C1095" s="88"/>
      <c r="D1095" s="23"/>
      <c r="E1095" s="23" t="s">
        <v>202</v>
      </c>
      <c r="F1095" s="56"/>
      <c r="G1095" s="88"/>
      <c r="H1095" s="48"/>
      <c r="I1095" s="90"/>
      <c r="J1095" s="48">
        <f>ROUND(SUM(J1096:J1096),0)</f>
        <v>1496715</v>
      </c>
    </row>
    <row r="1096" spans="1:10" x14ac:dyDescent="0.25">
      <c r="A1096" s="168"/>
      <c r="B1096" s="144"/>
      <c r="C1096" s="34">
        <v>555</v>
      </c>
      <c r="D1096" s="144" t="str">
        <f>'Nhân công'!$B$185</f>
        <v>N0020</v>
      </c>
      <c r="E1096" s="144" t="s">
        <v>625</v>
      </c>
      <c r="F1096" s="168" t="str">
        <f>'Nhân công'!$G$185</f>
        <v>công</v>
      </c>
      <c r="G1096" s="34">
        <f>'Hao phí vật tư'!$H$1097</f>
        <v>5.79</v>
      </c>
      <c r="H1096" s="68">
        <f>'Nhân công'!$M$185</f>
        <v>258500</v>
      </c>
      <c r="I1096" s="37">
        <v>1</v>
      </c>
      <c r="J1096" s="166">
        <f>ROUND(G1096*H1096*I1096,0)</f>
        <v>1496715</v>
      </c>
    </row>
    <row r="1097" spans="1:10" x14ac:dyDescent="0.25">
      <c r="A1097" s="56"/>
      <c r="B1097" s="23"/>
      <c r="C1097" s="88"/>
      <c r="D1097" s="23"/>
      <c r="E1097" s="23" t="s">
        <v>378</v>
      </c>
      <c r="F1097" s="56"/>
      <c r="G1097" s="88"/>
      <c r="H1097" s="48"/>
      <c r="I1097" s="90"/>
      <c r="J1097" s="48">
        <f>ROUND(SUM(J1098:J1099),0)</f>
        <v>4015255</v>
      </c>
    </row>
    <row r="1098" spans="1:10" ht="30" x14ac:dyDescent="0.25">
      <c r="A1098" s="168"/>
      <c r="B1098" s="144"/>
      <c r="C1098" s="34">
        <v>716</v>
      </c>
      <c r="D1098" s="144" t="str">
        <f>'Máy thi công'!$B$85</f>
        <v>M9440</v>
      </c>
      <c r="E1098" s="144" t="str">
        <f>" - " &amp; 'Máy thi công'!$D$85</f>
        <v xml:space="preserve"> - Búa diezel chạy trên ray - trọng lượng đầu búa: 1,2 t</v>
      </c>
      <c r="F1098" s="168" t="str">
        <f>'Máy thi công'!$E$85</f>
        <v>ca</v>
      </c>
      <c r="G1098" s="34">
        <f>'Hao phí vật tư'!$I$1099</f>
        <v>2.52</v>
      </c>
      <c r="H1098" s="68">
        <f>'Máy thi công'!$N$85</f>
        <v>1569808</v>
      </c>
      <c r="I1098" s="37">
        <v>1</v>
      </c>
      <c r="J1098" s="166">
        <f>ROUND(G1098*H1098*I1098,0)</f>
        <v>3955916</v>
      </c>
    </row>
    <row r="1099" spans="1:10" x14ac:dyDescent="0.25">
      <c r="A1099" s="168"/>
      <c r="B1099" s="144"/>
      <c r="C1099" s="34">
        <v>611</v>
      </c>
      <c r="D1099" s="144" t="str">
        <f>'Máy thi công'!$B$398</f>
        <v>M0111</v>
      </c>
      <c r="E1099" s="144" t="str">
        <f>" - " &amp; 'Máy thi công'!$D$398</f>
        <v xml:space="preserve"> - Máy khác</v>
      </c>
      <c r="F1099" s="168" t="str">
        <f>'Máy thi công'!$E$398</f>
        <v>%</v>
      </c>
      <c r="G1099" s="34">
        <f>'Hao phí vật tư'!$I$1100</f>
        <v>1.5</v>
      </c>
      <c r="H1099" s="166">
        <f>'Máy thi công'!$N$398</f>
        <v>0</v>
      </c>
      <c r="I1099" s="37">
        <v>1</v>
      </c>
      <c r="J1099" s="166">
        <f>ROUND((J1098)*G1099*I1099/100,0)</f>
        <v>59339</v>
      </c>
    </row>
    <row r="1100" spans="1:10" ht="28.5" x14ac:dyDescent="0.25">
      <c r="A1100" s="65">
        <f>'Công trình'!$A$144</f>
        <v>112</v>
      </c>
      <c r="B1100" s="14" t="str">
        <f>'Công trình'!$B$144</f>
        <v>TT</v>
      </c>
      <c r="C1100" s="94"/>
      <c r="D1100" s="31"/>
      <c r="E1100" s="14" t="str">
        <f>'Công trình'!$C$144</f>
        <v>Khấu hao cọc thép hình (Thi công trong vòng 3 tháng và 1 lần đóng nhổ)</v>
      </c>
      <c r="F1100" s="46" t="str">
        <f>'Công trình'!$D$144</f>
        <v>100m</v>
      </c>
      <c r="G1100" s="94"/>
      <c r="H1100" s="54"/>
      <c r="I1100" s="98"/>
      <c r="J1100" s="54"/>
    </row>
    <row r="1101" spans="1:10" x14ac:dyDescent="0.25">
      <c r="A1101" s="56"/>
      <c r="B1101" s="23"/>
      <c r="C1101" s="88"/>
      <c r="D1101" s="23"/>
      <c r="E1101" s="23" t="s">
        <v>479</v>
      </c>
      <c r="F1101" s="56"/>
      <c r="G1101" s="88"/>
      <c r="H1101" s="48"/>
      <c r="I1101" s="90"/>
      <c r="J1101" s="48">
        <f>ROUND(SUM(J1102:J1103),0)</f>
        <v>156370220</v>
      </c>
    </row>
    <row r="1102" spans="1:10" x14ac:dyDescent="0.25">
      <c r="A1102" s="168"/>
      <c r="B1102" s="144"/>
      <c r="C1102" s="34">
        <v>433</v>
      </c>
      <c r="D1102" s="144" t="str">
        <f>'Vật liệu'!$B$323</f>
        <v>V08281</v>
      </c>
      <c r="E1102" s="144" t="str">
        <f>" - " &amp; 'Vật liệu'!$D$323</f>
        <v xml:space="preserve"> - H(300x300x13x21)mm</v>
      </c>
      <c r="F1102" s="168" t="str">
        <f>'Vật liệu'!$E$323</f>
        <v>m</v>
      </c>
      <c r="G1102" s="34">
        <f>'Hao phí vật tư'!$G$1103</f>
        <v>100</v>
      </c>
      <c r="H1102" s="68">
        <f>'Vật liệu'!$W$323</f>
        <v>1548220</v>
      </c>
      <c r="I1102" s="37">
        <v>1</v>
      </c>
      <c r="J1102" s="166">
        <f>ROUND(G1102*H1102*I1102,0)</f>
        <v>154822000</v>
      </c>
    </row>
    <row r="1103" spans="1:10" x14ac:dyDescent="0.25">
      <c r="A1103" s="168"/>
      <c r="B1103" s="144"/>
      <c r="C1103" s="34">
        <v>260</v>
      </c>
      <c r="D1103" s="144" t="str">
        <f>'Vật liệu'!$B$766</f>
        <v>V00750</v>
      </c>
      <c r="E1103" s="144" t="str">
        <f>" - " &amp; 'Vật liệu'!$D$766</f>
        <v xml:space="preserve"> - Vật liệu khác</v>
      </c>
      <c r="F1103" s="168" t="str">
        <f>'Vật liệu'!$E$766</f>
        <v>%</v>
      </c>
      <c r="G1103" s="34">
        <f>'Hao phí vật tư'!$G$1104</f>
        <v>1</v>
      </c>
      <c r="H1103" s="166">
        <f>'Vật liệu'!$W$766</f>
        <v>0</v>
      </c>
      <c r="I1103" s="37">
        <v>1</v>
      </c>
      <c r="J1103" s="166">
        <f>ROUND((J1102)*G1103*I1103/100,0)</f>
        <v>1548220</v>
      </c>
    </row>
    <row r="1104" spans="1:10" ht="28.5" x14ac:dyDescent="0.25">
      <c r="A1104" s="65">
        <f>'Công trình'!$A$146</f>
        <v>113</v>
      </c>
      <c r="B1104" s="14" t="str">
        <f>'Công trình'!$B$146</f>
        <v>AC.23110</v>
      </c>
      <c r="C1104" s="94"/>
      <c r="D1104" s="31"/>
      <c r="E1104" s="14" t="str">
        <f>'Công trình'!$C$146</f>
        <v>Nhổ cọc thép hình làm tường chắn đất, sàn thao tác trên cạn</v>
      </c>
      <c r="F1104" s="46" t="str">
        <f>'Công trình'!$D$146</f>
        <v>100m</v>
      </c>
      <c r="G1104" s="94"/>
      <c r="H1104" s="54"/>
      <c r="I1104" s="98"/>
      <c r="J1104" s="54"/>
    </row>
    <row r="1105" spans="1:10" x14ac:dyDescent="0.25">
      <c r="A1105" s="56"/>
      <c r="B1105" s="23"/>
      <c r="C1105" s="88"/>
      <c r="D1105" s="23"/>
      <c r="E1105" s="23" t="s">
        <v>202</v>
      </c>
      <c r="F1105" s="56"/>
      <c r="G1105" s="88"/>
      <c r="H1105" s="48"/>
      <c r="I1105" s="90"/>
      <c r="J1105" s="48">
        <f>ROUND(SUM(J1106:J1106),0)</f>
        <v>687610</v>
      </c>
    </row>
    <row r="1106" spans="1:10" x14ac:dyDescent="0.25">
      <c r="A1106" s="168"/>
      <c r="B1106" s="144"/>
      <c r="C1106" s="34">
        <v>555</v>
      </c>
      <c r="D1106" s="144" t="str">
        <f>'Nhân công'!$B$185</f>
        <v>N0020</v>
      </c>
      <c r="E1106" s="144" t="s">
        <v>625</v>
      </c>
      <c r="F1106" s="168" t="str">
        <f>'Nhân công'!$G$185</f>
        <v>công</v>
      </c>
      <c r="G1106" s="34">
        <f>'Hao phí vật tư'!$H$1107</f>
        <v>2.66</v>
      </c>
      <c r="H1106" s="68">
        <f>'Nhân công'!$M$185</f>
        <v>258500</v>
      </c>
      <c r="I1106" s="37">
        <v>1</v>
      </c>
      <c r="J1106" s="166">
        <f>ROUND(G1106*H1106*I1106,0)</f>
        <v>687610</v>
      </c>
    </row>
    <row r="1107" spans="1:10" x14ac:dyDescent="0.25">
      <c r="A1107" s="56"/>
      <c r="B1107" s="23"/>
      <c r="C1107" s="88"/>
      <c r="D1107" s="23"/>
      <c r="E1107" s="23" t="s">
        <v>378</v>
      </c>
      <c r="F1107" s="56"/>
      <c r="G1107" s="88"/>
      <c r="H1107" s="48"/>
      <c r="I1107" s="90"/>
      <c r="J1107" s="48">
        <f>ROUND(SUM(J1108:J1109),0)</f>
        <v>3852512</v>
      </c>
    </row>
    <row r="1108" spans="1:10" x14ac:dyDescent="0.25">
      <c r="A1108" s="168"/>
      <c r="B1108" s="144"/>
      <c r="C1108" s="34">
        <v>729</v>
      </c>
      <c r="D1108" s="144" t="str">
        <f>'Máy thi công'!$B$135</f>
        <v>M9469</v>
      </c>
      <c r="E1108" s="144" t="str">
        <f>" - " &amp; 'Máy thi công'!$D$135</f>
        <v xml:space="preserve"> - Cần trục bánh xích - sức nâng: 25 t</v>
      </c>
      <c r="F1108" s="168" t="str">
        <f>'Máy thi công'!$E$135</f>
        <v>ca</v>
      </c>
      <c r="G1108" s="34">
        <f>'Hao phí vật tư'!$I$1109</f>
        <v>1.33</v>
      </c>
      <c r="H1108" s="68">
        <f>'Máy thi công'!$N$135</f>
        <v>2839829</v>
      </c>
      <c r="I1108" s="37">
        <v>1</v>
      </c>
      <c r="J1108" s="166">
        <f>ROUND(G1108*H1108*I1108,0)</f>
        <v>3776973</v>
      </c>
    </row>
    <row r="1109" spans="1:10" x14ac:dyDescent="0.25">
      <c r="A1109" s="168"/>
      <c r="B1109" s="144"/>
      <c r="C1109" s="34">
        <v>612</v>
      </c>
      <c r="D1109" s="144" t="str">
        <f>'Máy thi công'!$B$398</f>
        <v>M0111</v>
      </c>
      <c r="E1109" s="144" t="str">
        <f>" - " &amp; 'Máy thi công'!$D$398</f>
        <v xml:space="preserve"> - Máy khác</v>
      </c>
      <c r="F1109" s="168" t="str">
        <f>'Máy thi công'!$E$398</f>
        <v>%</v>
      </c>
      <c r="G1109" s="34">
        <f>'Hao phí vật tư'!$I$1110</f>
        <v>2</v>
      </c>
      <c r="H1109" s="166">
        <f>'Máy thi công'!$N$398</f>
        <v>0</v>
      </c>
      <c r="I1109" s="37">
        <v>1</v>
      </c>
      <c r="J1109" s="166">
        <f>ROUND((J1108)*G1109*I1109/100,0)</f>
        <v>75539</v>
      </c>
    </row>
    <row r="1110" spans="1:10" x14ac:dyDescent="0.25">
      <c r="A1110" s="65">
        <f>'Công trình'!$A$147</f>
        <v>114</v>
      </c>
      <c r="B1110" s="14" t="str">
        <f>'Công trình'!$B$147</f>
        <v>AI.11411</v>
      </c>
      <c r="C1110" s="94"/>
      <c r="D1110" s="31"/>
      <c r="E1110" s="14" t="str">
        <f>'Công trình'!$C$147</f>
        <v>Sản xuất thang sắt</v>
      </c>
      <c r="F1110" s="46" t="str">
        <f>'Công trình'!$D$147</f>
        <v>tấn</v>
      </c>
      <c r="G1110" s="94"/>
      <c r="H1110" s="54"/>
      <c r="I1110" s="98"/>
      <c r="J1110" s="54"/>
    </row>
    <row r="1111" spans="1:10" x14ac:dyDescent="0.25">
      <c r="A1111" s="56"/>
      <c r="B1111" s="23"/>
      <c r="C1111" s="88"/>
      <c r="D1111" s="23"/>
      <c r="E1111" s="23" t="s">
        <v>479</v>
      </c>
      <c r="F1111" s="56"/>
      <c r="G1111" s="88"/>
      <c r="H1111" s="48"/>
      <c r="I1111" s="90"/>
      <c r="J1111" s="48">
        <f>ROUND(SUM(J1112:J1116),0)</f>
        <v>15882071</v>
      </c>
    </row>
    <row r="1112" spans="1:10" x14ac:dyDescent="0.25">
      <c r="A1112" s="168"/>
      <c r="B1112" s="144"/>
      <c r="C1112" s="34">
        <v>400</v>
      </c>
      <c r="D1112" s="144" t="str">
        <f>'Vật liệu'!$B$401</f>
        <v>V00770</v>
      </c>
      <c r="E1112" s="144" t="str">
        <f>" - " &amp; 'Vật liệu'!$D$401</f>
        <v xml:space="preserve"> - Ô xy</v>
      </c>
      <c r="F1112" s="168" t="str">
        <f>'Vật liệu'!$E$401</f>
        <v>Chai</v>
      </c>
      <c r="G1112" s="34">
        <f>'Hao phí vật tư'!$G$1113</f>
        <v>0.48</v>
      </c>
      <c r="H1112" s="68">
        <f>'Vật liệu'!$W$401</f>
        <v>72000</v>
      </c>
      <c r="I1112" s="37">
        <v>1</v>
      </c>
      <c r="J1112" s="166">
        <f>ROUND(G1112*H1112*I1112,0)</f>
        <v>34560</v>
      </c>
    </row>
    <row r="1113" spans="1:10" x14ac:dyDescent="0.25">
      <c r="A1113" s="168"/>
      <c r="B1113" s="144"/>
      <c r="C1113" s="34">
        <v>411</v>
      </c>
      <c r="D1113" s="144" t="str">
        <f>'Vật liệu'!$B$200</f>
        <v>V00833</v>
      </c>
      <c r="E1113" s="144" t="str">
        <f>" - " &amp; 'Vật liệu'!$D$200</f>
        <v xml:space="preserve"> - Đất đèn</v>
      </c>
      <c r="F1113" s="168" t="str">
        <f>'Vật liệu'!$E$200</f>
        <v>kg</v>
      </c>
      <c r="G1113" s="34">
        <f>'Hao phí vật tư'!$G$1114</f>
        <v>1.93</v>
      </c>
      <c r="H1113" s="68">
        <f>'Vật liệu'!$W$200</f>
        <v>14000</v>
      </c>
      <c r="I1113" s="37">
        <v>1</v>
      </c>
      <c r="J1113" s="166">
        <f>ROUND(G1113*H1113*I1113,0)</f>
        <v>27020</v>
      </c>
    </row>
    <row r="1114" spans="1:10" x14ac:dyDescent="0.25">
      <c r="A1114" s="168"/>
      <c r="B1114" s="144"/>
      <c r="C1114" s="34">
        <v>154</v>
      </c>
      <c r="D1114" s="144" t="str">
        <f>'Vật liệu'!$B$450</f>
        <v>V00515</v>
      </c>
      <c r="E1114" s="144" t="str">
        <f>" - " &amp; 'Vật liệu'!$D$450</f>
        <v xml:space="preserve"> - Que hàn</v>
      </c>
      <c r="F1114" s="168" t="str">
        <f>'Vật liệu'!$E$450</f>
        <v>kg</v>
      </c>
      <c r="G1114" s="34">
        <f>'Hao phí vật tư'!$G$1115</f>
        <v>24.5</v>
      </c>
      <c r="H1114" s="68">
        <f>'Vật liệu'!$W$450</f>
        <v>19091</v>
      </c>
      <c r="I1114" s="37">
        <v>1</v>
      </c>
      <c r="J1114" s="166">
        <f>ROUND(G1114*H1114*I1114,0)</f>
        <v>467730</v>
      </c>
    </row>
    <row r="1115" spans="1:10" x14ac:dyDescent="0.25">
      <c r="A1115" s="168"/>
      <c r="B1115" s="144"/>
      <c r="C1115" s="34">
        <v>160</v>
      </c>
      <c r="D1115" s="144" t="str">
        <f>'Vật liệu'!$B$556</f>
        <v>V00641</v>
      </c>
      <c r="E1115" s="144" t="str">
        <f>" - " &amp; 'Vật liệu'!$D$556</f>
        <v xml:space="preserve"> - Thép hình</v>
      </c>
      <c r="F1115" s="168" t="str">
        <f>'Vật liệu'!$E$556</f>
        <v>kg</v>
      </c>
      <c r="G1115" s="34">
        <f>'Hao phí vật tư'!$G$1116</f>
        <v>618.4</v>
      </c>
      <c r="H1115" s="68">
        <f>'Vật liệu'!$W$556</f>
        <v>15291</v>
      </c>
      <c r="I1115" s="37">
        <v>1</v>
      </c>
      <c r="J1115" s="166">
        <f>ROUND(G1115*H1115*I1115,0)</f>
        <v>9455954</v>
      </c>
    </row>
    <row r="1116" spans="1:10" x14ac:dyDescent="0.25">
      <c r="A1116" s="168"/>
      <c r="B1116" s="144"/>
      <c r="C1116" s="34">
        <v>165</v>
      </c>
      <c r="D1116" s="144" t="str">
        <f>'Vật liệu'!$B$648</f>
        <v>V00656</v>
      </c>
      <c r="E1116" s="144" t="str">
        <f>" - " &amp; 'Vật liệu'!$D$648</f>
        <v xml:space="preserve"> - Thép tròn</v>
      </c>
      <c r="F1116" s="168" t="str">
        <f>'Vật liệu'!$E$648</f>
        <v>kg</v>
      </c>
      <c r="G1116" s="34">
        <f>'Hao phí vật tư'!$G$1117</f>
        <v>416.5</v>
      </c>
      <c r="H1116" s="68">
        <f>'Vật liệu'!$W$648</f>
        <v>14158</v>
      </c>
      <c r="I1116" s="37">
        <v>1</v>
      </c>
      <c r="J1116" s="166">
        <f>ROUND(G1116*H1116*I1116,0)</f>
        <v>5896807</v>
      </c>
    </row>
    <row r="1117" spans="1:10" x14ac:dyDescent="0.25">
      <c r="A1117" s="56"/>
      <c r="B1117" s="23"/>
      <c r="C1117" s="88"/>
      <c r="D1117" s="23"/>
      <c r="E1117" s="23" t="s">
        <v>202</v>
      </c>
      <c r="F1117" s="56"/>
      <c r="G1117" s="88"/>
      <c r="H1117" s="48"/>
      <c r="I1117" s="90"/>
      <c r="J1117" s="48">
        <f>ROUND(SUM(J1118:J1118),0)</f>
        <v>6303730</v>
      </c>
    </row>
    <row r="1118" spans="1:10" x14ac:dyDescent="0.25">
      <c r="A1118" s="168"/>
      <c r="B1118" s="144"/>
      <c r="C1118" s="34">
        <v>546</v>
      </c>
      <c r="D1118" s="144" t="str">
        <f>'Nhân công'!$B$45</f>
        <v>N0009</v>
      </c>
      <c r="E1118" s="144" t="s">
        <v>1052</v>
      </c>
      <c r="F1118" s="168" t="str">
        <f>'Nhân công'!$G$45</f>
        <v>công</v>
      </c>
      <c r="G1118" s="34">
        <f>'Hao phí vật tư'!$H$1119</f>
        <v>29.614999999999998</v>
      </c>
      <c r="H1118" s="68">
        <f>'Nhân công'!$M$45</f>
        <v>212856</v>
      </c>
      <c r="I1118" s="37">
        <v>1</v>
      </c>
      <c r="J1118" s="166">
        <f>ROUND(G1118*H1118*I1118,0)</f>
        <v>6303730</v>
      </c>
    </row>
    <row r="1119" spans="1:10" x14ac:dyDescent="0.25">
      <c r="A1119" s="56"/>
      <c r="B1119" s="23"/>
      <c r="C1119" s="88"/>
      <c r="D1119" s="23"/>
      <c r="E1119" s="23" t="s">
        <v>378</v>
      </c>
      <c r="F1119" s="56"/>
      <c r="G1119" s="88"/>
      <c r="H1119" s="48"/>
      <c r="I1119" s="90"/>
      <c r="J1119" s="48">
        <f>ROUND(SUM(J1120:J1121),0)</f>
        <v>2549508</v>
      </c>
    </row>
    <row r="1120" spans="1:10" x14ac:dyDescent="0.25">
      <c r="A1120" s="168"/>
      <c r="B1120" s="144"/>
      <c r="C1120" s="34">
        <v>702</v>
      </c>
      <c r="D1120" s="144" t="str">
        <f>'Máy thi công'!$B$281</f>
        <v>M112.1502</v>
      </c>
      <c r="E1120" s="144" t="str">
        <f>" - " &amp; 'Máy thi công'!$D$281</f>
        <v xml:space="preserve"> - Máy khoan đứng - công suất: 4,5 kW</v>
      </c>
      <c r="F1120" s="168" t="str">
        <f>'Máy thi công'!$E$281</f>
        <v>ca</v>
      </c>
      <c r="G1120" s="34">
        <f>'Hao phí vật tư'!$I$1121</f>
        <v>1.75</v>
      </c>
      <c r="H1120" s="68">
        <f>'Máy thi công'!$N$281</f>
        <v>268963</v>
      </c>
      <c r="I1120" s="37">
        <v>1</v>
      </c>
      <c r="J1120" s="166">
        <f>ROUND(G1120*H1120*I1120,0)</f>
        <v>470685</v>
      </c>
    </row>
    <row r="1121" spans="1:10" x14ac:dyDescent="0.25">
      <c r="A1121" s="168"/>
      <c r="B1121" s="144"/>
      <c r="C1121" s="34">
        <v>714</v>
      </c>
      <c r="D1121" s="144" t="str">
        <f>'Máy thi công'!$B$6</f>
        <v>M9438</v>
      </c>
      <c r="E1121" s="144" t="str">
        <f>" - " &amp; 'Máy thi công'!$D$6</f>
        <v xml:space="preserve"> - Biến thế hàn xoay chiều - công suất: 23 kW</v>
      </c>
      <c r="F1121" s="168" t="str">
        <f>'Máy thi công'!$E$6</f>
        <v>ca</v>
      </c>
      <c r="G1121" s="34">
        <f>'Hao phí vật tư'!$I$1122</f>
        <v>6.15</v>
      </c>
      <c r="H1121" s="68">
        <f>'Máy thi công'!$N$6</f>
        <v>338020</v>
      </c>
      <c r="I1121" s="37">
        <v>1</v>
      </c>
      <c r="J1121" s="166">
        <f>ROUND(G1121*H1121*I1121,0)</f>
        <v>2078823</v>
      </c>
    </row>
    <row r="1122" spans="1:10" x14ac:dyDescent="0.25">
      <c r="A1122" s="65">
        <f>'Công trình'!$A$148</f>
        <v>115</v>
      </c>
      <c r="B1122" s="14" t="str">
        <f>'Công trình'!$B$148</f>
        <v>AI.61171</v>
      </c>
      <c r="C1122" s="94"/>
      <c r="D1122" s="31"/>
      <c r="E1122" s="14" t="str">
        <f>'Công trình'!$C$148</f>
        <v>Lắp sàn thang sắt</v>
      </c>
      <c r="F1122" s="46" t="str">
        <f>'Công trình'!$D$148</f>
        <v>tấn</v>
      </c>
      <c r="G1122" s="94"/>
      <c r="H1122" s="54"/>
      <c r="I1122" s="98"/>
      <c r="J1122" s="54"/>
    </row>
    <row r="1123" spans="1:10" x14ac:dyDescent="0.25">
      <c r="A1123" s="56"/>
      <c r="B1123" s="23"/>
      <c r="C1123" s="88"/>
      <c r="D1123" s="23"/>
      <c r="E1123" s="23" t="s">
        <v>479</v>
      </c>
      <c r="F1123" s="56"/>
      <c r="G1123" s="88"/>
      <c r="H1123" s="48"/>
      <c r="I1123" s="90"/>
      <c r="J1123" s="48">
        <f>ROUND(SUM(J1124:J1126),0)</f>
        <v>429547</v>
      </c>
    </row>
    <row r="1124" spans="1:10" x14ac:dyDescent="0.25">
      <c r="A1124" s="168"/>
      <c r="B1124" s="144"/>
      <c r="C1124" s="34">
        <v>154</v>
      </c>
      <c r="D1124" s="144" t="str">
        <f>'Vật liệu'!$B$450</f>
        <v>V00515</v>
      </c>
      <c r="E1124" s="144" t="str">
        <f>" - " &amp; 'Vật liệu'!$D$450</f>
        <v xml:space="preserve"> - Que hàn</v>
      </c>
      <c r="F1124" s="168" t="str">
        <f>'Vật liệu'!$E$450</f>
        <v>kg</v>
      </c>
      <c r="G1124" s="34">
        <f>'Hao phí vật tư'!$G$1125</f>
        <v>12</v>
      </c>
      <c r="H1124" s="68">
        <f>'Vật liệu'!$W$450</f>
        <v>19091</v>
      </c>
      <c r="I1124" s="37">
        <v>1</v>
      </c>
      <c r="J1124" s="166">
        <f>ROUND(G1124*H1124*I1124,0)</f>
        <v>229092</v>
      </c>
    </row>
    <row r="1125" spans="1:10" x14ac:dyDescent="0.25">
      <c r="A1125" s="168"/>
      <c r="B1125" s="144"/>
      <c r="C1125" s="34">
        <v>123</v>
      </c>
      <c r="D1125" s="144" t="str">
        <f>'Vật liệu'!$B$30</f>
        <v>V00049</v>
      </c>
      <c r="E1125" s="144" t="str">
        <f>" - " &amp; 'Vật liệu'!$D$30</f>
        <v xml:space="preserve"> - Bu lông M20x80</v>
      </c>
      <c r="F1125" s="168" t="str">
        <f>'Vật liệu'!$E$30</f>
        <v>cái</v>
      </c>
      <c r="G1125" s="34">
        <f>'Hao phí vật tư'!$G$1126</f>
        <v>12</v>
      </c>
      <c r="H1125" s="68">
        <f>'Vật liệu'!$W$30</f>
        <v>15000</v>
      </c>
      <c r="I1125" s="37">
        <v>1</v>
      </c>
      <c r="J1125" s="166">
        <f>ROUND(G1125*H1125*I1125,0)</f>
        <v>180000</v>
      </c>
    </row>
    <row r="1126" spans="1:10" x14ac:dyDescent="0.25">
      <c r="A1126" s="168"/>
      <c r="B1126" s="144"/>
      <c r="C1126" s="34">
        <v>263</v>
      </c>
      <c r="D1126" s="144" t="str">
        <f>'Vật liệu'!$B$766</f>
        <v>V00750</v>
      </c>
      <c r="E1126" s="144" t="str">
        <f>" - " &amp; 'Vật liệu'!$D$766</f>
        <v xml:space="preserve"> - Vật liệu khác</v>
      </c>
      <c r="F1126" s="168" t="str">
        <f>'Vật liệu'!$E$766</f>
        <v>%</v>
      </c>
      <c r="G1126" s="34">
        <f>'Hao phí vật tư'!$G$1127</f>
        <v>5</v>
      </c>
      <c r="H1126" s="166">
        <f>'Vật liệu'!$W$766</f>
        <v>0</v>
      </c>
      <c r="I1126" s="37">
        <v>1</v>
      </c>
      <c r="J1126" s="166">
        <f>ROUND((J1124+J1125)*G1126*I1126/100,0)</f>
        <v>20455</v>
      </c>
    </row>
    <row r="1127" spans="1:10" x14ac:dyDescent="0.25">
      <c r="A1127" s="56"/>
      <c r="B1127" s="23"/>
      <c r="C1127" s="88"/>
      <c r="D1127" s="23"/>
      <c r="E1127" s="23" t="s">
        <v>202</v>
      </c>
      <c r="F1127" s="56"/>
      <c r="G1127" s="88"/>
      <c r="H1127" s="48"/>
      <c r="I1127" s="90"/>
      <c r="J1127" s="48">
        <f>ROUND(SUM(J1128:J1128),0)</f>
        <v>2660999</v>
      </c>
    </row>
    <row r="1128" spans="1:10" x14ac:dyDescent="0.25">
      <c r="A1128" s="168"/>
      <c r="B1128" s="144"/>
      <c r="C1128" s="34">
        <v>545</v>
      </c>
      <c r="D1128" s="144" t="str">
        <f>'Nhân công'!$B$6</f>
        <v>N0006</v>
      </c>
      <c r="E1128" s="144" t="s">
        <v>256</v>
      </c>
      <c r="F1128" s="168" t="str">
        <f>'Nhân công'!$G$6</f>
        <v>công</v>
      </c>
      <c r="G1128" s="34">
        <f>'Hao phí vật tư'!$H$1129</f>
        <v>13.63</v>
      </c>
      <c r="H1128" s="68">
        <f>'Nhân công'!$M$6</f>
        <v>195231</v>
      </c>
      <c r="I1128" s="37">
        <v>1</v>
      </c>
      <c r="J1128" s="166">
        <f>ROUND(G1128*H1128*I1128,0)</f>
        <v>2660999</v>
      </c>
    </row>
    <row r="1129" spans="1:10" x14ac:dyDescent="0.25">
      <c r="A1129" s="56"/>
      <c r="B1129" s="23"/>
      <c r="C1129" s="88"/>
      <c r="D1129" s="23"/>
      <c r="E1129" s="23" t="s">
        <v>378</v>
      </c>
      <c r="F1129" s="56"/>
      <c r="G1129" s="88"/>
      <c r="H1129" s="48"/>
      <c r="I1129" s="90"/>
      <c r="J1129" s="48">
        <f>ROUND(SUM(J1130:J1131),0)</f>
        <v>1921545</v>
      </c>
    </row>
    <row r="1130" spans="1:10" x14ac:dyDescent="0.25">
      <c r="A1130" s="168"/>
      <c r="B1130" s="144"/>
      <c r="C1130" s="34">
        <v>714</v>
      </c>
      <c r="D1130" s="144" t="str">
        <f>'Máy thi công'!$B$6</f>
        <v>M9438</v>
      </c>
      <c r="E1130" s="144" t="str">
        <f>" - " &amp; 'Máy thi công'!$D$6</f>
        <v xml:space="preserve"> - Biến thế hàn xoay chiều - công suất: 23 kW</v>
      </c>
      <c r="F1130" s="168" t="str">
        <f>'Máy thi công'!$E$6</f>
        <v>ca</v>
      </c>
      <c r="G1130" s="34">
        <f>'Hao phí vật tư'!$I$1131</f>
        <v>3</v>
      </c>
      <c r="H1130" s="68">
        <f>'Máy thi công'!$N$6</f>
        <v>338020</v>
      </c>
      <c r="I1130" s="37">
        <v>1</v>
      </c>
      <c r="J1130" s="166">
        <f>ROUND(G1130*H1130*I1130,0)</f>
        <v>1014060</v>
      </c>
    </row>
    <row r="1131" spans="1:10" x14ac:dyDescent="0.25">
      <c r="A1131" s="168"/>
      <c r="B1131" s="144"/>
      <c r="C1131" s="34">
        <v>733</v>
      </c>
      <c r="D1131" s="144" t="str">
        <f>'Máy thi công'!$B$148</f>
        <v>M9478</v>
      </c>
      <c r="E1131" s="144" t="str">
        <f>" - " &amp; 'Máy thi công'!$D$148</f>
        <v xml:space="preserve"> - Cần trục ô tô - sức nâng: 10 t</v>
      </c>
      <c r="F1131" s="168" t="str">
        <f>'Máy thi công'!$E$148</f>
        <v>ca</v>
      </c>
      <c r="G1131" s="34">
        <f>'Hao phí vật tư'!$I$1132</f>
        <v>0.42</v>
      </c>
      <c r="H1131" s="68">
        <f>'Máy thi công'!$N$148</f>
        <v>2160679</v>
      </c>
      <c r="I1131" s="37">
        <v>1</v>
      </c>
      <c r="J1131" s="166">
        <f>ROUND(G1131*H1131*I1131,0)</f>
        <v>907485</v>
      </c>
    </row>
    <row r="1132" spans="1:10" ht="28.5" x14ac:dyDescent="0.25">
      <c r="A1132" s="65">
        <f>'Công trình'!$A$149</f>
        <v>116</v>
      </c>
      <c r="B1132" s="14" t="str">
        <f>'Công trình'!$B$149</f>
        <v>AC.11121</v>
      </c>
      <c r="C1132" s="94"/>
      <c r="D1132" s="31"/>
      <c r="E1132" s="14" t="str">
        <f>'Công trình'!$C$149</f>
        <v>Đóng cọc tràm chiều dài cọc ngập đất &gt;2,5m đất cấp I</v>
      </c>
      <c r="F1132" s="46" t="str">
        <f>'Công trình'!$D$149</f>
        <v>100m</v>
      </c>
      <c r="G1132" s="94"/>
      <c r="H1132" s="54"/>
      <c r="I1132" s="98"/>
      <c r="J1132" s="54"/>
    </row>
    <row r="1133" spans="1:10" x14ac:dyDescent="0.25">
      <c r="A1133" s="56"/>
      <c r="B1133" s="23"/>
      <c r="C1133" s="88"/>
      <c r="D1133" s="23"/>
      <c r="E1133" s="23" t="s">
        <v>479</v>
      </c>
      <c r="F1133" s="56"/>
      <c r="G1133" s="88"/>
      <c r="H1133" s="48"/>
      <c r="I1133" s="90"/>
      <c r="J1133" s="48">
        <f>ROUND(SUM(J1134:J1137),0)</f>
        <v>767494</v>
      </c>
    </row>
    <row r="1134" spans="1:10" x14ac:dyDescent="0.25">
      <c r="A1134" s="168"/>
      <c r="B1134" s="144"/>
      <c r="C1134" s="34">
        <v>142</v>
      </c>
      <c r="D1134" s="144" t="str">
        <f>'Vật liệu'!$B$307</f>
        <v>V00402</v>
      </c>
      <c r="E1134" s="144" t="str">
        <f>" - " &amp; 'Vật liệu'!$D$307</f>
        <v xml:space="preserve"> - Gỗ ván</v>
      </c>
      <c r="F1134" s="168" t="str">
        <f>'Vật liệu'!$E$307</f>
        <v>m3</v>
      </c>
      <c r="G1134" s="34">
        <f>'Hao phí vật tư'!$G$1135</f>
        <v>0.01</v>
      </c>
      <c r="H1134" s="68">
        <f>'Vật liệu'!$W$307</f>
        <v>3272727</v>
      </c>
      <c r="I1134" s="37">
        <v>1</v>
      </c>
      <c r="J1134" s="166">
        <f>ROUND(G1134*H1134*I1134,0)</f>
        <v>32727</v>
      </c>
    </row>
    <row r="1135" spans="1:10" x14ac:dyDescent="0.25">
      <c r="A1135" s="168"/>
      <c r="B1135" s="144"/>
      <c r="C1135" s="34">
        <v>466</v>
      </c>
      <c r="D1135" s="144" t="str">
        <f>'Vật liệu'!$B$124</f>
        <v>V32325</v>
      </c>
      <c r="E1135" s="144" t="str">
        <f>" - " &amp; 'Vật liệu'!$D$124</f>
        <v xml:space="preserve"> - Cọc tràm</v>
      </c>
      <c r="F1135" s="168" t="str">
        <f>'Vật liệu'!$E$124</f>
        <v>m</v>
      </c>
      <c r="G1135" s="34">
        <f>'Hao phí vật tư'!$G$1136</f>
        <v>105</v>
      </c>
      <c r="H1135" s="68">
        <f>'Vật liệu'!$W$124</f>
        <v>6364</v>
      </c>
      <c r="I1135" s="37">
        <v>1</v>
      </c>
      <c r="J1135" s="166">
        <f>ROUND(G1135*H1135*I1135,0)</f>
        <v>668220</v>
      </c>
    </row>
    <row r="1136" spans="1:10" x14ac:dyDescent="0.25">
      <c r="A1136" s="168"/>
      <c r="B1136" s="144"/>
      <c r="C1136" s="34">
        <v>129</v>
      </c>
      <c r="D1136" s="144" t="str">
        <f>'Vật liệu'!$B$101</f>
        <v>V00116</v>
      </c>
      <c r="E1136" s="144" t="str">
        <f>" - " &amp; 'Vật liệu'!$D$101</f>
        <v xml:space="preserve"> - Cây chống</v>
      </c>
      <c r="F1136" s="168" t="str">
        <f>'Vật liệu'!$E$101</f>
        <v>cây</v>
      </c>
      <c r="G1136" s="34">
        <f>'Hao phí vật tư'!$G$1137</f>
        <v>1.65</v>
      </c>
      <c r="H1136" s="68">
        <f>'Vật liệu'!$W$101</f>
        <v>18182</v>
      </c>
      <c r="I1136" s="37">
        <v>1</v>
      </c>
      <c r="J1136" s="166">
        <f>ROUND(G1136*H1136*I1136,0)</f>
        <v>30000</v>
      </c>
    </row>
    <row r="1137" spans="1:10" x14ac:dyDescent="0.25">
      <c r="A1137" s="168"/>
      <c r="B1137" s="144"/>
      <c r="C1137" s="34">
        <v>264</v>
      </c>
      <c r="D1137" s="144" t="str">
        <f>'Vật liệu'!$B$766</f>
        <v>V00750</v>
      </c>
      <c r="E1137" s="144" t="str">
        <f>" - " &amp; 'Vật liệu'!$D$766</f>
        <v xml:space="preserve"> - Vật liệu khác</v>
      </c>
      <c r="F1137" s="168" t="str">
        <f>'Vật liệu'!$E$766</f>
        <v>%</v>
      </c>
      <c r="G1137" s="34">
        <f>'Hao phí vật tư'!$G$1138</f>
        <v>5</v>
      </c>
      <c r="H1137" s="166">
        <f>'Vật liệu'!$W$766</f>
        <v>0</v>
      </c>
      <c r="I1137" s="37">
        <v>1</v>
      </c>
      <c r="J1137" s="166">
        <f>ROUND((J1134+J1135+J1136)*G1137*I1137/100,0)</f>
        <v>36547</v>
      </c>
    </row>
    <row r="1138" spans="1:10" x14ac:dyDescent="0.25">
      <c r="A1138" s="56"/>
      <c r="B1138" s="23"/>
      <c r="C1138" s="88"/>
      <c r="D1138" s="23"/>
      <c r="E1138" s="23" t="s">
        <v>202</v>
      </c>
      <c r="F1138" s="56"/>
      <c r="G1138" s="88"/>
      <c r="H1138" s="48"/>
      <c r="I1138" s="90"/>
      <c r="J1138" s="48">
        <f>ROUND(SUM(J1139:J1139),0)</f>
        <v>605983</v>
      </c>
    </row>
    <row r="1139" spans="1:10" x14ac:dyDescent="0.25">
      <c r="A1139" s="168"/>
      <c r="B1139" s="144"/>
      <c r="C1139" s="34">
        <v>554</v>
      </c>
      <c r="D1139" s="144" t="str">
        <f>'Nhân công'!$B$103</f>
        <v>N0015</v>
      </c>
      <c r="E1139" s="144" t="s">
        <v>1014</v>
      </c>
      <c r="F1139" s="168" t="str">
        <f>'Nhân công'!$G$103</f>
        <v>công</v>
      </c>
      <c r="G1139" s="34">
        <f>'Hao phí vật tư'!$H$1140</f>
        <v>2.5299999999999998</v>
      </c>
      <c r="H1139" s="68">
        <f>'Nhân công'!$M$103</f>
        <v>239519</v>
      </c>
      <c r="I1139" s="37">
        <v>1</v>
      </c>
      <c r="J1139" s="166">
        <f>ROUND(G1139*H1139*I1139,0)</f>
        <v>605983</v>
      </c>
    </row>
    <row r="1140" spans="1:10" x14ac:dyDescent="0.25">
      <c r="A1140" s="65">
        <f>'Công trình'!$A$150</f>
        <v>117</v>
      </c>
      <c r="B1140" s="14" t="str">
        <f>'Công trình'!$B$150</f>
        <v>AL.16122</v>
      </c>
      <c r="C1140" s="94"/>
      <c r="D1140" s="31"/>
      <c r="E1140" s="14" t="str">
        <f>'Công trình'!$C$150</f>
        <v>Rải vải địa kỹ thuật làm móng công trình</v>
      </c>
      <c r="F1140" s="46" t="str">
        <f>'Công trình'!$D$150</f>
        <v>100m2</v>
      </c>
      <c r="G1140" s="94"/>
      <c r="H1140" s="54"/>
      <c r="I1140" s="98"/>
      <c r="J1140" s="54"/>
    </row>
    <row r="1141" spans="1:10" x14ac:dyDescent="0.25">
      <c r="A1141" s="56"/>
      <c r="B1141" s="23"/>
      <c r="C1141" s="88"/>
      <c r="D1141" s="23"/>
      <c r="E1141" s="23" t="s">
        <v>479</v>
      </c>
      <c r="F1141" s="56"/>
      <c r="G1141" s="88"/>
      <c r="H1141" s="48"/>
      <c r="I1141" s="90"/>
      <c r="J1141" s="48">
        <f>ROUND(SUM(J1142:J1143),0)</f>
        <v>2592044</v>
      </c>
    </row>
    <row r="1142" spans="1:10" x14ac:dyDescent="0.25">
      <c r="A1142" s="168"/>
      <c r="B1142" s="144"/>
      <c r="C1142" s="34">
        <v>174</v>
      </c>
      <c r="D1142" s="144" t="str">
        <f>'Vật liệu'!$B$709</f>
        <v>V00749</v>
      </c>
      <c r="E1142" s="144" t="str">
        <f>" - " &amp; 'Vật liệu'!$D$709</f>
        <v xml:space="preserve"> - Vải địa kỹ thuật</v>
      </c>
      <c r="F1142" s="168" t="str">
        <f>'Vật liệu'!$E$709</f>
        <v>m2</v>
      </c>
      <c r="G1142" s="34">
        <f>'Hao phí vật tư'!$G$1143</f>
        <v>110</v>
      </c>
      <c r="H1142" s="68">
        <f>'Vật liệu'!$W$709</f>
        <v>23517</v>
      </c>
      <c r="I1142" s="37">
        <v>1</v>
      </c>
      <c r="J1142" s="166">
        <f>ROUND(G1142*H1142*I1142,0)</f>
        <v>2586870</v>
      </c>
    </row>
    <row r="1143" spans="1:10" x14ac:dyDescent="0.25">
      <c r="A1143" s="168"/>
      <c r="B1143" s="144"/>
      <c r="C1143" s="34">
        <v>265</v>
      </c>
      <c r="D1143" s="144" t="str">
        <f>'Vật liệu'!$B$766</f>
        <v>V00750</v>
      </c>
      <c r="E1143" s="144" t="str">
        <f>" - " &amp; 'Vật liệu'!$D$766</f>
        <v xml:space="preserve"> - Vật liệu khác</v>
      </c>
      <c r="F1143" s="168" t="str">
        <f>'Vật liệu'!$E$766</f>
        <v>%</v>
      </c>
      <c r="G1143" s="34">
        <f>'Hao phí vật tư'!$G$1144</f>
        <v>0.2</v>
      </c>
      <c r="H1143" s="166">
        <f>'Vật liệu'!$W$766</f>
        <v>0</v>
      </c>
      <c r="I1143" s="37">
        <v>1</v>
      </c>
      <c r="J1143" s="166">
        <f>ROUND((J1142)*G1143*I1143/100,0)</f>
        <v>5174</v>
      </c>
    </row>
    <row r="1144" spans="1:10" x14ac:dyDescent="0.25">
      <c r="A1144" s="56"/>
      <c r="B1144" s="23"/>
      <c r="C1144" s="88"/>
      <c r="D1144" s="23"/>
      <c r="E1144" s="23" t="s">
        <v>202</v>
      </c>
      <c r="F1144" s="56"/>
      <c r="G1144" s="88"/>
      <c r="H1144" s="48"/>
      <c r="I1144" s="90"/>
      <c r="J1144" s="48">
        <f>ROUND(SUM(J1145:J1145),0)</f>
        <v>258681</v>
      </c>
    </row>
    <row r="1145" spans="1:10" x14ac:dyDescent="0.25">
      <c r="A1145" s="168"/>
      <c r="B1145" s="144"/>
      <c r="C1145" s="34">
        <v>554</v>
      </c>
      <c r="D1145" s="144" t="str">
        <f>'Nhân công'!$B$103</f>
        <v>N0015</v>
      </c>
      <c r="E1145" s="144" t="s">
        <v>1014</v>
      </c>
      <c r="F1145" s="168" t="str">
        <f>'Nhân công'!$G$103</f>
        <v>công</v>
      </c>
      <c r="G1145" s="34">
        <f>'Hao phí vật tư'!$H$1146</f>
        <v>1.08</v>
      </c>
      <c r="H1145" s="68">
        <f>'Nhân công'!$M$103</f>
        <v>239519</v>
      </c>
      <c r="I1145" s="37">
        <v>1</v>
      </c>
      <c r="J1145" s="166">
        <f>ROUND(G1145*H1145*I1145,0)</f>
        <v>258681</v>
      </c>
    </row>
    <row r="1146" spans="1:10" ht="28.5" x14ac:dyDescent="0.25">
      <c r="A1146" s="65">
        <f>'Công trình'!$A$151</f>
        <v>118</v>
      </c>
      <c r="B1146" s="14" t="str">
        <f>'Công trình'!$B$151</f>
        <v>TT</v>
      </c>
      <c r="C1146" s="94"/>
      <c r="D1146" s="31"/>
      <c r="E1146" s="14" t="str">
        <f>'Công trình'!$C$151</f>
        <v>Làm tầng lọc đá dăm 1x2 (Tính theo QĐ65/2003/029)</v>
      </c>
      <c r="F1146" s="46" t="str">
        <f>'Công trình'!$D$151</f>
        <v>m3</v>
      </c>
      <c r="G1146" s="94"/>
      <c r="H1146" s="54"/>
      <c r="I1146" s="98"/>
      <c r="J1146" s="54"/>
    </row>
    <row r="1147" spans="1:10" x14ac:dyDescent="0.25">
      <c r="A1147" s="56"/>
      <c r="B1147" s="23"/>
      <c r="C1147" s="88"/>
      <c r="D1147" s="23"/>
      <c r="E1147" s="23" t="s">
        <v>479</v>
      </c>
      <c r="F1147" s="56"/>
      <c r="G1147" s="88"/>
      <c r="H1147" s="48"/>
      <c r="I1147" s="90"/>
      <c r="J1147" s="48">
        <f>ROUND(SUM(J1148:J1148),0)</f>
        <v>440281</v>
      </c>
    </row>
    <row r="1148" spans="1:10" x14ac:dyDescent="0.25">
      <c r="A1148" s="168"/>
      <c r="B1148" s="144"/>
      <c r="C1148" s="34">
        <v>416</v>
      </c>
      <c r="D1148" s="144" t="str">
        <f>'Vật liệu'!$B$142</f>
        <v>V05207</v>
      </c>
      <c r="E1148" s="144" t="str">
        <f>" - " &amp; 'Vật liệu'!$D$142</f>
        <v xml:space="preserve"> - Đá 1x2</v>
      </c>
      <c r="F1148" s="168" t="str">
        <f>'Vật liệu'!$E$142</f>
        <v>m3</v>
      </c>
      <c r="G1148" s="34">
        <f>'Hao phí vật tư'!$G$1149</f>
        <v>1.22</v>
      </c>
      <c r="H1148" s="68">
        <f>'Vật liệu'!$W$142</f>
        <v>360886</v>
      </c>
      <c r="I1148" s="37">
        <v>1</v>
      </c>
      <c r="J1148" s="166">
        <f>ROUND(G1148*H1148*I1148,0)</f>
        <v>440281</v>
      </c>
    </row>
    <row r="1149" spans="1:10" x14ac:dyDescent="0.25">
      <c r="A1149" s="56"/>
      <c r="B1149" s="23"/>
      <c r="C1149" s="88"/>
      <c r="D1149" s="23"/>
      <c r="E1149" s="23" t="s">
        <v>202</v>
      </c>
      <c r="F1149" s="56"/>
      <c r="G1149" s="88"/>
      <c r="H1149" s="48"/>
      <c r="I1149" s="90"/>
      <c r="J1149" s="48">
        <f>ROUND(SUM(J1150:J1150),0)</f>
        <v>459343</v>
      </c>
    </row>
    <row r="1150" spans="1:10" x14ac:dyDescent="0.25">
      <c r="A1150" s="168"/>
      <c r="B1150" s="144"/>
      <c r="C1150" s="34">
        <v>546</v>
      </c>
      <c r="D1150" s="144" t="str">
        <f>'Nhân công'!$B$45</f>
        <v>N0009</v>
      </c>
      <c r="E1150" s="144" t="s">
        <v>1052</v>
      </c>
      <c r="F1150" s="168" t="str">
        <f>'Nhân công'!$G$45</f>
        <v>công</v>
      </c>
      <c r="G1150" s="34">
        <f>'Hao phí vật tư'!$H$1151</f>
        <v>2.1579999999999999</v>
      </c>
      <c r="H1150" s="68">
        <f>'Nhân công'!$M$45</f>
        <v>212856</v>
      </c>
      <c r="I1150" s="37">
        <v>1</v>
      </c>
      <c r="J1150" s="166">
        <f>ROUND(G1150*H1150*I1150,0)</f>
        <v>459343</v>
      </c>
    </row>
    <row r="1151" spans="1:10" x14ac:dyDescent="0.25">
      <c r="A1151" s="65">
        <f>'Công trình'!$A$152</f>
        <v>119</v>
      </c>
      <c r="B1151" s="14" t="str">
        <f>'Công trình'!$B$152</f>
        <v>AB.13411</v>
      </c>
      <c r="C1151" s="94"/>
      <c r="D1151" s="31"/>
      <c r="E1151" s="14" t="str">
        <f>'Công trình'!$C$152</f>
        <v>Đắp cát nền móng công trình</v>
      </c>
      <c r="F1151" s="46" t="str">
        <f>'Công trình'!$D$152</f>
        <v>m3</v>
      </c>
      <c r="G1151" s="94"/>
      <c r="H1151" s="54"/>
      <c r="I1151" s="98"/>
      <c r="J1151" s="54"/>
    </row>
    <row r="1152" spans="1:10" x14ac:dyDescent="0.25">
      <c r="A1152" s="56"/>
      <c r="B1152" s="23"/>
      <c r="C1152" s="88"/>
      <c r="D1152" s="23"/>
      <c r="E1152" s="23" t="s">
        <v>479</v>
      </c>
      <c r="F1152" s="56"/>
      <c r="G1152" s="88"/>
      <c r="H1152" s="48"/>
      <c r="I1152" s="90"/>
      <c r="J1152" s="48">
        <f>ROUND(SUM(J1153:J1154),0)</f>
        <v>279990</v>
      </c>
    </row>
    <row r="1153" spans="1:10" x14ac:dyDescent="0.25">
      <c r="A1153" s="168"/>
      <c r="B1153" s="144"/>
      <c r="C1153" s="34">
        <v>127</v>
      </c>
      <c r="D1153" s="144" t="str">
        <f>'Vật liệu'!$B$45</f>
        <v>V00113</v>
      </c>
      <c r="E1153" s="144" t="str">
        <f>" - " &amp; 'Vật liệu'!$D$45</f>
        <v xml:space="preserve"> - Cát đen</v>
      </c>
      <c r="F1153" s="168" t="str">
        <f>'Vật liệu'!$E$45</f>
        <v>m3</v>
      </c>
      <c r="G1153" s="34">
        <f>'Hao phí vật tư'!$G$1154</f>
        <v>1.22</v>
      </c>
      <c r="H1153" s="68">
        <f>'Vật liệu'!$W$45</f>
        <v>225000</v>
      </c>
      <c r="I1153" s="37">
        <v>1</v>
      </c>
      <c r="J1153" s="166">
        <f>ROUND(G1153*H1153*I1153,0)</f>
        <v>274500</v>
      </c>
    </row>
    <row r="1154" spans="1:10" x14ac:dyDescent="0.25">
      <c r="A1154" s="168"/>
      <c r="B1154" s="144"/>
      <c r="C1154" s="34">
        <v>266</v>
      </c>
      <c r="D1154" s="144" t="str">
        <f>'Vật liệu'!$B$766</f>
        <v>V00750</v>
      </c>
      <c r="E1154" s="144" t="str">
        <f>" - " &amp; 'Vật liệu'!$D$766</f>
        <v xml:space="preserve"> - Vật liệu khác</v>
      </c>
      <c r="F1154" s="168" t="str">
        <f>'Vật liệu'!$E$766</f>
        <v>%</v>
      </c>
      <c r="G1154" s="34">
        <f>'Hao phí vật tư'!$G$1155</f>
        <v>2</v>
      </c>
      <c r="H1154" s="166">
        <f>'Vật liệu'!$W$766</f>
        <v>0</v>
      </c>
      <c r="I1154" s="37">
        <v>1</v>
      </c>
      <c r="J1154" s="166">
        <f>ROUND((J1153)*G1154*I1154/100,0)</f>
        <v>5490</v>
      </c>
    </row>
    <row r="1155" spans="1:10" x14ac:dyDescent="0.25">
      <c r="A1155" s="56"/>
      <c r="B1155" s="23"/>
      <c r="C1155" s="88"/>
      <c r="D1155" s="23"/>
      <c r="E1155" s="23" t="s">
        <v>202</v>
      </c>
      <c r="F1155" s="56"/>
      <c r="G1155" s="88"/>
      <c r="H1155" s="48"/>
      <c r="I1155" s="90"/>
      <c r="J1155" s="48">
        <f>ROUND(SUM(J1156:J1156),0)</f>
        <v>87854</v>
      </c>
    </row>
    <row r="1156" spans="1:10" x14ac:dyDescent="0.25">
      <c r="A1156" s="168"/>
      <c r="B1156" s="144"/>
      <c r="C1156" s="34">
        <v>545</v>
      </c>
      <c r="D1156" s="144" t="str">
        <f>'Nhân công'!$B$6</f>
        <v>N0006</v>
      </c>
      <c r="E1156" s="144" t="s">
        <v>256</v>
      </c>
      <c r="F1156" s="168" t="str">
        <f>'Nhân công'!$G$6</f>
        <v>công</v>
      </c>
      <c r="G1156" s="34">
        <f>'Hao phí vật tư'!$H$1157</f>
        <v>0.45</v>
      </c>
      <c r="H1156" s="68">
        <f>'Nhân công'!$M$6</f>
        <v>195231</v>
      </c>
      <c r="I1156" s="37">
        <v>1</v>
      </c>
      <c r="J1156" s="166">
        <f>ROUND(G1156*H1156*I1156,0)</f>
        <v>87854</v>
      </c>
    </row>
    <row r="1157" spans="1:10" ht="42.75" x14ac:dyDescent="0.25">
      <c r="A1157" s="65">
        <f>'Công trình'!$A$153</f>
        <v>120</v>
      </c>
      <c r="B1157" s="14" t="str">
        <f>'Công trình'!$B$153</f>
        <v>AB.81144</v>
      </c>
      <c r="C1157" s="94"/>
      <c r="D1157" s="31"/>
      <c r="E1157" s="14" t="str">
        <f>'Công trình'!$C$153</f>
        <v>Nạo vét đất pha cát từ 15-20%, đất bùn lỏng ở kênh mương bằng máy đào gầu dây 0,65m3, chiều cao đổ đất &gt;3</v>
      </c>
      <c r="F1157" s="46" t="str">
        <f>'Công trình'!$D$153</f>
        <v>100m3</v>
      </c>
      <c r="G1157" s="94"/>
      <c r="H1157" s="54"/>
      <c r="I1157" s="98"/>
      <c r="J1157" s="54"/>
    </row>
    <row r="1158" spans="1:10" x14ac:dyDescent="0.25">
      <c r="A1158" s="56"/>
      <c r="B1158" s="23"/>
      <c r="C1158" s="88"/>
      <c r="D1158" s="23"/>
      <c r="E1158" s="23" t="s">
        <v>202</v>
      </c>
      <c r="F1158" s="56"/>
      <c r="G1158" s="88"/>
      <c r="H1158" s="48"/>
      <c r="I1158" s="90"/>
      <c r="J1158" s="48">
        <f>ROUND(SUM(J1159:J1159),0)</f>
        <v>345722</v>
      </c>
    </row>
    <row r="1159" spans="1:10" x14ac:dyDescent="0.25">
      <c r="A1159" s="168"/>
      <c r="B1159" s="144"/>
      <c r="C1159" s="34">
        <v>550</v>
      </c>
      <c r="D1159" s="144" t="str">
        <f>'Nhân công'!$B$130</f>
        <v>N0011</v>
      </c>
      <c r="E1159" s="144" t="s">
        <v>671</v>
      </c>
      <c r="F1159" s="168" t="str">
        <f>'Nhân công'!$G$130</f>
        <v>công</v>
      </c>
      <c r="G1159" s="34">
        <f>'Hao phí vật tư'!$H$1160</f>
        <v>1.5</v>
      </c>
      <c r="H1159" s="68">
        <f>'Nhân công'!$M$130</f>
        <v>230481</v>
      </c>
      <c r="I1159" s="37">
        <v>1</v>
      </c>
      <c r="J1159" s="166">
        <f>ROUND(G1159*H1159*I1159,0)</f>
        <v>345722</v>
      </c>
    </row>
    <row r="1160" spans="1:10" x14ac:dyDescent="0.25">
      <c r="A1160" s="56"/>
      <c r="B1160" s="23"/>
      <c r="C1160" s="88"/>
      <c r="D1160" s="23"/>
      <c r="E1160" s="23" t="s">
        <v>378</v>
      </c>
      <c r="F1160" s="56"/>
      <c r="G1160" s="88"/>
      <c r="H1160" s="48"/>
      <c r="I1160" s="90"/>
      <c r="J1160" s="48">
        <f>ROUND(SUM(J1161:J1162),0)</f>
        <v>2703558</v>
      </c>
    </row>
    <row r="1161" spans="1:10" x14ac:dyDescent="0.25">
      <c r="A1161" s="168"/>
      <c r="B1161" s="144"/>
      <c r="C1161" s="34">
        <v>755</v>
      </c>
      <c r="D1161" s="144" t="str">
        <f>'Máy thi công'!$B$384</f>
        <v>M9596</v>
      </c>
      <c r="E1161" s="144" t="str">
        <f>" - " &amp; 'Máy thi công'!$D$384</f>
        <v xml:space="preserve"> - Sà lan - trọng tải: 250 t</v>
      </c>
      <c r="F1161" s="168" t="str">
        <f>'Máy thi công'!$E$384</f>
        <v>ca</v>
      </c>
      <c r="G1161" s="34">
        <f>'Hao phí vật tư'!$I$1162</f>
        <v>0.72</v>
      </c>
      <c r="H1161" s="68">
        <f>'Máy thi công'!$N$384</f>
        <v>1107704</v>
      </c>
      <c r="I1161" s="37">
        <v>1</v>
      </c>
      <c r="J1161" s="166">
        <f>ROUND(G1161*H1161*I1161,0)</f>
        <v>797547</v>
      </c>
    </row>
    <row r="1162" spans="1:10" ht="30" x14ac:dyDescent="0.25">
      <c r="A1162" s="168"/>
      <c r="B1162" s="144"/>
      <c r="C1162" s="34">
        <v>749</v>
      </c>
      <c r="D1162" s="144" t="str">
        <f>'Máy thi công'!$B$267</f>
        <v>M9567</v>
      </c>
      <c r="E1162" s="144" t="str">
        <f>" - " &amp; 'Máy thi công'!$D$267</f>
        <v xml:space="preserve"> - Máy đào gầu ngoạm (gầu dây) - dung tích gầu: 0,65 m3</v>
      </c>
      <c r="F1162" s="168" t="str">
        <f>'Máy thi công'!$E$267</f>
        <v>ca</v>
      </c>
      <c r="G1162" s="34">
        <f>'Hao phí vật tư'!$I$1163</f>
        <v>0.72</v>
      </c>
      <c r="H1162" s="68">
        <f>'Máy thi công'!$N$267</f>
        <v>2647237</v>
      </c>
      <c r="I1162" s="37">
        <v>1</v>
      </c>
      <c r="J1162" s="166">
        <f>ROUND(G1162*H1162*I1162,0)</f>
        <v>1906011</v>
      </c>
    </row>
    <row r="1163" spans="1:10" ht="28.5" x14ac:dyDescent="0.25">
      <c r="A1163" s="65">
        <f>'Công trình'!$A$154</f>
        <v>121</v>
      </c>
      <c r="B1163" s="14" t="str">
        <f>'Công trình'!$B$154</f>
        <v>AB.36120</v>
      </c>
      <c r="C1163" s="94"/>
      <c r="D1163" s="31"/>
      <c r="E1163" s="14" t="str">
        <f>'Công trình'!$C$154</f>
        <v>Xói hút bùn trong khung vây phòng nước, các trụ dưới nước</v>
      </c>
      <c r="F1163" s="46" t="str">
        <f>'Công trình'!$D$154</f>
        <v>m3</v>
      </c>
      <c r="G1163" s="94"/>
      <c r="H1163" s="54"/>
      <c r="I1163" s="98"/>
      <c r="J1163" s="54"/>
    </row>
    <row r="1164" spans="1:10" x14ac:dyDescent="0.25">
      <c r="A1164" s="56"/>
      <c r="B1164" s="23"/>
      <c r="C1164" s="88"/>
      <c r="D1164" s="23"/>
      <c r="E1164" s="23" t="s">
        <v>479</v>
      </c>
      <c r="F1164" s="56"/>
      <c r="G1164" s="88"/>
      <c r="H1164" s="48"/>
      <c r="I1164" s="90"/>
      <c r="J1164" s="48">
        <f>ROUND(SUM(J1165:J1168),0)</f>
        <v>6542</v>
      </c>
    </row>
    <row r="1165" spans="1:10" x14ac:dyDescent="0.25">
      <c r="A1165" s="168"/>
      <c r="B1165" s="144"/>
      <c r="C1165" s="34">
        <v>515</v>
      </c>
      <c r="D1165" s="144" t="str">
        <f>'Vật liệu'!$B$438</f>
        <v>V49108</v>
      </c>
      <c r="E1165" s="144" t="str">
        <f>" - " &amp; 'Vật liệu'!$D$438</f>
        <v xml:space="preserve"> - Ống xói đường kính 250mm</v>
      </c>
      <c r="F1165" s="168" t="str">
        <f>'Vật liệu'!$E$438</f>
        <v>m</v>
      </c>
      <c r="G1165" s="34">
        <f>'Hao phí vật tư'!$G$1166</f>
        <v>5.0000000000000001E-3</v>
      </c>
      <c r="H1165" s="68">
        <f>'Vật liệu'!$W$438</f>
        <v>837000</v>
      </c>
      <c r="I1165" s="37">
        <v>1</v>
      </c>
      <c r="J1165" s="166">
        <f>ROUND(G1165*H1165*I1165,0)</f>
        <v>4185</v>
      </c>
    </row>
    <row r="1166" spans="1:10" x14ac:dyDescent="0.25">
      <c r="A1166" s="168"/>
      <c r="B1166" s="144"/>
      <c r="C1166" s="34">
        <v>516</v>
      </c>
      <c r="D1166" s="144" t="str">
        <f>'Vật liệu'!$B$440</f>
        <v>V49109</v>
      </c>
      <c r="E1166" s="144" t="str">
        <f>" - " &amp; 'Vật liệu'!$D$440</f>
        <v xml:space="preserve"> - Ống xói đường kính 50mm</v>
      </c>
      <c r="F1166" s="168" t="str">
        <f>'Vật liệu'!$E$440</f>
        <v>m</v>
      </c>
      <c r="G1166" s="34">
        <f>'Hao phí vật tư'!$G$1167</f>
        <v>5.0000000000000001E-3</v>
      </c>
      <c r="H1166" s="68">
        <f>'Vật liệu'!$W$440</f>
        <v>15000</v>
      </c>
      <c r="I1166" s="37">
        <v>1</v>
      </c>
      <c r="J1166" s="166">
        <f>ROUND(G1166*H1166*I1166,0)</f>
        <v>75</v>
      </c>
    </row>
    <row r="1167" spans="1:10" x14ac:dyDescent="0.25">
      <c r="A1167" s="168"/>
      <c r="B1167" s="144"/>
      <c r="C1167" s="34">
        <v>514</v>
      </c>
      <c r="D1167" s="144" t="str">
        <f>'Vật liệu'!$B$436</f>
        <v>V49107</v>
      </c>
      <c r="E1167" s="144" t="str">
        <f>" - " &amp; 'Vật liệu'!$D$436</f>
        <v xml:space="preserve"> - Ống xói đường kính 150mm</v>
      </c>
      <c r="F1167" s="168" t="str">
        <f>'Vật liệu'!$E$436</f>
        <v>m</v>
      </c>
      <c r="G1167" s="34">
        <f>'Hao phí vật tư'!$G$1168</f>
        <v>5.0000000000000001E-3</v>
      </c>
      <c r="H1167" s="68">
        <f>'Vật liệu'!$W$436</f>
        <v>393955</v>
      </c>
      <c r="I1167" s="37">
        <v>1</v>
      </c>
      <c r="J1167" s="166">
        <f>ROUND(G1167*H1167*I1167,0)</f>
        <v>1970</v>
      </c>
    </row>
    <row r="1168" spans="1:10" x14ac:dyDescent="0.25">
      <c r="A1168" s="168"/>
      <c r="B1168" s="144"/>
      <c r="C1168" s="34">
        <v>267</v>
      </c>
      <c r="D1168" s="144" t="str">
        <f>'Vật liệu'!$B$766</f>
        <v>V00750</v>
      </c>
      <c r="E1168" s="144" t="str">
        <f>" - " &amp; 'Vật liệu'!$D$766</f>
        <v xml:space="preserve"> - Vật liệu khác</v>
      </c>
      <c r="F1168" s="168" t="str">
        <f>'Vật liệu'!$E$766</f>
        <v>%</v>
      </c>
      <c r="G1168" s="34">
        <f>'Hao phí vật tư'!$G$1169</f>
        <v>5</v>
      </c>
      <c r="H1168" s="166">
        <f>'Vật liệu'!$W$766</f>
        <v>0</v>
      </c>
      <c r="I1168" s="37">
        <v>1</v>
      </c>
      <c r="J1168" s="166">
        <f>ROUND((J1165+J1166+J1167)*G1168*I1168/100,0)</f>
        <v>312</v>
      </c>
    </row>
    <row r="1169" spans="1:10" x14ac:dyDescent="0.25">
      <c r="A1169" s="56"/>
      <c r="B1169" s="23"/>
      <c r="C1169" s="88"/>
      <c r="D1169" s="23"/>
      <c r="E1169" s="23" t="s">
        <v>202</v>
      </c>
      <c r="F1169" s="56"/>
      <c r="G1169" s="88"/>
      <c r="H1169" s="48"/>
      <c r="I1169" s="90"/>
      <c r="J1169" s="48">
        <f>ROUND(SUM(J1170:J1170),0)</f>
        <v>149220</v>
      </c>
    </row>
    <row r="1170" spans="1:10" x14ac:dyDescent="0.25">
      <c r="A1170" s="168"/>
      <c r="B1170" s="144"/>
      <c r="C1170" s="34">
        <v>556</v>
      </c>
      <c r="D1170" s="144" t="str">
        <f>'Nhân công'!$B$230</f>
        <v>N0021</v>
      </c>
      <c r="E1170" s="144" t="s">
        <v>225</v>
      </c>
      <c r="F1170" s="168" t="str">
        <f>'Nhân công'!$G$230</f>
        <v>công</v>
      </c>
      <c r="G1170" s="34">
        <f>'Hao phí vật tư'!$H$1171</f>
        <v>0.53</v>
      </c>
      <c r="H1170" s="68">
        <f>'Nhân công'!$M$230</f>
        <v>281548</v>
      </c>
      <c r="I1170" s="37">
        <v>1</v>
      </c>
      <c r="J1170" s="166">
        <f>ROUND(G1170*H1170*I1170,0)</f>
        <v>149220</v>
      </c>
    </row>
    <row r="1171" spans="1:10" x14ac:dyDescent="0.25">
      <c r="A1171" s="56"/>
      <c r="B1171" s="23"/>
      <c r="C1171" s="88"/>
      <c r="D1171" s="23"/>
      <c r="E1171" s="23" t="s">
        <v>378</v>
      </c>
      <c r="F1171" s="56"/>
      <c r="G1171" s="88"/>
      <c r="H1171" s="48"/>
      <c r="I1171" s="90"/>
      <c r="J1171" s="48">
        <f>ROUND(SUM(J1172:J1178),0)</f>
        <v>893511</v>
      </c>
    </row>
    <row r="1172" spans="1:10" x14ac:dyDescent="0.25">
      <c r="A1172" s="168"/>
      <c r="B1172" s="144"/>
      <c r="C1172" s="34">
        <v>724</v>
      </c>
      <c r="D1172" s="144" t="str">
        <f>'Máy thi công'!$B$111</f>
        <v>M9464</v>
      </c>
      <c r="E1172" s="144" t="str">
        <f>" - " &amp; 'Máy thi công'!$D$111</f>
        <v xml:space="preserve"> - Cần cẩu nổi: Kéo theo - sức nâng 30 t</v>
      </c>
      <c r="F1172" s="168" t="str">
        <f>'Máy thi công'!$E$111</f>
        <v>ca</v>
      </c>
      <c r="G1172" s="34">
        <f>'Hao phí vật tư'!$I$1173</f>
        <v>6.5000000000000002E-2</v>
      </c>
      <c r="H1172" s="68">
        <f>'Máy thi công'!$N$111</f>
        <v>6407835</v>
      </c>
      <c r="I1172" s="37">
        <v>1</v>
      </c>
      <c r="J1172" s="166">
        <f t="shared" ref="J1172:J1177" si="11">ROUND(G1172*H1172*I1172,0)</f>
        <v>416509</v>
      </c>
    </row>
    <row r="1173" spans="1:10" x14ac:dyDescent="0.25">
      <c r="A1173" s="168"/>
      <c r="B1173" s="144"/>
      <c r="C1173" s="34">
        <v>561</v>
      </c>
      <c r="D1173" s="144" t="str">
        <f>'Máy thi công'!$B$173</f>
        <v>M0055</v>
      </c>
      <c r="E1173" s="144" t="str">
        <f>" - " &amp; 'Máy thi công'!$D$173</f>
        <v xml:space="preserve"> - Máy bơm nước 200m3/h</v>
      </c>
      <c r="F1173" s="168" t="str">
        <f>'Máy thi công'!$E$173</f>
        <v>ca</v>
      </c>
      <c r="G1173" s="34">
        <f>'Hao phí vật tư'!$I$1174</f>
        <v>6.5000000000000002E-2</v>
      </c>
      <c r="H1173" s="68">
        <f>'Máy thi công'!$N$173</f>
        <v>1344336</v>
      </c>
      <c r="I1173" s="37">
        <v>1</v>
      </c>
      <c r="J1173" s="166">
        <f t="shared" si="11"/>
        <v>87382</v>
      </c>
    </row>
    <row r="1174" spans="1:10" x14ac:dyDescent="0.25">
      <c r="A1174" s="168"/>
      <c r="B1174" s="144"/>
      <c r="C1174" s="34">
        <v>723</v>
      </c>
      <c r="D1174" s="144" t="str">
        <f>'Máy thi công'!$B$109</f>
        <v>M9455</v>
      </c>
      <c r="E1174" s="144" t="str">
        <f>" - " &amp; 'Máy thi công'!$D$109</f>
        <v xml:space="preserve"> - Ca nô - công suất: 150 cv</v>
      </c>
      <c r="F1174" s="168" t="str">
        <f>'Máy thi công'!$E$109</f>
        <v>ca</v>
      </c>
      <c r="G1174" s="34">
        <f>'Hao phí vật tư'!$I$1175</f>
        <v>1E-3</v>
      </c>
      <c r="H1174" s="68">
        <f>'Máy thi công'!$N$109</f>
        <v>1549525</v>
      </c>
      <c r="I1174" s="37">
        <v>1</v>
      </c>
      <c r="J1174" s="166">
        <f t="shared" si="11"/>
        <v>1550</v>
      </c>
    </row>
    <row r="1175" spans="1:10" ht="30" x14ac:dyDescent="0.25">
      <c r="A1175" s="168"/>
      <c r="B1175" s="144"/>
      <c r="C1175" s="34">
        <v>739</v>
      </c>
      <c r="D1175" s="144" t="str">
        <f>'Máy thi công'!$B$293</f>
        <v>M9536</v>
      </c>
      <c r="E1175" s="144" t="str">
        <f>" - " &amp; 'Máy thi công'!$D$293</f>
        <v xml:space="preserve"> - Máy nén khí, động cơ diezel - năng suất: 1200 m3/h</v>
      </c>
      <c r="F1175" s="168" t="str">
        <f>'Máy thi công'!$E$293</f>
        <v>ca</v>
      </c>
      <c r="G1175" s="34">
        <f>'Hao phí vật tư'!$I$1176</f>
        <v>6.5000000000000002E-2</v>
      </c>
      <c r="H1175" s="68">
        <f>'Máy thi công'!$N$293</f>
        <v>2594313</v>
      </c>
      <c r="I1175" s="37">
        <v>1</v>
      </c>
      <c r="J1175" s="166">
        <f t="shared" si="11"/>
        <v>168630</v>
      </c>
    </row>
    <row r="1176" spans="1:10" x14ac:dyDescent="0.25">
      <c r="A1176" s="168"/>
      <c r="B1176" s="144"/>
      <c r="C1176" s="34">
        <v>712</v>
      </c>
      <c r="D1176" s="144" t="str">
        <f>'Máy thi công'!$B$175</f>
        <v>M8978</v>
      </c>
      <c r="E1176" s="144" t="str">
        <f>" - " &amp; 'Máy thi công'!$D$175</f>
        <v xml:space="preserve"> - Máy bơm xói 4MC (75 kW)</v>
      </c>
      <c r="F1176" s="168" t="str">
        <f>'Máy thi công'!$E$175</f>
        <v>ca</v>
      </c>
      <c r="G1176" s="34">
        <f>'Hao phí vật tư'!$I$1177</f>
        <v>6.5000000000000002E-2</v>
      </c>
      <c r="H1176" s="68">
        <f>'Máy thi công'!$N$175</f>
        <v>669062</v>
      </c>
      <c r="I1176" s="37">
        <v>1</v>
      </c>
      <c r="J1176" s="166">
        <f t="shared" si="11"/>
        <v>43489</v>
      </c>
    </row>
    <row r="1177" spans="1:10" x14ac:dyDescent="0.25">
      <c r="A1177" s="168"/>
      <c r="B1177" s="144"/>
      <c r="C1177" s="34">
        <v>756</v>
      </c>
      <c r="D1177" s="144" t="str">
        <f>'Máy thi công'!$B$389</f>
        <v>M9598</v>
      </c>
      <c r="E1177" s="144" t="str">
        <f>" - " &amp; 'Máy thi công'!$D$389</f>
        <v xml:space="preserve"> - Sà lan - trọng tải: 400 t</v>
      </c>
      <c r="F1177" s="168" t="str">
        <f>'Máy thi công'!$E$389</f>
        <v>ca</v>
      </c>
      <c r="G1177" s="34">
        <f>'Hao phí vật tư'!$I$1178</f>
        <v>0.1</v>
      </c>
      <c r="H1177" s="68">
        <f>'Máy thi công'!$N$389</f>
        <v>1334033</v>
      </c>
      <c r="I1177" s="37">
        <v>1</v>
      </c>
      <c r="J1177" s="166">
        <f t="shared" si="11"/>
        <v>133403</v>
      </c>
    </row>
    <row r="1178" spans="1:10" x14ac:dyDescent="0.25">
      <c r="A1178" s="168"/>
      <c r="B1178" s="144"/>
      <c r="C1178" s="34">
        <v>616</v>
      </c>
      <c r="D1178" s="144" t="str">
        <f>'Máy thi công'!$B$398</f>
        <v>M0111</v>
      </c>
      <c r="E1178" s="144" t="str">
        <f>" - " &amp; 'Máy thi công'!$D$398</f>
        <v xml:space="preserve"> - Máy khác</v>
      </c>
      <c r="F1178" s="168" t="str">
        <f>'Máy thi công'!$E$398</f>
        <v>%</v>
      </c>
      <c r="G1178" s="34">
        <f>'Hao phí vật tư'!$I$1179</f>
        <v>5</v>
      </c>
      <c r="H1178" s="166">
        <f>'Máy thi công'!$N$398</f>
        <v>0</v>
      </c>
      <c r="I1178" s="37">
        <v>1</v>
      </c>
      <c r="J1178" s="166">
        <f>ROUND((J1172+J1173+J1174+J1175+J1176+J1177)*G1178*I1178/100,0)</f>
        <v>42548</v>
      </c>
    </row>
    <row r="1179" spans="1:10" ht="28.5" x14ac:dyDescent="0.25">
      <c r="A1179" s="65">
        <f>'Công trình'!$A$155</f>
        <v>122</v>
      </c>
      <c r="B1179" s="14" t="str">
        <f>'Công trình'!$B$155</f>
        <v>AB.65120</v>
      </c>
      <c r="C1179" s="94"/>
      <c r="D1179" s="31"/>
      <c r="E1179" s="14" t="str">
        <f>'Công trình'!$C$155</f>
        <v>Đắp đất công trình bằng đầm cóc, độ chặt K=0,90</v>
      </c>
      <c r="F1179" s="46" t="str">
        <f>'Công trình'!$D$155</f>
        <v>100m3</v>
      </c>
      <c r="G1179" s="94"/>
      <c r="H1179" s="54"/>
      <c r="I1179" s="98"/>
      <c r="J1179" s="54"/>
    </row>
    <row r="1180" spans="1:10" x14ac:dyDescent="0.25">
      <c r="A1180" s="56"/>
      <c r="B1180" s="23"/>
      <c r="C1180" s="88"/>
      <c r="D1180" s="23"/>
      <c r="E1180" s="23" t="s">
        <v>202</v>
      </c>
      <c r="F1180" s="56"/>
      <c r="G1180" s="88"/>
      <c r="H1180" s="48"/>
      <c r="I1180" s="90"/>
      <c r="J1180" s="48">
        <f>ROUND(SUM(J1181:J1181),0)</f>
        <v>2037452</v>
      </c>
    </row>
    <row r="1181" spans="1:10" x14ac:dyDescent="0.25">
      <c r="A1181" s="168"/>
      <c r="B1181" s="144"/>
      <c r="C1181" s="34">
        <v>550</v>
      </c>
      <c r="D1181" s="144" t="str">
        <f>'Nhân công'!$B$130</f>
        <v>N0011</v>
      </c>
      <c r="E1181" s="144" t="s">
        <v>671</v>
      </c>
      <c r="F1181" s="168" t="str">
        <f>'Nhân công'!$G$130</f>
        <v>công</v>
      </c>
      <c r="G1181" s="34">
        <f>'Hao phí vật tư'!$H$1182</f>
        <v>8.84</v>
      </c>
      <c r="H1181" s="68">
        <f>'Nhân công'!$M$130</f>
        <v>230481</v>
      </c>
      <c r="I1181" s="37">
        <v>1</v>
      </c>
      <c r="J1181" s="166">
        <f>ROUND(G1181*H1181*I1181,0)</f>
        <v>2037452</v>
      </c>
    </row>
    <row r="1182" spans="1:10" x14ac:dyDescent="0.25">
      <c r="A1182" s="56"/>
      <c r="B1182" s="23"/>
      <c r="C1182" s="88"/>
      <c r="D1182" s="23"/>
      <c r="E1182" s="23" t="s">
        <v>378</v>
      </c>
      <c r="F1182" s="56"/>
      <c r="G1182" s="88"/>
      <c r="H1182" s="48"/>
      <c r="I1182" s="90"/>
      <c r="J1182" s="48">
        <f>ROUND(SUM(J1183:J1183),0)</f>
        <v>1401980</v>
      </c>
    </row>
    <row r="1183" spans="1:10" x14ac:dyDescent="0.25">
      <c r="A1183" s="168"/>
      <c r="B1183" s="144"/>
      <c r="C1183" s="34">
        <v>752</v>
      </c>
      <c r="D1183" s="144" t="str">
        <f>'Máy thi công'!$B$258</f>
        <v>M9577</v>
      </c>
      <c r="E1183" s="144" t="str">
        <f>" - " &amp; 'Máy thi công'!$D$258</f>
        <v xml:space="preserve"> - Máy đầm đất cầm tay - trọng lượng : 60 kg</v>
      </c>
      <c r="F1183" s="168" t="str">
        <f>'Máy thi công'!$E$258</f>
        <v>ca</v>
      </c>
      <c r="G1183" s="34">
        <f>'Hao phí vật tư'!$I$1184</f>
        <v>4.42</v>
      </c>
      <c r="H1183" s="68">
        <f>'Máy thi công'!$N$258</f>
        <v>317190</v>
      </c>
      <c r="I1183" s="37">
        <v>1</v>
      </c>
      <c r="J1183" s="166">
        <f>ROUND(G1183*H1183*I1183,0)</f>
        <v>1401980</v>
      </c>
    </row>
    <row r="1184" spans="1:10" x14ac:dyDescent="0.25">
      <c r="A1184" s="65">
        <f>'Công trình'!$A$157</f>
        <v>123</v>
      </c>
      <c r="B1184" s="14" t="str">
        <f>'Công trình'!$B$157</f>
        <v>AI.11912</v>
      </c>
      <c r="C1184" s="94"/>
      <c r="D1184" s="31"/>
      <c r="E1184" s="14" t="str">
        <f>'Công trình'!$C$157</f>
        <v>Sản xuất cầu công tác</v>
      </c>
      <c r="F1184" s="46" t="str">
        <f>'Công trình'!$D$157</f>
        <v>tấn</v>
      </c>
      <c r="G1184" s="94"/>
      <c r="H1184" s="54"/>
      <c r="I1184" s="98"/>
      <c r="J1184" s="54"/>
    </row>
    <row r="1185" spans="1:10" x14ac:dyDescent="0.25">
      <c r="A1185" s="56"/>
      <c r="B1185" s="23"/>
      <c r="C1185" s="88"/>
      <c r="D1185" s="23"/>
      <c r="E1185" s="23" t="s">
        <v>479</v>
      </c>
      <c r="F1185" s="56"/>
      <c r="G1185" s="88"/>
      <c r="H1185" s="48"/>
      <c r="I1185" s="90"/>
      <c r="J1185" s="48">
        <f>ROUND(SUM(J1186:J1191),0)</f>
        <v>766340</v>
      </c>
    </row>
    <row r="1186" spans="1:10" x14ac:dyDescent="0.25">
      <c r="A1186" s="168"/>
      <c r="B1186" s="144"/>
      <c r="C1186" s="34">
        <v>400</v>
      </c>
      <c r="D1186" s="144" t="str">
        <f>'Vật liệu'!$B$401</f>
        <v>V00770</v>
      </c>
      <c r="E1186" s="144" t="str">
        <f>" - " &amp; 'Vật liệu'!$D$401</f>
        <v xml:space="preserve"> - Ô xy</v>
      </c>
      <c r="F1186" s="168" t="str">
        <f>'Vật liệu'!$E$401</f>
        <v>Chai</v>
      </c>
      <c r="G1186" s="34">
        <f>'Hao phí vật tư'!$G$1187</f>
        <v>2.1</v>
      </c>
      <c r="H1186" s="68">
        <f>'Vật liệu'!$W$401</f>
        <v>72000</v>
      </c>
      <c r="I1186" s="37">
        <v>1</v>
      </c>
      <c r="J1186" s="166">
        <f>ROUND(G1186*H1186*I1186,0)</f>
        <v>151200</v>
      </c>
    </row>
    <row r="1187" spans="1:10" x14ac:dyDescent="0.25">
      <c r="A1187" s="168"/>
      <c r="B1187" s="144"/>
      <c r="C1187" s="34">
        <v>411</v>
      </c>
      <c r="D1187" s="144" t="str">
        <f>'Vật liệu'!$B$200</f>
        <v>V00833</v>
      </c>
      <c r="E1187" s="144" t="str">
        <f>" - " &amp; 'Vật liệu'!$D$200</f>
        <v xml:space="preserve"> - Đất đèn</v>
      </c>
      <c r="F1187" s="168" t="str">
        <f>'Vật liệu'!$E$200</f>
        <v>kg</v>
      </c>
      <c r="G1187" s="34">
        <f>'Hao phí vật tư'!$G$1188</f>
        <v>8.4</v>
      </c>
      <c r="H1187" s="68">
        <f>'Vật liệu'!$W$200</f>
        <v>14000</v>
      </c>
      <c r="I1187" s="37">
        <v>1</v>
      </c>
      <c r="J1187" s="166">
        <f>ROUND(G1187*H1187*I1187,0)</f>
        <v>117600</v>
      </c>
    </row>
    <row r="1188" spans="1:10" x14ac:dyDescent="0.25">
      <c r="A1188" s="168"/>
      <c r="B1188" s="144"/>
      <c r="C1188" s="34">
        <v>160</v>
      </c>
      <c r="D1188" s="144" t="str">
        <f>'Vật liệu'!$B$556</f>
        <v>V00641</v>
      </c>
      <c r="E1188" s="144" t="str">
        <f>" - " &amp; 'Vật liệu'!$D$556</f>
        <v xml:space="preserve"> - Thép hình</v>
      </c>
      <c r="F1188" s="168" t="str">
        <f>'Vật liệu'!$E$556</f>
        <v>kg</v>
      </c>
      <c r="G1188" s="34">
        <f>'Hao phí vật tư'!$G$1189</f>
        <v>0</v>
      </c>
      <c r="H1188" s="68">
        <f>'Vật liệu'!$W$556</f>
        <v>15291</v>
      </c>
      <c r="I1188" s="37">
        <v>1</v>
      </c>
      <c r="J1188" s="166">
        <f>ROUND(G1188*H1188*I1188,0)</f>
        <v>0</v>
      </c>
    </row>
    <row r="1189" spans="1:10" x14ac:dyDescent="0.25">
      <c r="A1189" s="168"/>
      <c r="B1189" s="144"/>
      <c r="C1189" s="34">
        <v>166</v>
      </c>
      <c r="D1189" s="144" t="str">
        <f>'Vật liệu'!$B$606</f>
        <v>V00671</v>
      </c>
      <c r="E1189" s="144" t="str">
        <f>" - " &amp; 'Vật liệu'!$D$606</f>
        <v xml:space="preserve"> - Thép tấm</v>
      </c>
      <c r="F1189" s="168" t="str">
        <f>'Vật liệu'!$E$606</f>
        <v>kg</v>
      </c>
      <c r="G1189" s="34">
        <f>'Hao phí vật tư'!$G$1190</f>
        <v>0</v>
      </c>
      <c r="H1189" s="68">
        <f>'Vật liệu'!$W$606</f>
        <v>12574</v>
      </c>
      <c r="I1189" s="37">
        <v>1</v>
      </c>
      <c r="J1189" s="166">
        <f>ROUND(G1189*H1189*I1189,0)</f>
        <v>0</v>
      </c>
    </row>
    <row r="1190" spans="1:10" x14ac:dyDescent="0.25">
      <c r="A1190" s="168"/>
      <c r="B1190" s="144"/>
      <c r="C1190" s="34">
        <v>154</v>
      </c>
      <c r="D1190" s="144" t="str">
        <f>'Vật liệu'!$B$450</f>
        <v>V00515</v>
      </c>
      <c r="E1190" s="144" t="str">
        <f>" - " &amp; 'Vật liệu'!$D$450</f>
        <v xml:space="preserve"> - Que hàn</v>
      </c>
      <c r="F1190" s="168" t="str">
        <f>'Vật liệu'!$E$450</f>
        <v>kg</v>
      </c>
      <c r="G1190" s="34">
        <f>'Hao phí vật tư'!$G$1191</f>
        <v>24.15</v>
      </c>
      <c r="H1190" s="68">
        <f>'Vật liệu'!$W$450</f>
        <v>19091</v>
      </c>
      <c r="I1190" s="37">
        <v>1</v>
      </c>
      <c r="J1190" s="166">
        <f>ROUND(G1190*H1190*I1190,0)</f>
        <v>461048</v>
      </c>
    </row>
    <row r="1191" spans="1:10" x14ac:dyDescent="0.25">
      <c r="A1191" s="168"/>
      <c r="B1191" s="144"/>
      <c r="C1191" s="34">
        <v>273</v>
      </c>
      <c r="D1191" s="144" t="str">
        <f>'Vật liệu'!$B$766</f>
        <v>V00750</v>
      </c>
      <c r="E1191" s="144" t="str">
        <f>" - " &amp; 'Vật liệu'!$D$766</f>
        <v xml:space="preserve"> - Vật liệu khác</v>
      </c>
      <c r="F1191" s="168" t="str">
        <f>'Vật liệu'!$E$766</f>
        <v>%</v>
      </c>
      <c r="G1191" s="34">
        <f>'Hao phí vật tư'!$G$1192</f>
        <v>5</v>
      </c>
      <c r="H1191" s="166">
        <f>'Vật liệu'!$W$766</f>
        <v>0</v>
      </c>
      <c r="I1191" s="37">
        <v>1</v>
      </c>
      <c r="J1191" s="166">
        <f>ROUND((J1186+J1187+J1188+J1189+J1190)*G1191*I1191/100,0)</f>
        <v>36492</v>
      </c>
    </row>
    <row r="1192" spans="1:10" x14ac:dyDescent="0.25">
      <c r="A1192" s="56"/>
      <c r="B1192" s="23"/>
      <c r="C1192" s="88"/>
      <c r="D1192" s="23"/>
      <c r="E1192" s="23" t="s">
        <v>202</v>
      </c>
      <c r="F1192" s="56"/>
      <c r="G1192" s="88"/>
      <c r="H1192" s="48"/>
      <c r="I1192" s="90"/>
      <c r="J1192" s="48">
        <f>ROUND(SUM(J1193:J1193),0)</f>
        <v>5211175</v>
      </c>
    </row>
    <row r="1193" spans="1:10" x14ac:dyDescent="0.25">
      <c r="A1193" s="168"/>
      <c r="B1193" s="144"/>
      <c r="C1193" s="34">
        <v>550</v>
      </c>
      <c r="D1193" s="144" t="str">
        <f>'Nhân công'!$B$130</f>
        <v>N0011</v>
      </c>
      <c r="E1193" s="144" t="s">
        <v>671</v>
      </c>
      <c r="F1193" s="168" t="str">
        <f>'Nhân công'!$G$130</f>
        <v>công</v>
      </c>
      <c r="G1193" s="34">
        <f>'Hao phí vật tư'!$H$1194</f>
        <v>22.61</v>
      </c>
      <c r="H1193" s="68">
        <f>'Nhân công'!$M$130</f>
        <v>230481</v>
      </c>
      <c r="I1193" s="37">
        <v>1</v>
      </c>
      <c r="J1193" s="166">
        <f>ROUND(G1193*H1193*I1193,0)</f>
        <v>5211175</v>
      </c>
    </row>
    <row r="1194" spans="1:10" x14ac:dyDescent="0.25">
      <c r="A1194" s="56"/>
      <c r="B1194" s="23"/>
      <c r="C1194" s="88"/>
      <c r="D1194" s="23"/>
      <c r="E1194" s="23" t="s">
        <v>378</v>
      </c>
      <c r="F1194" s="56"/>
      <c r="G1194" s="88"/>
      <c r="H1194" s="48"/>
      <c r="I1194" s="90"/>
      <c r="J1194" s="48">
        <f>ROUND(SUM(J1195:J1197),0)</f>
        <v>2229025</v>
      </c>
    </row>
    <row r="1195" spans="1:10" x14ac:dyDescent="0.25">
      <c r="A1195" s="168"/>
      <c r="B1195" s="144"/>
      <c r="C1195" s="34">
        <v>733</v>
      </c>
      <c r="D1195" s="144" t="str">
        <f>'Máy thi công'!$B$148</f>
        <v>M9478</v>
      </c>
      <c r="E1195" s="144" t="str">
        <f>" - " &amp; 'Máy thi công'!$D$148</f>
        <v xml:space="preserve"> - Cần trục ô tô - sức nâng: 10 t</v>
      </c>
      <c r="F1195" s="168" t="str">
        <f>'Máy thi công'!$E$148</f>
        <v>ca</v>
      </c>
      <c r="G1195" s="34">
        <f>'Hao phí vật tư'!$I$1196</f>
        <v>0.27</v>
      </c>
      <c r="H1195" s="68">
        <f>'Máy thi công'!$N$148</f>
        <v>2160679</v>
      </c>
      <c r="I1195" s="37">
        <v>1</v>
      </c>
      <c r="J1195" s="166">
        <f>ROUND(G1195*H1195*I1195,0)</f>
        <v>583383</v>
      </c>
    </row>
    <row r="1196" spans="1:10" x14ac:dyDescent="0.25">
      <c r="A1196" s="168"/>
      <c r="B1196" s="144"/>
      <c r="C1196" s="34">
        <v>703</v>
      </c>
      <c r="D1196" s="144" t="str">
        <f>'Máy thi công'!$B$177</f>
        <v>M112.2001</v>
      </c>
      <c r="E1196" s="144" t="str">
        <f>" - " &amp; 'Máy thi công'!$D$177</f>
        <v xml:space="preserve"> - Máy cắt sắt cầm tay - công suất: 1,7 kW</v>
      </c>
      <c r="F1196" s="168" t="str">
        <f>'Máy thi công'!$E$177</f>
        <v>ca</v>
      </c>
      <c r="G1196" s="34">
        <f>'Hao phí vật tư'!$I$1197</f>
        <v>0.4</v>
      </c>
      <c r="H1196" s="68">
        <f>'Máy thi công'!$N$177</f>
        <v>226876</v>
      </c>
      <c r="I1196" s="37">
        <v>1</v>
      </c>
      <c r="J1196" s="166">
        <f>ROUND(G1196*H1196*I1196,0)</f>
        <v>90750</v>
      </c>
    </row>
    <row r="1197" spans="1:10" x14ac:dyDescent="0.25">
      <c r="A1197" s="168"/>
      <c r="B1197" s="144"/>
      <c r="C1197" s="34">
        <v>714</v>
      </c>
      <c r="D1197" s="144" t="str">
        <f>'Máy thi công'!$B$6</f>
        <v>M9438</v>
      </c>
      <c r="E1197" s="144" t="str">
        <f>" - " &amp; 'Máy thi công'!$D$6</f>
        <v xml:space="preserve"> - Biến thế hàn xoay chiều - công suất: 23 kW</v>
      </c>
      <c r="F1197" s="168" t="str">
        <f>'Máy thi công'!$E$6</f>
        <v>ca</v>
      </c>
      <c r="G1197" s="34">
        <f>'Hao phí vật tư'!$I$1198</f>
        <v>4.5999999999999996</v>
      </c>
      <c r="H1197" s="68">
        <f>'Máy thi công'!$N$6</f>
        <v>338020</v>
      </c>
      <c r="I1197" s="37">
        <v>1</v>
      </c>
      <c r="J1197" s="166">
        <f>ROUND(G1197*H1197*I1197,0)</f>
        <v>1554892</v>
      </c>
    </row>
    <row r="1198" spans="1:10" ht="28.5" x14ac:dyDescent="0.25">
      <c r="A1198" s="65">
        <f>'Công trình'!$A$158</f>
        <v>124</v>
      </c>
      <c r="B1198" s="14" t="str">
        <f>'Công trình'!$B$158</f>
        <v>TT</v>
      </c>
      <c r="C1198" s="94"/>
      <c r="D1198" s="31"/>
      <c r="E1198" s="14" t="str">
        <f>'Công trình'!$C$158</f>
        <v>Khấu hao hệ sàn đạo, sàn thao tác (Thi công trong vòng 3 tháng và 1 lần đóng nhổ)</v>
      </c>
      <c r="F1198" s="46" t="str">
        <f>'Công trình'!$D$158</f>
        <v>tấn</v>
      </c>
      <c r="G1198" s="94"/>
      <c r="H1198" s="54"/>
      <c r="I1198" s="98"/>
      <c r="J1198" s="54"/>
    </row>
    <row r="1199" spans="1:10" x14ac:dyDescent="0.25">
      <c r="A1199" s="56"/>
      <c r="B1199" s="23"/>
      <c r="C1199" s="88"/>
      <c r="D1199" s="23"/>
      <c r="E1199" s="23" t="s">
        <v>479</v>
      </c>
      <c r="F1199" s="56"/>
      <c r="G1199" s="88"/>
      <c r="H1199" s="48"/>
      <c r="I1199" s="90"/>
      <c r="J1199" s="48">
        <f>ROUND(SUM(J1200:J1205),0)</f>
        <v>15985723</v>
      </c>
    </row>
    <row r="1200" spans="1:10" x14ac:dyDescent="0.25">
      <c r="A1200" s="168"/>
      <c r="B1200" s="144"/>
      <c r="C1200" s="34">
        <v>400</v>
      </c>
      <c r="D1200" s="144" t="str">
        <f>'Vật liệu'!$B$401</f>
        <v>V00770</v>
      </c>
      <c r="E1200" s="144" t="str">
        <f>" - " &amp; 'Vật liệu'!$D$401</f>
        <v xml:space="preserve"> - Ô xy</v>
      </c>
      <c r="F1200" s="168" t="str">
        <f>'Vật liệu'!$E$401</f>
        <v>Chai</v>
      </c>
      <c r="G1200" s="34">
        <f>'Hao phí vật tư'!$G$1201</f>
        <v>0</v>
      </c>
      <c r="H1200" s="68">
        <f>'Vật liệu'!$W$401</f>
        <v>72000</v>
      </c>
      <c r="I1200" s="37">
        <v>1</v>
      </c>
      <c r="J1200" s="166">
        <f>ROUND(G1200*H1200*I1200,0)</f>
        <v>0</v>
      </c>
    </row>
    <row r="1201" spans="1:10" x14ac:dyDescent="0.25">
      <c r="A1201" s="168"/>
      <c r="B1201" s="144"/>
      <c r="C1201" s="34">
        <v>411</v>
      </c>
      <c r="D1201" s="144" t="str">
        <f>'Vật liệu'!$B$200</f>
        <v>V00833</v>
      </c>
      <c r="E1201" s="144" t="str">
        <f>" - " &amp; 'Vật liệu'!$D$200</f>
        <v xml:space="preserve"> - Đất đèn</v>
      </c>
      <c r="F1201" s="168" t="str">
        <f>'Vật liệu'!$E$200</f>
        <v>kg</v>
      </c>
      <c r="G1201" s="34">
        <f>'Hao phí vật tư'!$G$1202</f>
        <v>0</v>
      </c>
      <c r="H1201" s="68">
        <f>'Vật liệu'!$W$200</f>
        <v>14000</v>
      </c>
      <c r="I1201" s="37">
        <v>1</v>
      </c>
      <c r="J1201" s="166">
        <f>ROUND(G1201*H1201*I1201,0)</f>
        <v>0</v>
      </c>
    </row>
    <row r="1202" spans="1:10" x14ac:dyDescent="0.25">
      <c r="A1202" s="168"/>
      <c r="B1202" s="144"/>
      <c r="C1202" s="34">
        <v>160</v>
      </c>
      <c r="D1202" s="144" t="str">
        <f>'Vật liệu'!$B$556</f>
        <v>V00641</v>
      </c>
      <c r="E1202" s="144" t="str">
        <f>" - " &amp; 'Vật liệu'!$D$556</f>
        <v xml:space="preserve"> - Thép hình</v>
      </c>
      <c r="F1202" s="168" t="str">
        <f>'Vật liệu'!$E$556</f>
        <v>kg</v>
      </c>
      <c r="G1202" s="34">
        <f>'Hao phí vật tư'!$G$1203</f>
        <v>697.85</v>
      </c>
      <c r="H1202" s="68">
        <f>'Vật liệu'!$W$556</f>
        <v>15291</v>
      </c>
      <c r="I1202" s="37">
        <v>1</v>
      </c>
      <c r="J1202" s="166">
        <f>ROUND(G1202*H1202*I1202,0)</f>
        <v>10670824</v>
      </c>
    </row>
    <row r="1203" spans="1:10" x14ac:dyDescent="0.25">
      <c r="A1203" s="168"/>
      <c r="B1203" s="144"/>
      <c r="C1203" s="34">
        <v>166</v>
      </c>
      <c r="D1203" s="144" t="str">
        <f>'Vật liệu'!$B$606</f>
        <v>V00671</v>
      </c>
      <c r="E1203" s="144" t="str">
        <f>" - " &amp; 'Vật liệu'!$D$606</f>
        <v xml:space="preserve"> - Thép tấm</v>
      </c>
      <c r="F1203" s="168" t="str">
        <f>'Vật liệu'!$E$606</f>
        <v>kg</v>
      </c>
      <c r="G1203" s="34">
        <f>'Hao phí vật tư'!$G$1204</f>
        <v>362.15</v>
      </c>
      <c r="H1203" s="68">
        <f>'Vật liệu'!$W$606</f>
        <v>12574</v>
      </c>
      <c r="I1203" s="37">
        <v>1</v>
      </c>
      <c r="J1203" s="166">
        <f>ROUND(G1203*H1203*I1203,0)</f>
        <v>4553674</v>
      </c>
    </row>
    <row r="1204" spans="1:10" x14ac:dyDescent="0.25">
      <c r="A1204" s="168"/>
      <c r="B1204" s="144"/>
      <c r="C1204" s="34">
        <v>154</v>
      </c>
      <c r="D1204" s="144" t="str">
        <f>'Vật liệu'!$B$450</f>
        <v>V00515</v>
      </c>
      <c r="E1204" s="144" t="str">
        <f>" - " &amp; 'Vật liệu'!$D$450</f>
        <v xml:space="preserve"> - Que hàn</v>
      </c>
      <c r="F1204" s="168" t="str">
        <f>'Vật liệu'!$E$450</f>
        <v>kg</v>
      </c>
      <c r="G1204" s="34">
        <f>'Hao phí vật tư'!$G$1205</f>
        <v>0</v>
      </c>
      <c r="H1204" s="68">
        <f>'Vật liệu'!$W$450</f>
        <v>19091</v>
      </c>
      <c r="I1204" s="37">
        <v>1</v>
      </c>
      <c r="J1204" s="166">
        <f>ROUND(G1204*H1204*I1204,0)</f>
        <v>0</v>
      </c>
    </row>
    <row r="1205" spans="1:10" x14ac:dyDescent="0.25">
      <c r="A1205" s="168"/>
      <c r="B1205" s="144"/>
      <c r="C1205" s="34">
        <v>272</v>
      </c>
      <c r="D1205" s="144" t="str">
        <f>'Vật liệu'!$B$766</f>
        <v>V00750</v>
      </c>
      <c r="E1205" s="144" t="str">
        <f>" - " &amp; 'Vật liệu'!$D$766</f>
        <v xml:space="preserve"> - Vật liệu khác</v>
      </c>
      <c r="F1205" s="168" t="str">
        <f>'Vật liệu'!$E$766</f>
        <v>%</v>
      </c>
      <c r="G1205" s="34">
        <f>'Hao phí vật tư'!$G$1206</f>
        <v>5</v>
      </c>
      <c r="H1205" s="166">
        <f>'Vật liệu'!$W$766</f>
        <v>0</v>
      </c>
      <c r="I1205" s="37">
        <v>1</v>
      </c>
      <c r="J1205" s="166">
        <f>ROUND((J1200+J1201+J1202+J1203+J1204)*G1205*I1205/100,0)</f>
        <v>761225</v>
      </c>
    </row>
    <row r="1206" spans="1:10" ht="28.5" x14ac:dyDescent="0.25">
      <c r="A1206" s="65">
        <f>'Công trình'!$A$160</f>
        <v>125</v>
      </c>
      <c r="B1206" s="14" t="str">
        <f>'Công trình'!$B$160</f>
        <v>AI.63311</v>
      </c>
      <c r="C1206" s="94"/>
      <c r="D1206" s="31"/>
      <c r="E1206" s="14" t="str">
        <f>'Công trình'!$C$160</f>
        <v>Lắp dựng kết cấu thép hệ khung dàn, sàn đạo trên cạn</v>
      </c>
      <c r="F1206" s="46" t="str">
        <f>'Công trình'!$D$160</f>
        <v>tấn</v>
      </c>
      <c r="G1206" s="94"/>
      <c r="H1206" s="54"/>
      <c r="I1206" s="98"/>
      <c r="J1206" s="54"/>
    </row>
    <row r="1207" spans="1:10" x14ac:dyDescent="0.25">
      <c r="A1207" s="56"/>
      <c r="B1207" s="23"/>
      <c r="C1207" s="88"/>
      <c r="D1207" s="23"/>
      <c r="E1207" s="23" t="s">
        <v>479</v>
      </c>
      <c r="F1207" s="56"/>
      <c r="G1207" s="88"/>
      <c r="H1207" s="48"/>
      <c r="I1207" s="90"/>
      <c r="J1207" s="48">
        <f>ROUND(SUM(J1208:J1211),0)</f>
        <v>373772</v>
      </c>
    </row>
    <row r="1208" spans="1:10" x14ac:dyDescent="0.25">
      <c r="A1208" s="168"/>
      <c r="B1208" s="144"/>
      <c r="C1208" s="34">
        <v>154</v>
      </c>
      <c r="D1208" s="144" t="str">
        <f>'Vật liệu'!$B$450</f>
        <v>V00515</v>
      </c>
      <c r="E1208" s="144" t="str">
        <f>" - " &amp; 'Vật liệu'!$D$450</f>
        <v xml:space="preserve"> - Que hàn</v>
      </c>
      <c r="F1208" s="168" t="str">
        <f>'Vật liệu'!$E$450</f>
        <v>kg</v>
      </c>
      <c r="G1208" s="34">
        <f>'Hao phí vật tư'!$G$1209</f>
        <v>12</v>
      </c>
      <c r="H1208" s="68">
        <f>'Vật liệu'!$W$450</f>
        <v>19091</v>
      </c>
      <c r="I1208" s="37">
        <v>1</v>
      </c>
      <c r="J1208" s="166">
        <f>ROUND(G1208*H1208*I1208,0)</f>
        <v>229092</v>
      </c>
    </row>
    <row r="1209" spans="1:10" x14ac:dyDescent="0.25">
      <c r="A1209" s="168"/>
      <c r="B1209" s="144"/>
      <c r="C1209" s="34">
        <v>160</v>
      </c>
      <c r="D1209" s="144" t="str">
        <f>'Vật liệu'!$B$556</f>
        <v>V00641</v>
      </c>
      <c r="E1209" s="144" t="str">
        <f>" - " &amp; 'Vật liệu'!$D$556</f>
        <v xml:space="preserve"> - Thép hình</v>
      </c>
      <c r="F1209" s="168" t="str">
        <f>'Vật liệu'!$E$556</f>
        <v>kg</v>
      </c>
      <c r="G1209" s="34">
        <f>'Hao phí vật tư'!$G$1210</f>
        <v>0.45</v>
      </c>
      <c r="H1209" s="68">
        <f>'Vật liệu'!$W$556</f>
        <v>15291</v>
      </c>
      <c r="I1209" s="37">
        <v>1</v>
      </c>
      <c r="J1209" s="166">
        <f>ROUND(G1209*H1209*I1209,0)</f>
        <v>6881</v>
      </c>
    </row>
    <row r="1210" spans="1:10" x14ac:dyDescent="0.25">
      <c r="A1210" s="168"/>
      <c r="B1210" s="144"/>
      <c r="C1210" s="34">
        <v>122</v>
      </c>
      <c r="D1210" s="144" t="str">
        <f>'Vật liệu'!$B$20</f>
        <v>V00039</v>
      </c>
      <c r="E1210" s="144" t="str">
        <f>" - " &amp; 'Vật liệu'!$D$20</f>
        <v xml:space="preserve"> - Bu lông M20</v>
      </c>
      <c r="F1210" s="168" t="str">
        <f>'Vật liệu'!$E$20</f>
        <v>cái</v>
      </c>
      <c r="G1210" s="34">
        <f>'Hao phí vật tư'!$G$1211</f>
        <v>12</v>
      </c>
      <c r="H1210" s="68">
        <f>'Vật liệu'!$W$20</f>
        <v>10000</v>
      </c>
      <c r="I1210" s="37">
        <v>1</v>
      </c>
      <c r="J1210" s="166">
        <f>ROUND(G1210*H1210*I1210,0)</f>
        <v>120000</v>
      </c>
    </row>
    <row r="1211" spans="1:10" x14ac:dyDescent="0.25">
      <c r="A1211" s="168"/>
      <c r="B1211" s="144"/>
      <c r="C1211" s="34">
        <v>270</v>
      </c>
      <c r="D1211" s="144" t="str">
        <f>'Vật liệu'!$B$766</f>
        <v>V00750</v>
      </c>
      <c r="E1211" s="144" t="str">
        <f>" - " &amp; 'Vật liệu'!$D$766</f>
        <v xml:space="preserve"> - Vật liệu khác</v>
      </c>
      <c r="F1211" s="168" t="str">
        <f>'Vật liệu'!$E$766</f>
        <v>%</v>
      </c>
      <c r="G1211" s="34">
        <f>'Hao phí vật tư'!$G$1212</f>
        <v>5</v>
      </c>
      <c r="H1211" s="166">
        <f>'Vật liệu'!$W$766</f>
        <v>0</v>
      </c>
      <c r="I1211" s="37">
        <v>1</v>
      </c>
      <c r="J1211" s="166">
        <f>ROUND((J1208+J1209+J1210)*G1211*I1211/100,0)</f>
        <v>17799</v>
      </c>
    </row>
    <row r="1212" spans="1:10" x14ac:dyDescent="0.25">
      <c r="A1212" s="56"/>
      <c r="B1212" s="23"/>
      <c r="C1212" s="88"/>
      <c r="D1212" s="23"/>
      <c r="E1212" s="23" t="s">
        <v>202</v>
      </c>
      <c r="F1212" s="56"/>
      <c r="G1212" s="88"/>
      <c r="H1212" s="48"/>
      <c r="I1212" s="90"/>
      <c r="J1212" s="48">
        <f>ROUND(SUM(J1213:J1213),0)</f>
        <v>2189570</v>
      </c>
    </row>
    <row r="1213" spans="1:10" x14ac:dyDescent="0.25">
      <c r="A1213" s="168"/>
      <c r="B1213" s="144"/>
      <c r="C1213" s="34">
        <v>550</v>
      </c>
      <c r="D1213" s="144" t="str">
        <f>'Nhân công'!$B$130</f>
        <v>N0011</v>
      </c>
      <c r="E1213" s="144" t="s">
        <v>671</v>
      </c>
      <c r="F1213" s="168" t="str">
        <f>'Nhân công'!$G$130</f>
        <v>công</v>
      </c>
      <c r="G1213" s="34">
        <f>'Hao phí vật tư'!$H$1214</f>
        <v>9.5</v>
      </c>
      <c r="H1213" s="68">
        <f>'Nhân công'!$M$130</f>
        <v>230481</v>
      </c>
      <c r="I1213" s="37">
        <v>1</v>
      </c>
      <c r="J1213" s="166">
        <f>ROUND(G1213*H1213*I1213,0)</f>
        <v>2189570</v>
      </c>
    </row>
    <row r="1214" spans="1:10" x14ac:dyDescent="0.25">
      <c r="A1214" s="56"/>
      <c r="B1214" s="23"/>
      <c r="C1214" s="88"/>
      <c r="D1214" s="23"/>
      <c r="E1214" s="23" t="s">
        <v>378</v>
      </c>
      <c r="F1214" s="56"/>
      <c r="G1214" s="88"/>
      <c r="H1214" s="48"/>
      <c r="I1214" s="90"/>
      <c r="J1214" s="48">
        <f>ROUND(SUM(J1215:J1216),0)</f>
        <v>1660581</v>
      </c>
    </row>
    <row r="1215" spans="1:10" x14ac:dyDescent="0.25">
      <c r="A1215" s="168"/>
      <c r="B1215" s="144"/>
      <c r="C1215" s="34">
        <v>714</v>
      </c>
      <c r="D1215" s="144" t="str">
        <f>'Máy thi công'!$B$6</f>
        <v>M9438</v>
      </c>
      <c r="E1215" s="144" t="str">
        <f>" - " &amp; 'Máy thi công'!$D$6</f>
        <v xml:space="preserve"> - Biến thế hàn xoay chiều - công suất: 23 kW</v>
      </c>
      <c r="F1215" s="168" t="str">
        <f>'Máy thi công'!$E$6</f>
        <v>ca</v>
      </c>
      <c r="G1215" s="34">
        <f>'Hao phí vật tư'!$I$1216</f>
        <v>3</v>
      </c>
      <c r="H1215" s="68">
        <f>'Máy thi công'!$N$6</f>
        <v>338020</v>
      </c>
      <c r="I1215" s="37">
        <v>1</v>
      </c>
      <c r="J1215" s="166">
        <f>ROUND(G1215*H1215*I1215,0)</f>
        <v>1014060</v>
      </c>
    </row>
    <row r="1216" spans="1:10" x14ac:dyDescent="0.25">
      <c r="A1216" s="168"/>
      <c r="B1216" s="144"/>
      <c r="C1216" s="34">
        <v>728</v>
      </c>
      <c r="D1216" s="144" t="str">
        <f>'Máy thi công'!$B$120</f>
        <v>M9468</v>
      </c>
      <c r="E1216" s="144" t="str">
        <f>" - " &amp; 'Máy thi công'!$D$120</f>
        <v xml:space="preserve"> - Cần trục bánh xích - sức nâng: 16 t</v>
      </c>
      <c r="F1216" s="168" t="str">
        <f>'Máy thi công'!$E$120</f>
        <v>ca</v>
      </c>
      <c r="G1216" s="34">
        <f>'Hao phí vật tư'!$I$1217</f>
        <v>0.27</v>
      </c>
      <c r="H1216" s="68">
        <f>'Máy thi công'!$N$120</f>
        <v>2394521</v>
      </c>
      <c r="I1216" s="37">
        <v>1</v>
      </c>
      <c r="J1216" s="166">
        <f>ROUND(G1216*H1216*I1216,0)</f>
        <v>646521</v>
      </c>
    </row>
    <row r="1217" spans="1:10" ht="28.5" x14ac:dyDescent="0.25">
      <c r="A1217" s="65">
        <f>'Công trình'!$A$161</f>
        <v>126</v>
      </c>
      <c r="B1217" s="14" t="str">
        <f>'Công trình'!$B$161</f>
        <v>AI.63311</v>
      </c>
      <c r="C1217" s="94"/>
      <c r="D1217" s="31"/>
      <c r="E1217" s="14" t="str">
        <f>'Công trình'!$C$161</f>
        <v>Tháo dỡ kết cấu thép hệ khung dàn, sàn đạo trên cạn (60% Đg)</v>
      </c>
      <c r="F1217" s="46" t="str">
        <f>'Công trình'!$D$161</f>
        <v>tấn</v>
      </c>
      <c r="G1217" s="94"/>
      <c r="H1217" s="54"/>
      <c r="I1217" s="98"/>
      <c r="J1217" s="54"/>
    </row>
    <row r="1218" spans="1:10" x14ac:dyDescent="0.25">
      <c r="A1218" s="56"/>
      <c r="B1218" s="23"/>
      <c r="C1218" s="88"/>
      <c r="D1218" s="23"/>
      <c r="E1218" s="23" t="s">
        <v>479</v>
      </c>
      <c r="F1218" s="56"/>
      <c r="G1218" s="88"/>
      <c r="H1218" s="48"/>
      <c r="I1218" s="90"/>
      <c r="J1218" s="48">
        <f>ROUND(SUM(J1219:J1222),0)</f>
        <v>224263</v>
      </c>
    </row>
    <row r="1219" spans="1:10" x14ac:dyDescent="0.25">
      <c r="A1219" s="168"/>
      <c r="B1219" s="144"/>
      <c r="C1219" s="34">
        <v>154</v>
      </c>
      <c r="D1219" s="144" t="str">
        <f>'Vật liệu'!$B$450</f>
        <v>V00515</v>
      </c>
      <c r="E1219" s="144" t="str">
        <f>" - " &amp; 'Vật liệu'!$D$450</f>
        <v xml:space="preserve"> - Que hàn</v>
      </c>
      <c r="F1219" s="168" t="str">
        <f>'Vật liệu'!$E$450</f>
        <v>kg</v>
      </c>
      <c r="G1219" s="34">
        <f>'Hao phí vật tư'!$G$1220</f>
        <v>7.2</v>
      </c>
      <c r="H1219" s="68">
        <f>'Vật liệu'!$W$450</f>
        <v>19091</v>
      </c>
      <c r="I1219" s="37">
        <v>1</v>
      </c>
      <c r="J1219" s="166">
        <f>ROUND(G1219*H1219*I1219,0)</f>
        <v>137455</v>
      </c>
    </row>
    <row r="1220" spans="1:10" x14ac:dyDescent="0.25">
      <c r="A1220" s="168"/>
      <c r="B1220" s="144"/>
      <c r="C1220" s="34">
        <v>160</v>
      </c>
      <c r="D1220" s="144" t="str">
        <f>'Vật liệu'!$B$556</f>
        <v>V00641</v>
      </c>
      <c r="E1220" s="144" t="str">
        <f>" - " &amp; 'Vật liệu'!$D$556</f>
        <v xml:space="preserve"> - Thép hình</v>
      </c>
      <c r="F1220" s="168" t="str">
        <f>'Vật liệu'!$E$556</f>
        <v>kg</v>
      </c>
      <c r="G1220" s="34">
        <f>'Hao phí vật tư'!$G$1221</f>
        <v>0.27</v>
      </c>
      <c r="H1220" s="68">
        <f>'Vật liệu'!$W$556</f>
        <v>15291</v>
      </c>
      <c r="I1220" s="37">
        <v>1</v>
      </c>
      <c r="J1220" s="166">
        <f>ROUND(G1220*H1220*I1220,0)</f>
        <v>4129</v>
      </c>
    </row>
    <row r="1221" spans="1:10" x14ac:dyDescent="0.25">
      <c r="A1221" s="168"/>
      <c r="B1221" s="144"/>
      <c r="C1221" s="34">
        <v>122</v>
      </c>
      <c r="D1221" s="144" t="str">
        <f>'Vật liệu'!$B$20</f>
        <v>V00039</v>
      </c>
      <c r="E1221" s="144" t="str">
        <f>" - " &amp; 'Vật liệu'!$D$20</f>
        <v xml:space="preserve"> - Bu lông M20</v>
      </c>
      <c r="F1221" s="168" t="str">
        <f>'Vật liệu'!$E$20</f>
        <v>cái</v>
      </c>
      <c r="G1221" s="34">
        <f>'Hao phí vật tư'!$G$1222</f>
        <v>7.2</v>
      </c>
      <c r="H1221" s="68">
        <f>'Vật liệu'!$W$20</f>
        <v>10000</v>
      </c>
      <c r="I1221" s="37">
        <v>1</v>
      </c>
      <c r="J1221" s="166">
        <f>ROUND(G1221*H1221*I1221,0)</f>
        <v>72000</v>
      </c>
    </row>
    <row r="1222" spans="1:10" x14ac:dyDescent="0.25">
      <c r="A1222" s="168"/>
      <c r="B1222" s="144"/>
      <c r="C1222" s="34">
        <v>271</v>
      </c>
      <c r="D1222" s="144" t="str">
        <f>'Vật liệu'!$B$766</f>
        <v>V00750</v>
      </c>
      <c r="E1222" s="144" t="str">
        <f>" - " &amp; 'Vật liệu'!$D$766</f>
        <v xml:space="preserve"> - Vật liệu khác</v>
      </c>
      <c r="F1222" s="168" t="str">
        <f>'Vật liệu'!$E$766</f>
        <v>%</v>
      </c>
      <c r="G1222" s="34">
        <f>'Hao phí vật tư'!$G$1223</f>
        <v>5</v>
      </c>
      <c r="H1222" s="166">
        <f>'Vật liệu'!$W$766</f>
        <v>0</v>
      </c>
      <c r="I1222" s="37">
        <v>1</v>
      </c>
      <c r="J1222" s="166">
        <f>ROUND((J1219+J1220+J1221)*G1222*I1222/100,0)</f>
        <v>10679</v>
      </c>
    </row>
    <row r="1223" spans="1:10" x14ac:dyDescent="0.25">
      <c r="A1223" s="56"/>
      <c r="B1223" s="23"/>
      <c r="C1223" s="88"/>
      <c r="D1223" s="23"/>
      <c r="E1223" s="23" t="s">
        <v>202</v>
      </c>
      <c r="F1223" s="56"/>
      <c r="G1223" s="88"/>
      <c r="H1223" s="48"/>
      <c r="I1223" s="90"/>
      <c r="J1223" s="48">
        <f>ROUND(SUM(J1224:J1224),0)</f>
        <v>1313742</v>
      </c>
    </row>
    <row r="1224" spans="1:10" x14ac:dyDescent="0.25">
      <c r="A1224" s="168"/>
      <c r="B1224" s="144"/>
      <c r="C1224" s="34">
        <v>550</v>
      </c>
      <c r="D1224" s="144" t="str">
        <f>'Nhân công'!$B$130</f>
        <v>N0011</v>
      </c>
      <c r="E1224" s="144" t="s">
        <v>671</v>
      </c>
      <c r="F1224" s="168" t="str">
        <f>'Nhân công'!$G$130</f>
        <v>công</v>
      </c>
      <c r="G1224" s="34">
        <f>'Hao phí vật tư'!$H$1225</f>
        <v>5.7</v>
      </c>
      <c r="H1224" s="68">
        <f>'Nhân công'!$M$130</f>
        <v>230481</v>
      </c>
      <c r="I1224" s="37">
        <v>1</v>
      </c>
      <c r="J1224" s="166">
        <f>ROUND(G1224*H1224*I1224,0)</f>
        <v>1313742</v>
      </c>
    </row>
    <row r="1225" spans="1:10" x14ac:dyDescent="0.25">
      <c r="A1225" s="56"/>
      <c r="B1225" s="23"/>
      <c r="C1225" s="88"/>
      <c r="D1225" s="23"/>
      <c r="E1225" s="23" t="s">
        <v>378</v>
      </c>
      <c r="F1225" s="56"/>
      <c r="G1225" s="88"/>
      <c r="H1225" s="48"/>
      <c r="I1225" s="90"/>
      <c r="J1225" s="48">
        <f>ROUND(SUM(J1226:J1227),0)</f>
        <v>996348</v>
      </c>
    </row>
    <row r="1226" spans="1:10" x14ac:dyDescent="0.25">
      <c r="A1226" s="168"/>
      <c r="B1226" s="144"/>
      <c r="C1226" s="34">
        <v>714</v>
      </c>
      <c r="D1226" s="144" t="str">
        <f>'Máy thi công'!$B$6</f>
        <v>M9438</v>
      </c>
      <c r="E1226" s="144" t="str">
        <f>" - " &amp; 'Máy thi công'!$D$6</f>
        <v xml:space="preserve"> - Biến thế hàn xoay chiều - công suất: 23 kW</v>
      </c>
      <c r="F1226" s="168" t="str">
        <f>'Máy thi công'!$E$6</f>
        <v>ca</v>
      </c>
      <c r="G1226" s="34">
        <f>'Hao phí vật tư'!$I$1227</f>
        <v>1.8</v>
      </c>
      <c r="H1226" s="68">
        <f>'Máy thi công'!$N$6</f>
        <v>338020</v>
      </c>
      <c r="I1226" s="37">
        <v>1</v>
      </c>
      <c r="J1226" s="166">
        <f>ROUND(G1226*H1226*I1226,0)</f>
        <v>608436</v>
      </c>
    </row>
    <row r="1227" spans="1:10" x14ac:dyDescent="0.25">
      <c r="A1227" s="168"/>
      <c r="B1227" s="144"/>
      <c r="C1227" s="34">
        <v>728</v>
      </c>
      <c r="D1227" s="144" t="str">
        <f>'Máy thi công'!$B$120</f>
        <v>M9468</v>
      </c>
      <c r="E1227" s="144" t="str">
        <f>" - " &amp; 'Máy thi công'!$D$120</f>
        <v xml:space="preserve"> - Cần trục bánh xích - sức nâng: 16 t</v>
      </c>
      <c r="F1227" s="168" t="str">
        <f>'Máy thi công'!$E$120</f>
        <v>ca</v>
      </c>
      <c r="G1227" s="34">
        <f>'Hao phí vật tư'!$I$1228</f>
        <v>0.16200000000000001</v>
      </c>
      <c r="H1227" s="68">
        <f>'Máy thi công'!$N$120</f>
        <v>2394521</v>
      </c>
      <c r="I1227" s="37">
        <v>1</v>
      </c>
      <c r="J1227" s="166">
        <f>ROUND(G1227*H1227*I1227,0)</f>
        <v>387912</v>
      </c>
    </row>
    <row r="1228" spans="1:10" ht="42.75" x14ac:dyDescent="0.25">
      <c r="A1228" s="65">
        <f>'Công trình'!$A$162</f>
        <v>127</v>
      </c>
      <c r="B1228" s="14" t="str">
        <f>'Công trình'!$B$162</f>
        <v>AC.22522</v>
      </c>
      <c r="C1228" s="94"/>
      <c r="D1228" s="31"/>
      <c r="E1228" s="14" t="str">
        <f>'Công trình'!$C$162</f>
        <v>Đóng cọc thép hình I350x150, dài 14m đóng ngập đất 11m trên mặt đất, đất cấp II, phần ngập đất</v>
      </c>
      <c r="F1228" s="46" t="str">
        <f>'Công trình'!$D$162</f>
        <v>100m</v>
      </c>
      <c r="G1228" s="94"/>
      <c r="H1228" s="54"/>
      <c r="I1228" s="98"/>
      <c r="J1228" s="54"/>
    </row>
    <row r="1229" spans="1:10" x14ac:dyDescent="0.25">
      <c r="A1229" s="56"/>
      <c r="B1229" s="23"/>
      <c r="C1229" s="88"/>
      <c r="D1229" s="23"/>
      <c r="E1229" s="23" t="s">
        <v>479</v>
      </c>
      <c r="F1229" s="56"/>
      <c r="G1229" s="88"/>
      <c r="H1229" s="48"/>
      <c r="I1229" s="90"/>
      <c r="J1229" s="48">
        <f>ROUND(SUM(J1230:J1231),0)</f>
        <v>0</v>
      </c>
    </row>
    <row r="1230" spans="1:10" x14ac:dyDescent="0.25">
      <c r="A1230" s="168"/>
      <c r="B1230" s="144"/>
      <c r="C1230" s="34">
        <v>432</v>
      </c>
      <c r="D1230" s="144" t="str">
        <f>'Vật liệu'!$B$327</f>
        <v>V08281</v>
      </c>
      <c r="E1230" s="144" t="str">
        <f>" - " &amp; 'Vật liệu'!$D$327</f>
        <v xml:space="preserve"> - H(400x400x13x21)mm</v>
      </c>
      <c r="F1230" s="168" t="str">
        <f>'Vật liệu'!$E$327</f>
        <v>m</v>
      </c>
      <c r="G1230" s="34">
        <f>'Hao phí vật tư'!$G$1231</f>
        <v>0</v>
      </c>
      <c r="H1230" s="68">
        <f>'Vật liệu'!$W$327</f>
        <v>1830000</v>
      </c>
      <c r="I1230" s="37">
        <v>1</v>
      </c>
      <c r="J1230" s="166">
        <f>ROUND(G1230*H1230*I1230,0)</f>
        <v>0</v>
      </c>
    </row>
    <row r="1231" spans="1:10" x14ac:dyDescent="0.25">
      <c r="A1231" s="168"/>
      <c r="B1231" s="144"/>
      <c r="C1231" s="34">
        <v>274</v>
      </c>
      <c r="D1231" s="144" t="str">
        <f>'Vật liệu'!$B$766</f>
        <v>V00750</v>
      </c>
      <c r="E1231" s="144" t="str">
        <f>" - " &amp; 'Vật liệu'!$D$766</f>
        <v xml:space="preserve"> - Vật liệu khác</v>
      </c>
      <c r="F1231" s="168" t="str">
        <f>'Vật liệu'!$E$766</f>
        <v>%</v>
      </c>
      <c r="G1231" s="34">
        <f>'Hao phí vật tư'!$G$1232</f>
        <v>1</v>
      </c>
      <c r="H1231" s="166">
        <f>'Vật liệu'!$W$766</f>
        <v>0</v>
      </c>
      <c r="I1231" s="37">
        <v>1</v>
      </c>
      <c r="J1231" s="166">
        <f>ROUND((J1230)*G1231*I1231/100,0)</f>
        <v>0</v>
      </c>
    </row>
    <row r="1232" spans="1:10" x14ac:dyDescent="0.25">
      <c r="A1232" s="56"/>
      <c r="B1232" s="23"/>
      <c r="C1232" s="88"/>
      <c r="D1232" s="23"/>
      <c r="E1232" s="23" t="s">
        <v>202</v>
      </c>
      <c r="F1232" s="56"/>
      <c r="G1232" s="88"/>
      <c r="H1232" s="48"/>
      <c r="I1232" s="90"/>
      <c r="J1232" s="48">
        <f>ROUND(SUM(J1233:J1233),0)</f>
        <v>1737120</v>
      </c>
    </row>
    <row r="1233" spans="1:10" x14ac:dyDescent="0.25">
      <c r="A1233" s="168"/>
      <c r="B1233" s="144"/>
      <c r="C1233" s="34">
        <v>555</v>
      </c>
      <c r="D1233" s="144" t="str">
        <f>'Nhân công'!$B$185</f>
        <v>N0020</v>
      </c>
      <c r="E1233" s="144" t="s">
        <v>625</v>
      </c>
      <c r="F1233" s="168" t="str">
        <f>'Nhân công'!$G$185</f>
        <v>công</v>
      </c>
      <c r="G1233" s="34">
        <f>'Hao phí vật tư'!$H$1234</f>
        <v>6.72</v>
      </c>
      <c r="H1233" s="68">
        <f>'Nhân công'!$M$185</f>
        <v>258500</v>
      </c>
      <c r="I1233" s="37">
        <v>1</v>
      </c>
      <c r="J1233" s="166">
        <f>ROUND(G1233*H1233*I1233,0)</f>
        <v>1737120</v>
      </c>
    </row>
    <row r="1234" spans="1:10" x14ac:dyDescent="0.25">
      <c r="A1234" s="56"/>
      <c r="B1234" s="23"/>
      <c r="C1234" s="88"/>
      <c r="D1234" s="23"/>
      <c r="E1234" s="23" t="s">
        <v>378</v>
      </c>
      <c r="F1234" s="56"/>
      <c r="G1234" s="88"/>
      <c r="H1234" s="48"/>
      <c r="I1234" s="90"/>
      <c r="J1234" s="48">
        <f>ROUND(SUM(J1235:J1236),0)</f>
        <v>5353673</v>
      </c>
    </row>
    <row r="1235" spans="1:10" ht="30" x14ac:dyDescent="0.25">
      <c r="A1235" s="168"/>
      <c r="B1235" s="144"/>
      <c r="C1235" s="34">
        <v>716</v>
      </c>
      <c r="D1235" s="144" t="str">
        <f>'Máy thi công'!$B$85</f>
        <v>M9440</v>
      </c>
      <c r="E1235" s="144" t="str">
        <f>" - " &amp; 'Máy thi công'!$D$85</f>
        <v xml:space="preserve"> - Búa diezel chạy trên ray - trọng lượng đầu búa: 1,2 t</v>
      </c>
      <c r="F1235" s="168" t="str">
        <f>'Máy thi công'!$E$85</f>
        <v>ca</v>
      </c>
      <c r="G1235" s="34">
        <f>'Hao phí vật tư'!$I$1236</f>
        <v>3.36</v>
      </c>
      <c r="H1235" s="68">
        <f>'Máy thi công'!$N$85</f>
        <v>1569808</v>
      </c>
      <c r="I1235" s="37">
        <v>1</v>
      </c>
      <c r="J1235" s="166">
        <f>ROUND(G1235*H1235*I1235,0)</f>
        <v>5274555</v>
      </c>
    </row>
    <row r="1236" spans="1:10" x14ac:dyDescent="0.25">
      <c r="A1236" s="168"/>
      <c r="B1236" s="144"/>
      <c r="C1236" s="34">
        <v>617</v>
      </c>
      <c r="D1236" s="144" t="str">
        <f>'Máy thi công'!$B$398</f>
        <v>M0111</v>
      </c>
      <c r="E1236" s="144" t="str">
        <f>" - " &amp; 'Máy thi công'!$D$398</f>
        <v xml:space="preserve"> - Máy khác</v>
      </c>
      <c r="F1236" s="168" t="str">
        <f>'Máy thi công'!$E$398</f>
        <v>%</v>
      </c>
      <c r="G1236" s="34">
        <f>'Hao phí vật tư'!$I$1237</f>
        <v>1.5</v>
      </c>
      <c r="H1236" s="166">
        <f>'Máy thi công'!$N$398</f>
        <v>0</v>
      </c>
      <c r="I1236" s="37">
        <v>1</v>
      </c>
      <c r="J1236" s="166">
        <f>ROUND((J1235)*G1236*I1236/100,0)</f>
        <v>79118</v>
      </c>
    </row>
    <row r="1237" spans="1:10" ht="42.75" x14ac:dyDescent="0.25">
      <c r="A1237" s="65">
        <f>'Công trình'!$A$163</f>
        <v>128</v>
      </c>
      <c r="B1237" s="14" t="str">
        <f>'Công trình'!$B$163</f>
        <v>AC.22522</v>
      </c>
      <c r="C1237" s="94"/>
      <c r="D1237" s="31"/>
      <c r="E1237" s="14" t="str">
        <f>'Công trình'!$C$163</f>
        <v>Đóng cọc thép hình I350x150, dài 14m đóng không ngập đất 3m, đất cấp II, phần không ngập đất (NC, MTC * 0,75)</v>
      </c>
      <c r="F1237" s="46" t="str">
        <f>'Công trình'!$D$163</f>
        <v>100m</v>
      </c>
      <c r="G1237" s="94"/>
      <c r="H1237" s="54"/>
      <c r="I1237" s="98"/>
      <c r="J1237" s="54"/>
    </row>
    <row r="1238" spans="1:10" x14ac:dyDescent="0.25">
      <c r="A1238" s="56"/>
      <c r="B1238" s="23"/>
      <c r="C1238" s="88"/>
      <c r="D1238" s="23"/>
      <c r="E1238" s="23" t="s">
        <v>479</v>
      </c>
      <c r="F1238" s="56"/>
      <c r="G1238" s="88"/>
      <c r="H1238" s="48"/>
      <c r="I1238" s="90"/>
      <c r="J1238" s="48">
        <f>ROUND(SUM(J1239:J1240),0)</f>
        <v>0</v>
      </c>
    </row>
    <row r="1239" spans="1:10" x14ac:dyDescent="0.25">
      <c r="A1239" s="168"/>
      <c r="B1239" s="144"/>
      <c r="C1239" s="34">
        <v>432</v>
      </c>
      <c r="D1239" s="144" t="str">
        <f>'Vật liệu'!$B$327</f>
        <v>V08281</v>
      </c>
      <c r="E1239" s="144" t="str">
        <f>" - " &amp; 'Vật liệu'!$D$327</f>
        <v xml:space="preserve"> - H(400x400x13x21)mm</v>
      </c>
      <c r="F1239" s="168" t="str">
        <f>'Vật liệu'!$E$327</f>
        <v>m</v>
      </c>
      <c r="G1239" s="34">
        <f>'Hao phí vật tư'!$G$1240</f>
        <v>0</v>
      </c>
      <c r="H1239" s="68">
        <f>'Vật liệu'!$W$327</f>
        <v>1830000</v>
      </c>
      <c r="I1239" s="37">
        <v>1</v>
      </c>
      <c r="J1239" s="166">
        <f>ROUND(G1239*H1239*I1239,0)</f>
        <v>0</v>
      </c>
    </row>
    <row r="1240" spans="1:10" x14ac:dyDescent="0.25">
      <c r="A1240" s="168"/>
      <c r="B1240" s="144"/>
      <c r="C1240" s="34">
        <v>275</v>
      </c>
      <c r="D1240" s="144" t="str">
        <f>'Vật liệu'!$B$766</f>
        <v>V00750</v>
      </c>
      <c r="E1240" s="144" t="str">
        <f>" - " &amp; 'Vật liệu'!$D$766</f>
        <v xml:space="preserve"> - Vật liệu khác</v>
      </c>
      <c r="F1240" s="168" t="str">
        <f>'Vật liệu'!$E$766</f>
        <v>%</v>
      </c>
      <c r="G1240" s="34">
        <f>'Hao phí vật tư'!$G$1241</f>
        <v>1</v>
      </c>
      <c r="H1240" s="166">
        <f>'Vật liệu'!$W$766</f>
        <v>0</v>
      </c>
      <c r="I1240" s="37">
        <v>1</v>
      </c>
      <c r="J1240" s="166">
        <f>ROUND((J1239)*G1240*I1240/100,0)</f>
        <v>0</v>
      </c>
    </row>
    <row r="1241" spans="1:10" x14ac:dyDescent="0.25">
      <c r="A1241" s="56"/>
      <c r="B1241" s="23"/>
      <c r="C1241" s="88"/>
      <c r="D1241" s="23"/>
      <c r="E1241" s="23" t="s">
        <v>202</v>
      </c>
      <c r="F1241" s="56"/>
      <c r="G1241" s="88"/>
      <c r="H1241" s="48"/>
      <c r="I1241" s="90"/>
      <c r="J1241" s="48">
        <f>ROUND(SUM(J1242:J1242),0)</f>
        <v>1496715</v>
      </c>
    </row>
    <row r="1242" spans="1:10" x14ac:dyDescent="0.25">
      <c r="A1242" s="168"/>
      <c r="B1242" s="144"/>
      <c r="C1242" s="34">
        <v>555</v>
      </c>
      <c r="D1242" s="144" t="str">
        <f>'Nhân công'!$B$185</f>
        <v>N0020</v>
      </c>
      <c r="E1242" s="144" t="s">
        <v>625</v>
      </c>
      <c r="F1242" s="168" t="str">
        <f>'Nhân công'!$G$185</f>
        <v>công</v>
      </c>
      <c r="G1242" s="34">
        <f>'Hao phí vật tư'!$H$1243</f>
        <v>5.79</v>
      </c>
      <c r="H1242" s="68">
        <f>'Nhân công'!$M$185</f>
        <v>258500</v>
      </c>
      <c r="I1242" s="37">
        <v>1</v>
      </c>
      <c r="J1242" s="166">
        <f>ROUND(G1242*H1242*I1242,0)</f>
        <v>1496715</v>
      </c>
    </row>
    <row r="1243" spans="1:10" x14ac:dyDescent="0.25">
      <c r="A1243" s="56"/>
      <c r="B1243" s="23"/>
      <c r="C1243" s="88"/>
      <c r="D1243" s="23"/>
      <c r="E1243" s="23" t="s">
        <v>378</v>
      </c>
      <c r="F1243" s="56"/>
      <c r="G1243" s="88"/>
      <c r="H1243" s="48"/>
      <c r="I1243" s="90"/>
      <c r="J1243" s="48">
        <f>ROUND(SUM(J1244:J1245),0)</f>
        <v>4015255</v>
      </c>
    </row>
    <row r="1244" spans="1:10" ht="30" x14ac:dyDescent="0.25">
      <c r="A1244" s="168"/>
      <c r="B1244" s="144"/>
      <c r="C1244" s="34">
        <v>716</v>
      </c>
      <c r="D1244" s="144" t="str">
        <f>'Máy thi công'!$B$85</f>
        <v>M9440</v>
      </c>
      <c r="E1244" s="144" t="str">
        <f>" - " &amp; 'Máy thi công'!$D$85</f>
        <v xml:space="preserve"> - Búa diezel chạy trên ray - trọng lượng đầu búa: 1,2 t</v>
      </c>
      <c r="F1244" s="168" t="str">
        <f>'Máy thi công'!$E$85</f>
        <v>ca</v>
      </c>
      <c r="G1244" s="34">
        <f>'Hao phí vật tư'!$I$1245</f>
        <v>2.52</v>
      </c>
      <c r="H1244" s="68">
        <f>'Máy thi công'!$N$85</f>
        <v>1569808</v>
      </c>
      <c r="I1244" s="37">
        <v>1</v>
      </c>
      <c r="J1244" s="166">
        <f>ROUND(G1244*H1244*I1244,0)</f>
        <v>3955916</v>
      </c>
    </row>
    <row r="1245" spans="1:10" x14ac:dyDescent="0.25">
      <c r="A1245" s="168"/>
      <c r="B1245" s="144"/>
      <c r="C1245" s="34">
        <v>618</v>
      </c>
      <c r="D1245" s="144" t="str">
        <f>'Máy thi công'!$B$398</f>
        <v>M0111</v>
      </c>
      <c r="E1245" s="144" t="str">
        <f>" - " &amp; 'Máy thi công'!$D$398</f>
        <v xml:space="preserve"> - Máy khác</v>
      </c>
      <c r="F1245" s="168" t="str">
        <f>'Máy thi công'!$E$398</f>
        <v>%</v>
      </c>
      <c r="G1245" s="34">
        <f>'Hao phí vật tư'!$I$1246</f>
        <v>1.5</v>
      </c>
      <c r="H1245" s="166">
        <f>'Máy thi công'!$N$398</f>
        <v>0</v>
      </c>
      <c r="I1245" s="37">
        <v>1</v>
      </c>
      <c r="J1245" s="166">
        <f>ROUND((J1244)*G1245*I1245/100,0)</f>
        <v>59339</v>
      </c>
    </row>
    <row r="1246" spans="1:10" ht="28.5" x14ac:dyDescent="0.25">
      <c r="A1246" s="65">
        <f>'Công trình'!$A$164</f>
        <v>129</v>
      </c>
      <c r="B1246" s="14" t="str">
        <f>'Công trình'!$B$164</f>
        <v>TT</v>
      </c>
      <c r="C1246" s="94"/>
      <c r="D1246" s="31"/>
      <c r="E1246" s="14" t="str">
        <f>'Công trình'!$C$164</f>
        <v>Khấu hao cọc thép hình (Thi công trong vòng 3 tháng và 1 lần đóng nhổ)</v>
      </c>
      <c r="F1246" s="46" t="str">
        <f>'Công trình'!$D$164</f>
        <v>100m</v>
      </c>
      <c r="G1246" s="94"/>
      <c r="H1246" s="54"/>
      <c r="I1246" s="98"/>
      <c r="J1246" s="54"/>
    </row>
    <row r="1247" spans="1:10" x14ac:dyDescent="0.25">
      <c r="A1247" s="56"/>
      <c r="B1247" s="23"/>
      <c r="C1247" s="88"/>
      <c r="D1247" s="23"/>
      <c r="E1247" s="23" t="s">
        <v>479</v>
      </c>
      <c r="F1247" s="56"/>
      <c r="G1247" s="88"/>
      <c r="H1247" s="48"/>
      <c r="I1247" s="90"/>
      <c r="J1247" s="48">
        <f>ROUND(SUM(J1248:J1249),0)</f>
        <v>184830000</v>
      </c>
    </row>
    <row r="1248" spans="1:10" x14ac:dyDescent="0.25">
      <c r="A1248" s="168"/>
      <c r="B1248" s="144"/>
      <c r="C1248" s="34">
        <v>432</v>
      </c>
      <c r="D1248" s="144" t="str">
        <f>'Vật liệu'!$B$327</f>
        <v>V08281</v>
      </c>
      <c r="E1248" s="144" t="str">
        <f>" - " &amp; 'Vật liệu'!$D$327</f>
        <v xml:space="preserve"> - H(400x400x13x21)mm</v>
      </c>
      <c r="F1248" s="168" t="str">
        <f>'Vật liệu'!$E$327</f>
        <v>m</v>
      </c>
      <c r="G1248" s="34">
        <f>'Hao phí vật tư'!$G$1249</f>
        <v>100</v>
      </c>
      <c r="H1248" s="68">
        <f>'Vật liệu'!$W$327</f>
        <v>1830000</v>
      </c>
      <c r="I1248" s="37">
        <v>1</v>
      </c>
      <c r="J1248" s="166">
        <f>ROUND(G1248*H1248*I1248,0)</f>
        <v>183000000</v>
      </c>
    </row>
    <row r="1249" spans="1:10" x14ac:dyDescent="0.25">
      <c r="A1249" s="168"/>
      <c r="B1249" s="144"/>
      <c r="C1249" s="34">
        <v>276</v>
      </c>
      <c r="D1249" s="144" t="str">
        <f>'Vật liệu'!$B$766</f>
        <v>V00750</v>
      </c>
      <c r="E1249" s="144" t="str">
        <f>" - " &amp; 'Vật liệu'!$D$766</f>
        <v xml:space="preserve"> - Vật liệu khác</v>
      </c>
      <c r="F1249" s="168" t="str">
        <f>'Vật liệu'!$E$766</f>
        <v>%</v>
      </c>
      <c r="G1249" s="34">
        <f>'Hao phí vật tư'!$G$1250</f>
        <v>1</v>
      </c>
      <c r="H1249" s="166">
        <f>'Vật liệu'!$W$766</f>
        <v>0</v>
      </c>
      <c r="I1249" s="37">
        <v>1</v>
      </c>
      <c r="J1249" s="166">
        <f>ROUND((J1248)*G1249*I1249/100,0)</f>
        <v>1830000</v>
      </c>
    </row>
    <row r="1250" spans="1:10" ht="28.5" x14ac:dyDescent="0.25">
      <c r="A1250" s="65">
        <f>'Công trình'!$A$166</f>
        <v>130</v>
      </c>
      <c r="B1250" s="14" t="str">
        <f>'Công trình'!$B$166</f>
        <v>AC.23110</v>
      </c>
      <c r="C1250" s="94"/>
      <c r="D1250" s="31"/>
      <c r="E1250" s="14" t="str">
        <f>'Công trình'!$C$166</f>
        <v>Nhổ cọc thép hình làm tường chắn đất, sàn thao tác trên cạn</v>
      </c>
      <c r="F1250" s="46" t="str">
        <f>'Công trình'!$D$166</f>
        <v>100m</v>
      </c>
      <c r="G1250" s="94"/>
      <c r="H1250" s="54"/>
      <c r="I1250" s="98"/>
      <c r="J1250" s="54"/>
    </row>
    <row r="1251" spans="1:10" x14ac:dyDescent="0.25">
      <c r="A1251" s="56"/>
      <c r="B1251" s="23"/>
      <c r="C1251" s="88"/>
      <c r="D1251" s="23"/>
      <c r="E1251" s="23" t="s">
        <v>202</v>
      </c>
      <c r="F1251" s="56"/>
      <c r="G1251" s="88"/>
      <c r="H1251" s="48"/>
      <c r="I1251" s="90"/>
      <c r="J1251" s="48">
        <f>ROUND(SUM(J1252:J1252),0)</f>
        <v>687610</v>
      </c>
    </row>
    <row r="1252" spans="1:10" x14ac:dyDescent="0.25">
      <c r="A1252" s="168"/>
      <c r="B1252" s="144"/>
      <c r="C1252" s="34">
        <v>555</v>
      </c>
      <c r="D1252" s="144" t="str">
        <f>'Nhân công'!$B$185</f>
        <v>N0020</v>
      </c>
      <c r="E1252" s="144" t="s">
        <v>625</v>
      </c>
      <c r="F1252" s="168" t="str">
        <f>'Nhân công'!$G$185</f>
        <v>công</v>
      </c>
      <c r="G1252" s="34">
        <f>'Hao phí vật tư'!$H$1253</f>
        <v>2.66</v>
      </c>
      <c r="H1252" s="68">
        <f>'Nhân công'!$M$185</f>
        <v>258500</v>
      </c>
      <c r="I1252" s="37">
        <v>1</v>
      </c>
      <c r="J1252" s="166">
        <f>ROUND(G1252*H1252*I1252,0)</f>
        <v>687610</v>
      </c>
    </row>
    <row r="1253" spans="1:10" x14ac:dyDescent="0.25">
      <c r="A1253" s="56"/>
      <c r="B1253" s="23"/>
      <c r="C1253" s="88"/>
      <c r="D1253" s="23"/>
      <c r="E1253" s="23" t="s">
        <v>378</v>
      </c>
      <c r="F1253" s="56"/>
      <c r="G1253" s="88"/>
      <c r="H1253" s="48"/>
      <c r="I1253" s="90"/>
      <c r="J1253" s="48">
        <f>ROUND(SUM(J1254:J1255),0)</f>
        <v>3852512</v>
      </c>
    </row>
    <row r="1254" spans="1:10" x14ac:dyDescent="0.25">
      <c r="A1254" s="168"/>
      <c r="B1254" s="144"/>
      <c r="C1254" s="34">
        <v>729</v>
      </c>
      <c r="D1254" s="144" t="str">
        <f>'Máy thi công'!$B$135</f>
        <v>M9469</v>
      </c>
      <c r="E1254" s="144" t="str">
        <f>" - " &amp; 'Máy thi công'!$D$135</f>
        <v xml:space="preserve"> - Cần trục bánh xích - sức nâng: 25 t</v>
      </c>
      <c r="F1254" s="168" t="str">
        <f>'Máy thi công'!$E$135</f>
        <v>ca</v>
      </c>
      <c r="G1254" s="34">
        <f>'Hao phí vật tư'!$I$1255</f>
        <v>1.33</v>
      </c>
      <c r="H1254" s="68">
        <f>'Máy thi công'!$N$135</f>
        <v>2839829</v>
      </c>
      <c r="I1254" s="37">
        <v>1</v>
      </c>
      <c r="J1254" s="166">
        <f>ROUND(G1254*H1254*I1254,0)</f>
        <v>3776973</v>
      </c>
    </row>
    <row r="1255" spans="1:10" x14ac:dyDescent="0.25">
      <c r="A1255" s="168"/>
      <c r="B1255" s="144"/>
      <c r="C1255" s="34">
        <v>619</v>
      </c>
      <c r="D1255" s="144" t="str">
        <f>'Máy thi công'!$B$398</f>
        <v>M0111</v>
      </c>
      <c r="E1255" s="144" t="str">
        <f>" - " &amp; 'Máy thi công'!$D$398</f>
        <v xml:space="preserve"> - Máy khác</v>
      </c>
      <c r="F1255" s="168" t="str">
        <f>'Máy thi công'!$E$398</f>
        <v>%</v>
      </c>
      <c r="G1255" s="34">
        <f>'Hao phí vật tư'!$I$1256</f>
        <v>2</v>
      </c>
      <c r="H1255" s="166">
        <f>'Máy thi công'!$N$398</f>
        <v>0</v>
      </c>
      <c r="I1255" s="37">
        <v>1</v>
      </c>
      <c r="J1255" s="166">
        <f>ROUND((J1254)*G1255*I1255/100,0)</f>
        <v>75539</v>
      </c>
    </row>
    <row r="1256" spans="1:10" ht="28.5" x14ac:dyDescent="0.25">
      <c r="A1256" s="65">
        <f>'Công trình'!$A$167</f>
        <v>131</v>
      </c>
      <c r="B1256" s="14" t="str">
        <f>'Công trình'!$B$167</f>
        <v>AG.11413</v>
      </c>
      <c r="C1256" s="94"/>
      <c r="D1256" s="31"/>
      <c r="E1256" s="14" t="str">
        <f>'Công trình'!$C$167</f>
        <v>Bê tông tấm đan đúc sẵn đá 1x2, vữa BT mác 200</v>
      </c>
      <c r="F1256" s="46" t="str">
        <f>'Công trình'!$D$167</f>
        <v>m3</v>
      </c>
      <c r="G1256" s="94"/>
      <c r="H1256" s="54"/>
      <c r="I1256" s="98"/>
      <c r="J1256" s="54"/>
    </row>
    <row r="1257" spans="1:10" x14ac:dyDescent="0.25">
      <c r="A1257" s="56"/>
      <c r="B1257" s="23"/>
      <c r="C1257" s="88"/>
      <c r="D1257" s="23"/>
      <c r="E1257" s="23" t="s">
        <v>479</v>
      </c>
      <c r="F1257" s="56"/>
      <c r="G1257" s="88"/>
      <c r="H1257" s="48"/>
      <c r="I1257" s="90"/>
      <c r="J1257" s="48">
        <f>ROUND(SUM(J1258:J1262),0)</f>
        <v>974811</v>
      </c>
    </row>
    <row r="1258" spans="1:10" x14ac:dyDescent="0.25">
      <c r="A1258" s="168"/>
      <c r="B1258" s="144"/>
      <c r="C1258" s="34">
        <v>397</v>
      </c>
      <c r="D1258" s="144" t="str">
        <f>'Vật liệu'!$B$721</f>
        <v>V00761</v>
      </c>
      <c r="E1258" s="144" t="str">
        <f>" - " &amp; 'Vật liệu'!$D$721</f>
        <v xml:space="preserve"> - Xi măng PC40</v>
      </c>
      <c r="F1258" s="168" t="str">
        <f>'Vật liệu'!$E$721</f>
        <v>kg</v>
      </c>
      <c r="G1258" s="34">
        <f>'Hao phí vật tư'!$G$1259</f>
        <v>285.21499999999997</v>
      </c>
      <c r="H1258" s="68">
        <f>'Vật liệu'!$W$721</f>
        <v>1513</v>
      </c>
      <c r="I1258" s="37">
        <v>1</v>
      </c>
      <c r="J1258" s="166">
        <f>ROUND(G1258*H1258*I1258,0)</f>
        <v>431530</v>
      </c>
    </row>
    <row r="1259" spans="1:10" x14ac:dyDescent="0.25">
      <c r="A1259" s="168"/>
      <c r="B1259" s="144"/>
      <c r="C1259" s="34">
        <v>125</v>
      </c>
      <c r="D1259" s="144" t="str">
        <f>'Vật liệu'!$B$54</f>
        <v>V00112</v>
      </c>
      <c r="E1259" s="144" t="str">
        <f>" - " &amp; 'Vật liệu'!$D$54</f>
        <v xml:space="preserve"> - Cát vàng</v>
      </c>
      <c r="F1259" s="168" t="str">
        <f>'Vật liệu'!$E$54</f>
        <v>m3</v>
      </c>
      <c r="G1259" s="34">
        <f>'Hao phí vật tư'!$G$1260</f>
        <v>0.50039999999999996</v>
      </c>
      <c r="H1259" s="68">
        <f>'Vật liệu'!$W$54</f>
        <v>420000</v>
      </c>
      <c r="I1259" s="37">
        <v>1</v>
      </c>
      <c r="J1259" s="166">
        <f>ROUND(G1259*H1259*I1259,0)</f>
        <v>210168</v>
      </c>
    </row>
    <row r="1260" spans="1:10" x14ac:dyDescent="0.25">
      <c r="A1260" s="168"/>
      <c r="B1260" s="144"/>
      <c r="C1260" s="34">
        <v>416</v>
      </c>
      <c r="D1260" s="144" t="str">
        <f>'Vật liệu'!$B$142</f>
        <v>V05207</v>
      </c>
      <c r="E1260" s="144" t="str">
        <f>" - " &amp; 'Vật liệu'!$D$142</f>
        <v xml:space="preserve"> - Đá 1x2</v>
      </c>
      <c r="F1260" s="168" t="str">
        <f>'Vật liệu'!$E$142</f>
        <v>m3</v>
      </c>
      <c r="G1260" s="34">
        <f>'Hao phí vật tư'!$G$1261</f>
        <v>0.90439999999999998</v>
      </c>
      <c r="H1260" s="68">
        <f>'Vật liệu'!$W$142</f>
        <v>360886</v>
      </c>
      <c r="I1260" s="37">
        <v>1</v>
      </c>
      <c r="J1260" s="166">
        <f>ROUND(G1260*H1260*I1260,0)</f>
        <v>326385</v>
      </c>
    </row>
    <row r="1261" spans="1:10" x14ac:dyDescent="0.25">
      <c r="A1261" s="168"/>
      <c r="B1261" s="144"/>
      <c r="C1261" s="34">
        <v>148</v>
      </c>
      <c r="D1261" s="144" t="str">
        <f>'Vật liệu'!$B$353</f>
        <v>V00494</v>
      </c>
      <c r="E1261" s="144" t="str">
        <f>" - " &amp; 'Vật liệu'!$D$353</f>
        <v xml:space="preserve"> - Nước</v>
      </c>
      <c r="F1261" s="168" t="str">
        <f>'Vật liệu'!$E$353</f>
        <v>lít</v>
      </c>
      <c r="G1261" s="34">
        <f>'Hao phí vật tư'!$G$1262</f>
        <v>187.77500000000001</v>
      </c>
      <c r="H1261" s="68">
        <f>'Vật liệu'!$W$353</f>
        <v>10</v>
      </c>
      <c r="I1261" s="37">
        <v>1</v>
      </c>
      <c r="J1261" s="166">
        <f>ROUND(G1261*H1261*I1261,0)</f>
        <v>1878</v>
      </c>
    </row>
    <row r="1262" spans="1:10" x14ac:dyDescent="0.25">
      <c r="A1262" s="168"/>
      <c r="B1262" s="144"/>
      <c r="C1262" s="34">
        <v>277</v>
      </c>
      <c r="D1262" s="144" t="str">
        <f>'Vật liệu'!$B$766</f>
        <v>V00750</v>
      </c>
      <c r="E1262" s="144" t="str">
        <f>" - " &amp; 'Vật liệu'!$D$766</f>
        <v xml:space="preserve"> - Vật liệu khác</v>
      </c>
      <c r="F1262" s="168" t="str">
        <f>'Vật liệu'!$E$766</f>
        <v>%</v>
      </c>
      <c r="G1262" s="34">
        <f>'Hao phí vật tư'!$G$1263</f>
        <v>0.5</v>
      </c>
      <c r="H1262" s="166">
        <f>'Vật liệu'!$W$766</f>
        <v>0</v>
      </c>
      <c r="I1262" s="37">
        <v>1</v>
      </c>
      <c r="J1262" s="166">
        <f>ROUND((J1258+J1259+J1260+J1261)*G1262*I1262/100,0)</f>
        <v>4850</v>
      </c>
    </row>
    <row r="1263" spans="1:10" x14ac:dyDescent="0.25">
      <c r="A1263" s="56"/>
      <c r="B1263" s="23"/>
      <c r="C1263" s="88"/>
      <c r="D1263" s="23"/>
      <c r="E1263" s="23" t="s">
        <v>202</v>
      </c>
      <c r="F1263" s="56"/>
      <c r="G1263" s="88"/>
      <c r="H1263" s="48"/>
      <c r="I1263" s="90"/>
      <c r="J1263" s="48">
        <f>ROUND(SUM(J1264:J1264),0)</f>
        <v>501744</v>
      </c>
    </row>
    <row r="1264" spans="1:10" x14ac:dyDescent="0.25">
      <c r="A1264" s="168"/>
      <c r="B1264" s="144"/>
      <c r="C1264" s="34">
        <v>545</v>
      </c>
      <c r="D1264" s="144" t="str">
        <f>'Nhân công'!$B$6</f>
        <v>N0006</v>
      </c>
      <c r="E1264" s="144" t="s">
        <v>256</v>
      </c>
      <c r="F1264" s="168" t="str">
        <f>'Nhân công'!$G$6</f>
        <v>công</v>
      </c>
      <c r="G1264" s="34">
        <f>'Hao phí vật tư'!$H$1265</f>
        <v>2.57</v>
      </c>
      <c r="H1264" s="68">
        <f>'Nhân công'!$M$6</f>
        <v>195231</v>
      </c>
      <c r="I1264" s="37">
        <v>1</v>
      </c>
      <c r="J1264" s="166">
        <f>ROUND(G1264*H1264*I1264,0)</f>
        <v>501744</v>
      </c>
    </row>
    <row r="1265" spans="1:10" x14ac:dyDescent="0.25">
      <c r="A1265" s="56"/>
      <c r="B1265" s="23"/>
      <c r="C1265" s="88"/>
      <c r="D1265" s="23"/>
      <c r="E1265" s="23" t="s">
        <v>378</v>
      </c>
      <c r="F1265" s="56"/>
      <c r="G1265" s="88"/>
      <c r="H1265" s="48"/>
      <c r="I1265" s="90"/>
      <c r="J1265" s="48">
        <f>ROUND(SUM(J1266:J1266),0)</f>
        <v>27402</v>
      </c>
    </row>
    <row r="1266" spans="1:10" x14ac:dyDescent="0.25">
      <c r="A1266" s="168"/>
      <c r="B1266" s="144"/>
      <c r="C1266" s="34">
        <v>744</v>
      </c>
      <c r="D1266" s="144" t="str">
        <f>'Máy thi công'!$B$306</f>
        <v>M9555</v>
      </c>
      <c r="E1266" s="144" t="str">
        <f>" - " &amp; 'Máy thi công'!$D$306</f>
        <v xml:space="preserve"> - Máy trộn bê tông - dung tích: 250 lít</v>
      </c>
      <c r="F1266" s="168" t="str">
        <f>'Máy thi công'!$E$306</f>
        <v>ca</v>
      </c>
      <c r="G1266" s="34">
        <f>'Hao phí vật tư'!$I$1267</f>
        <v>9.5000000000000001E-2</v>
      </c>
      <c r="H1266" s="68">
        <f>'Máy thi công'!$N$306</f>
        <v>288447</v>
      </c>
      <c r="I1266" s="37">
        <v>1</v>
      </c>
      <c r="J1266" s="166">
        <f>ROUND(G1266*H1266*I1266,0)</f>
        <v>27402</v>
      </c>
    </row>
    <row r="1267" spans="1:10" ht="28.5" x14ac:dyDescent="0.25">
      <c r="A1267" s="65">
        <f>'Công trình'!$A$168</f>
        <v>132</v>
      </c>
      <c r="B1267" s="14" t="str">
        <f>'Công trình'!$B$168</f>
        <v>AG.32211</v>
      </c>
      <c r="C1267" s="94"/>
      <c r="D1267" s="31"/>
      <c r="E1267" s="14" t="str">
        <f>'Công trình'!$C$168</f>
        <v>Sản xuất, lắp dựng tháo dỡ ván khuôn kim loại các loại cấu kiện khác</v>
      </c>
      <c r="F1267" s="46" t="str">
        <f>'Công trình'!$D$168</f>
        <v>100m2</v>
      </c>
      <c r="G1267" s="94"/>
      <c r="H1267" s="54"/>
      <c r="I1267" s="98"/>
      <c r="J1267" s="54"/>
    </row>
    <row r="1268" spans="1:10" x14ac:dyDescent="0.25">
      <c r="A1268" s="56"/>
      <c r="B1268" s="23"/>
      <c r="C1268" s="88"/>
      <c r="D1268" s="23"/>
      <c r="E1268" s="23" t="s">
        <v>479</v>
      </c>
      <c r="F1268" s="56"/>
      <c r="G1268" s="88"/>
      <c r="H1268" s="48"/>
      <c r="I1268" s="90"/>
      <c r="J1268" s="48">
        <f>ROUND(SUM(J1269:J1272),0)</f>
        <v>527481</v>
      </c>
    </row>
    <row r="1269" spans="1:10" x14ac:dyDescent="0.25">
      <c r="A1269" s="168"/>
      <c r="B1269" s="144"/>
      <c r="C1269" s="34">
        <v>154</v>
      </c>
      <c r="D1269" s="144" t="str">
        <f>'Vật liệu'!$B$450</f>
        <v>V00515</v>
      </c>
      <c r="E1269" s="144" t="str">
        <f>" - " &amp; 'Vật liệu'!$D$450</f>
        <v xml:space="preserve"> - Que hàn</v>
      </c>
      <c r="F1269" s="168" t="str">
        <f>'Vật liệu'!$E$450</f>
        <v>kg</v>
      </c>
      <c r="G1269" s="34">
        <f>'Hao phí vật tư'!$G$1270</f>
        <v>1.9</v>
      </c>
      <c r="H1269" s="68">
        <f>'Vật liệu'!$W$450</f>
        <v>19091</v>
      </c>
      <c r="I1269" s="37">
        <v>1</v>
      </c>
      <c r="J1269" s="166">
        <f>ROUND(G1269*H1269*I1269,0)</f>
        <v>36273</v>
      </c>
    </row>
    <row r="1270" spans="1:10" x14ac:dyDescent="0.25">
      <c r="A1270" s="168"/>
      <c r="B1270" s="144"/>
      <c r="C1270" s="34">
        <v>166</v>
      </c>
      <c r="D1270" s="144" t="str">
        <f>'Vật liệu'!$B$606</f>
        <v>V00671</v>
      </c>
      <c r="E1270" s="144" t="str">
        <f>" - " &amp; 'Vật liệu'!$D$606</f>
        <v xml:space="preserve"> - Thép tấm</v>
      </c>
      <c r="F1270" s="168" t="str">
        <f>'Vật liệu'!$E$606</f>
        <v>kg</v>
      </c>
      <c r="G1270" s="34">
        <f>'Hao phí vật tư'!$G$1271</f>
        <v>17.27</v>
      </c>
      <c r="H1270" s="68">
        <f>'Vật liệu'!$W$606</f>
        <v>12574</v>
      </c>
      <c r="I1270" s="37">
        <v>1</v>
      </c>
      <c r="J1270" s="166">
        <f>ROUND(G1270*H1270*I1270,0)</f>
        <v>217153</v>
      </c>
    </row>
    <row r="1271" spans="1:10" x14ac:dyDescent="0.25">
      <c r="A1271" s="168"/>
      <c r="B1271" s="144"/>
      <c r="C1271" s="34">
        <v>160</v>
      </c>
      <c r="D1271" s="144" t="str">
        <f>'Vật liệu'!$B$556</f>
        <v>V00641</v>
      </c>
      <c r="E1271" s="144" t="str">
        <f>" - " &amp; 'Vật liệu'!$D$556</f>
        <v xml:space="preserve"> - Thép hình</v>
      </c>
      <c r="F1271" s="168" t="str">
        <f>'Vật liệu'!$E$556</f>
        <v>kg</v>
      </c>
      <c r="G1271" s="34">
        <f>'Hao phí vật tư'!$G$1272</f>
        <v>16.28</v>
      </c>
      <c r="H1271" s="68">
        <f>'Vật liệu'!$W$556</f>
        <v>15291</v>
      </c>
      <c r="I1271" s="37">
        <v>1</v>
      </c>
      <c r="J1271" s="166">
        <f>ROUND(G1271*H1271*I1271,0)</f>
        <v>248937</v>
      </c>
    </row>
    <row r="1272" spans="1:10" x14ac:dyDescent="0.25">
      <c r="A1272" s="168"/>
      <c r="B1272" s="144"/>
      <c r="C1272" s="34">
        <v>278</v>
      </c>
      <c r="D1272" s="144" t="str">
        <f>'Vật liệu'!$B$766</f>
        <v>V00750</v>
      </c>
      <c r="E1272" s="144" t="str">
        <f>" - " &amp; 'Vật liệu'!$D$766</f>
        <v xml:space="preserve"> - Vật liệu khác</v>
      </c>
      <c r="F1272" s="168" t="str">
        <f>'Vật liệu'!$E$766</f>
        <v>%</v>
      </c>
      <c r="G1272" s="34">
        <f>'Hao phí vật tư'!$G$1273</f>
        <v>5</v>
      </c>
      <c r="H1272" s="166">
        <f>'Vật liệu'!$W$766</f>
        <v>0</v>
      </c>
      <c r="I1272" s="37">
        <v>1</v>
      </c>
      <c r="J1272" s="166">
        <f>ROUND((J1269+J1270+J1271)*G1272*I1272/100,0)</f>
        <v>25118</v>
      </c>
    </row>
    <row r="1273" spans="1:10" x14ac:dyDescent="0.25">
      <c r="A1273" s="56"/>
      <c r="B1273" s="23"/>
      <c r="C1273" s="88"/>
      <c r="D1273" s="23"/>
      <c r="E1273" s="23" t="s">
        <v>202</v>
      </c>
      <c r="F1273" s="56"/>
      <c r="G1273" s="88"/>
      <c r="H1273" s="48"/>
      <c r="I1273" s="90"/>
      <c r="J1273" s="48">
        <f>ROUND(SUM(J1274:J1274),0)</f>
        <v>7320077</v>
      </c>
    </row>
    <row r="1274" spans="1:10" x14ac:dyDescent="0.25">
      <c r="A1274" s="168"/>
      <c r="B1274" s="144"/>
      <c r="C1274" s="34">
        <v>550</v>
      </c>
      <c r="D1274" s="144" t="str">
        <f>'Nhân công'!$B$130</f>
        <v>N0011</v>
      </c>
      <c r="E1274" s="144" t="s">
        <v>671</v>
      </c>
      <c r="F1274" s="168" t="str">
        <f>'Nhân công'!$G$130</f>
        <v>công</v>
      </c>
      <c r="G1274" s="34">
        <f>'Hao phí vật tư'!$H$1275</f>
        <v>31.76</v>
      </c>
      <c r="H1274" s="68">
        <f>'Nhân công'!$M$130</f>
        <v>230481</v>
      </c>
      <c r="I1274" s="37">
        <v>1</v>
      </c>
      <c r="J1274" s="166">
        <f>ROUND(G1274*H1274*I1274,0)</f>
        <v>7320077</v>
      </c>
    </row>
    <row r="1275" spans="1:10" x14ac:dyDescent="0.25">
      <c r="A1275" s="56"/>
      <c r="B1275" s="23"/>
      <c r="C1275" s="88"/>
      <c r="D1275" s="23"/>
      <c r="E1275" s="23" t="s">
        <v>378</v>
      </c>
      <c r="F1275" s="56"/>
      <c r="G1275" s="88"/>
      <c r="H1275" s="48"/>
      <c r="I1275" s="90"/>
      <c r="J1275" s="48">
        <f>ROUND(SUM(J1276:J1277),0)</f>
        <v>268219</v>
      </c>
    </row>
    <row r="1276" spans="1:10" x14ac:dyDescent="0.25">
      <c r="A1276" s="168"/>
      <c r="B1276" s="144"/>
      <c r="C1276" s="34">
        <v>714</v>
      </c>
      <c r="D1276" s="144" t="str">
        <f>'Máy thi công'!$B$6</f>
        <v>M9438</v>
      </c>
      <c r="E1276" s="144" t="str">
        <f>" - " &amp; 'Máy thi công'!$D$6</f>
        <v xml:space="preserve"> - Biến thế hàn xoay chiều - công suất: 23 kW</v>
      </c>
      <c r="F1276" s="168" t="str">
        <f>'Máy thi công'!$E$6</f>
        <v>ca</v>
      </c>
      <c r="G1276" s="34">
        <f>'Hao phí vật tư'!$I$1277</f>
        <v>0.69</v>
      </c>
      <c r="H1276" s="68">
        <f>'Máy thi công'!$N$6</f>
        <v>338020</v>
      </c>
      <c r="I1276" s="37">
        <v>1</v>
      </c>
      <c r="J1276" s="166">
        <f>ROUND(G1276*H1276*I1276,0)</f>
        <v>233234</v>
      </c>
    </row>
    <row r="1277" spans="1:10" x14ac:dyDescent="0.25">
      <c r="A1277" s="168"/>
      <c r="B1277" s="144"/>
      <c r="C1277" s="34">
        <v>620</v>
      </c>
      <c r="D1277" s="144" t="str">
        <f>'Máy thi công'!$B$398</f>
        <v>M0111</v>
      </c>
      <c r="E1277" s="144" t="str">
        <f>" - " &amp; 'Máy thi công'!$D$398</f>
        <v xml:space="preserve"> - Máy khác</v>
      </c>
      <c r="F1277" s="168" t="str">
        <f>'Máy thi công'!$E$398</f>
        <v>%</v>
      </c>
      <c r="G1277" s="34">
        <f>'Hao phí vật tư'!$I$1278</f>
        <v>15</v>
      </c>
      <c r="H1277" s="166">
        <f>'Máy thi công'!$N$398</f>
        <v>0</v>
      </c>
      <c r="I1277" s="37">
        <v>1</v>
      </c>
      <c r="J1277" s="166">
        <f>ROUND((J1276)*G1277*I1277/100,0)</f>
        <v>34985</v>
      </c>
    </row>
    <row r="1278" spans="1:10" ht="28.5" x14ac:dyDescent="0.25">
      <c r="A1278" s="65">
        <f>'Công trình'!$A$169</f>
        <v>133</v>
      </c>
      <c r="B1278" s="14" t="str">
        <f>'Công trình'!$B$169</f>
        <v>AG.42141</v>
      </c>
      <c r="C1278" s="94"/>
      <c r="D1278" s="31"/>
      <c r="E1278" s="14" t="str">
        <f>'Công trình'!$C$169</f>
        <v>Lắp các loại cấu kiện BT đúc sẵn bằng thủ công trọng lượng &gt;250kg, vữa XM mác 100</v>
      </c>
      <c r="F1278" s="46" t="str">
        <f>'Công trình'!$D$169</f>
        <v>cái</v>
      </c>
      <c r="G1278" s="94"/>
      <c r="H1278" s="54"/>
      <c r="I1278" s="98"/>
      <c r="J1278" s="54"/>
    </row>
    <row r="1279" spans="1:10" x14ac:dyDescent="0.25">
      <c r="A1279" s="56"/>
      <c r="B1279" s="23"/>
      <c r="C1279" s="88"/>
      <c r="D1279" s="23"/>
      <c r="E1279" s="23" t="s">
        <v>479</v>
      </c>
      <c r="F1279" s="56"/>
      <c r="G1279" s="88"/>
      <c r="H1279" s="48"/>
      <c r="I1279" s="90"/>
      <c r="J1279" s="48">
        <f>ROUND(SUM(J1280:J1283),0)</f>
        <v>10100</v>
      </c>
    </row>
    <row r="1280" spans="1:10" x14ac:dyDescent="0.25">
      <c r="A1280" s="168"/>
      <c r="B1280" s="144"/>
      <c r="C1280" s="34">
        <v>397</v>
      </c>
      <c r="D1280" s="144" t="str">
        <f>'Vật liệu'!$B$721</f>
        <v>V00761</v>
      </c>
      <c r="E1280" s="144" t="str">
        <f>" - " &amp; 'Vật liệu'!$D$721</f>
        <v xml:space="preserve"> - Xi măng PC40</v>
      </c>
      <c r="F1280" s="168" t="str">
        <f>'Vật liệu'!$E$721</f>
        <v>kg</v>
      </c>
      <c r="G1280" s="34">
        <f>'Hao phí vật tư'!$G$1281</f>
        <v>2.9702000000000002</v>
      </c>
      <c r="H1280" s="68">
        <f>'Vật liệu'!$W$721</f>
        <v>1513</v>
      </c>
      <c r="I1280" s="37">
        <v>1</v>
      </c>
      <c r="J1280" s="166">
        <f>ROUND(G1280*H1280*I1280,0)</f>
        <v>4494</v>
      </c>
    </row>
    <row r="1281" spans="1:10" x14ac:dyDescent="0.25">
      <c r="A1281" s="168"/>
      <c r="B1281" s="144"/>
      <c r="C1281" s="34">
        <v>125</v>
      </c>
      <c r="D1281" s="144" t="str">
        <f>'Vật liệu'!$B$54</f>
        <v>V00112</v>
      </c>
      <c r="E1281" s="144" t="str">
        <f>" - " &amp; 'Vật liệu'!$D$54</f>
        <v xml:space="preserve"> - Cát vàng</v>
      </c>
      <c r="F1281" s="168" t="str">
        <f>'Vật liệu'!$E$54</f>
        <v>m3</v>
      </c>
      <c r="G1281" s="34">
        <f>'Hao phí vật tư'!$G$1282</f>
        <v>1.11E-2</v>
      </c>
      <c r="H1281" s="68">
        <f>'Vật liệu'!$W$54</f>
        <v>420000</v>
      </c>
      <c r="I1281" s="37">
        <v>1</v>
      </c>
      <c r="J1281" s="166">
        <f>ROUND(G1281*H1281*I1281,0)</f>
        <v>4662</v>
      </c>
    </row>
    <row r="1282" spans="1:10" x14ac:dyDescent="0.25">
      <c r="A1282" s="168"/>
      <c r="B1282" s="144"/>
      <c r="C1282" s="34">
        <v>148</v>
      </c>
      <c r="D1282" s="144" t="str">
        <f>'Vật liệu'!$B$353</f>
        <v>V00494</v>
      </c>
      <c r="E1282" s="144" t="str">
        <f>" - " &amp; 'Vật liệu'!$D$353</f>
        <v xml:space="preserve"> - Nước</v>
      </c>
      <c r="F1282" s="168" t="str">
        <f>'Vật liệu'!$E$353</f>
        <v>lít</v>
      </c>
      <c r="G1282" s="34">
        <f>'Hao phí vật tư'!$G$1283</f>
        <v>2.6</v>
      </c>
      <c r="H1282" s="68">
        <f>'Vật liệu'!$W$353</f>
        <v>10</v>
      </c>
      <c r="I1282" s="37">
        <v>1</v>
      </c>
      <c r="J1282" s="166">
        <f>ROUND(G1282*H1282*I1282,0)</f>
        <v>26</v>
      </c>
    </row>
    <row r="1283" spans="1:10" x14ac:dyDescent="0.25">
      <c r="A1283" s="168"/>
      <c r="B1283" s="144"/>
      <c r="C1283" s="34">
        <v>280</v>
      </c>
      <c r="D1283" s="144" t="str">
        <f>'Vật liệu'!$B$766</f>
        <v>V00750</v>
      </c>
      <c r="E1283" s="144" t="str">
        <f>" - " &amp; 'Vật liệu'!$D$766</f>
        <v xml:space="preserve"> - Vật liệu khác</v>
      </c>
      <c r="F1283" s="168" t="str">
        <f>'Vật liệu'!$E$766</f>
        <v>%</v>
      </c>
      <c r="G1283" s="34">
        <f>'Hao phí vật tư'!$G$1284</f>
        <v>10</v>
      </c>
      <c r="H1283" s="166">
        <f>'Vật liệu'!$W$766</f>
        <v>0</v>
      </c>
      <c r="I1283" s="37">
        <v>1</v>
      </c>
      <c r="J1283" s="166">
        <f>ROUND((J1280+J1281+J1282)*G1283*I1283/100,0)</f>
        <v>918</v>
      </c>
    </row>
    <row r="1284" spans="1:10" x14ac:dyDescent="0.25">
      <c r="A1284" s="56"/>
      <c r="B1284" s="23"/>
      <c r="C1284" s="88"/>
      <c r="D1284" s="23"/>
      <c r="E1284" s="23" t="s">
        <v>202</v>
      </c>
      <c r="F1284" s="56"/>
      <c r="G1284" s="88"/>
      <c r="H1284" s="48"/>
      <c r="I1284" s="90"/>
      <c r="J1284" s="48">
        <f>ROUND(SUM(J1285:J1285),0)</f>
        <v>219725</v>
      </c>
    </row>
    <row r="1285" spans="1:10" x14ac:dyDescent="0.25">
      <c r="A1285" s="168"/>
      <c r="B1285" s="144"/>
      <c r="C1285" s="34">
        <v>555</v>
      </c>
      <c r="D1285" s="144" t="str">
        <f>'Nhân công'!$B$185</f>
        <v>N0020</v>
      </c>
      <c r="E1285" s="144" t="s">
        <v>625</v>
      </c>
      <c r="F1285" s="168" t="str">
        <f>'Nhân công'!$G$185</f>
        <v>công</v>
      </c>
      <c r="G1285" s="34">
        <f>'Hao phí vật tư'!$H$1286</f>
        <v>0.85</v>
      </c>
      <c r="H1285" s="68">
        <f>'Nhân công'!$M$185</f>
        <v>258500</v>
      </c>
      <c r="I1285" s="37">
        <v>1</v>
      </c>
      <c r="J1285" s="166">
        <f>ROUND(G1285*H1285*I1285,0)</f>
        <v>219725</v>
      </c>
    </row>
    <row r="1286" spans="1:10" x14ac:dyDescent="0.25">
      <c r="A1286" s="65">
        <f>'Công trình'!$A$170</f>
        <v>134</v>
      </c>
      <c r="B1286" s="14" t="str">
        <f>'Công trình'!$B$170</f>
        <v>035.41</v>
      </c>
      <c r="C1286" s="94"/>
      <c r="D1286" s="31"/>
      <c r="E1286" s="14" t="str">
        <f>'Công trình'!$C$170</f>
        <v>Thả rọ thép đá hộc, loai rọ 2x1x0.5 trên cạn</v>
      </c>
      <c r="F1286" s="46" t="str">
        <f>'Công trình'!$D$170</f>
        <v>rọ</v>
      </c>
      <c r="G1286" s="94"/>
      <c r="H1286" s="54"/>
      <c r="I1286" s="98"/>
      <c r="J1286" s="54"/>
    </row>
    <row r="1287" spans="1:10" x14ac:dyDescent="0.25">
      <c r="A1287" s="56"/>
      <c r="B1287" s="23"/>
      <c r="C1287" s="88"/>
      <c r="D1287" s="23"/>
      <c r="E1287" s="23" t="s">
        <v>479</v>
      </c>
      <c r="F1287" s="56"/>
      <c r="G1287" s="88"/>
      <c r="H1287" s="48"/>
      <c r="I1287" s="90"/>
      <c r="J1287" s="48">
        <f>ROUND(SUM(J1288:J1289),0)</f>
        <v>843355</v>
      </c>
    </row>
    <row r="1288" spans="1:10" x14ac:dyDescent="0.25">
      <c r="A1288" s="168"/>
      <c r="B1288" s="144"/>
      <c r="C1288" s="34">
        <v>470</v>
      </c>
      <c r="D1288" s="144" t="str">
        <f>'Vật liệu'!$B$182</f>
        <v>V35307</v>
      </c>
      <c r="E1288" s="144" t="str">
        <f>" - " &amp; 'Vật liệu'!$D$182</f>
        <v xml:space="preserve"> - Đá hộc 30x30</v>
      </c>
      <c r="F1288" s="168" t="str">
        <f>'Vật liệu'!$E$182</f>
        <v>m3</v>
      </c>
      <c r="G1288" s="34">
        <f>'Hao phí vật tư'!$G$1289</f>
        <v>1.1000000000000001</v>
      </c>
      <c r="H1288" s="68">
        <f>'Vật liệu'!$W$182</f>
        <v>438545</v>
      </c>
      <c r="I1288" s="37">
        <v>1</v>
      </c>
      <c r="J1288" s="166">
        <f>ROUND(G1288*H1288*I1288,0)</f>
        <v>482400</v>
      </c>
    </row>
    <row r="1289" spans="1:10" ht="30" x14ac:dyDescent="0.25">
      <c r="A1289" s="168"/>
      <c r="B1289" s="144"/>
      <c r="C1289" s="34">
        <v>471</v>
      </c>
      <c r="D1289" s="144" t="str">
        <f>'Vật liệu'!$B$262</f>
        <v>V37377</v>
      </c>
      <c r="E1289" s="144" t="str">
        <f>" - " &amp; 'Vật liệu'!$D$262</f>
        <v xml:space="preserve"> - Dây thép bọc PVC dây đan 2,7x3,7mm, dây viền 3,4x4,4mm</v>
      </c>
      <c r="F1289" s="168" t="str">
        <f>'Vật liệu'!$E$262</f>
        <v>m2</v>
      </c>
      <c r="G1289" s="34">
        <f>'Hao phí vật tư'!$G$1290</f>
        <v>7</v>
      </c>
      <c r="H1289" s="68">
        <f>'Vật liệu'!$W$262</f>
        <v>51565</v>
      </c>
      <c r="I1289" s="37">
        <v>1</v>
      </c>
      <c r="J1289" s="166">
        <f>ROUND(G1289*H1289*I1289,0)</f>
        <v>360955</v>
      </c>
    </row>
    <row r="1290" spans="1:10" x14ac:dyDescent="0.25">
      <c r="A1290" s="56"/>
      <c r="B1290" s="23"/>
      <c r="C1290" s="88"/>
      <c r="D1290" s="23"/>
      <c r="E1290" s="23" t="s">
        <v>202</v>
      </c>
      <c r="F1290" s="56"/>
      <c r="G1290" s="88"/>
      <c r="H1290" s="48"/>
      <c r="I1290" s="90"/>
      <c r="J1290" s="48">
        <f>ROUND(SUM(J1291:J1291),0)</f>
        <v>344507</v>
      </c>
    </row>
    <row r="1291" spans="1:10" x14ac:dyDescent="0.25">
      <c r="A1291" s="168"/>
      <c r="B1291" s="144"/>
      <c r="C1291" s="34">
        <v>546</v>
      </c>
      <c r="D1291" s="144" t="str">
        <f>'Nhân công'!$B$45</f>
        <v>N0009</v>
      </c>
      <c r="E1291" s="144" t="s">
        <v>1052</v>
      </c>
      <c r="F1291" s="168" t="str">
        <f>'Nhân công'!$G$45</f>
        <v>công</v>
      </c>
      <c r="G1291" s="34">
        <f>'Hao phí vật tư'!$H$1292</f>
        <v>1.6185</v>
      </c>
      <c r="H1291" s="68">
        <f>'Nhân công'!$M$45</f>
        <v>212856</v>
      </c>
      <c r="I1291" s="37">
        <v>1</v>
      </c>
      <c r="J1291" s="166">
        <f>ROUND(G1291*H1291*I1291,0)</f>
        <v>344507</v>
      </c>
    </row>
    <row r="1292" spans="1:10" x14ac:dyDescent="0.25">
      <c r="A1292" s="65">
        <f>'Công trình'!$A$171</f>
        <v>135</v>
      </c>
      <c r="B1292" s="14" t="str">
        <f>'Công trình'!$B$171</f>
        <v>AB.13112</v>
      </c>
      <c r="C1292" s="94"/>
      <c r="D1292" s="31"/>
      <c r="E1292" s="14" t="str">
        <f>'Công trình'!$C$171</f>
        <v>Đắp đất nền móng công trình, độ chặt K=0,90</v>
      </c>
      <c r="F1292" s="46" t="str">
        <f>'Công trình'!$D$171</f>
        <v>m3</v>
      </c>
      <c r="G1292" s="94"/>
      <c r="H1292" s="54"/>
      <c r="I1292" s="98"/>
      <c r="J1292" s="54"/>
    </row>
    <row r="1293" spans="1:10" x14ac:dyDescent="0.25">
      <c r="A1293" s="56"/>
      <c r="B1293" s="23"/>
      <c r="C1293" s="88"/>
      <c r="D1293" s="23"/>
      <c r="E1293" s="23" t="s">
        <v>202</v>
      </c>
      <c r="F1293" s="56"/>
      <c r="G1293" s="88"/>
      <c r="H1293" s="48"/>
      <c r="I1293" s="90"/>
      <c r="J1293" s="48">
        <f>ROUND(SUM(J1294:J1294),0)</f>
        <v>130805</v>
      </c>
    </row>
    <row r="1294" spans="1:10" x14ac:dyDescent="0.25">
      <c r="A1294" s="168"/>
      <c r="B1294" s="144"/>
      <c r="C1294" s="34">
        <v>545</v>
      </c>
      <c r="D1294" s="144" t="str">
        <f>'Nhân công'!$B$6</f>
        <v>N0006</v>
      </c>
      <c r="E1294" s="144" t="s">
        <v>256</v>
      </c>
      <c r="F1294" s="168" t="str">
        <f>'Nhân công'!$G$6</f>
        <v>công</v>
      </c>
      <c r="G1294" s="34">
        <f>'Hao phí vật tư'!$H$1295</f>
        <v>0.67</v>
      </c>
      <c r="H1294" s="68">
        <f>'Nhân công'!$M$6</f>
        <v>195231</v>
      </c>
      <c r="I1294" s="37">
        <v>1</v>
      </c>
      <c r="J1294" s="166">
        <f>ROUND(G1294*H1294*I1294,0)</f>
        <v>130805</v>
      </c>
    </row>
    <row r="1295" spans="1:10" ht="28.5" x14ac:dyDescent="0.25">
      <c r="A1295" s="65">
        <f>'Công trình'!$A$174</f>
        <v>136</v>
      </c>
      <c r="B1295" s="14" t="str">
        <f>'Công trình'!$B$174</f>
        <v>AF.14115</v>
      </c>
      <c r="C1295" s="94"/>
      <c r="D1295" s="31"/>
      <c r="E1295" s="14" t="str">
        <f>'Công trình'!$C$174</f>
        <v>Bê tông móng, mố trụ cầu trên cạn đá 1x2, vữa BT mác 300</v>
      </c>
      <c r="F1295" s="46" t="str">
        <f>'Công trình'!$D$174</f>
        <v>m3</v>
      </c>
      <c r="G1295" s="94"/>
      <c r="H1295" s="54"/>
      <c r="I1295" s="98"/>
      <c r="J1295" s="54"/>
    </row>
    <row r="1296" spans="1:10" x14ac:dyDescent="0.25">
      <c r="A1296" s="56"/>
      <c r="B1296" s="23"/>
      <c r="C1296" s="88"/>
      <c r="D1296" s="23"/>
      <c r="E1296" s="23" t="s">
        <v>479</v>
      </c>
      <c r="F1296" s="56"/>
      <c r="G1296" s="88"/>
      <c r="H1296" s="48"/>
      <c r="I1296" s="90"/>
      <c r="J1296" s="48">
        <f>ROUND(SUM(J1297:J1301),0)</f>
        <v>1123217</v>
      </c>
    </row>
    <row r="1297" spans="1:10" x14ac:dyDescent="0.25">
      <c r="A1297" s="168"/>
      <c r="B1297" s="144"/>
      <c r="C1297" s="34">
        <v>397</v>
      </c>
      <c r="D1297" s="144" t="str">
        <f>'Vật liệu'!$B$721</f>
        <v>V00761</v>
      </c>
      <c r="E1297" s="144" t="str">
        <f>" - " &amp; 'Vật liệu'!$D$721</f>
        <v xml:space="preserve"> - Xi măng PC40</v>
      </c>
      <c r="F1297" s="168" t="str">
        <f>'Vật liệu'!$E$721</f>
        <v>kg</v>
      </c>
      <c r="G1297" s="34">
        <f>'Hao phí vật tư'!$G$1298</f>
        <v>383.35</v>
      </c>
      <c r="H1297" s="68">
        <f>'Vật liệu'!$W$721</f>
        <v>1513</v>
      </c>
      <c r="I1297" s="37">
        <v>1</v>
      </c>
      <c r="J1297" s="166">
        <f>ROUND(G1297*H1297*I1297,0)</f>
        <v>580009</v>
      </c>
    </row>
    <row r="1298" spans="1:10" x14ac:dyDescent="0.25">
      <c r="A1298" s="168"/>
      <c r="B1298" s="144"/>
      <c r="C1298" s="34">
        <v>125</v>
      </c>
      <c r="D1298" s="144" t="str">
        <f>'Vật liệu'!$B$54</f>
        <v>V00112</v>
      </c>
      <c r="E1298" s="144" t="str">
        <f>" - " &amp; 'Vật liệu'!$D$54</f>
        <v xml:space="preserve"> - Cát vàng</v>
      </c>
      <c r="F1298" s="168" t="str">
        <f>'Vật liệu'!$E$54</f>
        <v>m3</v>
      </c>
      <c r="G1298" s="34">
        <f>'Hao phí vật tư'!$G$1299</f>
        <v>0.46839999999999998</v>
      </c>
      <c r="H1298" s="68">
        <f>'Vật liệu'!$W$54</f>
        <v>420000</v>
      </c>
      <c r="I1298" s="37">
        <v>1</v>
      </c>
      <c r="J1298" s="166">
        <f>ROUND(G1298*H1298*I1298,0)</f>
        <v>196728</v>
      </c>
    </row>
    <row r="1299" spans="1:10" x14ac:dyDescent="0.25">
      <c r="A1299" s="168"/>
      <c r="B1299" s="144"/>
      <c r="C1299" s="34">
        <v>416</v>
      </c>
      <c r="D1299" s="144" t="str">
        <f>'Vật liệu'!$B$142</f>
        <v>V05207</v>
      </c>
      <c r="E1299" s="144" t="str">
        <f>" - " &amp; 'Vật liệu'!$D$142</f>
        <v xml:space="preserve"> - Đá 1x2</v>
      </c>
      <c r="F1299" s="168" t="str">
        <f>'Vật liệu'!$E$142</f>
        <v>m3</v>
      </c>
      <c r="G1299" s="34">
        <f>'Hao phí vật tư'!$G$1300</f>
        <v>0.89380000000000004</v>
      </c>
      <c r="H1299" s="68">
        <f>'Vật liệu'!$W$142</f>
        <v>360886</v>
      </c>
      <c r="I1299" s="37">
        <v>1</v>
      </c>
      <c r="J1299" s="166">
        <f>ROUND(G1299*H1299*I1299,0)</f>
        <v>322560</v>
      </c>
    </row>
    <row r="1300" spans="1:10" x14ac:dyDescent="0.25">
      <c r="A1300" s="168"/>
      <c r="B1300" s="144"/>
      <c r="C1300" s="34">
        <v>148</v>
      </c>
      <c r="D1300" s="144" t="str">
        <f>'Vật liệu'!$B$353</f>
        <v>V00494</v>
      </c>
      <c r="E1300" s="144" t="str">
        <f>" - " &amp; 'Vật liệu'!$D$353</f>
        <v xml:space="preserve"> - Nước</v>
      </c>
      <c r="F1300" s="168" t="str">
        <f>'Vật liệu'!$E$353</f>
        <v>lít</v>
      </c>
      <c r="G1300" s="34">
        <f>'Hao phí vật tư'!$G$1301</f>
        <v>189.625</v>
      </c>
      <c r="H1300" s="68">
        <f>'Vật liệu'!$W$353</f>
        <v>10</v>
      </c>
      <c r="I1300" s="37">
        <v>1</v>
      </c>
      <c r="J1300" s="166">
        <f>ROUND(G1300*H1300*I1300,0)</f>
        <v>1896</v>
      </c>
    </row>
    <row r="1301" spans="1:10" x14ac:dyDescent="0.25">
      <c r="A1301" s="168"/>
      <c r="B1301" s="144"/>
      <c r="C1301" s="34">
        <v>281</v>
      </c>
      <c r="D1301" s="144" t="str">
        <f>'Vật liệu'!$B$766</f>
        <v>V00750</v>
      </c>
      <c r="E1301" s="144" t="str">
        <f>" - " &amp; 'Vật liệu'!$D$766</f>
        <v xml:space="preserve"> - Vật liệu khác</v>
      </c>
      <c r="F1301" s="168" t="str">
        <f>'Vật liệu'!$E$766</f>
        <v>%</v>
      </c>
      <c r="G1301" s="34">
        <f>'Hao phí vật tư'!$G$1302</f>
        <v>2</v>
      </c>
      <c r="H1301" s="166">
        <f>'Vật liệu'!$W$766</f>
        <v>0</v>
      </c>
      <c r="I1301" s="37">
        <v>1</v>
      </c>
      <c r="J1301" s="166">
        <f>ROUND((J1297+J1298+J1299+J1300)*G1301*I1301/100,0)</f>
        <v>22024</v>
      </c>
    </row>
    <row r="1302" spans="1:10" x14ac:dyDescent="0.25">
      <c r="A1302" s="56"/>
      <c r="B1302" s="23"/>
      <c r="C1302" s="88"/>
      <c r="D1302" s="23"/>
      <c r="E1302" s="23" t="s">
        <v>202</v>
      </c>
      <c r="F1302" s="56"/>
      <c r="G1302" s="88"/>
      <c r="H1302" s="48"/>
      <c r="I1302" s="90"/>
      <c r="J1302" s="48">
        <f>ROUND(SUM(J1303:J1303),0)</f>
        <v>670700</v>
      </c>
    </row>
    <row r="1303" spans="1:10" x14ac:dyDescent="0.25">
      <c r="A1303" s="168"/>
      <c r="B1303" s="144"/>
      <c r="C1303" s="34">
        <v>550</v>
      </c>
      <c r="D1303" s="144" t="str">
        <f>'Nhân công'!$B$130</f>
        <v>N0011</v>
      </c>
      <c r="E1303" s="144" t="s">
        <v>671</v>
      </c>
      <c r="F1303" s="168" t="str">
        <f>'Nhân công'!$G$130</f>
        <v>công</v>
      </c>
      <c r="G1303" s="34">
        <f>'Hao phí vật tư'!$H$1304</f>
        <v>2.91</v>
      </c>
      <c r="H1303" s="68">
        <f>'Nhân công'!$M$130</f>
        <v>230481</v>
      </c>
      <c r="I1303" s="37">
        <v>1</v>
      </c>
      <c r="J1303" s="166">
        <f>ROUND(G1303*H1303*I1303,0)</f>
        <v>670700</v>
      </c>
    </row>
    <row r="1304" spans="1:10" x14ac:dyDescent="0.25">
      <c r="A1304" s="56"/>
      <c r="B1304" s="23"/>
      <c r="C1304" s="88"/>
      <c r="D1304" s="23"/>
      <c r="E1304" s="23" t="s">
        <v>378</v>
      </c>
      <c r="F1304" s="56"/>
      <c r="G1304" s="88"/>
      <c r="H1304" s="48"/>
      <c r="I1304" s="90"/>
      <c r="J1304" s="48">
        <f>ROUND(SUM(J1305:J1308),0)</f>
        <v>134677</v>
      </c>
    </row>
    <row r="1305" spans="1:10" x14ac:dyDescent="0.25">
      <c r="A1305" s="168"/>
      <c r="B1305" s="144"/>
      <c r="C1305" s="34">
        <v>725</v>
      </c>
      <c r="D1305" s="144" t="str">
        <f>'Máy thi công'!$B$113</f>
        <v>M9465</v>
      </c>
      <c r="E1305" s="144" t="str">
        <f>" - " &amp; 'Máy thi công'!$D$113</f>
        <v xml:space="preserve"> - Cần trục bánh hơi - sức nâng: 16 t</v>
      </c>
      <c r="F1305" s="168" t="str">
        <f>'Máy thi công'!$E$113</f>
        <v>ca</v>
      </c>
      <c r="G1305" s="34">
        <f>'Hao phí vật tư'!$I$1306</f>
        <v>4.4999999999999998E-2</v>
      </c>
      <c r="H1305" s="68">
        <f>'Máy thi công'!$N$113</f>
        <v>1878687</v>
      </c>
      <c r="I1305" s="37">
        <v>1</v>
      </c>
      <c r="J1305" s="166">
        <f>ROUND(G1305*H1305*I1305,0)</f>
        <v>84541</v>
      </c>
    </row>
    <row r="1306" spans="1:10" x14ac:dyDescent="0.25">
      <c r="A1306" s="168"/>
      <c r="B1306" s="144"/>
      <c r="C1306" s="34">
        <v>744</v>
      </c>
      <c r="D1306" s="144" t="str">
        <f>'Máy thi công'!$B$306</f>
        <v>M9555</v>
      </c>
      <c r="E1306" s="144" t="str">
        <f>" - " &amp; 'Máy thi công'!$D$306</f>
        <v xml:space="preserve"> - Máy trộn bê tông - dung tích: 250 lít</v>
      </c>
      <c r="F1306" s="168" t="str">
        <f>'Máy thi công'!$E$306</f>
        <v>ca</v>
      </c>
      <c r="G1306" s="34">
        <f>'Hao phí vật tư'!$I$1307</f>
        <v>9.5000000000000001E-2</v>
      </c>
      <c r="H1306" s="68">
        <f>'Máy thi công'!$N$306</f>
        <v>288447</v>
      </c>
      <c r="I1306" s="37">
        <v>1</v>
      </c>
      <c r="J1306" s="166">
        <f>ROUND(G1306*H1306*I1306,0)</f>
        <v>27402</v>
      </c>
    </row>
    <row r="1307" spans="1:10" x14ac:dyDescent="0.25">
      <c r="A1307" s="168"/>
      <c r="B1307" s="144"/>
      <c r="C1307" s="34">
        <v>750</v>
      </c>
      <c r="D1307" s="144" t="str">
        <f>'Máy thi công'!$B$232</f>
        <v>M9571</v>
      </c>
      <c r="E1307" s="144" t="str">
        <f>" - " &amp; 'Máy thi công'!$D$232</f>
        <v xml:space="preserve"> - Máy đầm bê tông, dầm dùi - công suất: 1,5 kW</v>
      </c>
      <c r="F1307" s="168" t="str">
        <f>'Máy thi công'!$E$232</f>
        <v>ca</v>
      </c>
      <c r="G1307" s="34">
        <f>'Hao phí vật tư'!$I$1308</f>
        <v>8.8999999999999996E-2</v>
      </c>
      <c r="H1307" s="68">
        <f>'Máy thi công'!$N$232</f>
        <v>225765</v>
      </c>
      <c r="I1307" s="37">
        <v>1</v>
      </c>
      <c r="J1307" s="166">
        <f>ROUND(G1307*H1307*I1307,0)</f>
        <v>20093</v>
      </c>
    </row>
    <row r="1308" spans="1:10" x14ac:dyDescent="0.25">
      <c r="A1308" s="168"/>
      <c r="B1308" s="144"/>
      <c r="C1308" s="34">
        <v>621</v>
      </c>
      <c r="D1308" s="144" t="str">
        <f>'Máy thi công'!$B$398</f>
        <v>M0111</v>
      </c>
      <c r="E1308" s="144" t="str">
        <f>" - " &amp; 'Máy thi công'!$D$398</f>
        <v xml:space="preserve"> - Máy khác</v>
      </c>
      <c r="F1308" s="168" t="str">
        <f>'Máy thi công'!$E$398</f>
        <v>%</v>
      </c>
      <c r="G1308" s="34">
        <f>'Hao phí vật tư'!$I$1309</f>
        <v>2</v>
      </c>
      <c r="H1308" s="166">
        <f>'Máy thi công'!$N$398</f>
        <v>0</v>
      </c>
      <c r="I1308" s="37">
        <v>1</v>
      </c>
      <c r="J1308" s="166">
        <f>ROUND((J1305+J1306+J1307)*G1308*I1308/100,0)</f>
        <v>2641</v>
      </c>
    </row>
    <row r="1309" spans="1:10" x14ac:dyDescent="0.25">
      <c r="A1309" s="65">
        <f>'Công trình'!$A$175</f>
        <v>137</v>
      </c>
      <c r="B1309" s="14" t="str">
        <f>'Công trình'!$B$175</f>
        <v>AF.11225</v>
      </c>
      <c r="C1309" s="94"/>
      <c r="D1309" s="31"/>
      <c r="E1309" s="14" t="str">
        <f>'Công trình'!$C$175</f>
        <v>Bê tông bản dẫn đá 1x2, vữa BT mác 300</v>
      </c>
      <c r="F1309" s="46" t="str">
        <f>'Công trình'!$D$175</f>
        <v>m3</v>
      </c>
      <c r="G1309" s="94"/>
      <c r="H1309" s="54"/>
      <c r="I1309" s="98"/>
      <c r="J1309" s="54"/>
    </row>
    <row r="1310" spans="1:10" x14ac:dyDescent="0.25">
      <c r="A1310" s="56"/>
      <c r="B1310" s="23"/>
      <c r="C1310" s="88"/>
      <c r="D1310" s="23"/>
      <c r="E1310" s="23" t="s">
        <v>479</v>
      </c>
      <c r="F1310" s="56"/>
      <c r="G1310" s="88"/>
      <c r="H1310" s="48"/>
      <c r="I1310" s="90"/>
      <c r="J1310" s="48">
        <f>ROUND(SUM(J1311:J1318),0)</f>
        <v>1164556</v>
      </c>
    </row>
    <row r="1311" spans="1:10" x14ac:dyDescent="0.25">
      <c r="A1311" s="168"/>
      <c r="B1311" s="144"/>
      <c r="C1311" s="34">
        <v>403</v>
      </c>
      <c r="D1311" s="144" t="str">
        <f>'Vật liệu'!$B$275</f>
        <v>V00784</v>
      </c>
      <c r="E1311" s="144" t="str">
        <f>" - " &amp; 'Vật liệu'!$D$275</f>
        <v xml:space="preserve"> - Đinh đỉa</v>
      </c>
      <c r="F1311" s="168" t="str">
        <f>'Vật liệu'!$E$275</f>
        <v>cái</v>
      </c>
      <c r="G1311" s="34">
        <f>'Hao phí vật tư'!$G$1312</f>
        <v>0.60299999999999998</v>
      </c>
      <c r="H1311" s="68">
        <f>'Vật liệu'!$W$275</f>
        <v>500</v>
      </c>
      <c r="I1311" s="37">
        <v>1</v>
      </c>
      <c r="J1311" s="166">
        <f t="shared" ref="J1311:J1317" si="12">ROUND(G1311*H1311*I1311,0)</f>
        <v>302</v>
      </c>
    </row>
    <row r="1312" spans="1:10" x14ac:dyDescent="0.25">
      <c r="A1312" s="168"/>
      <c r="B1312" s="144"/>
      <c r="C1312" s="34">
        <v>401</v>
      </c>
      <c r="D1312" s="144" t="str">
        <f>'Vật liệu'!$B$268</f>
        <v>V00772</v>
      </c>
      <c r="E1312" s="144" t="str">
        <f>" - " &amp; 'Vật liệu'!$D$268</f>
        <v xml:space="preserve"> - Đinh</v>
      </c>
      <c r="F1312" s="168" t="str">
        <f>'Vật liệu'!$E$268</f>
        <v>kg</v>
      </c>
      <c r="G1312" s="34">
        <f>'Hao phí vật tư'!$G$1313</f>
        <v>0.122</v>
      </c>
      <c r="H1312" s="68">
        <f>'Vật liệu'!$W$268</f>
        <v>20000</v>
      </c>
      <c r="I1312" s="37">
        <v>1</v>
      </c>
      <c r="J1312" s="166">
        <f t="shared" si="12"/>
        <v>2440</v>
      </c>
    </row>
    <row r="1313" spans="1:10" x14ac:dyDescent="0.25">
      <c r="A1313" s="168"/>
      <c r="B1313" s="144"/>
      <c r="C1313" s="34">
        <v>397</v>
      </c>
      <c r="D1313" s="144" t="str">
        <f>'Vật liệu'!$B$721</f>
        <v>V00761</v>
      </c>
      <c r="E1313" s="144" t="str">
        <f>" - " &amp; 'Vật liệu'!$D$721</f>
        <v xml:space="preserve"> - Xi măng PC40</v>
      </c>
      <c r="F1313" s="168" t="str">
        <f>'Vật liệu'!$E$721</f>
        <v>kg</v>
      </c>
      <c r="G1313" s="34">
        <f>'Hao phí vật tư'!$G$1314</f>
        <v>383.35</v>
      </c>
      <c r="H1313" s="68">
        <f>'Vật liệu'!$W$721</f>
        <v>1513</v>
      </c>
      <c r="I1313" s="37">
        <v>1</v>
      </c>
      <c r="J1313" s="166">
        <f t="shared" si="12"/>
        <v>580009</v>
      </c>
    </row>
    <row r="1314" spans="1:10" x14ac:dyDescent="0.25">
      <c r="A1314" s="168"/>
      <c r="B1314" s="144"/>
      <c r="C1314" s="34">
        <v>125</v>
      </c>
      <c r="D1314" s="144" t="str">
        <f>'Vật liệu'!$B$54</f>
        <v>V00112</v>
      </c>
      <c r="E1314" s="144" t="str">
        <f>" - " &amp; 'Vật liệu'!$D$54</f>
        <v xml:space="preserve"> - Cát vàng</v>
      </c>
      <c r="F1314" s="168" t="str">
        <f>'Vật liệu'!$E$54</f>
        <v>m3</v>
      </c>
      <c r="G1314" s="34">
        <f>'Hao phí vật tư'!$G$1315</f>
        <v>0.46839999999999998</v>
      </c>
      <c r="H1314" s="68">
        <f>'Vật liệu'!$W$54</f>
        <v>420000</v>
      </c>
      <c r="I1314" s="37">
        <v>1</v>
      </c>
      <c r="J1314" s="166">
        <f t="shared" si="12"/>
        <v>196728</v>
      </c>
    </row>
    <row r="1315" spans="1:10" x14ac:dyDescent="0.25">
      <c r="A1315" s="168"/>
      <c r="B1315" s="144"/>
      <c r="C1315" s="34">
        <v>416</v>
      </c>
      <c r="D1315" s="144" t="str">
        <f>'Vật liệu'!$B$142</f>
        <v>V05207</v>
      </c>
      <c r="E1315" s="144" t="str">
        <f>" - " &amp; 'Vật liệu'!$D$142</f>
        <v xml:space="preserve"> - Đá 1x2</v>
      </c>
      <c r="F1315" s="168" t="str">
        <f>'Vật liệu'!$E$142</f>
        <v>m3</v>
      </c>
      <c r="G1315" s="34">
        <f>'Hao phí vật tư'!$G$1316</f>
        <v>0.89380000000000004</v>
      </c>
      <c r="H1315" s="68">
        <f>'Vật liệu'!$W$142</f>
        <v>360886</v>
      </c>
      <c r="I1315" s="37">
        <v>1</v>
      </c>
      <c r="J1315" s="166">
        <f t="shared" si="12"/>
        <v>322560</v>
      </c>
    </row>
    <row r="1316" spans="1:10" x14ac:dyDescent="0.25">
      <c r="A1316" s="168"/>
      <c r="B1316" s="144"/>
      <c r="C1316" s="34">
        <v>148</v>
      </c>
      <c r="D1316" s="144" t="str">
        <f>'Vật liệu'!$B$353</f>
        <v>V00494</v>
      </c>
      <c r="E1316" s="144" t="str">
        <f>" - " &amp; 'Vật liệu'!$D$353</f>
        <v xml:space="preserve"> - Nước</v>
      </c>
      <c r="F1316" s="168" t="str">
        <f>'Vật liệu'!$E$353</f>
        <v>lít</v>
      </c>
      <c r="G1316" s="34">
        <f>'Hao phí vật tư'!$G$1317</f>
        <v>189.625</v>
      </c>
      <c r="H1316" s="68">
        <f>'Vật liệu'!$W$353</f>
        <v>10</v>
      </c>
      <c r="I1316" s="37">
        <v>1</v>
      </c>
      <c r="J1316" s="166">
        <f t="shared" si="12"/>
        <v>1896</v>
      </c>
    </row>
    <row r="1317" spans="1:10" x14ac:dyDescent="0.25">
      <c r="A1317" s="168"/>
      <c r="B1317" s="144"/>
      <c r="C1317" s="34">
        <v>144</v>
      </c>
      <c r="D1317" s="144" t="str">
        <f>'Vật liệu'!$B$314</f>
        <v>V00404</v>
      </c>
      <c r="E1317" s="144" t="str">
        <f>" - " &amp; 'Vật liệu'!$D$314</f>
        <v xml:space="preserve"> - Gỗ ván cầu công tác</v>
      </c>
      <c r="F1317" s="168" t="str">
        <f>'Vật liệu'!$E$314</f>
        <v>m3</v>
      </c>
      <c r="G1317" s="34">
        <f>'Hao phí vật tư'!$G$1318</f>
        <v>1.4999999999999999E-2</v>
      </c>
      <c r="H1317" s="68">
        <f>'Vật liệu'!$W$314</f>
        <v>3272727</v>
      </c>
      <c r="I1317" s="37">
        <v>1</v>
      </c>
      <c r="J1317" s="166">
        <f t="shared" si="12"/>
        <v>49091</v>
      </c>
    </row>
    <row r="1318" spans="1:10" x14ac:dyDescent="0.25">
      <c r="A1318" s="168"/>
      <c r="B1318" s="144"/>
      <c r="C1318" s="34">
        <v>377</v>
      </c>
      <c r="D1318" s="144" t="str">
        <f>'Vật liệu'!$B$766</f>
        <v>V00750</v>
      </c>
      <c r="E1318" s="144" t="str">
        <f>" - " &amp; 'Vật liệu'!$D$766</f>
        <v xml:space="preserve"> - Vật liệu khác</v>
      </c>
      <c r="F1318" s="168" t="str">
        <f>'Vật liệu'!$E$766</f>
        <v>%</v>
      </c>
      <c r="G1318" s="34">
        <f>'Hao phí vật tư'!$G$1319</f>
        <v>1</v>
      </c>
      <c r="H1318" s="166">
        <f>'Vật liệu'!$W$766</f>
        <v>0</v>
      </c>
      <c r="I1318" s="37">
        <v>1</v>
      </c>
      <c r="J1318" s="166">
        <f>ROUND((J1311+J1312+J1313+J1314+J1315+J1316+J1317)*G1318*I1318/100,0)</f>
        <v>11530</v>
      </c>
    </row>
    <row r="1319" spans="1:10" x14ac:dyDescent="0.25">
      <c r="A1319" s="56"/>
      <c r="B1319" s="23"/>
      <c r="C1319" s="88"/>
      <c r="D1319" s="23"/>
      <c r="E1319" s="23" t="s">
        <v>202</v>
      </c>
      <c r="F1319" s="56"/>
      <c r="G1319" s="88"/>
      <c r="H1319" s="48"/>
      <c r="I1319" s="90"/>
      <c r="J1319" s="48">
        <f>ROUND(SUM(J1320:J1320),0)</f>
        <v>384605</v>
      </c>
    </row>
    <row r="1320" spans="1:10" x14ac:dyDescent="0.25">
      <c r="A1320" s="168"/>
      <c r="B1320" s="144"/>
      <c r="C1320" s="34">
        <v>545</v>
      </c>
      <c r="D1320" s="144" t="str">
        <f>'Nhân công'!$B$6</f>
        <v>N0006</v>
      </c>
      <c r="E1320" s="144" t="s">
        <v>256</v>
      </c>
      <c r="F1320" s="168" t="str">
        <f>'Nhân công'!$G$6</f>
        <v>công</v>
      </c>
      <c r="G1320" s="34">
        <f>'Hao phí vật tư'!$H$1321</f>
        <v>1.97</v>
      </c>
      <c r="H1320" s="68">
        <f>'Nhân công'!$M$6</f>
        <v>195231</v>
      </c>
      <c r="I1320" s="37">
        <v>1</v>
      </c>
      <c r="J1320" s="166">
        <f>ROUND(G1320*H1320*I1320,0)</f>
        <v>384605</v>
      </c>
    </row>
    <row r="1321" spans="1:10" x14ac:dyDescent="0.25">
      <c r="A1321" s="56"/>
      <c r="B1321" s="23"/>
      <c r="C1321" s="88"/>
      <c r="D1321" s="23"/>
      <c r="E1321" s="23" t="s">
        <v>378</v>
      </c>
      <c r="F1321" s="56"/>
      <c r="G1321" s="88"/>
      <c r="H1321" s="48"/>
      <c r="I1321" s="90"/>
      <c r="J1321" s="48">
        <f>ROUND(SUM(J1322:J1323),0)</f>
        <v>47495</v>
      </c>
    </row>
    <row r="1322" spans="1:10" x14ac:dyDescent="0.25">
      <c r="A1322" s="168"/>
      <c r="B1322" s="144"/>
      <c r="C1322" s="34">
        <v>750</v>
      </c>
      <c r="D1322" s="144" t="str">
        <f>'Máy thi công'!$B$232</f>
        <v>M9571</v>
      </c>
      <c r="E1322" s="144" t="str">
        <f>" - " &amp; 'Máy thi công'!$D$232</f>
        <v xml:space="preserve"> - Máy đầm bê tông, dầm dùi - công suất: 1,5 kW</v>
      </c>
      <c r="F1322" s="168" t="str">
        <f>'Máy thi công'!$E$232</f>
        <v>ca</v>
      </c>
      <c r="G1322" s="34">
        <f>'Hao phí vật tư'!$I$1323</f>
        <v>8.8999999999999996E-2</v>
      </c>
      <c r="H1322" s="68">
        <f>'Máy thi công'!$N$232</f>
        <v>225765</v>
      </c>
      <c r="I1322" s="37">
        <v>1</v>
      </c>
      <c r="J1322" s="166">
        <f>ROUND(G1322*H1322*I1322,0)</f>
        <v>20093</v>
      </c>
    </row>
    <row r="1323" spans="1:10" x14ac:dyDescent="0.25">
      <c r="A1323" s="168"/>
      <c r="B1323" s="144"/>
      <c r="C1323" s="34">
        <v>744</v>
      </c>
      <c r="D1323" s="144" t="str">
        <f>'Máy thi công'!$B$306</f>
        <v>M9555</v>
      </c>
      <c r="E1323" s="144" t="str">
        <f>" - " &amp; 'Máy thi công'!$D$306</f>
        <v xml:space="preserve"> - Máy trộn bê tông - dung tích: 250 lít</v>
      </c>
      <c r="F1323" s="168" t="str">
        <f>'Máy thi công'!$E$306</f>
        <v>ca</v>
      </c>
      <c r="G1323" s="34">
        <f>'Hao phí vật tư'!$I$1324</f>
        <v>9.5000000000000001E-2</v>
      </c>
      <c r="H1323" s="68">
        <f>'Máy thi công'!$N$306</f>
        <v>288447</v>
      </c>
      <c r="I1323" s="37">
        <v>1</v>
      </c>
      <c r="J1323" s="166">
        <f>ROUND(G1323*H1323*I1323,0)</f>
        <v>27402</v>
      </c>
    </row>
    <row r="1324" spans="1:10" x14ac:dyDescent="0.25">
      <c r="A1324" s="65">
        <f>'Công trình'!$A$176</f>
        <v>138</v>
      </c>
      <c r="B1324" s="14" t="str">
        <f>'Công trình'!$B$176</f>
        <v>AK.41125</v>
      </c>
      <c r="C1324" s="94"/>
      <c r="D1324" s="31"/>
      <c r="E1324" s="14" t="str">
        <f>'Công trình'!$C$176</f>
        <v>Vữa xi măng M100 độ dốc 10%</v>
      </c>
      <c r="F1324" s="46" t="str">
        <f>'Công trình'!$D$176</f>
        <v>m2</v>
      </c>
      <c r="G1324" s="94"/>
      <c r="H1324" s="54"/>
      <c r="I1324" s="98"/>
      <c r="J1324" s="54"/>
    </row>
    <row r="1325" spans="1:10" x14ac:dyDescent="0.25">
      <c r="A1325" s="56"/>
      <c r="B1325" s="23"/>
      <c r="C1325" s="88"/>
      <c r="D1325" s="23"/>
      <c r="E1325" s="23" t="s">
        <v>479</v>
      </c>
      <c r="F1325" s="56"/>
      <c r="G1325" s="88"/>
      <c r="H1325" s="48"/>
      <c r="I1325" s="90"/>
      <c r="J1325" s="48">
        <f>ROUND(SUM(J1326:J1328),0)</f>
        <v>32158</v>
      </c>
    </row>
    <row r="1326" spans="1:10" x14ac:dyDescent="0.25">
      <c r="A1326" s="168"/>
      <c r="B1326" s="144"/>
      <c r="C1326" s="34">
        <v>397</v>
      </c>
      <c r="D1326" s="144" t="str">
        <f>'Vật liệu'!$B$721</f>
        <v>V00761</v>
      </c>
      <c r="E1326" s="144" t="str">
        <f>" - " &amp; 'Vật liệu'!$D$721</f>
        <v xml:space="preserve"> - Xi măng PC40</v>
      </c>
      <c r="F1326" s="168" t="str">
        <f>'Vật liệu'!$E$721</f>
        <v>kg</v>
      </c>
      <c r="G1326" s="34">
        <f>'Hao phí vật tư'!$G$1327</f>
        <v>10.3957</v>
      </c>
      <c r="H1326" s="68">
        <f>'Vật liệu'!$W$721</f>
        <v>1513</v>
      </c>
      <c r="I1326" s="37">
        <v>1</v>
      </c>
      <c r="J1326" s="166">
        <f>ROUND(G1326*H1326*I1326,0)</f>
        <v>15729</v>
      </c>
    </row>
    <row r="1327" spans="1:10" x14ac:dyDescent="0.25">
      <c r="A1327" s="168"/>
      <c r="B1327" s="144"/>
      <c r="C1327" s="34">
        <v>125</v>
      </c>
      <c r="D1327" s="144" t="str">
        <f>'Vật liệu'!$B$54</f>
        <v>V00112</v>
      </c>
      <c r="E1327" s="144" t="str">
        <f>" - " &amp; 'Vật liệu'!$D$54</f>
        <v xml:space="preserve"> - Cát vàng</v>
      </c>
      <c r="F1327" s="168" t="str">
        <f>'Vật liệu'!$E$54</f>
        <v>m3</v>
      </c>
      <c r="G1327" s="34">
        <f>'Hao phí vật tư'!$G$1328</f>
        <v>3.8899999999999997E-2</v>
      </c>
      <c r="H1327" s="68">
        <f>'Vật liệu'!$W$54</f>
        <v>420000</v>
      </c>
      <c r="I1327" s="37">
        <v>1</v>
      </c>
      <c r="J1327" s="166">
        <f>ROUND(G1327*H1327*I1327,0)</f>
        <v>16338</v>
      </c>
    </row>
    <row r="1328" spans="1:10" x14ac:dyDescent="0.25">
      <c r="A1328" s="168"/>
      <c r="B1328" s="144"/>
      <c r="C1328" s="34">
        <v>148</v>
      </c>
      <c r="D1328" s="144" t="str">
        <f>'Vật liệu'!$B$353</f>
        <v>V00494</v>
      </c>
      <c r="E1328" s="144" t="str">
        <f>" - " &amp; 'Vật liệu'!$D$353</f>
        <v xml:space="preserve"> - Nước</v>
      </c>
      <c r="F1328" s="168" t="str">
        <f>'Vật liệu'!$E$353</f>
        <v>lít</v>
      </c>
      <c r="G1328" s="34">
        <f>'Hao phí vật tư'!$G$1329</f>
        <v>9.1</v>
      </c>
      <c r="H1328" s="68">
        <f>'Vật liệu'!$W$353</f>
        <v>10</v>
      </c>
      <c r="I1328" s="37">
        <v>1</v>
      </c>
      <c r="J1328" s="166">
        <f>ROUND(G1328*H1328*I1328,0)</f>
        <v>91</v>
      </c>
    </row>
    <row r="1329" spans="1:10" x14ac:dyDescent="0.25">
      <c r="A1329" s="56"/>
      <c r="B1329" s="23"/>
      <c r="C1329" s="88"/>
      <c r="D1329" s="23"/>
      <c r="E1329" s="23" t="s">
        <v>202</v>
      </c>
      <c r="F1329" s="56"/>
      <c r="G1329" s="88"/>
      <c r="H1329" s="48"/>
      <c r="I1329" s="90"/>
      <c r="J1329" s="48">
        <f>ROUND(SUM(J1330:J1330),0)</f>
        <v>24431</v>
      </c>
    </row>
    <row r="1330" spans="1:10" x14ac:dyDescent="0.25">
      <c r="A1330" s="168"/>
      <c r="B1330" s="144"/>
      <c r="C1330" s="34">
        <v>550</v>
      </c>
      <c r="D1330" s="144" t="str">
        <f>'Nhân công'!$B$130</f>
        <v>N0011</v>
      </c>
      <c r="E1330" s="144" t="s">
        <v>671</v>
      </c>
      <c r="F1330" s="168" t="str">
        <f>'Nhân công'!$G$130</f>
        <v>công</v>
      </c>
      <c r="G1330" s="34">
        <f>'Hao phí vật tư'!$H$1331</f>
        <v>0.106</v>
      </c>
      <c r="H1330" s="68">
        <f>'Nhân công'!$M$130</f>
        <v>230481</v>
      </c>
      <c r="I1330" s="37">
        <v>1</v>
      </c>
      <c r="J1330" s="166">
        <f>ROUND(G1330*H1330*I1330,0)</f>
        <v>24431</v>
      </c>
    </row>
    <row r="1331" spans="1:10" x14ac:dyDescent="0.25">
      <c r="A1331" s="56"/>
      <c r="B1331" s="23"/>
      <c r="C1331" s="88"/>
      <c r="D1331" s="23"/>
      <c r="E1331" s="23" t="s">
        <v>378</v>
      </c>
      <c r="F1331" s="56"/>
      <c r="G1331" s="88"/>
      <c r="H1331" s="48"/>
      <c r="I1331" s="90"/>
      <c r="J1331" s="48">
        <f>ROUND(SUM(J1332:J1332),0)</f>
        <v>932</v>
      </c>
    </row>
    <row r="1332" spans="1:10" x14ac:dyDescent="0.25">
      <c r="A1332" s="168"/>
      <c r="B1332" s="144"/>
      <c r="C1332" s="34">
        <v>745</v>
      </c>
      <c r="D1332" s="144" t="str">
        <f>'Máy thi công'!$B$341</f>
        <v>M9558</v>
      </c>
      <c r="E1332" s="144" t="str">
        <f>" - " &amp; 'Máy thi công'!$D$341</f>
        <v xml:space="preserve"> - Máy trộn vữa - dung tích: 80 lít</v>
      </c>
      <c r="F1332" s="168" t="str">
        <f>'Máy thi công'!$E$341</f>
        <v>ca</v>
      </c>
      <c r="G1332" s="34">
        <f>'Hao phí vật tư'!$I$1333</f>
        <v>4.0000000000000001E-3</v>
      </c>
      <c r="H1332" s="68">
        <f>'Máy thi công'!$N$341</f>
        <v>232983</v>
      </c>
      <c r="I1332" s="37">
        <v>1</v>
      </c>
      <c r="J1332" s="166">
        <f>ROUND(G1332*H1332*I1332,0)</f>
        <v>932</v>
      </c>
    </row>
    <row r="1333" spans="1:10" ht="28.5" x14ac:dyDescent="0.25">
      <c r="A1333" s="65">
        <f>'Công trình'!$A$177</f>
        <v>139</v>
      </c>
      <c r="B1333" s="14" t="str">
        <f>'Công trình'!$B$177</f>
        <v>AF.11121</v>
      </c>
      <c r="C1333" s="94"/>
      <c r="D1333" s="31"/>
      <c r="E1333" s="14" t="str">
        <f>'Công trình'!$C$177</f>
        <v>Bê tông lót móng rộng &gt;250cm đá 4x6, vữa BT mác 100</v>
      </c>
      <c r="F1333" s="46" t="str">
        <f>'Công trình'!$D$177</f>
        <v>m3</v>
      </c>
      <c r="G1333" s="94"/>
      <c r="H1333" s="54"/>
      <c r="I1333" s="98"/>
      <c r="J1333" s="54"/>
    </row>
    <row r="1334" spans="1:10" x14ac:dyDescent="0.25">
      <c r="A1334" s="56"/>
      <c r="B1334" s="23"/>
      <c r="C1334" s="88"/>
      <c r="D1334" s="23"/>
      <c r="E1334" s="23" t="s">
        <v>479</v>
      </c>
      <c r="F1334" s="56"/>
      <c r="G1334" s="88"/>
      <c r="H1334" s="48"/>
      <c r="I1334" s="90"/>
      <c r="J1334" s="48">
        <f>ROUND(SUM(J1335:J1338),0)</f>
        <v>819664</v>
      </c>
    </row>
    <row r="1335" spans="1:10" x14ac:dyDescent="0.25">
      <c r="A1335" s="168"/>
      <c r="B1335" s="144"/>
      <c r="C1335" s="34">
        <v>396</v>
      </c>
      <c r="D1335" s="144" t="str">
        <f>'Vật liệu'!$B$716</f>
        <v>V00759</v>
      </c>
      <c r="E1335" s="144" t="str">
        <f>" - " &amp; 'Vật liệu'!$D$716</f>
        <v xml:space="preserve"> - Xi măng PC30</v>
      </c>
      <c r="F1335" s="168" t="str">
        <f>'Vật liệu'!$E$716</f>
        <v>kg</v>
      </c>
      <c r="G1335" s="34">
        <f>'Hao phí vật tư'!$G$1336</f>
        <v>200.85</v>
      </c>
      <c r="H1335" s="68">
        <f>'Vật liệu'!$W$716</f>
        <v>1513</v>
      </c>
      <c r="I1335" s="37">
        <v>1</v>
      </c>
      <c r="J1335" s="166">
        <f>ROUND(G1335*H1335*I1335,0)</f>
        <v>303886</v>
      </c>
    </row>
    <row r="1336" spans="1:10" x14ac:dyDescent="0.25">
      <c r="A1336" s="168"/>
      <c r="B1336" s="144"/>
      <c r="C1336" s="34">
        <v>125</v>
      </c>
      <c r="D1336" s="144" t="str">
        <f>'Vật liệu'!$B$54</f>
        <v>V00112</v>
      </c>
      <c r="E1336" s="144" t="str">
        <f>" - " &amp; 'Vật liệu'!$D$54</f>
        <v xml:space="preserve"> - Cát vàng</v>
      </c>
      <c r="F1336" s="168" t="str">
        <f>'Vật liệu'!$E$54</f>
        <v>m3</v>
      </c>
      <c r="G1336" s="34">
        <f>'Hao phí vật tư'!$G$1337</f>
        <v>0.53149999999999997</v>
      </c>
      <c r="H1336" s="68">
        <f>'Vật liệu'!$W$54</f>
        <v>420000</v>
      </c>
      <c r="I1336" s="37">
        <v>1</v>
      </c>
      <c r="J1336" s="166">
        <f>ROUND(G1336*H1336*I1336,0)</f>
        <v>223230</v>
      </c>
    </row>
    <row r="1337" spans="1:10" x14ac:dyDescent="0.25">
      <c r="A1337" s="168"/>
      <c r="B1337" s="144"/>
      <c r="C1337" s="34">
        <v>419</v>
      </c>
      <c r="D1337" s="144" t="str">
        <f>'Vật liệu'!$B$172</f>
        <v>V05209</v>
      </c>
      <c r="E1337" s="144" t="str">
        <f>" - " &amp; 'Vật liệu'!$D$172</f>
        <v xml:space="preserve"> - Đá 4x6</v>
      </c>
      <c r="F1337" s="168" t="str">
        <f>'Vật liệu'!$E$172</f>
        <v>m3</v>
      </c>
      <c r="G1337" s="34">
        <f>'Hao phí vật tư'!$G$1338</f>
        <v>0.93630000000000002</v>
      </c>
      <c r="H1337" s="68">
        <f>'Vật liệu'!$W$172</f>
        <v>310636</v>
      </c>
      <c r="I1337" s="37">
        <v>1</v>
      </c>
      <c r="J1337" s="166">
        <f>ROUND(G1337*H1337*I1337,0)</f>
        <v>290848</v>
      </c>
    </row>
    <row r="1338" spans="1:10" x14ac:dyDescent="0.25">
      <c r="A1338" s="168"/>
      <c r="B1338" s="144"/>
      <c r="C1338" s="34">
        <v>148</v>
      </c>
      <c r="D1338" s="144" t="str">
        <f>'Vật liệu'!$B$353</f>
        <v>V00494</v>
      </c>
      <c r="E1338" s="144" t="str">
        <f>" - " &amp; 'Vật liệu'!$D$353</f>
        <v xml:space="preserve"> - Nước</v>
      </c>
      <c r="F1338" s="168" t="str">
        <f>'Vật liệu'!$E$353</f>
        <v>lít</v>
      </c>
      <c r="G1338" s="34">
        <f>'Hao phí vật tư'!$G$1339</f>
        <v>169.95</v>
      </c>
      <c r="H1338" s="68">
        <f>'Vật liệu'!$W$353</f>
        <v>10</v>
      </c>
      <c r="I1338" s="37">
        <v>1</v>
      </c>
      <c r="J1338" s="166">
        <f>ROUND(G1338*H1338*I1338,0)</f>
        <v>1700</v>
      </c>
    </row>
    <row r="1339" spans="1:10" x14ac:dyDescent="0.25">
      <c r="A1339" s="56"/>
      <c r="B1339" s="23"/>
      <c r="C1339" s="88"/>
      <c r="D1339" s="23"/>
      <c r="E1339" s="23" t="s">
        <v>202</v>
      </c>
      <c r="F1339" s="56"/>
      <c r="G1339" s="88"/>
      <c r="H1339" s="48"/>
      <c r="I1339" s="90"/>
      <c r="J1339" s="48">
        <f>ROUND(SUM(J1340:J1340),0)</f>
        <v>230373</v>
      </c>
    </row>
    <row r="1340" spans="1:10" x14ac:dyDescent="0.25">
      <c r="A1340" s="168"/>
      <c r="B1340" s="144"/>
      <c r="C1340" s="34">
        <v>545</v>
      </c>
      <c r="D1340" s="144" t="str">
        <f>'Nhân công'!$B$6</f>
        <v>N0006</v>
      </c>
      <c r="E1340" s="144" t="s">
        <v>256</v>
      </c>
      <c r="F1340" s="168" t="str">
        <f>'Nhân công'!$G$6</f>
        <v>công</v>
      </c>
      <c r="G1340" s="34">
        <f>'Hao phí vật tư'!$H$1341</f>
        <v>1.18</v>
      </c>
      <c r="H1340" s="68">
        <f>'Nhân công'!$M$6</f>
        <v>195231</v>
      </c>
      <c r="I1340" s="37">
        <v>1</v>
      </c>
      <c r="J1340" s="166">
        <f>ROUND(G1340*H1340*I1340,0)</f>
        <v>230373</v>
      </c>
    </row>
    <row r="1341" spans="1:10" x14ac:dyDescent="0.25">
      <c r="A1341" s="56"/>
      <c r="B1341" s="23"/>
      <c r="C1341" s="88"/>
      <c r="D1341" s="23"/>
      <c r="E1341" s="23" t="s">
        <v>378</v>
      </c>
      <c r="F1341" s="56"/>
      <c r="G1341" s="88"/>
      <c r="H1341" s="48"/>
      <c r="I1341" s="90"/>
      <c r="J1341" s="48">
        <f>ROUND(SUM(J1342:J1343),0)</f>
        <v>47209</v>
      </c>
    </row>
    <row r="1342" spans="1:10" x14ac:dyDescent="0.25">
      <c r="A1342" s="168"/>
      <c r="B1342" s="144"/>
      <c r="C1342" s="34">
        <v>699</v>
      </c>
      <c r="D1342" s="144" t="str">
        <f>'Máy thi công'!$B$226</f>
        <v>M112.1101</v>
      </c>
      <c r="E1342" s="144" t="str">
        <f>" - " &amp; 'Máy thi công'!$D$226</f>
        <v xml:space="preserve"> - Máy đầm bê tông, đầm bàn - công suất: 1,0 kW</v>
      </c>
      <c r="F1342" s="168" t="str">
        <f>'Máy thi công'!$E$226</f>
        <v>ca</v>
      </c>
      <c r="G1342" s="34">
        <f>'Hao phí vật tư'!$I$1343</f>
        <v>8.8999999999999996E-2</v>
      </c>
      <c r="H1342" s="68">
        <f>'Máy thi công'!$N$226</f>
        <v>222547</v>
      </c>
      <c r="I1342" s="37">
        <v>1</v>
      </c>
      <c r="J1342" s="166">
        <f>ROUND(G1342*H1342*I1342,0)</f>
        <v>19807</v>
      </c>
    </row>
    <row r="1343" spans="1:10" x14ac:dyDescent="0.25">
      <c r="A1343" s="168"/>
      <c r="B1343" s="144"/>
      <c r="C1343" s="34">
        <v>744</v>
      </c>
      <c r="D1343" s="144" t="str">
        <f>'Máy thi công'!$B$306</f>
        <v>M9555</v>
      </c>
      <c r="E1343" s="144" t="str">
        <f>" - " &amp; 'Máy thi công'!$D$306</f>
        <v xml:space="preserve"> - Máy trộn bê tông - dung tích: 250 lít</v>
      </c>
      <c r="F1343" s="168" t="str">
        <f>'Máy thi công'!$E$306</f>
        <v>ca</v>
      </c>
      <c r="G1343" s="34">
        <f>'Hao phí vật tư'!$I$1344</f>
        <v>9.5000000000000001E-2</v>
      </c>
      <c r="H1343" s="68">
        <f>'Máy thi công'!$N$306</f>
        <v>288447</v>
      </c>
      <c r="I1343" s="37">
        <v>1</v>
      </c>
      <c r="J1343" s="166">
        <f>ROUND(G1343*H1343*I1343,0)</f>
        <v>27402</v>
      </c>
    </row>
    <row r="1344" spans="1:10" x14ac:dyDescent="0.25">
      <c r="A1344" s="65">
        <f>'Công trình'!$A$178</f>
        <v>140</v>
      </c>
      <c r="B1344" s="14" t="str">
        <f>'Công trình'!$B$178</f>
        <v>AL.25112</v>
      </c>
      <c r="C1344" s="94"/>
      <c r="D1344" s="31"/>
      <c r="E1344" s="14" t="str">
        <f>'Công trình'!$C$178</f>
        <v>Gối cao su (56x20.3x5)cm</v>
      </c>
      <c r="F1344" s="46" t="str">
        <f>'Công trình'!$D$178</f>
        <v>cái</v>
      </c>
      <c r="G1344" s="94"/>
      <c r="H1344" s="54"/>
      <c r="I1344" s="98"/>
      <c r="J1344" s="54"/>
    </row>
    <row r="1345" spans="1:10" x14ac:dyDescent="0.25">
      <c r="A1345" s="56"/>
      <c r="B1345" s="23"/>
      <c r="C1345" s="88"/>
      <c r="D1345" s="23"/>
      <c r="E1345" s="23" t="s">
        <v>479</v>
      </c>
      <c r="F1345" s="56"/>
      <c r="G1345" s="88"/>
      <c r="H1345" s="48"/>
      <c r="I1345" s="90"/>
      <c r="J1345" s="48">
        <f>ROUND(SUM(J1346:J1347),0)</f>
        <v>353500</v>
      </c>
    </row>
    <row r="1346" spans="1:10" x14ac:dyDescent="0.25">
      <c r="A1346" s="168"/>
      <c r="B1346" s="144"/>
      <c r="C1346" s="34">
        <v>139</v>
      </c>
      <c r="D1346" s="144" t="str">
        <f>'Vật liệu'!$B$320</f>
        <v>V00384</v>
      </c>
      <c r="E1346" s="144" t="str">
        <f>" - " &amp; 'Vật liệu'!$D$320</f>
        <v xml:space="preserve"> - Gối cầu cao su</v>
      </c>
      <c r="F1346" s="168" t="str">
        <f>'Vật liệu'!$E$320</f>
        <v>bộ</v>
      </c>
      <c r="G1346" s="34">
        <f>'Hao phí vật tư'!$G$1347</f>
        <v>1</v>
      </c>
      <c r="H1346" s="68">
        <f>'Vật liệu'!$W$320</f>
        <v>350000</v>
      </c>
      <c r="I1346" s="37">
        <v>1</v>
      </c>
      <c r="J1346" s="166">
        <f>ROUND(G1346*H1346*I1346,0)</f>
        <v>350000</v>
      </c>
    </row>
    <row r="1347" spans="1:10" x14ac:dyDescent="0.25">
      <c r="A1347" s="168"/>
      <c r="B1347" s="144"/>
      <c r="C1347" s="34">
        <v>366</v>
      </c>
      <c r="D1347" s="144" t="str">
        <f>'Vật liệu'!$B$766</f>
        <v>V00750</v>
      </c>
      <c r="E1347" s="144" t="str">
        <f>" - " &amp; 'Vật liệu'!$D$766</f>
        <v xml:space="preserve"> - Vật liệu khác</v>
      </c>
      <c r="F1347" s="168" t="str">
        <f>'Vật liệu'!$E$766</f>
        <v>%</v>
      </c>
      <c r="G1347" s="34">
        <f>'Hao phí vật tư'!$G$1348</f>
        <v>1</v>
      </c>
      <c r="H1347" s="166">
        <f>'Vật liệu'!$W$766</f>
        <v>0</v>
      </c>
      <c r="I1347" s="37">
        <v>1</v>
      </c>
      <c r="J1347" s="166">
        <f>ROUND((J1346)*G1347*I1347/100,0)</f>
        <v>3500</v>
      </c>
    </row>
    <row r="1348" spans="1:10" x14ac:dyDescent="0.25">
      <c r="A1348" s="56"/>
      <c r="B1348" s="23"/>
      <c r="C1348" s="88"/>
      <c r="D1348" s="23"/>
      <c r="E1348" s="23" t="s">
        <v>202</v>
      </c>
      <c r="F1348" s="56"/>
      <c r="G1348" s="88"/>
      <c r="H1348" s="48"/>
      <c r="I1348" s="90"/>
      <c r="J1348" s="48">
        <f>ROUND(SUM(J1349:J1349),0)</f>
        <v>904750</v>
      </c>
    </row>
    <row r="1349" spans="1:10" x14ac:dyDescent="0.25">
      <c r="A1349" s="168"/>
      <c r="B1349" s="144"/>
      <c r="C1349" s="34">
        <v>555</v>
      </c>
      <c r="D1349" s="144" t="str">
        <f>'Nhân công'!$B$185</f>
        <v>N0020</v>
      </c>
      <c r="E1349" s="144" t="s">
        <v>625</v>
      </c>
      <c r="F1349" s="168" t="str">
        <f>'Nhân công'!$G$185</f>
        <v>công</v>
      </c>
      <c r="G1349" s="34">
        <f>'Hao phí vật tư'!$H$1350</f>
        <v>3.5</v>
      </c>
      <c r="H1349" s="68">
        <f>'Nhân công'!$M$185</f>
        <v>258500</v>
      </c>
      <c r="I1349" s="37">
        <v>1</v>
      </c>
      <c r="J1349" s="166">
        <f>ROUND(G1349*H1349*I1349,0)</f>
        <v>904750</v>
      </c>
    </row>
    <row r="1350" spans="1:10" ht="28.5" x14ac:dyDescent="0.25">
      <c r="A1350" s="65">
        <f>'Công trình'!$A$179</f>
        <v>141</v>
      </c>
      <c r="B1350" s="14" t="str">
        <f>'Công trình'!$B$179</f>
        <v>AF.87211</v>
      </c>
      <c r="C1350" s="94"/>
      <c r="D1350" s="31"/>
      <c r="E1350" s="14" t="str">
        <f>'Công trình'!$C$179</f>
        <v>Sản xuất, lắp dựng, tháo dỡ ván khuôn mố, trụ cầu trên cạn</v>
      </c>
      <c r="F1350" s="46" t="str">
        <f>'Công trình'!$D$179</f>
        <v>100m2</v>
      </c>
      <c r="G1350" s="94"/>
      <c r="H1350" s="54"/>
      <c r="I1350" s="98"/>
      <c r="J1350" s="54"/>
    </row>
    <row r="1351" spans="1:10" x14ac:dyDescent="0.25">
      <c r="A1351" s="56"/>
      <c r="B1351" s="23"/>
      <c r="C1351" s="88"/>
      <c r="D1351" s="23"/>
      <c r="E1351" s="23" t="s">
        <v>479</v>
      </c>
      <c r="F1351" s="56"/>
      <c r="G1351" s="88"/>
      <c r="H1351" s="48"/>
      <c r="I1351" s="90"/>
      <c r="J1351" s="48">
        <f>ROUND(SUM(J1352:J1357),0)</f>
        <v>1435786</v>
      </c>
    </row>
    <row r="1352" spans="1:10" x14ac:dyDescent="0.25">
      <c r="A1352" s="168"/>
      <c r="B1352" s="144"/>
      <c r="C1352" s="34">
        <v>400</v>
      </c>
      <c r="D1352" s="144" t="str">
        <f>'Vật liệu'!$B$401</f>
        <v>V00770</v>
      </c>
      <c r="E1352" s="144" t="str">
        <f>" - " &amp; 'Vật liệu'!$D$401</f>
        <v xml:space="preserve"> - Ô xy</v>
      </c>
      <c r="F1352" s="168" t="str">
        <f>'Vật liệu'!$E$401</f>
        <v>Chai</v>
      </c>
      <c r="G1352" s="34">
        <f>'Hao phí vật tư'!$G$1353</f>
        <v>1.8</v>
      </c>
      <c r="H1352" s="68">
        <f>'Vật liệu'!$W$401</f>
        <v>72000</v>
      </c>
      <c r="I1352" s="37">
        <v>1</v>
      </c>
      <c r="J1352" s="166">
        <f>ROUND(G1352*H1352*I1352,0)</f>
        <v>129600</v>
      </c>
    </row>
    <row r="1353" spans="1:10" x14ac:dyDescent="0.25">
      <c r="A1353" s="168"/>
      <c r="B1353" s="144"/>
      <c r="C1353" s="34">
        <v>136</v>
      </c>
      <c r="D1353" s="144" t="str">
        <f>'Vật liệu'!$B$289</f>
        <v>V00255</v>
      </c>
      <c r="E1353" s="144" t="str">
        <f>" - " &amp; 'Vật liệu'!$D$289</f>
        <v xml:space="preserve"> - Gas</v>
      </c>
      <c r="F1353" s="168" t="str">
        <f>'Vật liệu'!$E$289</f>
        <v>kg</v>
      </c>
      <c r="G1353" s="34">
        <f>'Hao phí vật tư'!$G$1354</f>
        <v>3.6</v>
      </c>
      <c r="H1353" s="68">
        <f>'Vật liệu'!$W$289</f>
        <v>23068</v>
      </c>
      <c r="I1353" s="37">
        <v>1</v>
      </c>
      <c r="J1353" s="166">
        <f>ROUND(G1353*H1353*I1353,0)</f>
        <v>83045</v>
      </c>
    </row>
    <row r="1354" spans="1:10" x14ac:dyDescent="0.25">
      <c r="A1354" s="168"/>
      <c r="B1354" s="144"/>
      <c r="C1354" s="34">
        <v>166</v>
      </c>
      <c r="D1354" s="144" t="str">
        <f>'Vật liệu'!$B$606</f>
        <v>V00671</v>
      </c>
      <c r="E1354" s="144" t="str">
        <f>" - " &amp; 'Vật liệu'!$D$606</f>
        <v xml:space="preserve"> - Thép tấm</v>
      </c>
      <c r="F1354" s="168" t="str">
        <f>'Vật liệu'!$E$606</f>
        <v>kg</v>
      </c>
      <c r="G1354" s="34">
        <f>'Hao phí vật tư'!$G$1355</f>
        <v>56</v>
      </c>
      <c r="H1354" s="68">
        <f>'Vật liệu'!$W$606</f>
        <v>12574</v>
      </c>
      <c r="I1354" s="37">
        <v>1</v>
      </c>
      <c r="J1354" s="166">
        <f>ROUND(G1354*H1354*I1354,0)</f>
        <v>704144</v>
      </c>
    </row>
    <row r="1355" spans="1:10" x14ac:dyDescent="0.25">
      <c r="A1355" s="168"/>
      <c r="B1355" s="144"/>
      <c r="C1355" s="34">
        <v>160</v>
      </c>
      <c r="D1355" s="144" t="str">
        <f>'Vật liệu'!$B$556</f>
        <v>V00641</v>
      </c>
      <c r="E1355" s="144" t="str">
        <f>" - " &amp; 'Vật liệu'!$D$556</f>
        <v xml:space="preserve"> - Thép hình</v>
      </c>
      <c r="F1355" s="168" t="str">
        <f>'Vật liệu'!$E$556</f>
        <v>kg</v>
      </c>
      <c r="G1355" s="34">
        <f>'Hao phí vật tư'!$G$1356</f>
        <v>15.6</v>
      </c>
      <c r="H1355" s="68">
        <f>'Vật liệu'!$W$556</f>
        <v>15291</v>
      </c>
      <c r="I1355" s="37">
        <v>1</v>
      </c>
      <c r="J1355" s="166">
        <f>ROUND(G1355*H1355*I1355,0)</f>
        <v>238540</v>
      </c>
    </row>
    <row r="1356" spans="1:10" x14ac:dyDescent="0.25">
      <c r="A1356" s="168"/>
      <c r="B1356" s="144"/>
      <c r="C1356" s="34">
        <v>154</v>
      </c>
      <c r="D1356" s="144" t="str">
        <f>'Vật liệu'!$B$450</f>
        <v>V00515</v>
      </c>
      <c r="E1356" s="144" t="str">
        <f>" - " &amp; 'Vật liệu'!$D$450</f>
        <v xml:space="preserve"> - Que hàn</v>
      </c>
      <c r="F1356" s="168" t="str">
        <f>'Vật liệu'!$E$450</f>
        <v>kg</v>
      </c>
      <c r="G1356" s="34">
        <f>'Hao phí vật tư'!$G$1357</f>
        <v>12.5</v>
      </c>
      <c r="H1356" s="68">
        <f>'Vật liệu'!$W$450</f>
        <v>19091</v>
      </c>
      <c r="I1356" s="37">
        <v>1</v>
      </c>
      <c r="J1356" s="166">
        <f>ROUND(G1356*H1356*I1356,0)</f>
        <v>238638</v>
      </c>
    </row>
    <row r="1357" spans="1:10" x14ac:dyDescent="0.25">
      <c r="A1357" s="168"/>
      <c r="B1357" s="144"/>
      <c r="C1357" s="34">
        <v>367</v>
      </c>
      <c r="D1357" s="144" t="str">
        <f>'Vật liệu'!$B$766</f>
        <v>V00750</v>
      </c>
      <c r="E1357" s="144" t="str">
        <f>" - " &amp; 'Vật liệu'!$D$766</f>
        <v xml:space="preserve"> - Vật liệu khác</v>
      </c>
      <c r="F1357" s="168" t="str">
        <f>'Vật liệu'!$E$766</f>
        <v>%</v>
      </c>
      <c r="G1357" s="34">
        <f>'Hao phí vật tư'!$G$1358</f>
        <v>3</v>
      </c>
      <c r="H1357" s="166">
        <f>'Vật liệu'!$W$766</f>
        <v>0</v>
      </c>
      <c r="I1357" s="37">
        <v>1</v>
      </c>
      <c r="J1357" s="166">
        <f>ROUND((J1352+J1353+J1354+J1355+J1356)*G1357*I1357/100,0)</f>
        <v>41819</v>
      </c>
    </row>
    <row r="1358" spans="1:10" x14ac:dyDescent="0.25">
      <c r="A1358" s="56"/>
      <c r="B1358" s="23"/>
      <c r="C1358" s="88"/>
      <c r="D1358" s="23"/>
      <c r="E1358" s="23" t="s">
        <v>202</v>
      </c>
      <c r="F1358" s="56"/>
      <c r="G1358" s="88"/>
      <c r="H1358" s="48"/>
      <c r="I1358" s="90"/>
      <c r="J1358" s="48">
        <f>ROUND(SUM(J1359:J1359),0)</f>
        <v>7721114</v>
      </c>
    </row>
    <row r="1359" spans="1:10" x14ac:dyDescent="0.25">
      <c r="A1359" s="168"/>
      <c r="B1359" s="144"/>
      <c r="C1359" s="34">
        <v>550</v>
      </c>
      <c r="D1359" s="144" t="str">
        <f>'Nhân công'!$B$130</f>
        <v>N0011</v>
      </c>
      <c r="E1359" s="144" t="s">
        <v>671</v>
      </c>
      <c r="F1359" s="168" t="str">
        <f>'Nhân công'!$G$130</f>
        <v>công</v>
      </c>
      <c r="G1359" s="34">
        <f>'Hao phí vật tư'!$H$1360</f>
        <v>33.5</v>
      </c>
      <c r="H1359" s="68">
        <f>'Nhân công'!$M$130</f>
        <v>230481</v>
      </c>
      <c r="I1359" s="37">
        <v>1</v>
      </c>
      <c r="J1359" s="166">
        <f>ROUND(G1359*H1359*I1359,0)</f>
        <v>7721114</v>
      </c>
    </row>
    <row r="1360" spans="1:10" x14ac:dyDescent="0.25">
      <c r="A1360" s="56"/>
      <c r="B1360" s="23"/>
      <c r="C1360" s="88"/>
      <c r="D1360" s="23"/>
      <c r="E1360" s="23" t="s">
        <v>378</v>
      </c>
      <c r="F1360" s="56"/>
      <c r="G1360" s="88"/>
      <c r="H1360" s="48"/>
      <c r="I1360" s="90"/>
      <c r="J1360" s="48">
        <f>ROUND(SUM(J1361:J1364),0)</f>
        <v>4063955</v>
      </c>
    </row>
    <row r="1361" spans="1:10" x14ac:dyDescent="0.25">
      <c r="A1361" s="168"/>
      <c r="B1361" s="144"/>
      <c r="C1361" s="34">
        <v>728</v>
      </c>
      <c r="D1361" s="144" t="str">
        <f>'Máy thi công'!$B$120</f>
        <v>M9468</v>
      </c>
      <c r="E1361" s="144" t="str">
        <f>" - " &amp; 'Máy thi công'!$D$120</f>
        <v xml:space="preserve"> - Cần trục bánh xích - sức nâng: 16 t</v>
      </c>
      <c r="F1361" s="168" t="str">
        <f>'Máy thi công'!$E$120</f>
        <v>ca</v>
      </c>
      <c r="G1361" s="34">
        <f>'Hao phí vật tư'!$I$1362</f>
        <v>0.8</v>
      </c>
      <c r="H1361" s="68">
        <f>'Máy thi công'!$N$120</f>
        <v>2394521</v>
      </c>
      <c r="I1361" s="37">
        <v>1</v>
      </c>
      <c r="J1361" s="166">
        <f>ROUND(G1361*H1361*I1361,0)</f>
        <v>1915617</v>
      </c>
    </row>
    <row r="1362" spans="1:10" x14ac:dyDescent="0.25">
      <c r="A1362" s="168"/>
      <c r="B1362" s="144"/>
      <c r="C1362" s="34">
        <v>714</v>
      </c>
      <c r="D1362" s="144" t="str">
        <f>'Máy thi công'!$B$6</f>
        <v>M9438</v>
      </c>
      <c r="E1362" s="144" t="str">
        <f>" - " &amp; 'Máy thi công'!$D$6</f>
        <v xml:space="preserve"> - Biến thế hàn xoay chiều - công suất: 23 kW</v>
      </c>
      <c r="F1362" s="168" t="str">
        <f>'Máy thi công'!$E$6</f>
        <v>ca</v>
      </c>
      <c r="G1362" s="34">
        <f>'Hao phí vật tư'!$I$1363</f>
        <v>4.5</v>
      </c>
      <c r="H1362" s="68">
        <f>'Máy thi công'!$N$6</f>
        <v>338020</v>
      </c>
      <c r="I1362" s="37">
        <v>1</v>
      </c>
      <c r="J1362" s="166">
        <f>ROUND(G1362*H1362*I1362,0)</f>
        <v>1521090</v>
      </c>
    </row>
    <row r="1363" spans="1:10" x14ac:dyDescent="0.25">
      <c r="A1363" s="168"/>
      <c r="B1363" s="144"/>
      <c r="C1363" s="34">
        <v>703</v>
      </c>
      <c r="D1363" s="144" t="str">
        <f>'Máy thi công'!$B$177</f>
        <v>M112.2001</v>
      </c>
      <c r="E1363" s="144" t="str">
        <f>" - " &amp; 'Máy thi công'!$D$177</f>
        <v xml:space="preserve"> - Máy cắt sắt cầm tay - công suất: 1,7 kW</v>
      </c>
      <c r="F1363" s="168" t="str">
        <f>'Máy thi công'!$E$177</f>
        <v>ca</v>
      </c>
      <c r="G1363" s="34">
        <f>'Hao phí vật tư'!$I$1364</f>
        <v>2.5</v>
      </c>
      <c r="H1363" s="68">
        <f>'Máy thi công'!$N$177</f>
        <v>226876</v>
      </c>
      <c r="I1363" s="37">
        <v>1</v>
      </c>
      <c r="J1363" s="166">
        <f>ROUND(G1363*H1363*I1363,0)</f>
        <v>567190</v>
      </c>
    </row>
    <row r="1364" spans="1:10" x14ac:dyDescent="0.25">
      <c r="A1364" s="168"/>
      <c r="B1364" s="144"/>
      <c r="C1364" s="34">
        <v>671</v>
      </c>
      <c r="D1364" s="144" t="str">
        <f>'Máy thi công'!$B$398</f>
        <v>M0111</v>
      </c>
      <c r="E1364" s="144" t="str">
        <f>" - " &amp; 'Máy thi công'!$D$398</f>
        <v xml:space="preserve"> - Máy khác</v>
      </c>
      <c r="F1364" s="168" t="str">
        <f>'Máy thi công'!$E$398</f>
        <v>%</v>
      </c>
      <c r="G1364" s="34">
        <f>'Hao phí vật tư'!$I$1365</f>
        <v>1.5</v>
      </c>
      <c r="H1364" s="166">
        <f>'Máy thi công'!$N$398</f>
        <v>0</v>
      </c>
      <c r="I1364" s="37">
        <v>1</v>
      </c>
      <c r="J1364" s="166">
        <f>ROUND((J1361+J1362+J1363)*G1364*I1364/100,0)</f>
        <v>60058</v>
      </c>
    </row>
    <row r="1365" spans="1:10" ht="42.75" x14ac:dyDescent="0.25">
      <c r="A1365" s="65">
        <f>'Công trình'!$A$180</f>
        <v>142</v>
      </c>
      <c r="B1365" s="14" t="str">
        <f>'Công trình'!$B$180</f>
        <v>AF.82511</v>
      </c>
      <c r="C1365" s="94"/>
      <c r="D1365" s="31"/>
      <c r="E1365" s="14" t="str">
        <f>'Công trình'!$C$180</f>
        <v>Sản xuất, lắp dựng, tháo dỡ ván khuôn cho bê tông đổ tại chổ, ván khuôn thép, ván khuôn bản dẫn</v>
      </c>
      <c r="F1365" s="46" t="str">
        <f>'Công trình'!$D$180</f>
        <v>100m2</v>
      </c>
      <c r="G1365" s="94"/>
      <c r="H1365" s="54"/>
      <c r="I1365" s="98"/>
      <c r="J1365" s="54"/>
    </row>
    <row r="1366" spans="1:10" x14ac:dyDescent="0.25">
      <c r="A1366" s="56"/>
      <c r="B1366" s="23"/>
      <c r="C1366" s="88"/>
      <c r="D1366" s="23"/>
      <c r="E1366" s="23" t="s">
        <v>479</v>
      </c>
      <c r="F1366" s="56"/>
      <c r="G1366" s="88"/>
      <c r="H1366" s="48"/>
      <c r="I1366" s="90"/>
      <c r="J1366" s="48">
        <f>ROUND(SUM(J1367:J1369),0)</f>
        <v>1255185</v>
      </c>
    </row>
    <row r="1367" spans="1:10" x14ac:dyDescent="0.25">
      <c r="A1367" s="168"/>
      <c r="B1367" s="144"/>
      <c r="C1367" s="34">
        <v>160</v>
      </c>
      <c r="D1367" s="144" t="str">
        <f>'Vật liệu'!$B$556</f>
        <v>V00641</v>
      </c>
      <c r="E1367" s="144" t="str">
        <f>" - " &amp; 'Vật liệu'!$D$556</f>
        <v xml:space="preserve"> - Thép hình</v>
      </c>
      <c r="F1367" s="168" t="str">
        <f>'Vật liệu'!$E$556</f>
        <v>kg</v>
      </c>
      <c r="G1367" s="34">
        <f>'Hao phí vật tư'!$G$1368</f>
        <v>32.020000000000003</v>
      </c>
      <c r="H1367" s="68">
        <f>'Vật liệu'!$W$556</f>
        <v>15291</v>
      </c>
      <c r="I1367" s="37">
        <v>1</v>
      </c>
      <c r="J1367" s="166">
        <f>ROUND(G1367*H1367*I1367,0)</f>
        <v>489618</v>
      </c>
    </row>
    <row r="1368" spans="1:10" x14ac:dyDescent="0.25">
      <c r="A1368" s="168"/>
      <c r="B1368" s="144"/>
      <c r="C1368" s="34">
        <v>166</v>
      </c>
      <c r="D1368" s="144" t="str">
        <f>'Vật liệu'!$B$606</f>
        <v>V00671</v>
      </c>
      <c r="E1368" s="144" t="str">
        <f>" - " &amp; 'Vật liệu'!$D$606</f>
        <v xml:space="preserve"> - Thép tấm</v>
      </c>
      <c r="F1368" s="168" t="str">
        <f>'Vật liệu'!$E$606</f>
        <v>kg</v>
      </c>
      <c r="G1368" s="34">
        <f>'Hao phí vật tư'!$G$1369</f>
        <v>51.81</v>
      </c>
      <c r="H1368" s="68">
        <f>'Vật liệu'!$W$606</f>
        <v>12574</v>
      </c>
      <c r="I1368" s="37">
        <v>1</v>
      </c>
      <c r="J1368" s="166">
        <f>ROUND(G1368*H1368*I1368,0)</f>
        <v>651459</v>
      </c>
    </row>
    <row r="1369" spans="1:10" x14ac:dyDescent="0.25">
      <c r="A1369" s="168"/>
      <c r="B1369" s="144"/>
      <c r="C1369" s="34">
        <v>378</v>
      </c>
      <c r="D1369" s="144" t="str">
        <f>'Vật liệu'!$B$766</f>
        <v>V00750</v>
      </c>
      <c r="E1369" s="144" t="str">
        <f>" - " &amp; 'Vật liệu'!$D$766</f>
        <v xml:space="preserve"> - Vật liệu khác</v>
      </c>
      <c r="F1369" s="168" t="str">
        <f>'Vật liệu'!$E$766</f>
        <v>%</v>
      </c>
      <c r="G1369" s="34">
        <f>'Hao phí vật tư'!$G$1370</f>
        <v>10</v>
      </c>
      <c r="H1369" s="166">
        <f>'Vật liệu'!$W$766</f>
        <v>0</v>
      </c>
      <c r="I1369" s="37">
        <v>1</v>
      </c>
      <c r="J1369" s="166">
        <f>ROUND((J1367+J1368)*G1369*I1369/100,0)</f>
        <v>114108</v>
      </c>
    </row>
    <row r="1370" spans="1:10" x14ac:dyDescent="0.25">
      <c r="A1370" s="56"/>
      <c r="B1370" s="23"/>
      <c r="C1370" s="88"/>
      <c r="D1370" s="23"/>
      <c r="E1370" s="23" t="s">
        <v>202</v>
      </c>
      <c r="F1370" s="56"/>
      <c r="G1370" s="88"/>
      <c r="H1370" s="48"/>
      <c r="I1370" s="90"/>
      <c r="J1370" s="48">
        <f>ROUND(SUM(J1371:J1371),0)</f>
        <v>2823392</v>
      </c>
    </row>
    <row r="1371" spans="1:10" x14ac:dyDescent="0.25">
      <c r="A1371" s="168"/>
      <c r="B1371" s="144"/>
      <c r="C1371" s="34">
        <v>550</v>
      </c>
      <c r="D1371" s="144" t="str">
        <f>'Nhân công'!$B$130</f>
        <v>N0011</v>
      </c>
      <c r="E1371" s="144" t="s">
        <v>671</v>
      </c>
      <c r="F1371" s="168" t="str">
        <f>'Nhân công'!$G$130</f>
        <v>công</v>
      </c>
      <c r="G1371" s="34">
        <f>'Hao phí vật tư'!$H$1372</f>
        <v>12.25</v>
      </c>
      <c r="H1371" s="68">
        <f>'Nhân công'!$M$130</f>
        <v>230481</v>
      </c>
      <c r="I1371" s="37">
        <v>1</v>
      </c>
      <c r="J1371" s="166">
        <f>ROUND(G1371*H1371*I1371,0)</f>
        <v>2823392</v>
      </c>
    </row>
    <row r="1372" spans="1:10" ht="28.5" x14ac:dyDescent="0.25">
      <c r="A1372" s="65">
        <f>'Công trình'!$A$181</f>
        <v>143</v>
      </c>
      <c r="B1372" s="14" t="str">
        <f>'Công trình'!$B$181</f>
        <v>AF.65120</v>
      </c>
      <c r="C1372" s="94"/>
      <c r="D1372" s="31"/>
      <c r="E1372" s="14" t="str">
        <f>'Công trình'!$C$181</f>
        <v>Sản xuất, lắp dựng cốt thép móng, mố, trụ, mũ mố, mũ trụ cầu trên cạn đường kính &lt;=18mm</v>
      </c>
      <c r="F1372" s="46" t="str">
        <f>'Công trình'!$D$181</f>
        <v>tấn</v>
      </c>
      <c r="G1372" s="94"/>
      <c r="H1372" s="54"/>
      <c r="I1372" s="98"/>
      <c r="J1372" s="54"/>
    </row>
    <row r="1373" spans="1:10" x14ac:dyDescent="0.25">
      <c r="A1373" s="56"/>
      <c r="B1373" s="23"/>
      <c r="C1373" s="88"/>
      <c r="D1373" s="23"/>
      <c r="E1373" s="23" t="s">
        <v>479</v>
      </c>
      <c r="F1373" s="56"/>
      <c r="G1373" s="88"/>
      <c r="H1373" s="48"/>
      <c r="I1373" s="90"/>
      <c r="J1373" s="48">
        <f>ROUND(SUM(J1374:J1376),0)</f>
        <v>14713152</v>
      </c>
    </row>
    <row r="1374" spans="1:10" x14ac:dyDescent="0.25">
      <c r="A1374" s="168"/>
      <c r="B1374" s="144"/>
      <c r="C1374" s="34">
        <v>154</v>
      </c>
      <c r="D1374" s="144" t="str">
        <f>'Vật liệu'!$B$450</f>
        <v>V00515</v>
      </c>
      <c r="E1374" s="144" t="str">
        <f>" - " &amp; 'Vật liệu'!$D$450</f>
        <v xml:space="preserve"> - Que hàn</v>
      </c>
      <c r="F1374" s="168" t="str">
        <f>'Vật liệu'!$E$450</f>
        <v>kg</v>
      </c>
      <c r="G1374" s="34">
        <f>'Hao phí vật tư'!$G$1375</f>
        <v>6.5</v>
      </c>
      <c r="H1374" s="68">
        <f>'Vật liệu'!$W$450</f>
        <v>19091</v>
      </c>
      <c r="I1374" s="37">
        <v>1</v>
      </c>
      <c r="J1374" s="166">
        <f>ROUND(G1374*H1374*I1374,0)</f>
        <v>124092</v>
      </c>
    </row>
    <row r="1375" spans="1:10" x14ac:dyDescent="0.25">
      <c r="A1375" s="168"/>
      <c r="B1375" s="144"/>
      <c r="C1375" s="34">
        <v>135</v>
      </c>
      <c r="D1375" s="144" t="str">
        <f>'Vật liệu'!$B$221</f>
        <v>V00226</v>
      </c>
      <c r="E1375" s="144" t="str">
        <f>" - " &amp; 'Vật liệu'!$D$221</f>
        <v xml:space="preserve"> - Dây thép</v>
      </c>
      <c r="F1375" s="168" t="str">
        <f>'Vật liệu'!$E$221</f>
        <v>kg</v>
      </c>
      <c r="G1375" s="34">
        <f>'Hao phí vật tư'!$G$1376</f>
        <v>14.28</v>
      </c>
      <c r="H1375" s="68">
        <f>'Vật liệu'!$W$221</f>
        <v>17500</v>
      </c>
      <c r="I1375" s="37">
        <v>1</v>
      </c>
      <c r="J1375" s="166">
        <f>ROUND(G1375*H1375*I1375,0)</f>
        <v>249900</v>
      </c>
    </row>
    <row r="1376" spans="1:10" x14ac:dyDescent="0.25">
      <c r="A1376" s="168"/>
      <c r="B1376" s="144"/>
      <c r="C1376" s="34">
        <v>485</v>
      </c>
      <c r="D1376" s="144" t="str">
        <f>'Vật liệu'!$B$665</f>
        <v>V48495</v>
      </c>
      <c r="E1376" s="144" t="str">
        <f>" - " &amp; 'Vật liệu'!$D$665</f>
        <v xml:space="preserve"> - Thép tròn đường kính &lt;=18mm</v>
      </c>
      <c r="F1376" s="168" t="str">
        <f>'Vật liệu'!$E$665</f>
        <v>kg</v>
      </c>
      <c r="G1376" s="34">
        <f>'Hao phí vật tư'!$G$1377</f>
        <v>1020</v>
      </c>
      <c r="H1376" s="68">
        <f>'Vật liệu'!$W$665</f>
        <v>14058</v>
      </c>
      <c r="I1376" s="37">
        <v>1</v>
      </c>
      <c r="J1376" s="166">
        <f>ROUND(G1376*H1376*I1376,0)</f>
        <v>14339160</v>
      </c>
    </row>
    <row r="1377" spans="1:10" x14ac:dyDescent="0.25">
      <c r="A1377" s="56"/>
      <c r="B1377" s="23"/>
      <c r="C1377" s="88"/>
      <c r="D1377" s="23"/>
      <c r="E1377" s="23" t="s">
        <v>202</v>
      </c>
      <c r="F1377" s="56"/>
      <c r="G1377" s="88"/>
      <c r="H1377" s="48"/>
      <c r="I1377" s="90"/>
      <c r="J1377" s="48">
        <f>ROUND(SUM(J1378:J1378),0)</f>
        <v>2701237</v>
      </c>
    </row>
    <row r="1378" spans="1:10" x14ac:dyDescent="0.25">
      <c r="A1378" s="168"/>
      <c r="B1378" s="144"/>
      <c r="C1378" s="34">
        <v>550</v>
      </c>
      <c r="D1378" s="144" t="str">
        <f>'Nhân công'!$B$130</f>
        <v>N0011</v>
      </c>
      <c r="E1378" s="144" t="s">
        <v>671</v>
      </c>
      <c r="F1378" s="168" t="str">
        <f>'Nhân công'!$G$130</f>
        <v>công</v>
      </c>
      <c r="G1378" s="34">
        <f>'Hao phí vật tư'!$H$1379</f>
        <v>11.72</v>
      </c>
      <c r="H1378" s="68">
        <f>'Nhân công'!$M$130</f>
        <v>230481</v>
      </c>
      <c r="I1378" s="37">
        <v>1</v>
      </c>
      <c r="J1378" s="166">
        <f>ROUND(G1378*H1378*I1378,0)</f>
        <v>2701237</v>
      </c>
    </row>
    <row r="1379" spans="1:10" x14ac:dyDescent="0.25">
      <c r="A1379" s="56"/>
      <c r="B1379" s="23"/>
      <c r="C1379" s="88"/>
      <c r="D1379" s="23"/>
      <c r="E1379" s="23" t="s">
        <v>378</v>
      </c>
      <c r="F1379" s="56"/>
      <c r="G1379" s="88"/>
      <c r="H1379" s="48"/>
      <c r="I1379" s="90"/>
      <c r="J1379" s="48">
        <f>ROUND(SUM(J1380:J1382),0)</f>
        <v>829313</v>
      </c>
    </row>
    <row r="1380" spans="1:10" x14ac:dyDescent="0.25">
      <c r="A1380" s="168"/>
      <c r="B1380" s="144"/>
      <c r="C1380" s="34">
        <v>728</v>
      </c>
      <c r="D1380" s="144" t="str">
        <f>'Máy thi công'!$B$120</f>
        <v>M9468</v>
      </c>
      <c r="E1380" s="144" t="str">
        <f>" - " &amp; 'Máy thi công'!$D$120</f>
        <v xml:space="preserve"> - Cần trục bánh xích - sức nâng: 16 t</v>
      </c>
      <c r="F1380" s="168" t="str">
        <f>'Máy thi công'!$E$120</f>
        <v>ca</v>
      </c>
      <c r="G1380" s="34">
        <f>'Hao phí vật tư'!$I$1381</f>
        <v>0.09</v>
      </c>
      <c r="H1380" s="68">
        <f>'Máy thi công'!$N$120</f>
        <v>2394521</v>
      </c>
      <c r="I1380" s="37">
        <v>1</v>
      </c>
      <c r="J1380" s="166">
        <f>ROUND(G1380*H1380*I1380,0)</f>
        <v>215507</v>
      </c>
    </row>
    <row r="1381" spans="1:10" x14ac:dyDescent="0.25">
      <c r="A1381" s="168"/>
      <c r="B1381" s="144"/>
      <c r="C1381" s="34">
        <v>737</v>
      </c>
      <c r="D1381" s="144" t="str">
        <f>'Máy thi công'!$B$184</f>
        <v>M9521</v>
      </c>
      <c r="E1381" s="144" t="str">
        <f>" - " &amp; 'Máy thi công'!$D$184</f>
        <v xml:space="preserve"> - Máy cắt uốn cốt thép - công suất: 5 kW</v>
      </c>
      <c r="F1381" s="168" t="str">
        <f>'Máy thi công'!$E$184</f>
        <v>ca</v>
      </c>
      <c r="G1381" s="34">
        <f>'Hao phí vật tư'!$I$1382</f>
        <v>0.32</v>
      </c>
      <c r="H1381" s="68">
        <f>'Máy thi công'!$N$184</f>
        <v>228044</v>
      </c>
      <c r="I1381" s="37">
        <v>1</v>
      </c>
      <c r="J1381" s="166">
        <f>ROUND(G1381*H1381*I1381,0)</f>
        <v>72974</v>
      </c>
    </row>
    <row r="1382" spans="1:10" x14ac:dyDescent="0.25">
      <c r="A1382" s="168"/>
      <c r="B1382" s="144"/>
      <c r="C1382" s="34">
        <v>714</v>
      </c>
      <c r="D1382" s="144" t="str">
        <f>'Máy thi công'!$B$6</f>
        <v>M9438</v>
      </c>
      <c r="E1382" s="144" t="str">
        <f>" - " &amp; 'Máy thi công'!$D$6</f>
        <v xml:space="preserve"> - Biến thế hàn xoay chiều - công suất: 23 kW</v>
      </c>
      <c r="F1382" s="168" t="str">
        <f>'Máy thi công'!$E$6</f>
        <v>ca</v>
      </c>
      <c r="G1382" s="34">
        <f>'Hao phí vật tư'!$I$1383</f>
        <v>1.6</v>
      </c>
      <c r="H1382" s="68">
        <f>'Máy thi công'!$N$6</f>
        <v>338020</v>
      </c>
      <c r="I1382" s="37">
        <v>1</v>
      </c>
      <c r="J1382" s="166">
        <f>ROUND(G1382*H1382*I1382,0)</f>
        <v>540832</v>
      </c>
    </row>
    <row r="1383" spans="1:10" ht="28.5" x14ac:dyDescent="0.25">
      <c r="A1383" s="65">
        <f>'Công trình'!$A$182</f>
        <v>144</v>
      </c>
      <c r="B1383" s="14" t="str">
        <f>'Công trình'!$B$182</f>
        <v>AF.65130</v>
      </c>
      <c r="C1383" s="94"/>
      <c r="D1383" s="31"/>
      <c r="E1383" s="14" t="str">
        <f>'Công trình'!$C$182</f>
        <v>Sản xuất, lắp dựng cốt thép móng, mố, trụ, mũ mố, mũ trụ cầu trên cạn đường kính &gt;18mm</v>
      </c>
      <c r="F1383" s="46" t="str">
        <f>'Công trình'!$D$182</f>
        <v>tấn</v>
      </c>
      <c r="G1383" s="94"/>
      <c r="H1383" s="54"/>
      <c r="I1383" s="98"/>
      <c r="J1383" s="54"/>
    </row>
    <row r="1384" spans="1:10" x14ac:dyDescent="0.25">
      <c r="A1384" s="56"/>
      <c r="B1384" s="23"/>
      <c r="C1384" s="88"/>
      <c r="D1384" s="23"/>
      <c r="E1384" s="23" t="s">
        <v>479</v>
      </c>
      <c r="F1384" s="56"/>
      <c r="G1384" s="88"/>
      <c r="H1384" s="48"/>
      <c r="I1384" s="90"/>
      <c r="J1384" s="48">
        <f>ROUND(SUM(J1385:J1387),0)</f>
        <v>14721361</v>
      </c>
    </row>
    <row r="1385" spans="1:10" x14ac:dyDescent="0.25">
      <c r="A1385" s="168"/>
      <c r="B1385" s="144"/>
      <c r="C1385" s="34">
        <v>154</v>
      </c>
      <c r="D1385" s="144" t="str">
        <f>'Vật liệu'!$B$450</f>
        <v>V00515</v>
      </c>
      <c r="E1385" s="144" t="str">
        <f>" - " &amp; 'Vật liệu'!$D$450</f>
        <v xml:space="preserve"> - Que hàn</v>
      </c>
      <c r="F1385" s="168" t="str">
        <f>'Vật liệu'!$E$450</f>
        <v>kg</v>
      </c>
      <c r="G1385" s="34">
        <f>'Hao phí vật tư'!$G$1386</f>
        <v>6.93</v>
      </c>
      <c r="H1385" s="68">
        <f>'Vật liệu'!$W$450</f>
        <v>19091</v>
      </c>
      <c r="I1385" s="37">
        <v>1</v>
      </c>
      <c r="J1385" s="166">
        <f>ROUND(G1385*H1385*I1385,0)</f>
        <v>132301</v>
      </c>
    </row>
    <row r="1386" spans="1:10" x14ac:dyDescent="0.25">
      <c r="A1386" s="168"/>
      <c r="B1386" s="144"/>
      <c r="C1386" s="34">
        <v>135</v>
      </c>
      <c r="D1386" s="144" t="str">
        <f>'Vật liệu'!$B$221</f>
        <v>V00226</v>
      </c>
      <c r="E1386" s="144" t="str">
        <f>" - " &amp; 'Vật liệu'!$D$221</f>
        <v xml:space="preserve"> - Dây thép</v>
      </c>
      <c r="F1386" s="168" t="str">
        <f>'Vật liệu'!$E$221</f>
        <v>kg</v>
      </c>
      <c r="G1386" s="34">
        <f>'Hao phí vật tư'!$G$1387</f>
        <v>14.28</v>
      </c>
      <c r="H1386" s="68">
        <f>'Vật liệu'!$W$221</f>
        <v>17500</v>
      </c>
      <c r="I1386" s="37">
        <v>1</v>
      </c>
      <c r="J1386" s="166">
        <f>ROUND(G1386*H1386*I1386,0)</f>
        <v>249900</v>
      </c>
    </row>
    <row r="1387" spans="1:10" x14ac:dyDescent="0.25">
      <c r="A1387" s="168"/>
      <c r="B1387" s="144"/>
      <c r="C1387" s="34">
        <v>488</v>
      </c>
      <c r="D1387" s="144" t="str">
        <f>'Vật liệu'!$B$689</f>
        <v>V48498</v>
      </c>
      <c r="E1387" s="144" t="str">
        <f>" - " &amp; 'Vật liệu'!$D$689</f>
        <v xml:space="preserve"> - Thép tròn đường kính &gt;18mm</v>
      </c>
      <c r="F1387" s="168" t="str">
        <f>'Vật liệu'!$E$689</f>
        <v>kg</v>
      </c>
      <c r="G1387" s="34">
        <f>'Hao phí vật tư'!$G$1388</f>
        <v>1020</v>
      </c>
      <c r="H1387" s="68">
        <f>'Vật liệu'!$W$689</f>
        <v>14058</v>
      </c>
      <c r="I1387" s="37">
        <v>1</v>
      </c>
      <c r="J1387" s="166">
        <f>ROUND(G1387*H1387*I1387,0)</f>
        <v>14339160</v>
      </c>
    </row>
    <row r="1388" spans="1:10" x14ac:dyDescent="0.25">
      <c r="A1388" s="56"/>
      <c r="B1388" s="23"/>
      <c r="C1388" s="88"/>
      <c r="D1388" s="23"/>
      <c r="E1388" s="23" t="s">
        <v>202</v>
      </c>
      <c r="F1388" s="56"/>
      <c r="G1388" s="88"/>
      <c r="H1388" s="48"/>
      <c r="I1388" s="90"/>
      <c r="J1388" s="48">
        <f>ROUND(SUM(J1389:J1389),0)</f>
        <v>2247190</v>
      </c>
    </row>
    <row r="1389" spans="1:10" x14ac:dyDescent="0.25">
      <c r="A1389" s="168"/>
      <c r="B1389" s="144"/>
      <c r="C1389" s="34">
        <v>550</v>
      </c>
      <c r="D1389" s="144" t="str">
        <f>'Nhân công'!$B$130</f>
        <v>N0011</v>
      </c>
      <c r="E1389" s="144" t="s">
        <v>671</v>
      </c>
      <c r="F1389" s="168" t="str">
        <f>'Nhân công'!$G$130</f>
        <v>công</v>
      </c>
      <c r="G1389" s="34">
        <f>'Hao phí vật tư'!$H$1390</f>
        <v>9.75</v>
      </c>
      <c r="H1389" s="68">
        <f>'Nhân công'!$M$130</f>
        <v>230481</v>
      </c>
      <c r="I1389" s="37">
        <v>1</v>
      </c>
      <c r="J1389" s="166">
        <f>ROUND(G1389*H1389*I1389,0)</f>
        <v>2247190</v>
      </c>
    </row>
    <row r="1390" spans="1:10" x14ac:dyDescent="0.25">
      <c r="A1390" s="56"/>
      <c r="B1390" s="23"/>
      <c r="C1390" s="88"/>
      <c r="D1390" s="23"/>
      <c r="E1390" s="23" t="s">
        <v>378</v>
      </c>
      <c r="F1390" s="56"/>
      <c r="G1390" s="88"/>
      <c r="H1390" s="48"/>
      <c r="I1390" s="90"/>
      <c r="J1390" s="48">
        <f>ROUND(SUM(J1391:J1393),0)</f>
        <v>812824</v>
      </c>
    </row>
    <row r="1391" spans="1:10" x14ac:dyDescent="0.25">
      <c r="A1391" s="168"/>
      <c r="B1391" s="144"/>
      <c r="C1391" s="34">
        <v>728</v>
      </c>
      <c r="D1391" s="144" t="str">
        <f>'Máy thi công'!$B$120</f>
        <v>M9468</v>
      </c>
      <c r="E1391" s="144" t="str">
        <f>" - " &amp; 'Máy thi công'!$D$120</f>
        <v xml:space="preserve"> - Cần trục bánh xích - sức nâng: 16 t</v>
      </c>
      <c r="F1391" s="168" t="str">
        <f>'Máy thi công'!$E$120</f>
        <v>ca</v>
      </c>
      <c r="G1391" s="34">
        <f>'Hao phí vật tư'!$I$1392</f>
        <v>0.08</v>
      </c>
      <c r="H1391" s="68">
        <f>'Máy thi công'!$N$120</f>
        <v>2394521</v>
      </c>
      <c r="I1391" s="37">
        <v>1</v>
      </c>
      <c r="J1391" s="166">
        <f>ROUND(G1391*H1391*I1391,0)</f>
        <v>191562</v>
      </c>
    </row>
    <row r="1392" spans="1:10" x14ac:dyDescent="0.25">
      <c r="A1392" s="168"/>
      <c r="B1392" s="144"/>
      <c r="C1392" s="34">
        <v>737</v>
      </c>
      <c r="D1392" s="144" t="str">
        <f>'Máy thi công'!$B$184</f>
        <v>M9521</v>
      </c>
      <c r="E1392" s="144" t="str">
        <f>" - " &amp; 'Máy thi công'!$D$184</f>
        <v xml:space="preserve"> - Máy cắt uốn cốt thép - công suất: 5 kW</v>
      </c>
      <c r="F1392" s="168" t="str">
        <f>'Máy thi công'!$E$184</f>
        <v>ca</v>
      </c>
      <c r="G1392" s="34">
        <f>'Hao phí vật tư'!$I$1393</f>
        <v>0.16</v>
      </c>
      <c r="H1392" s="68">
        <f>'Máy thi công'!$N$184</f>
        <v>228044</v>
      </c>
      <c r="I1392" s="37">
        <v>1</v>
      </c>
      <c r="J1392" s="166">
        <f>ROUND(G1392*H1392*I1392,0)</f>
        <v>36487</v>
      </c>
    </row>
    <row r="1393" spans="1:10" x14ac:dyDescent="0.25">
      <c r="A1393" s="168"/>
      <c r="B1393" s="144"/>
      <c r="C1393" s="34">
        <v>714</v>
      </c>
      <c r="D1393" s="144" t="str">
        <f>'Máy thi công'!$B$6</f>
        <v>M9438</v>
      </c>
      <c r="E1393" s="144" t="str">
        <f>" - " &amp; 'Máy thi công'!$D$6</f>
        <v xml:space="preserve"> - Biến thế hàn xoay chiều - công suất: 23 kW</v>
      </c>
      <c r="F1393" s="168" t="str">
        <f>'Máy thi công'!$E$6</f>
        <v>ca</v>
      </c>
      <c r="G1393" s="34">
        <f>'Hao phí vật tư'!$I$1394</f>
        <v>1.73</v>
      </c>
      <c r="H1393" s="68">
        <f>'Máy thi công'!$N$6</f>
        <v>338020</v>
      </c>
      <c r="I1393" s="37">
        <v>1</v>
      </c>
      <c r="J1393" s="166">
        <f>ROUND(G1393*H1393*I1393,0)</f>
        <v>584775</v>
      </c>
    </row>
    <row r="1394" spans="1:10" ht="28.5" x14ac:dyDescent="0.25">
      <c r="A1394" s="65">
        <f>'Công trình'!$A$183</f>
        <v>145</v>
      </c>
      <c r="B1394" s="14" t="str">
        <f>'Công trình'!$B$183</f>
        <v>AF.61110</v>
      </c>
      <c r="C1394" s="94"/>
      <c r="D1394" s="31"/>
      <c r="E1394" s="14" t="str">
        <f>'Công trình'!$C$183</f>
        <v>Sản xuất, lắp dựng cốt thép bản dẫn đường kính &lt;=10mm</v>
      </c>
      <c r="F1394" s="46" t="str">
        <f>'Công trình'!$D$183</f>
        <v>tấn</v>
      </c>
      <c r="G1394" s="94"/>
      <c r="H1394" s="54"/>
      <c r="I1394" s="98"/>
      <c r="J1394" s="54"/>
    </row>
    <row r="1395" spans="1:10" x14ac:dyDescent="0.25">
      <c r="A1395" s="56"/>
      <c r="B1395" s="23"/>
      <c r="C1395" s="88"/>
      <c r="D1395" s="23"/>
      <c r="E1395" s="23" t="s">
        <v>479</v>
      </c>
      <c r="F1395" s="56"/>
      <c r="G1395" s="88"/>
      <c r="H1395" s="48"/>
      <c r="I1395" s="90"/>
      <c r="J1395" s="48">
        <f>ROUND(SUM(J1396:J1397),0)</f>
        <v>14603640</v>
      </c>
    </row>
    <row r="1396" spans="1:10" x14ac:dyDescent="0.25">
      <c r="A1396" s="168"/>
      <c r="B1396" s="144"/>
      <c r="C1396" s="34">
        <v>135</v>
      </c>
      <c r="D1396" s="144" t="str">
        <f>'Vật liệu'!$B$221</f>
        <v>V00226</v>
      </c>
      <c r="E1396" s="144" t="str">
        <f>" - " &amp; 'Vật liệu'!$D$221</f>
        <v xml:space="preserve"> - Dây thép</v>
      </c>
      <c r="F1396" s="168" t="str">
        <f>'Vật liệu'!$E$221</f>
        <v>kg</v>
      </c>
      <c r="G1396" s="34">
        <f>'Hao phí vật tư'!$G$1397</f>
        <v>21.42</v>
      </c>
      <c r="H1396" s="68">
        <f>'Vật liệu'!$W$221</f>
        <v>17500</v>
      </c>
      <c r="I1396" s="37">
        <v>1</v>
      </c>
      <c r="J1396" s="166">
        <f>ROUND(G1396*H1396*I1396,0)</f>
        <v>374850</v>
      </c>
    </row>
    <row r="1397" spans="1:10" x14ac:dyDescent="0.25">
      <c r="A1397" s="168"/>
      <c r="B1397" s="144"/>
      <c r="C1397" s="34">
        <v>484</v>
      </c>
      <c r="D1397" s="144" t="str">
        <f>'Vật liệu'!$B$650</f>
        <v>V48494</v>
      </c>
      <c r="E1397" s="144" t="str">
        <f>" - " &amp; 'Vật liệu'!$D$650</f>
        <v xml:space="preserve"> - Thép tròn đường kính &lt;=10 mm</v>
      </c>
      <c r="F1397" s="168" t="str">
        <f>'Vật liệu'!$E$650</f>
        <v>kg</v>
      </c>
      <c r="G1397" s="34">
        <f>'Hao phí vật tư'!$G$1398</f>
        <v>1005</v>
      </c>
      <c r="H1397" s="68">
        <f>'Vật liệu'!$W$650</f>
        <v>14158</v>
      </c>
      <c r="I1397" s="37">
        <v>1</v>
      </c>
      <c r="J1397" s="166">
        <f>ROUND(G1397*H1397*I1397,0)</f>
        <v>14228790</v>
      </c>
    </row>
    <row r="1398" spans="1:10" x14ac:dyDescent="0.25">
      <c r="A1398" s="56"/>
      <c r="B1398" s="23"/>
      <c r="C1398" s="88"/>
      <c r="D1398" s="23"/>
      <c r="E1398" s="23" t="s">
        <v>202</v>
      </c>
      <c r="F1398" s="56"/>
      <c r="G1398" s="88"/>
      <c r="H1398" s="48"/>
      <c r="I1398" s="90"/>
      <c r="J1398" s="48">
        <f>ROUND(SUM(J1399:J1399),0)</f>
        <v>2409530</v>
      </c>
    </row>
    <row r="1399" spans="1:10" x14ac:dyDescent="0.25">
      <c r="A1399" s="168"/>
      <c r="B1399" s="144"/>
      <c r="C1399" s="34">
        <v>546</v>
      </c>
      <c r="D1399" s="144" t="str">
        <f>'Nhân công'!$B$45</f>
        <v>N0009</v>
      </c>
      <c r="E1399" s="144" t="s">
        <v>1052</v>
      </c>
      <c r="F1399" s="168" t="str">
        <f>'Nhân công'!$G$45</f>
        <v>công</v>
      </c>
      <c r="G1399" s="34">
        <f>'Hao phí vật tư'!$H$1400</f>
        <v>11.32</v>
      </c>
      <c r="H1399" s="68">
        <f>'Nhân công'!$M$45</f>
        <v>212856</v>
      </c>
      <c r="I1399" s="37">
        <v>1</v>
      </c>
      <c r="J1399" s="166">
        <f>ROUND(G1399*H1399*I1399,0)</f>
        <v>2409530</v>
      </c>
    </row>
    <row r="1400" spans="1:10" x14ac:dyDescent="0.25">
      <c r="A1400" s="56"/>
      <c r="B1400" s="23"/>
      <c r="C1400" s="88"/>
      <c r="D1400" s="23"/>
      <c r="E1400" s="23" t="s">
        <v>378</v>
      </c>
      <c r="F1400" s="56"/>
      <c r="G1400" s="88"/>
      <c r="H1400" s="48"/>
      <c r="I1400" s="90"/>
      <c r="J1400" s="48">
        <f>ROUND(SUM(J1401:J1401),0)</f>
        <v>91218</v>
      </c>
    </row>
    <row r="1401" spans="1:10" x14ac:dyDescent="0.25">
      <c r="A1401" s="168"/>
      <c r="B1401" s="144"/>
      <c r="C1401" s="34">
        <v>737</v>
      </c>
      <c r="D1401" s="144" t="str">
        <f>'Máy thi công'!$B$184</f>
        <v>M9521</v>
      </c>
      <c r="E1401" s="144" t="str">
        <f>" - " &amp; 'Máy thi công'!$D$184</f>
        <v xml:space="preserve"> - Máy cắt uốn cốt thép - công suất: 5 kW</v>
      </c>
      <c r="F1401" s="168" t="str">
        <f>'Máy thi công'!$E$184</f>
        <v>ca</v>
      </c>
      <c r="G1401" s="34">
        <f>'Hao phí vật tư'!$I$1402</f>
        <v>0.4</v>
      </c>
      <c r="H1401" s="68">
        <f>'Máy thi công'!$N$184</f>
        <v>228044</v>
      </c>
      <c r="I1401" s="37">
        <v>1</v>
      </c>
      <c r="J1401" s="166">
        <f>ROUND(G1401*H1401*I1401,0)</f>
        <v>91218</v>
      </c>
    </row>
    <row r="1402" spans="1:10" ht="28.5" x14ac:dyDescent="0.25">
      <c r="A1402" s="65">
        <f>'Công trình'!$A$184</f>
        <v>146</v>
      </c>
      <c r="B1402" s="14" t="str">
        <f>'Công trình'!$B$184</f>
        <v>AF.61120</v>
      </c>
      <c r="C1402" s="94"/>
      <c r="D1402" s="31"/>
      <c r="E1402" s="14" t="str">
        <f>'Công trình'!$C$184</f>
        <v>Sản xuất, lắp dựng cốt thép bản dẫn đường kính &lt;=18mm</v>
      </c>
      <c r="F1402" s="46" t="str">
        <f>'Công trình'!$D$184</f>
        <v>tấn</v>
      </c>
      <c r="G1402" s="94"/>
      <c r="H1402" s="54"/>
      <c r="I1402" s="98"/>
      <c r="J1402" s="54"/>
    </row>
    <row r="1403" spans="1:10" x14ac:dyDescent="0.25">
      <c r="A1403" s="56"/>
      <c r="B1403" s="23"/>
      <c r="C1403" s="88"/>
      <c r="D1403" s="23"/>
      <c r="E1403" s="23" t="s">
        <v>479</v>
      </c>
      <c r="F1403" s="56"/>
      <c r="G1403" s="88"/>
      <c r="H1403" s="48"/>
      <c r="I1403" s="90"/>
      <c r="J1403" s="48">
        <f>ROUND(SUM(J1404:J1406),0)</f>
        <v>14677642</v>
      </c>
    </row>
    <row r="1404" spans="1:10" x14ac:dyDescent="0.25">
      <c r="A1404" s="168"/>
      <c r="B1404" s="144"/>
      <c r="C1404" s="34">
        <v>154</v>
      </c>
      <c r="D1404" s="144" t="str">
        <f>'Vật liệu'!$B$450</f>
        <v>V00515</v>
      </c>
      <c r="E1404" s="144" t="str">
        <f>" - " &amp; 'Vật liệu'!$D$450</f>
        <v xml:space="preserve"> - Que hàn</v>
      </c>
      <c r="F1404" s="168" t="str">
        <f>'Vật liệu'!$E$450</f>
        <v>kg</v>
      </c>
      <c r="G1404" s="34">
        <f>'Hao phí vật tư'!$G$1405</f>
        <v>4.6399999999999997</v>
      </c>
      <c r="H1404" s="68">
        <f>'Vật liệu'!$W$450</f>
        <v>19091</v>
      </c>
      <c r="I1404" s="37">
        <v>1</v>
      </c>
      <c r="J1404" s="166">
        <f>ROUND(G1404*H1404*I1404,0)</f>
        <v>88582</v>
      </c>
    </row>
    <row r="1405" spans="1:10" x14ac:dyDescent="0.25">
      <c r="A1405" s="168"/>
      <c r="B1405" s="144"/>
      <c r="C1405" s="34">
        <v>135</v>
      </c>
      <c r="D1405" s="144" t="str">
        <f>'Vật liệu'!$B$221</f>
        <v>V00226</v>
      </c>
      <c r="E1405" s="144" t="str">
        <f>" - " &amp; 'Vật liệu'!$D$221</f>
        <v xml:space="preserve"> - Dây thép</v>
      </c>
      <c r="F1405" s="168" t="str">
        <f>'Vật liệu'!$E$221</f>
        <v>kg</v>
      </c>
      <c r="G1405" s="34">
        <f>'Hao phí vật tư'!$G$1406</f>
        <v>14.28</v>
      </c>
      <c r="H1405" s="68">
        <f>'Vật liệu'!$W$221</f>
        <v>17500</v>
      </c>
      <c r="I1405" s="37">
        <v>1</v>
      </c>
      <c r="J1405" s="166">
        <f>ROUND(G1405*H1405*I1405,0)</f>
        <v>249900</v>
      </c>
    </row>
    <row r="1406" spans="1:10" x14ac:dyDescent="0.25">
      <c r="A1406" s="168"/>
      <c r="B1406" s="144"/>
      <c r="C1406" s="34">
        <v>485</v>
      </c>
      <c r="D1406" s="144" t="str">
        <f>'Vật liệu'!$B$665</f>
        <v>V48495</v>
      </c>
      <c r="E1406" s="144" t="str">
        <f>" - " &amp; 'Vật liệu'!$D$665</f>
        <v xml:space="preserve"> - Thép tròn đường kính &lt;=18mm</v>
      </c>
      <c r="F1406" s="168" t="str">
        <f>'Vật liệu'!$E$665</f>
        <v>kg</v>
      </c>
      <c r="G1406" s="34">
        <f>'Hao phí vật tư'!$G$1407</f>
        <v>1020</v>
      </c>
      <c r="H1406" s="68">
        <f>'Vật liệu'!$W$665</f>
        <v>14058</v>
      </c>
      <c r="I1406" s="37">
        <v>1</v>
      </c>
      <c r="J1406" s="166">
        <f>ROUND(G1406*H1406*I1406,0)</f>
        <v>14339160</v>
      </c>
    </row>
    <row r="1407" spans="1:10" x14ac:dyDescent="0.25">
      <c r="A1407" s="56"/>
      <c r="B1407" s="23"/>
      <c r="C1407" s="88"/>
      <c r="D1407" s="23"/>
      <c r="E1407" s="23" t="s">
        <v>202</v>
      </c>
      <c r="F1407" s="56"/>
      <c r="G1407" s="88"/>
      <c r="H1407" s="48"/>
      <c r="I1407" s="90"/>
      <c r="J1407" s="48">
        <f>ROUND(SUM(J1408:J1408),0)</f>
        <v>1775219</v>
      </c>
    </row>
    <row r="1408" spans="1:10" x14ac:dyDescent="0.25">
      <c r="A1408" s="168"/>
      <c r="B1408" s="144"/>
      <c r="C1408" s="34">
        <v>546</v>
      </c>
      <c r="D1408" s="144" t="str">
        <f>'Nhân công'!$B$45</f>
        <v>N0009</v>
      </c>
      <c r="E1408" s="144" t="s">
        <v>1052</v>
      </c>
      <c r="F1408" s="168" t="str">
        <f>'Nhân công'!$G$45</f>
        <v>công</v>
      </c>
      <c r="G1408" s="34">
        <f>'Hao phí vật tư'!$H$1409</f>
        <v>8.34</v>
      </c>
      <c r="H1408" s="68">
        <f>'Nhân công'!$M$45</f>
        <v>212856</v>
      </c>
      <c r="I1408" s="37">
        <v>1</v>
      </c>
      <c r="J1408" s="166">
        <f>ROUND(G1408*H1408*I1408,0)</f>
        <v>1775219</v>
      </c>
    </row>
    <row r="1409" spans="1:10" x14ac:dyDescent="0.25">
      <c r="A1409" s="56"/>
      <c r="B1409" s="23"/>
      <c r="C1409" s="88"/>
      <c r="D1409" s="23"/>
      <c r="E1409" s="23" t="s">
        <v>378</v>
      </c>
      <c r="F1409" s="56"/>
      <c r="G1409" s="88"/>
      <c r="H1409" s="48"/>
      <c r="I1409" s="90"/>
      <c r="J1409" s="48">
        <f>ROUND(SUM(J1410:J1411),0)</f>
        <v>451556</v>
      </c>
    </row>
    <row r="1410" spans="1:10" x14ac:dyDescent="0.25">
      <c r="A1410" s="168"/>
      <c r="B1410" s="144"/>
      <c r="C1410" s="34">
        <v>737</v>
      </c>
      <c r="D1410" s="144" t="str">
        <f>'Máy thi công'!$B$184</f>
        <v>M9521</v>
      </c>
      <c r="E1410" s="144" t="str">
        <f>" - " &amp; 'Máy thi công'!$D$184</f>
        <v xml:space="preserve"> - Máy cắt uốn cốt thép - công suất: 5 kW</v>
      </c>
      <c r="F1410" s="168" t="str">
        <f>'Máy thi công'!$E$184</f>
        <v>ca</v>
      </c>
      <c r="G1410" s="34">
        <f>'Hao phí vật tư'!$I$1411</f>
        <v>0.32</v>
      </c>
      <c r="H1410" s="68">
        <f>'Máy thi công'!$N$184</f>
        <v>228044</v>
      </c>
      <c r="I1410" s="37">
        <v>1</v>
      </c>
      <c r="J1410" s="166">
        <f>ROUND(G1410*H1410*I1410,0)</f>
        <v>72974</v>
      </c>
    </row>
    <row r="1411" spans="1:10" x14ac:dyDescent="0.25">
      <c r="A1411" s="168"/>
      <c r="B1411" s="144"/>
      <c r="C1411" s="34">
        <v>714</v>
      </c>
      <c r="D1411" s="144" t="str">
        <f>'Máy thi công'!$B$6</f>
        <v>M9438</v>
      </c>
      <c r="E1411" s="144" t="str">
        <f>" - " &amp; 'Máy thi công'!$D$6</f>
        <v xml:space="preserve"> - Biến thế hàn xoay chiều - công suất: 23 kW</v>
      </c>
      <c r="F1411" s="168" t="str">
        <f>'Máy thi công'!$E$6</f>
        <v>ca</v>
      </c>
      <c r="G1411" s="34">
        <f>'Hao phí vật tư'!$I$1412</f>
        <v>1.1200000000000001</v>
      </c>
      <c r="H1411" s="68">
        <f>'Máy thi công'!$N$6</f>
        <v>338020</v>
      </c>
      <c r="I1411" s="37">
        <v>1</v>
      </c>
      <c r="J1411" s="166">
        <f>ROUND(G1411*H1411*I1411,0)</f>
        <v>378582</v>
      </c>
    </row>
    <row r="1412" spans="1:10" ht="28.5" x14ac:dyDescent="0.25">
      <c r="A1412" s="65">
        <f>'Công trình'!$A$186</f>
        <v>147</v>
      </c>
      <c r="B1412" s="14" t="str">
        <f>'Công trình'!$B$186</f>
        <v>AF.14115</v>
      </c>
      <c r="C1412" s="94"/>
      <c r="D1412" s="31"/>
      <c r="E1412" s="14" t="str">
        <f>'Công trình'!$C$186</f>
        <v>Bê tông móng, mố trụ cầu trên cạn đá 1x2, vữa BT mác 300</v>
      </c>
      <c r="F1412" s="46" t="str">
        <f>'Công trình'!$D$186</f>
        <v>m3</v>
      </c>
      <c r="G1412" s="94"/>
      <c r="H1412" s="54"/>
      <c r="I1412" s="98"/>
      <c r="J1412" s="54"/>
    </row>
    <row r="1413" spans="1:10" x14ac:dyDescent="0.25">
      <c r="A1413" s="56"/>
      <c r="B1413" s="23"/>
      <c r="C1413" s="88"/>
      <c r="D1413" s="23"/>
      <c r="E1413" s="23" t="s">
        <v>479</v>
      </c>
      <c r="F1413" s="56"/>
      <c r="G1413" s="88"/>
      <c r="H1413" s="48"/>
      <c r="I1413" s="90"/>
      <c r="J1413" s="48">
        <f>ROUND(SUM(J1414:J1418),0)</f>
        <v>1123217</v>
      </c>
    </row>
    <row r="1414" spans="1:10" x14ac:dyDescent="0.25">
      <c r="A1414" s="168"/>
      <c r="B1414" s="144"/>
      <c r="C1414" s="34">
        <v>397</v>
      </c>
      <c r="D1414" s="144" t="str">
        <f>'Vật liệu'!$B$721</f>
        <v>V00761</v>
      </c>
      <c r="E1414" s="144" t="str">
        <f>" - " &amp; 'Vật liệu'!$D$721</f>
        <v xml:space="preserve"> - Xi măng PC40</v>
      </c>
      <c r="F1414" s="168" t="str">
        <f>'Vật liệu'!$E$721</f>
        <v>kg</v>
      </c>
      <c r="G1414" s="34">
        <f>'Hao phí vật tư'!$G$1415</f>
        <v>383.35</v>
      </c>
      <c r="H1414" s="68">
        <f>'Vật liệu'!$W$721</f>
        <v>1513</v>
      </c>
      <c r="I1414" s="37">
        <v>1</v>
      </c>
      <c r="J1414" s="166">
        <f>ROUND(G1414*H1414*I1414,0)</f>
        <v>580009</v>
      </c>
    </row>
    <row r="1415" spans="1:10" x14ac:dyDescent="0.25">
      <c r="A1415" s="168"/>
      <c r="B1415" s="144"/>
      <c r="C1415" s="34">
        <v>125</v>
      </c>
      <c r="D1415" s="144" t="str">
        <f>'Vật liệu'!$B$54</f>
        <v>V00112</v>
      </c>
      <c r="E1415" s="144" t="str">
        <f>" - " &amp; 'Vật liệu'!$D$54</f>
        <v xml:space="preserve"> - Cát vàng</v>
      </c>
      <c r="F1415" s="168" t="str">
        <f>'Vật liệu'!$E$54</f>
        <v>m3</v>
      </c>
      <c r="G1415" s="34">
        <f>'Hao phí vật tư'!$G$1416</f>
        <v>0.46839999999999998</v>
      </c>
      <c r="H1415" s="68">
        <f>'Vật liệu'!$W$54</f>
        <v>420000</v>
      </c>
      <c r="I1415" s="37">
        <v>1</v>
      </c>
      <c r="J1415" s="166">
        <f>ROUND(G1415*H1415*I1415,0)</f>
        <v>196728</v>
      </c>
    </row>
    <row r="1416" spans="1:10" x14ac:dyDescent="0.25">
      <c r="A1416" s="168"/>
      <c r="B1416" s="144"/>
      <c r="C1416" s="34">
        <v>416</v>
      </c>
      <c r="D1416" s="144" t="str">
        <f>'Vật liệu'!$B$142</f>
        <v>V05207</v>
      </c>
      <c r="E1416" s="144" t="str">
        <f>" - " &amp; 'Vật liệu'!$D$142</f>
        <v xml:space="preserve"> - Đá 1x2</v>
      </c>
      <c r="F1416" s="168" t="str">
        <f>'Vật liệu'!$E$142</f>
        <v>m3</v>
      </c>
      <c r="G1416" s="34">
        <f>'Hao phí vật tư'!$G$1417</f>
        <v>0.89380000000000004</v>
      </c>
      <c r="H1416" s="68">
        <f>'Vật liệu'!$W$142</f>
        <v>360886</v>
      </c>
      <c r="I1416" s="37">
        <v>1</v>
      </c>
      <c r="J1416" s="166">
        <f>ROUND(G1416*H1416*I1416,0)</f>
        <v>322560</v>
      </c>
    </row>
    <row r="1417" spans="1:10" x14ac:dyDescent="0.25">
      <c r="A1417" s="168"/>
      <c r="B1417" s="144"/>
      <c r="C1417" s="34">
        <v>148</v>
      </c>
      <c r="D1417" s="144" t="str">
        <f>'Vật liệu'!$B$353</f>
        <v>V00494</v>
      </c>
      <c r="E1417" s="144" t="str">
        <f>" - " &amp; 'Vật liệu'!$D$353</f>
        <v xml:space="preserve"> - Nước</v>
      </c>
      <c r="F1417" s="168" t="str">
        <f>'Vật liệu'!$E$353</f>
        <v>lít</v>
      </c>
      <c r="G1417" s="34">
        <f>'Hao phí vật tư'!$G$1418</f>
        <v>189.625</v>
      </c>
      <c r="H1417" s="68">
        <f>'Vật liệu'!$W$353</f>
        <v>10</v>
      </c>
      <c r="I1417" s="37">
        <v>1</v>
      </c>
      <c r="J1417" s="166">
        <f>ROUND(G1417*H1417*I1417,0)</f>
        <v>1896</v>
      </c>
    </row>
    <row r="1418" spans="1:10" x14ac:dyDescent="0.25">
      <c r="A1418" s="168"/>
      <c r="B1418" s="144"/>
      <c r="C1418" s="34">
        <v>285</v>
      </c>
      <c r="D1418" s="144" t="str">
        <f>'Vật liệu'!$B$766</f>
        <v>V00750</v>
      </c>
      <c r="E1418" s="144" t="str">
        <f>" - " &amp; 'Vật liệu'!$D$766</f>
        <v xml:space="preserve"> - Vật liệu khác</v>
      </c>
      <c r="F1418" s="168" t="str">
        <f>'Vật liệu'!$E$766</f>
        <v>%</v>
      </c>
      <c r="G1418" s="34">
        <f>'Hao phí vật tư'!$G$1419</f>
        <v>2</v>
      </c>
      <c r="H1418" s="166">
        <f>'Vật liệu'!$W$766</f>
        <v>0</v>
      </c>
      <c r="I1418" s="37">
        <v>1</v>
      </c>
      <c r="J1418" s="166">
        <f>ROUND((J1414+J1415+J1416+J1417)*G1418*I1418/100,0)</f>
        <v>22024</v>
      </c>
    </row>
    <row r="1419" spans="1:10" x14ac:dyDescent="0.25">
      <c r="A1419" s="56"/>
      <c r="B1419" s="23"/>
      <c r="C1419" s="88"/>
      <c r="D1419" s="23"/>
      <c r="E1419" s="23" t="s">
        <v>202</v>
      </c>
      <c r="F1419" s="56"/>
      <c r="G1419" s="88"/>
      <c r="H1419" s="48"/>
      <c r="I1419" s="90"/>
      <c r="J1419" s="48">
        <f>ROUND(SUM(J1420:J1420),0)</f>
        <v>670700</v>
      </c>
    </row>
    <row r="1420" spans="1:10" x14ac:dyDescent="0.25">
      <c r="A1420" s="168"/>
      <c r="B1420" s="144"/>
      <c r="C1420" s="34">
        <v>550</v>
      </c>
      <c r="D1420" s="144" t="str">
        <f>'Nhân công'!$B$130</f>
        <v>N0011</v>
      </c>
      <c r="E1420" s="144" t="s">
        <v>671</v>
      </c>
      <c r="F1420" s="168" t="str">
        <f>'Nhân công'!$G$130</f>
        <v>công</v>
      </c>
      <c r="G1420" s="34">
        <f>'Hao phí vật tư'!$H$1421</f>
        <v>2.91</v>
      </c>
      <c r="H1420" s="68">
        <f>'Nhân công'!$M$130</f>
        <v>230481</v>
      </c>
      <c r="I1420" s="37">
        <v>1</v>
      </c>
      <c r="J1420" s="166">
        <f>ROUND(G1420*H1420*I1420,0)</f>
        <v>670700</v>
      </c>
    </row>
    <row r="1421" spans="1:10" x14ac:dyDescent="0.25">
      <c r="A1421" s="56"/>
      <c r="B1421" s="23"/>
      <c r="C1421" s="88"/>
      <c r="D1421" s="23"/>
      <c r="E1421" s="23" t="s">
        <v>378</v>
      </c>
      <c r="F1421" s="56"/>
      <c r="G1421" s="88"/>
      <c r="H1421" s="48"/>
      <c r="I1421" s="90"/>
      <c r="J1421" s="48">
        <f>ROUND(SUM(J1422:J1425),0)</f>
        <v>134677</v>
      </c>
    </row>
    <row r="1422" spans="1:10" x14ac:dyDescent="0.25">
      <c r="A1422" s="168"/>
      <c r="B1422" s="144"/>
      <c r="C1422" s="34">
        <v>725</v>
      </c>
      <c r="D1422" s="144" t="str">
        <f>'Máy thi công'!$B$113</f>
        <v>M9465</v>
      </c>
      <c r="E1422" s="144" t="str">
        <f>" - " &amp; 'Máy thi công'!$D$113</f>
        <v xml:space="preserve"> - Cần trục bánh hơi - sức nâng: 16 t</v>
      </c>
      <c r="F1422" s="168" t="str">
        <f>'Máy thi công'!$E$113</f>
        <v>ca</v>
      </c>
      <c r="G1422" s="34">
        <f>'Hao phí vật tư'!$I$1423</f>
        <v>4.4999999999999998E-2</v>
      </c>
      <c r="H1422" s="68">
        <f>'Máy thi công'!$N$113</f>
        <v>1878687</v>
      </c>
      <c r="I1422" s="37">
        <v>1</v>
      </c>
      <c r="J1422" s="166">
        <f>ROUND(G1422*H1422*I1422,0)</f>
        <v>84541</v>
      </c>
    </row>
    <row r="1423" spans="1:10" x14ac:dyDescent="0.25">
      <c r="A1423" s="168"/>
      <c r="B1423" s="144"/>
      <c r="C1423" s="34">
        <v>744</v>
      </c>
      <c r="D1423" s="144" t="str">
        <f>'Máy thi công'!$B$306</f>
        <v>M9555</v>
      </c>
      <c r="E1423" s="144" t="str">
        <f>" - " &amp; 'Máy thi công'!$D$306</f>
        <v xml:space="preserve"> - Máy trộn bê tông - dung tích: 250 lít</v>
      </c>
      <c r="F1423" s="168" t="str">
        <f>'Máy thi công'!$E$306</f>
        <v>ca</v>
      </c>
      <c r="G1423" s="34">
        <f>'Hao phí vật tư'!$I$1424</f>
        <v>9.5000000000000001E-2</v>
      </c>
      <c r="H1423" s="68">
        <f>'Máy thi công'!$N$306</f>
        <v>288447</v>
      </c>
      <c r="I1423" s="37">
        <v>1</v>
      </c>
      <c r="J1423" s="166">
        <f>ROUND(G1423*H1423*I1423,0)</f>
        <v>27402</v>
      </c>
    </row>
    <row r="1424" spans="1:10" x14ac:dyDescent="0.25">
      <c r="A1424" s="168"/>
      <c r="B1424" s="144"/>
      <c r="C1424" s="34">
        <v>750</v>
      </c>
      <c r="D1424" s="144" t="str">
        <f>'Máy thi công'!$B$232</f>
        <v>M9571</v>
      </c>
      <c r="E1424" s="144" t="str">
        <f>" - " &amp; 'Máy thi công'!$D$232</f>
        <v xml:space="preserve"> - Máy đầm bê tông, dầm dùi - công suất: 1,5 kW</v>
      </c>
      <c r="F1424" s="168" t="str">
        <f>'Máy thi công'!$E$232</f>
        <v>ca</v>
      </c>
      <c r="G1424" s="34">
        <f>'Hao phí vật tư'!$I$1425</f>
        <v>8.8999999999999996E-2</v>
      </c>
      <c r="H1424" s="68">
        <f>'Máy thi công'!$N$232</f>
        <v>225765</v>
      </c>
      <c r="I1424" s="37">
        <v>1</v>
      </c>
      <c r="J1424" s="166">
        <f>ROUND(G1424*H1424*I1424,0)</f>
        <v>20093</v>
      </c>
    </row>
    <row r="1425" spans="1:10" x14ac:dyDescent="0.25">
      <c r="A1425" s="168"/>
      <c r="B1425" s="144"/>
      <c r="C1425" s="34">
        <v>624</v>
      </c>
      <c r="D1425" s="144" t="str">
        <f>'Máy thi công'!$B$398</f>
        <v>M0111</v>
      </c>
      <c r="E1425" s="144" t="str">
        <f>" - " &amp; 'Máy thi công'!$D$398</f>
        <v xml:space="preserve"> - Máy khác</v>
      </c>
      <c r="F1425" s="168" t="str">
        <f>'Máy thi công'!$E$398</f>
        <v>%</v>
      </c>
      <c r="G1425" s="34">
        <f>'Hao phí vật tư'!$I$1426</f>
        <v>2</v>
      </c>
      <c r="H1425" s="166">
        <f>'Máy thi công'!$N$398</f>
        <v>0</v>
      </c>
      <c r="I1425" s="37">
        <v>1</v>
      </c>
      <c r="J1425" s="166">
        <f>ROUND((J1422+J1423+J1424)*G1425*I1425/100,0)</f>
        <v>2641</v>
      </c>
    </row>
    <row r="1426" spans="1:10" x14ac:dyDescent="0.25">
      <c r="A1426" s="65">
        <f>'Công trình'!$A$187</f>
        <v>148</v>
      </c>
      <c r="B1426" s="14" t="str">
        <f>'Công trình'!$B$187</f>
        <v>AK.41125</v>
      </c>
      <c r="C1426" s="94"/>
      <c r="D1426" s="31"/>
      <c r="E1426" s="14" t="str">
        <f>'Công trình'!$C$187</f>
        <v>Vữa xi măng dày 3cm, vữa XM mác 100</v>
      </c>
      <c r="F1426" s="46" t="str">
        <f>'Công trình'!$D$187</f>
        <v>m2</v>
      </c>
      <c r="G1426" s="94"/>
      <c r="H1426" s="54"/>
      <c r="I1426" s="98"/>
      <c r="J1426" s="54"/>
    </row>
    <row r="1427" spans="1:10" x14ac:dyDescent="0.25">
      <c r="A1427" s="56"/>
      <c r="B1427" s="23"/>
      <c r="C1427" s="88"/>
      <c r="D1427" s="23"/>
      <c r="E1427" s="23" t="s">
        <v>479</v>
      </c>
      <c r="F1427" s="56"/>
      <c r="G1427" s="88"/>
      <c r="H1427" s="48"/>
      <c r="I1427" s="90"/>
      <c r="J1427" s="48">
        <f>ROUND(SUM(J1428:J1430),0)</f>
        <v>32158</v>
      </c>
    </row>
    <row r="1428" spans="1:10" x14ac:dyDescent="0.25">
      <c r="A1428" s="168"/>
      <c r="B1428" s="144"/>
      <c r="C1428" s="34">
        <v>397</v>
      </c>
      <c r="D1428" s="144" t="str">
        <f>'Vật liệu'!$B$721</f>
        <v>V00761</v>
      </c>
      <c r="E1428" s="144" t="str">
        <f>" - " &amp; 'Vật liệu'!$D$721</f>
        <v xml:space="preserve"> - Xi măng PC40</v>
      </c>
      <c r="F1428" s="168" t="str">
        <f>'Vật liệu'!$E$721</f>
        <v>kg</v>
      </c>
      <c r="G1428" s="34">
        <f>'Hao phí vật tư'!$G$1429</f>
        <v>10.3957</v>
      </c>
      <c r="H1428" s="68">
        <f>'Vật liệu'!$W$721</f>
        <v>1513</v>
      </c>
      <c r="I1428" s="37">
        <v>1</v>
      </c>
      <c r="J1428" s="166">
        <f>ROUND(G1428*H1428*I1428,0)</f>
        <v>15729</v>
      </c>
    </row>
    <row r="1429" spans="1:10" x14ac:dyDescent="0.25">
      <c r="A1429" s="168"/>
      <c r="B1429" s="144"/>
      <c r="C1429" s="34">
        <v>125</v>
      </c>
      <c r="D1429" s="144" t="str">
        <f>'Vật liệu'!$B$54</f>
        <v>V00112</v>
      </c>
      <c r="E1429" s="144" t="str">
        <f>" - " &amp; 'Vật liệu'!$D$54</f>
        <v xml:space="preserve"> - Cát vàng</v>
      </c>
      <c r="F1429" s="168" t="str">
        <f>'Vật liệu'!$E$54</f>
        <v>m3</v>
      </c>
      <c r="G1429" s="34">
        <f>'Hao phí vật tư'!$G$1430</f>
        <v>3.8899999999999997E-2</v>
      </c>
      <c r="H1429" s="68">
        <f>'Vật liệu'!$W$54</f>
        <v>420000</v>
      </c>
      <c r="I1429" s="37">
        <v>1</v>
      </c>
      <c r="J1429" s="166">
        <f>ROUND(G1429*H1429*I1429,0)</f>
        <v>16338</v>
      </c>
    </row>
    <row r="1430" spans="1:10" x14ac:dyDescent="0.25">
      <c r="A1430" s="168"/>
      <c r="B1430" s="144"/>
      <c r="C1430" s="34">
        <v>148</v>
      </c>
      <c r="D1430" s="144" t="str">
        <f>'Vật liệu'!$B$353</f>
        <v>V00494</v>
      </c>
      <c r="E1430" s="144" t="str">
        <f>" - " &amp; 'Vật liệu'!$D$353</f>
        <v xml:space="preserve"> - Nước</v>
      </c>
      <c r="F1430" s="168" t="str">
        <f>'Vật liệu'!$E$353</f>
        <v>lít</v>
      </c>
      <c r="G1430" s="34">
        <f>'Hao phí vật tư'!$G$1431</f>
        <v>9.1</v>
      </c>
      <c r="H1430" s="68">
        <f>'Vật liệu'!$W$353</f>
        <v>10</v>
      </c>
      <c r="I1430" s="37">
        <v>1</v>
      </c>
      <c r="J1430" s="166">
        <f>ROUND(G1430*H1430*I1430,0)</f>
        <v>91</v>
      </c>
    </row>
    <row r="1431" spans="1:10" x14ac:dyDescent="0.25">
      <c r="A1431" s="56"/>
      <c r="B1431" s="23"/>
      <c r="C1431" s="88"/>
      <c r="D1431" s="23"/>
      <c r="E1431" s="23" t="s">
        <v>202</v>
      </c>
      <c r="F1431" s="56"/>
      <c r="G1431" s="88"/>
      <c r="H1431" s="48"/>
      <c r="I1431" s="90"/>
      <c r="J1431" s="48">
        <f>ROUND(SUM(J1432:J1432),0)</f>
        <v>24431</v>
      </c>
    </row>
    <row r="1432" spans="1:10" x14ac:dyDescent="0.25">
      <c r="A1432" s="168"/>
      <c r="B1432" s="144"/>
      <c r="C1432" s="34">
        <v>550</v>
      </c>
      <c r="D1432" s="144" t="str">
        <f>'Nhân công'!$B$130</f>
        <v>N0011</v>
      </c>
      <c r="E1432" s="144" t="s">
        <v>671</v>
      </c>
      <c r="F1432" s="168" t="str">
        <f>'Nhân công'!$G$130</f>
        <v>công</v>
      </c>
      <c r="G1432" s="34">
        <f>'Hao phí vật tư'!$H$1433</f>
        <v>0.106</v>
      </c>
      <c r="H1432" s="68">
        <f>'Nhân công'!$M$130</f>
        <v>230481</v>
      </c>
      <c r="I1432" s="37">
        <v>1</v>
      </c>
      <c r="J1432" s="166">
        <f>ROUND(G1432*H1432*I1432,0)</f>
        <v>24431</v>
      </c>
    </row>
    <row r="1433" spans="1:10" x14ac:dyDescent="0.25">
      <c r="A1433" s="56"/>
      <c r="B1433" s="23"/>
      <c r="C1433" s="88"/>
      <c r="D1433" s="23"/>
      <c r="E1433" s="23" t="s">
        <v>378</v>
      </c>
      <c r="F1433" s="56"/>
      <c r="G1433" s="88"/>
      <c r="H1433" s="48"/>
      <c r="I1433" s="90"/>
      <c r="J1433" s="48">
        <f>ROUND(SUM(J1434:J1434),0)</f>
        <v>932</v>
      </c>
    </row>
    <row r="1434" spans="1:10" x14ac:dyDescent="0.25">
      <c r="A1434" s="168"/>
      <c r="B1434" s="144"/>
      <c r="C1434" s="34">
        <v>745</v>
      </c>
      <c r="D1434" s="144" t="str">
        <f>'Máy thi công'!$B$341</f>
        <v>M9558</v>
      </c>
      <c r="E1434" s="144" t="str">
        <f>" - " &amp; 'Máy thi công'!$D$341</f>
        <v xml:space="preserve"> - Máy trộn vữa - dung tích: 80 lít</v>
      </c>
      <c r="F1434" s="168" t="str">
        <f>'Máy thi công'!$E$341</f>
        <v>ca</v>
      </c>
      <c r="G1434" s="34">
        <f>'Hao phí vật tư'!$I$1435</f>
        <v>4.0000000000000001E-3</v>
      </c>
      <c r="H1434" s="68">
        <f>'Máy thi công'!$N$341</f>
        <v>232983</v>
      </c>
      <c r="I1434" s="37">
        <v>1</v>
      </c>
      <c r="J1434" s="166">
        <f>ROUND(G1434*H1434*I1434,0)</f>
        <v>932</v>
      </c>
    </row>
    <row r="1435" spans="1:10" x14ac:dyDescent="0.25">
      <c r="A1435" s="65">
        <f>'Công trình'!$A$188</f>
        <v>149</v>
      </c>
      <c r="B1435" s="14" t="str">
        <f>'Công trình'!$B$188</f>
        <v>AL.25112</v>
      </c>
      <c r="C1435" s="94"/>
      <c r="D1435" s="31"/>
      <c r="E1435" s="14" t="str">
        <f>'Công trình'!$C$188</f>
        <v>Gối cao su (56x20.3x5)cm</v>
      </c>
      <c r="F1435" s="46" t="str">
        <f>'Công trình'!$D$188</f>
        <v>cái</v>
      </c>
      <c r="G1435" s="94"/>
      <c r="H1435" s="54"/>
      <c r="I1435" s="98"/>
      <c r="J1435" s="54"/>
    </row>
    <row r="1436" spans="1:10" x14ac:dyDescent="0.25">
      <c r="A1436" s="56"/>
      <c r="B1436" s="23"/>
      <c r="C1436" s="88"/>
      <c r="D1436" s="23"/>
      <c r="E1436" s="23" t="s">
        <v>479</v>
      </c>
      <c r="F1436" s="56"/>
      <c r="G1436" s="88"/>
      <c r="H1436" s="48"/>
      <c r="I1436" s="90"/>
      <c r="J1436" s="48">
        <f>ROUND(SUM(J1437:J1438),0)</f>
        <v>353500</v>
      </c>
    </row>
    <row r="1437" spans="1:10" x14ac:dyDescent="0.25">
      <c r="A1437" s="168"/>
      <c r="B1437" s="144"/>
      <c r="C1437" s="34">
        <v>139</v>
      </c>
      <c r="D1437" s="144" t="str">
        <f>'Vật liệu'!$B$320</f>
        <v>V00384</v>
      </c>
      <c r="E1437" s="144" t="str">
        <f>" - " &amp; 'Vật liệu'!$D$320</f>
        <v xml:space="preserve"> - Gối cầu cao su</v>
      </c>
      <c r="F1437" s="168" t="str">
        <f>'Vật liệu'!$E$320</f>
        <v>bộ</v>
      </c>
      <c r="G1437" s="34">
        <f>'Hao phí vật tư'!$G$1438</f>
        <v>1</v>
      </c>
      <c r="H1437" s="68">
        <f>'Vật liệu'!$W$320</f>
        <v>350000</v>
      </c>
      <c r="I1437" s="37">
        <v>1</v>
      </c>
      <c r="J1437" s="166">
        <f>ROUND(G1437*H1437*I1437,0)</f>
        <v>350000</v>
      </c>
    </row>
    <row r="1438" spans="1:10" x14ac:dyDescent="0.25">
      <c r="A1438" s="168"/>
      <c r="B1438" s="144"/>
      <c r="C1438" s="34">
        <v>368</v>
      </c>
      <c r="D1438" s="144" t="str">
        <f>'Vật liệu'!$B$766</f>
        <v>V00750</v>
      </c>
      <c r="E1438" s="144" t="str">
        <f>" - " &amp; 'Vật liệu'!$D$766</f>
        <v xml:space="preserve"> - Vật liệu khác</v>
      </c>
      <c r="F1438" s="168" t="str">
        <f>'Vật liệu'!$E$766</f>
        <v>%</v>
      </c>
      <c r="G1438" s="34">
        <f>'Hao phí vật tư'!$G$1439</f>
        <v>1</v>
      </c>
      <c r="H1438" s="166">
        <f>'Vật liệu'!$W$766</f>
        <v>0</v>
      </c>
      <c r="I1438" s="37">
        <v>1</v>
      </c>
      <c r="J1438" s="166">
        <f>ROUND((J1437)*G1438*I1438/100,0)</f>
        <v>3500</v>
      </c>
    </row>
    <row r="1439" spans="1:10" x14ac:dyDescent="0.25">
      <c r="A1439" s="56"/>
      <c r="B1439" s="23"/>
      <c r="C1439" s="88"/>
      <c r="D1439" s="23"/>
      <c r="E1439" s="23" t="s">
        <v>202</v>
      </c>
      <c r="F1439" s="56"/>
      <c r="G1439" s="88"/>
      <c r="H1439" s="48"/>
      <c r="I1439" s="90"/>
      <c r="J1439" s="48">
        <f>ROUND(SUM(J1440:J1440),0)</f>
        <v>904750</v>
      </c>
    </row>
    <row r="1440" spans="1:10" x14ac:dyDescent="0.25">
      <c r="A1440" s="168"/>
      <c r="B1440" s="144"/>
      <c r="C1440" s="34">
        <v>555</v>
      </c>
      <c r="D1440" s="144" t="str">
        <f>'Nhân công'!$B$185</f>
        <v>N0020</v>
      </c>
      <c r="E1440" s="144" t="s">
        <v>625</v>
      </c>
      <c r="F1440" s="168" t="str">
        <f>'Nhân công'!$G$185</f>
        <v>công</v>
      </c>
      <c r="G1440" s="34">
        <f>'Hao phí vật tư'!$H$1441</f>
        <v>3.5</v>
      </c>
      <c r="H1440" s="68">
        <f>'Nhân công'!$M$185</f>
        <v>258500</v>
      </c>
      <c r="I1440" s="37">
        <v>1</v>
      </c>
      <c r="J1440" s="166">
        <f>ROUND(G1440*H1440*I1440,0)</f>
        <v>904750</v>
      </c>
    </row>
    <row r="1441" spans="1:10" ht="28.5" x14ac:dyDescent="0.25">
      <c r="A1441" s="65">
        <f>'Công trình'!$A$189</f>
        <v>150</v>
      </c>
      <c r="B1441" s="14" t="str">
        <f>'Công trình'!$B$189</f>
        <v>AF.87211</v>
      </c>
      <c r="C1441" s="94"/>
      <c r="D1441" s="31"/>
      <c r="E1441" s="14" t="str">
        <f>'Công trình'!$C$189</f>
        <v>Sản xuất, lắp dựng, tháo dỡ ván khuôn mố, trụ cầu trên cạn</v>
      </c>
      <c r="F1441" s="46" t="str">
        <f>'Công trình'!$D$189</f>
        <v>100m2</v>
      </c>
      <c r="G1441" s="94"/>
      <c r="H1441" s="54"/>
      <c r="I1441" s="98"/>
      <c r="J1441" s="54"/>
    </row>
    <row r="1442" spans="1:10" x14ac:dyDescent="0.25">
      <c r="A1442" s="56"/>
      <c r="B1442" s="23"/>
      <c r="C1442" s="88"/>
      <c r="D1442" s="23"/>
      <c r="E1442" s="23" t="s">
        <v>479</v>
      </c>
      <c r="F1442" s="56"/>
      <c r="G1442" s="88"/>
      <c r="H1442" s="48"/>
      <c r="I1442" s="90"/>
      <c r="J1442" s="48">
        <f>ROUND(SUM(J1443:J1448),0)</f>
        <v>1435786</v>
      </c>
    </row>
    <row r="1443" spans="1:10" x14ac:dyDescent="0.25">
      <c r="A1443" s="168"/>
      <c r="B1443" s="144"/>
      <c r="C1443" s="34">
        <v>400</v>
      </c>
      <c r="D1443" s="144" t="str">
        <f>'Vật liệu'!$B$401</f>
        <v>V00770</v>
      </c>
      <c r="E1443" s="144" t="str">
        <f>" - " &amp; 'Vật liệu'!$D$401</f>
        <v xml:space="preserve"> - Ô xy</v>
      </c>
      <c r="F1443" s="168" t="str">
        <f>'Vật liệu'!$E$401</f>
        <v>Chai</v>
      </c>
      <c r="G1443" s="34">
        <f>'Hao phí vật tư'!$G$1444</f>
        <v>1.8</v>
      </c>
      <c r="H1443" s="68">
        <f>'Vật liệu'!$W$401</f>
        <v>72000</v>
      </c>
      <c r="I1443" s="37">
        <v>1</v>
      </c>
      <c r="J1443" s="166">
        <f>ROUND(G1443*H1443*I1443,0)</f>
        <v>129600</v>
      </c>
    </row>
    <row r="1444" spans="1:10" x14ac:dyDescent="0.25">
      <c r="A1444" s="168"/>
      <c r="B1444" s="144"/>
      <c r="C1444" s="34">
        <v>136</v>
      </c>
      <c r="D1444" s="144" t="str">
        <f>'Vật liệu'!$B$289</f>
        <v>V00255</v>
      </c>
      <c r="E1444" s="144" t="str">
        <f>" - " &amp; 'Vật liệu'!$D$289</f>
        <v xml:space="preserve"> - Gas</v>
      </c>
      <c r="F1444" s="168" t="str">
        <f>'Vật liệu'!$E$289</f>
        <v>kg</v>
      </c>
      <c r="G1444" s="34">
        <f>'Hao phí vật tư'!$G$1445</f>
        <v>3.6</v>
      </c>
      <c r="H1444" s="68">
        <f>'Vật liệu'!$W$289</f>
        <v>23068</v>
      </c>
      <c r="I1444" s="37">
        <v>1</v>
      </c>
      <c r="J1444" s="166">
        <f>ROUND(G1444*H1444*I1444,0)</f>
        <v>83045</v>
      </c>
    </row>
    <row r="1445" spans="1:10" x14ac:dyDescent="0.25">
      <c r="A1445" s="168"/>
      <c r="B1445" s="144"/>
      <c r="C1445" s="34">
        <v>166</v>
      </c>
      <c r="D1445" s="144" t="str">
        <f>'Vật liệu'!$B$606</f>
        <v>V00671</v>
      </c>
      <c r="E1445" s="144" t="str">
        <f>" - " &amp; 'Vật liệu'!$D$606</f>
        <v xml:space="preserve"> - Thép tấm</v>
      </c>
      <c r="F1445" s="168" t="str">
        <f>'Vật liệu'!$E$606</f>
        <v>kg</v>
      </c>
      <c r="G1445" s="34">
        <f>'Hao phí vật tư'!$G$1446</f>
        <v>56</v>
      </c>
      <c r="H1445" s="68">
        <f>'Vật liệu'!$W$606</f>
        <v>12574</v>
      </c>
      <c r="I1445" s="37">
        <v>1</v>
      </c>
      <c r="J1445" s="166">
        <f>ROUND(G1445*H1445*I1445,0)</f>
        <v>704144</v>
      </c>
    </row>
    <row r="1446" spans="1:10" x14ac:dyDescent="0.25">
      <c r="A1446" s="168"/>
      <c r="B1446" s="144"/>
      <c r="C1446" s="34">
        <v>160</v>
      </c>
      <c r="D1446" s="144" t="str">
        <f>'Vật liệu'!$B$556</f>
        <v>V00641</v>
      </c>
      <c r="E1446" s="144" t="str">
        <f>" - " &amp; 'Vật liệu'!$D$556</f>
        <v xml:space="preserve"> - Thép hình</v>
      </c>
      <c r="F1446" s="168" t="str">
        <f>'Vật liệu'!$E$556</f>
        <v>kg</v>
      </c>
      <c r="G1446" s="34">
        <f>'Hao phí vật tư'!$G$1447</f>
        <v>15.6</v>
      </c>
      <c r="H1446" s="68">
        <f>'Vật liệu'!$W$556</f>
        <v>15291</v>
      </c>
      <c r="I1446" s="37">
        <v>1</v>
      </c>
      <c r="J1446" s="166">
        <f>ROUND(G1446*H1446*I1446,0)</f>
        <v>238540</v>
      </c>
    </row>
    <row r="1447" spans="1:10" x14ac:dyDescent="0.25">
      <c r="A1447" s="168"/>
      <c r="B1447" s="144"/>
      <c r="C1447" s="34">
        <v>154</v>
      </c>
      <c r="D1447" s="144" t="str">
        <f>'Vật liệu'!$B$450</f>
        <v>V00515</v>
      </c>
      <c r="E1447" s="144" t="str">
        <f>" - " &amp; 'Vật liệu'!$D$450</f>
        <v xml:space="preserve"> - Que hàn</v>
      </c>
      <c r="F1447" s="168" t="str">
        <f>'Vật liệu'!$E$450</f>
        <v>kg</v>
      </c>
      <c r="G1447" s="34">
        <f>'Hao phí vật tư'!$G$1448</f>
        <v>12.5</v>
      </c>
      <c r="H1447" s="68">
        <f>'Vật liệu'!$W$450</f>
        <v>19091</v>
      </c>
      <c r="I1447" s="37">
        <v>1</v>
      </c>
      <c r="J1447" s="166">
        <f>ROUND(G1447*H1447*I1447,0)</f>
        <v>238638</v>
      </c>
    </row>
    <row r="1448" spans="1:10" x14ac:dyDescent="0.25">
      <c r="A1448" s="168"/>
      <c r="B1448" s="144"/>
      <c r="C1448" s="34">
        <v>369</v>
      </c>
      <c r="D1448" s="144" t="str">
        <f>'Vật liệu'!$B$766</f>
        <v>V00750</v>
      </c>
      <c r="E1448" s="144" t="str">
        <f>" - " &amp; 'Vật liệu'!$D$766</f>
        <v xml:space="preserve"> - Vật liệu khác</v>
      </c>
      <c r="F1448" s="168" t="str">
        <f>'Vật liệu'!$E$766</f>
        <v>%</v>
      </c>
      <c r="G1448" s="34">
        <f>'Hao phí vật tư'!$G$1449</f>
        <v>3</v>
      </c>
      <c r="H1448" s="166">
        <f>'Vật liệu'!$W$766</f>
        <v>0</v>
      </c>
      <c r="I1448" s="37">
        <v>1</v>
      </c>
      <c r="J1448" s="166">
        <f>ROUND((J1443+J1444+J1445+J1446+J1447)*G1448*I1448/100,0)</f>
        <v>41819</v>
      </c>
    </row>
    <row r="1449" spans="1:10" x14ac:dyDescent="0.25">
      <c r="A1449" s="56"/>
      <c r="B1449" s="23"/>
      <c r="C1449" s="88"/>
      <c r="D1449" s="23"/>
      <c r="E1449" s="23" t="s">
        <v>202</v>
      </c>
      <c r="F1449" s="56"/>
      <c r="G1449" s="88"/>
      <c r="H1449" s="48"/>
      <c r="I1449" s="90"/>
      <c r="J1449" s="48">
        <f>ROUND(SUM(J1450:J1450),0)</f>
        <v>7721114</v>
      </c>
    </row>
    <row r="1450" spans="1:10" x14ac:dyDescent="0.25">
      <c r="A1450" s="168"/>
      <c r="B1450" s="144"/>
      <c r="C1450" s="34">
        <v>550</v>
      </c>
      <c r="D1450" s="144" t="str">
        <f>'Nhân công'!$B$130</f>
        <v>N0011</v>
      </c>
      <c r="E1450" s="144" t="s">
        <v>671</v>
      </c>
      <c r="F1450" s="168" t="str">
        <f>'Nhân công'!$G$130</f>
        <v>công</v>
      </c>
      <c r="G1450" s="34">
        <f>'Hao phí vật tư'!$H$1451</f>
        <v>33.5</v>
      </c>
      <c r="H1450" s="68">
        <f>'Nhân công'!$M$130</f>
        <v>230481</v>
      </c>
      <c r="I1450" s="37">
        <v>1</v>
      </c>
      <c r="J1450" s="166">
        <f>ROUND(G1450*H1450*I1450,0)</f>
        <v>7721114</v>
      </c>
    </row>
    <row r="1451" spans="1:10" x14ac:dyDescent="0.25">
      <c r="A1451" s="56"/>
      <c r="B1451" s="23"/>
      <c r="C1451" s="88"/>
      <c r="D1451" s="23"/>
      <c r="E1451" s="23" t="s">
        <v>378</v>
      </c>
      <c r="F1451" s="56"/>
      <c r="G1451" s="88"/>
      <c r="H1451" s="48"/>
      <c r="I1451" s="90"/>
      <c r="J1451" s="48">
        <f>ROUND(SUM(J1452:J1455),0)</f>
        <v>4063955</v>
      </c>
    </row>
    <row r="1452" spans="1:10" x14ac:dyDescent="0.25">
      <c r="A1452" s="168"/>
      <c r="B1452" s="144"/>
      <c r="C1452" s="34">
        <v>728</v>
      </c>
      <c r="D1452" s="144" t="str">
        <f>'Máy thi công'!$B$120</f>
        <v>M9468</v>
      </c>
      <c r="E1452" s="144" t="str">
        <f>" - " &amp; 'Máy thi công'!$D$120</f>
        <v xml:space="preserve"> - Cần trục bánh xích - sức nâng: 16 t</v>
      </c>
      <c r="F1452" s="168" t="str">
        <f>'Máy thi công'!$E$120</f>
        <v>ca</v>
      </c>
      <c r="G1452" s="34">
        <f>'Hao phí vật tư'!$I$1453</f>
        <v>0.8</v>
      </c>
      <c r="H1452" s="68">
        <f>'Máy thi công'!$N$120</f>
        <v>2394521</v>
      </c>
      <c r="I1452" s="37">
        <v>1</v>
      </c>
      <c r="J1452" s="166">
        <f>ROUND(G1452*H1452*I1452,0)</f>
        <v>1915617</v>
      </c>
    </row>
    <row r="1453" spans="1:10" x14ac:dyDescent="0.25">
      <c r="A1453" s="168"/>
      <c r="B1453" s="144"/>
      <c r="C1453" s="34">
        <v>714</v>
      </c>
      <c r="D1453" s="144" t="str">
        <f>'Máy thi công'!$B$6</f>
        <v>M9438</v>
      </c>
      <c r="E1453" s="144" t="str">
        <f>" - " &amp; 'Máy thi công'!$D$6</f>
        <v xml:space="preserve"> - Biến thế hàn xoay chiều - công suất: 23 kW</v>
      </c>
      <c r="F1453" s="168" t="str">
        <f>'Máy thi công'!$E$6</f>
        <v>ca</v>
      </c>
      <c r="G1453" s="34">
        <f>'Hao phí vật tư'!$I$1454</f>
        <v>4.5</v>
      </c>
      <c r="H1453" s="68">
        <f>'Máy thi công'!$N$6</f>
        <v>338020</v>
      </c>
      <c r="I1453" s="37">
        <v>1</v>
      </c>
      <c r="J1453" s="166">
        <f>ROUND(G1453*H1453*I1453,0)</f>
        <v>1521090</v>
      </c>
    </row>
    <row r="1454" spans="1:10" x14ac:dyDescent="0.25">
      <c r="A1454" s="168"/>
      <c r="B1454" s="144"/>
      <c r="C1454" s="34">
        <v>703</v>
      </c>
      <c r="D1454" s="144" t="str">
        <f>'Máy thi công'!$B$177</f>
        <v>M112.2001</v>
      </c>
      <c r="E1454" s="144" t="str">
        <f>" - " &amp; 'Máy thi công'!$D$177</f>
        <v xml:space="preserve"> - Máy cắt sắt cầm tay - công suất: 1,7 kW</v>
      </c>
      <c r="F1454" s="168" t="str">
        <f>'Máy thi công'!$E$177</f>
        <v>ca</v>
      </c>
      <c r="G1454" s="34">
        <f>'Hao phí vật tư'!$I$1455</f>
        <v>2.5</v>
      </c>
      <c r="H1454" s="68">
        <f>'Máy thi công'!$N$177</f>
        <v>226876</v>
      </c>
      <c r="I1454" s="37">
        <v>1</v>
      </c>
      <c r="J1454" s="166">
        <f>ROUND(G1454*H1454*I1454,0)</f>
        <v>567190</v>
      </c>
    </row>
    <row r="1455" spans="1:10" x14ac:dyDescent="0.25">
      <c r="A1455" s="168"/>
      <c r="B1455" s="144"/>
      <c r="C1455" s="34">
        <v>672</v>
      </c>
      <c r="D1455" s="144" t="str">
        <f>'Máy thi công'!$B$398</f>
        <v>M0111</v>
      </c>
      <c r="E1455" s="144" t="str">
        <f>" - " &amp; 'Máy thi công'!$D$398</f>
        <v xml:space="preserve"> - Máy khác</v>
      </c>
      <c r="F1455" s="168" t="str">
        <f>'Máy thi công'!$E$398</f>
        <v>%</v>
      </c>
      <c r="G1455" s="34">
        <f>'Hao phí vật tư'!$I$1456</f>
        <v>1.5</v>
      </c>
      <c r="H1455" s="166">
        <f>'Máy thi công'!$N$398</f>
        <v>0</v>
      </c>
      <c r="I1455" s="37">
        <v>1</v>
      </c>
      <c r="J1455" s="166">
        <f>ROUND((J1452+J1453+J1454)*G1455*I1455/100,0)</f>
        <v>60058</v>
      </c>
    </row>
    <row r="1456" spans="1:10" ht="28.5" x14ac:dyDescent="0.25">
      <c r="A1456" s="65">
        <f>'Công trình'!$A$190</f>
        <v>151</v>
      </c>
      <c r="B1456" s="14" t="str">
        <f>'Công trình'!$B$190</f>
        <v>AF.65120</v>
      </c>
      <c r="C1456" s="94"/>
      <c r="D1456" s="31"/>
      <c r="E1456" s="14" t="str">
        <f>'Công trình'!$C$190</f>
        <v>Sản xuất, lắp dựng cốt thép móng, mố, trụ, mũ mố, mũ trụ cầu trên cạn đường kính &lt;=18mm</v>
      </c>
      <c r="F1456" s="46" t="str">
        <f>'Công trình'!$D$190</f>
        <v>tấn</v>
      </c>
      <c r="G1456" s="94"/>
      <c r="H1456" s="54"/>
      <c r="I1456" s="98"/>
      <c r="J1456" s="54"/>
    </row>
    <row r="1457" spans="1:10" x14ac:dyDescent="0.25">
      <c r="A1457" s="56"/>
      <c r="B1457" s="23"/>
      <c r="C1457" s="88"/>
      <c r="D1457" s="23"/>
      <c r="E1457" s="23" t="s">
        <v>479</v>
      </c>
      <c r="F1457" s="56"/>
      <c r="G1457" s="88"/>
      <c r="H1457" s="48"/>
      <c r="I1457" s="90"/>
      <c r="J1457" s="48">
        <f>ROUND(SUM(J1458:J1460),0)</f>
        <v>14713152</v>
      </c>
    </row>
    <row r="1458" spans="1:10" x14ac:dyDescent="0.25">
      <c r="A1458" s="168"/>
      <c r="B1458" s="144"/>
      <c r="C1458" s="34">
        <v>154</v>
      </c>
      <c r="D1458" s="144" t="str">
        <f>'Vật liệu'!$B$450</f>
        <v>V00515</v>
      </c>
      <c r="E1458" s="144" t="str">
        <f>" - " &amp; 'Vật liệu'!$D$450</f>
        <v xml:space="preserve"> - Que hàn</v>
      </c>
      <c r="F1458" s="168" t="str">
        <f>'Vật liệu'!$E$450</f>
        <v>kg</v>
      </c>
      <c r="G1458" s="34">
        <f>'Hao phí vật tư'!$G$1459</f>
        <v>6.5</v>
      </c>
      <c r="H1458" s="68">
        <f>'Vật liệu'!$W$450</f>
        <v>19091</v>
      </c>
      <c r="I1458" s="37">
        <v>1</v>
      </c>
      <c r="J1458" s="166">
        <f>ROUND(G1458*H1458*I1458,0)</f>
        <v>124092</v>
      </c>
    </row>
    <row r="1459" spans="1:10" x14ac:dyDescent="0.25">
      <c r="A1459" s="168"/>
      <c r="B1459" s="144"/>
      <c r="C1459" s="34">
        <v>135</v>
      </c>
      <c r="D1459" s="144" t="str">
        <f>'Vật liệu'!$B$221</f>
        <v>V00226</v>
      </c>
      <c r="E1459" s="144" t="str">
        <f>" - " &amp; 'Vật liệu'!$D$221</f>
        <v xml:space="preserve"> - Dây thép</v>
      </c>
      <c r="F1459" s="168" t="str">
        <f>'Vật liệu'!$E$221</f>
        <v>kg</v>
      </c>
      <c r="G1459" s="34">
        <f>'Hao phí vật tư'!$G$1460</f>
        <v>14.28</v>
      </c>
      <c r="H1459" s="68">
        <f>'Vật liệu'!$W$221</f>
        <v>17500</v>
      </c>
      <c r="I1459" s="37">
        <v>1</v>
      </c>
      <c r="J1459" s="166">
        <f>ROUND(G1459*H1459*I1459,0)</f>
        <v>249900</v>
      </c>
    </row>
    <row r="1460" spans="1:10" x14ac:dyDescent="0.25">
      <c r="A1460" s="168"/>
      <c r="B1460" s="144"/>
      <c r="C1460" s="34">
        <v>485</v>
      </c>
      <c r="D1460" s="144" t="str">
        <f>'Vật liệu'!$B$665</f>
        <v>V48495</v>
      </c>
      <c r="E1460" s="144" t="str">
        <f>" - " &amp; 'Vật liệu'!$D$665</f>
        <v xml:space="preserve"> - Thép tròn đường kính &lt;=18mm</v>
      </c>
      <c r="F1460" s="168" t="str">
        <f>'Vật liệu'!$E$665</f>
        <v>kg</v>
      </c>
      <c r="G1460" s="34">
        <f>'Hao phí vật tư'!$G$1461</f>
        <v>1020</v>
      </c>
      <c r="H1460" s="68">
        <f>'Vật liệu'!$W$665</f>
        <v>14058</v>
      </c>
      <c r="I1460" s="37">
        <v>1</v>
      </c>
      <c r="J1460" s="166">
        <f>ROUND(G1460*H1460*I1460,0)</f>
        <v>14339160</v>
      </c>
    </row>
    <row r="1461" spans="1:10" x14ac:dyDescent="0.25">
      <c r="A1461" s="56"/>
      <c r="B1461" s="23"/>
      <c r="C1461" s="88"/>
      <c r="D1461" s="23"/>
      <c r="E1461" s="23" t="s">
        <v>202</v>
      </c>
      <c r="F1461" s="56"/>
      <c r="G1461" s="88"/>
      <c r="H1461" s="48"/>
      <c r="I1461" s="90"/>
      <c r="J1461" s="48">
        <f>ROUND(SUM(J1462:J1462),0)</f>
        <v>2701237</v>
      </c>
    </row>
    <row r="1462" spans="1:10" x14ac:dyDescent="0.25">
      <c r="A1462" s="168"/>
      <c r="B1462" s="144"/>
      <c r="C1462" s="34">
        <v>550</v>
      </c>
      <c r="D1462" s="144" t="str">
        <f>'Nhân công'!$B$130</f>
        <v>N0011</v>
      </c>
      <c r="E1462" s="144" t="s">
        <v>671</v>
      </c>
      <c r="F1462" s="168" t="str">
        <f>'Nhân công'!$G$130</f>
        <v>công</v>
      </c>
      <c r="G1462" s="34">
        <f>'Hao phí vật tư'!$H$1463</f>
        <v>11.72</v>
      </c>
      <c r="H1462" s="68">
        <f>'Nhân công'!$M$130</f>
        <v>230481</v>
      </c>
      <c r="I1462" s="37">
        <v>1</v>
      </c>
      <c r="J1462" s="166">
        <f>ROUND(G1462*H1462*I1462,0)</f>
        <v>2701237</v>
      </c>
    </row>
    <row r="1463" spans="1:10" x14ac:dyDescent="0.25">
      <c r="A1463" s="56"/>
      <c r="B1463" s="23"/>
      <c r="C1463" s="88"/>
      <c r="D1463" s="23"/>
      <c r="E1463" s="23" t="s">
        <v>378</v>
      </c>
      <c r="F1463" s="56"/>
      <c r="G1463" s="88"/>
      <c r="H1463" s="48"/>
      <c r="I1463" s="90"/>
      <c r="J1463" s="48">
        <f>ROUND(SUM(J1464:J1466),0)</f>
        <v>829313</v>
      </c>
    </row>
    <row r="1464" spans="1:10" x14ac:dyDescent="0.25">
      <c r="A1464" s="168"/>
      <c r="B1464" s="144"/>
      <c r="C1464" s="34">
        <v>728</v>
      </c>
      <c r="D1464" s="144" t="str">
        <f>'Máy thi công'!$B$120</f>
        <v>M9468</v>
      </c>
      <c r="E1464" s="144" t="str">
        <f>" - " &amp; 'Máy thi công'!$D$120</f>
        <v xml:space="preserve"> - Cần trục bánh xích - sức nâng: 16 t</v>
      </c>
      <c r="F1464" s="168" t="str">
        <f>'Máy thi công'!$E$120</f>
        <v>ca</v>
      </c>
      <c r="G1464" s="34">
        <f>'Hao phí vật tư'!$I$1465</f>
        <v>0.09</v>
      </c>
      <c r="H1464" s="68">
        <f>'Máy thi công'!$N$120</f>
        <v>2394521</v>
      </c>
      <c r="I1464" s="37">
        <v>1</v>
      </c>
      <c r="J1464" s="166">
        <f>ROUND(G1464*H1464*I1464,0)</f>
        <v>215507</v>
      </c>
    </row>
    <row r="1465" spans="1:10" x14ac:dyDescent="0.25">
      <c r="A1465" s="168"/>
      <c r="B1465" s="144"/>
      <c r="C1465" s="34">
        <v>737</v>
      </c>
      <c r="D1465" s="144" t="str">
        <f>'Máy thi công'!$B$184</f>
        <v>M9521</v>
      </c>
      <c r="E1465" s="144" t="str">
        <f>" - " &amp; 'Máy thi công'!$D$184</f>
        <v xml:space="preserve"> - Máy cắt uốn cốt thép - công suất: 5 kW</v>
      </c>
      <c r="F1465" s="168" t="str">
        <f>'Máy thi công'!$E$184</f>
        <v>ca</v>
      </c>
      <c r="G1465" s="34">
        <f>'Hao phí vật tư'!$I$1466</f>
        <v>0.32</v>
      </c>
      <c r="H1465" s="68">
        <f>'Máy thi công'!$N$184</f>
        <v>228044</v>
      </c>
      <c r="I1465" s="37">
        <v>1</v>
      </c>
      <c r="J1465" s="166">
        <f>ROUND(G1465*H1465*I1465,0)</f>
        <v>72974</v>
      </c>
    </row>
    <row r="1466" spans="1:10" x14ac:dyDescent="0.25">
      <c r="A1466" s="168"/>
      <c r="B1466" s="144"/>
      <c r="C1466" s="34">
        <v>714</v>
      </c>
      <c r="D1466" s="144" t="str">
        <f>'Máy thi công'!$B$6</f>
        <v>M9438</v>
      </c>
      <c r="E1466" s="144" t="str">
        <f>" - " &amp; 'Máy thi công'!$D$6</f>
        <v xml:space="preserve"> - Biến thế hàn xoay chiều - công suất: 23 kW</v>
      </c>
      <c r="F1466" s="168" t="str">
        <f>'Máy thi công'!$E$6</f>
        <v>ca</v>
      </c>
      <c r="G1466" s="34">
        <f>'Hao phí vật tư'!$I$1467</f>
        <v>1.6</v>
      </c>
      <c r="H1466" s="68">
        <f>'Máy thi công'!$N$6</f>
        <v>338020</v>
      </c>
      <c r="I1466" s="37">
        <v>1</v>
      </c>
      <c r="J1466" s="166">
        <f>ROUND(G1466*H1466*I1466,0)</f>
        <v>540832</v>
      </c>
    </row>
    <row r="1467" spans="1:10" ht="28.5" x14ac:dyDescent="0.25">
      <c r="A1467" s="65">
        <f>'Công trình'!$A$191</f>
        <v>152</v>
      </c>
      <c r="B1467" s="14" t="str">
        <f>'Công trình'!$B$191</f>
        <v>AF.65130</v>
      </c>
      <c r="C1467" s="94"/>
      <c r="D1467" s="31"/>
      <c r="E1467" s="14" t="str">
        <f>'Công trình'!$C$191</f>
        <v>Sản xuất, lắp dựng cốt thép móng, mố, trụ, mũ mố, mũ trụ cầu trên cạn đường kính &gt;18mm</v>
      </c>
      <c r="F1467" s="46" t="str">
        <f>'Công trình'!$D$191</f>
        <v>tấn</v>
      </c>
      <c r="G1467" s="94"/>
      <c r="H1467" s="54"/>
      <c r="I1467" s="98"/>
      <c r="J1467" s="54"/>
    </row>
    <row r="1468" spans="1:10" x14ac:dyDescent="0.25">
      <c r="A1468" s="56"/>
      <c r="B1468" s="23"/>
      <c r="C1468" s="88"/>
      <c r="D1468" s="23"/>
      <c r="E1468" s="23" t="s">
        <v>479</v>
      </c>
      <c r="F1468" s="56"/>
      <c r="G1468" s="88"/>
      <c r="H1468" s="48"/>
      <c r="I1468" s="90"/>
      <c r="J1468" s="48">
        <f>ROUND(SUM(J1469:J1471),0)</f>
        <v>14721361</v>
      </c>
    </row>
    <row r="1469" spans="1:10" x14ac:dyDescent="0.25">
      <c r="A1469" s="168"/>
      <c r="B1469" s="144"/>
      <c r="C1469" s="34">
        <v>154</v>
      </c>
      <c r="D1469" s="144" t="str">
        <f>'Vật liệu'!$B$450</f>
        <v>V00515</v>
      </c>
      <c r="E1469" s="144" t="str">
        <f>" - " &amp; 'Vật liệu'!$D$450</f>
        <v xml:space="preserve"> - Que hàn</v>
      </c>
      <c r="F1469" s="168" t="str">
        <f>'Vật liệu'!$E$450</f>
        <v>kg</v>
      </c>
      <c r="G1469" s="34">
        <f>'Hao phí vật tư'!$G$1470</f>
        <v>6.93</v>
      </c>
      <c r="H1469" s="68">
        <f>'Vật liệu'!$W$450</f>
        <v>19091</v>
      </c>
      <c r="I1469" s="37">
        <v>1</v>
      </c>
      <c r="J1469" s="166">
        <f>ROUND(G1469*H1469*I1469,0)</f>
        <v>132301</v>
      </c>
    </row>
    <row r="1470" spans="1:10" x14ac:dyDescent="0.25">
      <c r="A1470" s="168"/>
      <c r="B1470" s="144"/>
      <c r="C1470" s="34">
        <v>135</v>
      </c>
      <c r="D1470" s="144" t="str">
        <f>'Vật liệu'!$B$221</f>
        <v>V00226</v>
      </c>
      <c r="E1470" s="144" t="str">
        <f>" - " &amp; 'Vật liệu'!$D$221</f>
        <v xml:space="preserve"> - Dây thép</v>
      </c>
      <c r="F1470" s="168" t="str">
        <f>'Vật liệu'!$E$221</f>
        <v>kg</v>
      </c>
      <c r="G1470" s="34">
        <f>'Hao phí vật tư'!$G$1471</f>
        <v>14.28</v>
      </c>
      <c r="H1470" s="68">
        <f>'Vật liệu'!$W$221</f>
        <v>17500</v>
      </c>
      <c r="I1470" s="37">
        <v>1</v>
      </c>
      <c r="J1470" s="166">
        <f>ROUND(G1470*H1470*I1470,0)</f>
        <v>249900</v>
      </c>
    </row>
    <row r="1471" spans="1:10" x14ac:dyDescent="0.25">
      <c r="A1471" s="168"/>
      <c r="B1471" s="144"/>
      <c r="C1471" s="34">
        <v>488</v>
      </c>
      <c r="D1471" s="144" t="str">
        <f>'Vật liệu'!$B$689</f>
        <v>V48498</v>
      </c>
      <c r="E1471" s="144" t="str">
        <f>" - " &amp; 'Vật liệu'!$D$689</f>
        <v xml:space="preserve"> - Thép tròn đường kính &gt;18mm</v>
      </c>
      <c r="F1471" s="168" t="str">
        <f>'Vật liệu'!$E$689</f>
        <v>kg</v>
      </c>
      <c r="G1471" s="34">
        <f>'Hao phí vật tư'!$G$1472</f>
        <v>1020</v>
      </c>
      <c r="H1471" s="68">
        <f>'Vật liệu'!$W$689</f>
        <v>14058</v>
      </c>
      <c r="I1471" s="37">
        <v>1</v>
      </c>
      <c r="J1471" s="166">
        <f>ROUND(G1471*H1471*I1471,0)</f>
        <v>14339160</v>
      </c>
    </row>
    <row r="1472" spans="1:10" x14ac:dyDescent="0.25">
      <c r="A1472" s="56"/>
      <c r="B1472" s="23"/>
      <c r="C1472" s="88"/>
      <c r="D1472" s="23"/>
      <c r="E1472" s="23" t="s">
        <v>202</v>
      </c>
      <c r="F1472" s="56"/>
      <c r="G1472" s="88"/>
      <c r="H1472" s="48"/>
      <c r="I1472" s="90"/>
      <c r="J1472" s="48">
        <f>ROUND(SUM(J1473:J1473),0)</f>
        <v>2247190</v>
      </c>
    </row>
    <row r="1473" spans="1:10" x14ac:dyDescent="0.25">
      <c r="A1473" s="168"/>
      <c r="B1473" s="144"/>
      <c r="C1473" s="34">
        <v>550</v>
      </c>
      <c r="D1473" s="144" t="str">
        <f>'Nhân công'!$B$130</f>
        <v>N0011</v>
      </c>
      <c r="E1473" s="144" t="s">
        <v>671</v>
      </c>
      <c r="F1473" s="168" t="str">
        <f>'Nhân công'!$G$130</f>
        <v>công</v>
      </c>
      <c r="G1473" s="34">
        <f>'Hao phí vật tư'!$H$1474</f>
        <v>9.75</v>
      </c>
      <c r="H1473" s="68">
        <f>'Nhân công'!$M$130</f>
        <v>230481</v>
      </c>
      <c r="I1473" s="37">
        <v>1</v>
      </c>
      <c r="J1473" s="166">
        <f>ROUND(G1473*H1473*I1473,0)</f>
        <v>2247190</v>
      </c>
    </row>
    <row r="1474" spans="1:10" x14ac:dyDescent="0.25">
      <c r="A1474" s="56"/>
      <c r="B1474" s="23"/>
      <c r="C1474" s="88"/>
      <c r="D1474" s="23"/>
      <c r="E1474" s="23" t="s">
        <v>378</v>
      </c>
      <c r="F1474" s="56"/>
      <c r="G1474" s="88"/>
      <c r="H1474" s="48"/>
      <c r="I1474" s="90"/>
      <c r="J1474" s="48">
        <f>ROUND(SUM(J1475:J1477),0)</f>
        <v>812824</v>
      </c>
    </row>
    <row r="1475" spans="1:10" x14ac:dyDescent="0.25">
      <c r="A1475" s="168"/>
      <c r="B1475" s="144"/>
      <c r="C1475" s="34">
        <v>728</v>
      </c>
      <c r="D1475" s="144" t="str">
        <f>'Máy thi công'!$B$120</f>
        <v>M9468</v>
      </c>
      <c r="E1475" s="144" t="str">
        <f>" - " &amp; 'Máy thi công'!$D$120</f>
        <v xml:space="preserve"> - Cần trục bánh xích - sức nâng: 16 t</v>
      </c>
      <c r="F1475" s="168" t="str">
        <f>'Máy thi công'!$E$120</f>
        <v>ca</v>
      </c>
      <c r="G1475" s="34">
        <f>'Hao phí vật tư'!$I$1476</f>
        <v>0.08</v>
      </c>
      <c r="H1475" s="68">
        <f>'Máy thi công'!$N$120</f>
        <v>2394521</v>
      </c>
      <c r="I1475" s="37">
        <v>1</v>
      </c>
      <c r="J1475" s="166">
        <f>ROUND(G1475*H1475*I1475,0)</f>
        <v>191562</v>
      </c>
    </row>
    <row r="1476" spans="1:10" x14ac:dyDescent="0.25">
      <c r="A1476" s="168"/>
      <c r="B1476" s="144"/>
      <c r="C1476" s="34">
        <v>737</v>
      </c>
      <c r="D1476" s="144" t="str">
        <f>'Máy thi công'!$B$184</f>
        <v>M9521</v>
      </c>
      <c r="E1476" s="144" t="str">
        <f>" - " &amp; 'Máy thi công'!$D$184</f>
        <v xml:space="preserve"> - Máy cắt uốn cốt thép - công suất: 5 kW</v>
      </c>
      <c r="F1476" s="168" t="str">
        <f>'Máy thi công'!$E$184</f>
        <v>ca</v>
      </c>
      <c r="G1476" s="34">
        <f>'Hao phí vật tư'!$I$1477</f>
        <v>0.16</v>
      </c>
      <c r="H1476" s="68">
        <f>'Máy thi công'!$N$184</f>
        <v>228044</v>
      </c>
      <c r="I1476" s="37">
        <v>1</v>
      </c>
      <c r="J1476" s="166">
        <f>ROUND(G1476*H1476*I1476,0)</f>
        <v>36487</v>
      </c>
    </row>
    <row r="1477" spans="1:10" x14ac:dyDescent="0.25">
      <c r="A1477" s="168"/>
      <c r="B1477" s="144"/>
      <c r="C1477" s="34">
        <v>714</v>
      </c>
      <c r="D1477" s="144" t="str">
        <f>'Máy thi công'!$B$6</f>
        <v>M9438</v>
      </c>
      <c r="E1477" s="144" t="str">
        <f>" - " &amp; 'Máy thi công'!$D$6</f>
        <v xml:space="preserve"> - Biến thế hàn xoay chiều - công suất: 23 kW</v>
      </c>
      <c r="F1477" s="168" t="str">
        <f>'Máy thi công'!$E$6</f>
        <v>ca</v>
      </c>
      <c r="G1477" s="34">
        <f>'Hao phí vật tư'!$I$1478</f>
        <v>1.73</v>
      </c>
      <c r="H1477" s="68">
        <f>'Máy thi công'!$N$6</f>
        <v>338020</v>
      </c>
      <c r="I1477" s="37">
        <v>1</v>
      </c>
      <c r="J1477" s="166">
        <f>ROUND(G1477*H1477*I1477,0)</f>
        <v>584775</v>
      </c>
    </row>
    <row r="1478" spans="1:10" ht="42.75" x14ac:dyDescent="0.25">
      <c r="A1478" s="65">
        <f>'Công trình'!$A$193</f>
        <v>153</v>
      </c>
      <c r="B1478" s="14" t="str">
        <f>'Công trình'!$B$193</f>
        <v>TT</v>
      </c>
      <c r="C1478" s="94"/>
      <c r="D1478" s="31"/>
      <c r="E1478" s="14" t="str">
        <f>'Công trình'!$C$193</f>
        <v xml:space="preserve">Lắp dựng dầm cầu I DƯL bản  (TT theo MHĐM ĐQ.30010 Quyết định số 2204/QĐ-BGTVT ngày 29/07/2013) </v>
      </c>
      <c r="F1478" s="46" t="str">
        <f>'Công trình'!$D$193</f>
        <v>1 dầm</v>
      </c>
      <c r="G1478" s="94"/>
      <c r="H1478" s="54"/>
      <c r="I1478" s="98"/>
      <c r="J1478" s="54"/>
    </row>
    <row r="1479" spans="1:10" x14ac:dyDescent="0.25">
      <c r="A1479" s="56"/>
      <c r="B1479" s="23"/>
      <c r="C1479" s="88"/>
      <c r="D1479" s="23"/>
      <c r="E1479" s="23" t="s">
        <v>479</v>
      </c>
      <c r="F1479" s="56"/>
      <c r="G1479" s="88"/>
      <c r="H1479" s="48"/>
      <c r="I1479" s="90"/>
      <c r="J1479" s="48">
        <f>ROUND(SUM(J1480:J1481),0)</f>
        <v>371373</v>
      </c>
    </row>
    <row r="1480" spans="1:10" x14ac:dyDescent="0.25">
      <c r="A1480" s="168"/>
      <c r="B1480" s="144"/>
      <c r="C1480" s="34">
        <v>413</v>
      </c>
      <c r="D1480" s="144" t="str">
        <f>'Vật liệu'!$B$646</f>
        <v>V03168</v>
      </c>
      <c r="E1480" s="144" t="str">
        <f>" - " &amp; 'Vật liệu'!$D$646</f>
        <v xml:space="preserve"> - Thép tấm 20mm</v>
      </c>
      <c r="F1480" s="168" t="str">
        <f>'Vật liệu'!$E$646</f>
        <v>kg</v>
      </c>
      <c r="G1480" s="34">
        <f>'Hao phí vật tư'!$G$1481</f>
        <v>26.85</v>
      </c>
      <c r="H1480" s="68">
        <f>'Vật liệu'!$W$646</f>
        <v>12574</v>
      </c>
      <c r="I1480" s="37">
        <v>1</v>
      </c>
      <c r="J1480" s="166">
        <f>ROUND(G1480*H1480*I1480,0)</f>
        <v>337612</v>
      </c>
    </row>
    <row r="1481" spans="1:10" x14ac:dyDescent="0.25">
      <c r="A1481" s="168"/>
      <c r="B1481" s="144"/>
      <c r="C1481" s="34">
        <v>372</v>
      </c>
      <c r="D1481" s="144" t="str">
        <f>'Vật liệu'!$B$766</f>
        <v>V00750</v>
      </c>
      <c r="E1481" s="144" t="str">
        <f>" - " &amp; 'Vật liệu'!$D$766</f>
        <v xml:space="preserve"> - Vật liệu khác</v>
      </c>
      <c r="F1481" s="168" t="str">
        <f>'Vật liệu'!$E$766</f>
        <v>%</v>
      </c>
      <c r="G1481" s="34">
        <f>'Hao phí vật tư'!$G$1482</f>
        <v>10</v>
      </c>
      <c r="H1481" s="166">
        <f>'Vật liệu'!$W$766</f>
        <v>0</v>
      </c>
      <c r="I1481" s="37">
        <v>1</v>
      </c>
      <c r="J1481" s="166">
        <f>ROUND((J1480)*G1481*I1481/100,0)</f>
        <v>33761</v>
      </c>
    </row>
    <row r="1482" spans="1:10" x14ac:dyDescent="0.25">
      <c r="A1482" s="56"/>
      <c r="B1482" s="23"/>
      <c r="C1482" s="88"/>
      <c r="D1482" s="23"/>
      <c r="E1482" s="23" t="s">
        <v>202</v>
      </c>
      <c r="F1482" s="56"/>
      <c r="G1482" s="88"/>
      <c r="H1482" s="48"/>
      <c r="I1482" s="90"/>
      <c r="J1482" s="48">
        <f>ROUND(SUM(J1483:J1483),0)</f>
        <v>472386</v>
      </c>
    </row>
    <row r="1483" spans="1:10" x14ac:dyDescent="0.25">
      <c r="A1483" s="168"/>
      <c r="B1483" s="144"/>
      <c r="C1483" s="34">
        <v>553</v>
      </c>
      <c r="D1483" s="144" t="str">
        <f>'Nhân công'!$B$221</f>
        <v>N0013</v>
      </c>
      <c r="E1483" s="144" t="s">
        <v>275</v>
      </c>
      <c r="F1483" s="168" t="str">
        <f>'Nhân công'!$G$221</f>
        <v>công</v>
      </c>
      <c r="G1483" s="34">
        <f>'Hao phí vật tư'!$H$1484</f>
        <v>1.88</v>
      </c>
      <c r="H1483" s="68">
        <f>'Nhân công'!$M$221</f>
        <v>251269</v>
      </c>
      <c r="I1483" s="37">
        <v>1</v>
      </c>
      <c r="J1483" s="166">
        <f>ROUND(G1483*H1483*I1483,0)</f>
        <v>472386</v>
      </c>
    </row>
    <row r="1484" spans="1:10" x14ac:dyDescent="0.25">
      <c r="A1484" s="56"/>
      <c r="B1484" s="23"/>
      <c r="C1484" s="88"/>
      <c r="D1484" s="23"/>
      <c r="E1484" s="23" t="s">
        <v>378</v>
      </c>
      <c r="F1484" s="56"/>
      <c r="G1484" s="88"/>
      <c r="H1484" s="48"/>
      <c r="I1484" s="90"/>
      <c r="J1484" s="48">
        <f>ROUND(SUM(J1485:J1486),0)</f>
        <v>1502282</v>
      </c>
    </row>
    <row r="1485" spans="1:10" x14ac:dyDescent="0.25">
      <c r="A1485" s="168"/>
      <c r="B1485" s="144"/>
      <c r="C1485" s="34">
        <v>731</v>
      </c>
      <c r="D1485" s="144" t="str">
        <f>'Máy thi công'!$B$146</f>
        <v>M9472</v>
      </c>
      <c r="E1485" s="144" t="str">
        <f>" - " &amp; 'Máy thi công'!$D$146</f>
        <v xml:space="preserve"> - Cần trục bánh xích - sức nâng: 80</v>
      </c>
      <c r="F1485" s="168" t="str">
        <f>'Máy thi công'!$E$146</f>
        <v>ca</v>
      </c>
      <c r="G1485" s="34">
        <f>'Hao phí vật tư'!$I$1486</f>
        <v>0.25</v>
      </c>
      <c r="H1485" s="68">
        <f>'Máy thi công'!$N$146</f>
        <v>5722978</v>
      </c>
      <c r="I1485" s="37">
        <v>1</v>
      </c>
      <c r="J1485" s="166">
        <f>ROUND(G1485*H1485*I1485,0)</f>
        <v>1430745</v>
      </c>
    </row>
    <row r="1486" spans="1:10" x14ac:dyDescent="0.25">
      <c r="A1486" s="168"/>
      <c r="B1486" s="144"/>
      <c r="C1486" s="34">
        <v>676</v>
      </c>
      <c r="D1486" s="144" t="str">
        <f>'Máy thi công'!$B$398</f>
        <v>M0111</v>
      </c>
      <c r="E1486" s="144" t="str">
        <f>" - " &amp; 'Máy thi công'!$D$398</f>
        <v xml:space="preserve"> - Máy khác</v>
      </c>
      <c r="F1486" s="168" t="str">
        <f>'Máy thi công'!$E$398</f>
        <v>%</v>
      </c>
      <c r="G1486" s="34">
        <f>'Hao phí vật tư'!$I$1487</f>
        <v>5</v>
      </c>
      <c r="H1486" s="166">
        <f>'Máy thi công'!$N$398</f>
        <v>0</v>
      </c>
      <c r="I1486" s="37">
        <v>1</v>
      </c>
      <c r="J1486" s="166">
        <f>ROUND((J1485)*G1486*I1486/100,0)</f>
        <v>71537</v>
      </c>
    </row>
    <row r="1487" spans="1:10" x14ac:dyDescent="0.25">
      <c r="A1487" s="65">
        <f>'Công trình'!$A$194</f>
        <v>154</v>
      </c>
      <c r="B1487" s="14" t="str">
        <f>'Công trình'!$B$194</f>
        <v>TT</v>
      </c>
      <c r="C1487" s="94"/>
      <c r="D1487" s="31"/>
      <c r="E1487" s="14" t="str">
        <f>'Công trình'!$C$194</f>
        <v>Dầm I650 DƯL bản 18M</v>
      </c>
      <c r="F1487" s="46" t="str">
        <f>'Công trình'!$D$194</f>
        <v>1 dầm</v>
      </c>
      <c r="G1487" s="94"/>
      <c r="H1487" s="54"/>
      <c r="I1487" s="98"/>
      <c r="J1487" s="54"/>
    </row>
    <row r="1488" spans="1:10" x14ac:dyDescent="0.25">
      <c r="A1488" s="56"/>
      <c r="B1488" s="23"/>
      <c r="C1488" s="88"/>
      <c r="D1488" s="23"/>
      <c r="E1488" s="23" t="s">
        <v>479</v>
      </c>
      <c r="F1488" s="56"/>
      <c r="G1488" s="88"/>
      <c r="H1488" s="48"/>
      <c r="I1488" s="90"/>
      <c r="J1488" s="48">
        <f>ROUND(SUM(J1489:J1489),0)</f>
        <v>22500000</v>
      </c>
    </row>
    <row r="1489" spans="1:10" x14ac:dyDescent="0.25">
      <c r="A1489" s="168"/>
      <c r="B1489" s="144"/>
      <c r="C1489" s="34">
        <v>99</v>
      </c>
      <c r="D1489" s="144" t="str">
        <f>'Vật liệu'!$B$196</f>
        <v>I650</v>
      </c>
      <c r="E1489" s="144" t="str">
        <f>" - " &amp; 'Vật liệu'!$D$196</f>
        <v xml:space="preserve"> - Dầm I650 DƯL bản 18M</v>
      </c>
      <c r="F1489" s="168" t="str">
        <f>'Vật liệu'!$E$196</f>
        <v>1 dầm</v>
      </c>
      <c r="G1489" s="34">
        <f>'Hao phí vật tư'!$G$1490</f>
        <v>1</v>
      </c>
      <c r="H1489" s="68">
        <f>'Vật liệu'!$W$196</f>
        <v>22500000</v>
      </c>
      <c r="I1489" s="37">
        <v>1</v>
      </c>
      <c r="J1489" s="166">
        <f>ROUND(G1489*H1489*I1489,0)</f>
        <v>22500000</v>
      </c>
    </row>
    <row r="1490" spans="1:10" x14ac:dyDescent="0.25">
      <c r="A1490" s="65">
        <f>'Công trình'!$A$195</f>
        <v>155</v>
      </c>
      <c r="B1490" s="14" t="str">
        <f>'Công trình'!$B$195</f>
        <v>TT</v>
      </c>
      <c r="C1490" s="94"/>
      <c r="D1490" s="31"/>
      <c r="E1490" s="14" t="str">
        <f>'Công trình'!$C$195</f>
        <v>Dầm I400 DƯL bản 8,65M</v>
      </c>
      <c r="F1490" s="46" t="str">
        <f>'Công trình'!$D$195</f>
        <v>1 dầm</v>
      </c>
      <c r="G1490" s="94"/>
      <c r="H1490" s="54"/>
      <c r="I1490" s="98"/>
      <c r="J1490" s="54"/>
    </row>
    <row r="1491" spans="1:10" x14ac:dyDescent="0.25">
      <c r="A1491" s="56"/>
      <c r="B1491" s="23"/>
      <c r="C1491" s="88"/>
      <c r="D1491" s="23"/>
      <c r="E1491" s="23" t="s">
        <v>479</v>
      </c>
      <c r="F1491" s="56"/>
      <c r="G1491" s="88"/>
      <c r="H1491" s="48"/>
      <c r="I1491" s="90"/>
      <c r="J1491" s="48">
        <f>ROUND(SUM(J1492:J1492),0)</f>
        <v>8952556</v>
      </c>
    </row>
    <row r="1492" spans="1:10" x14ac:dyDescent="0.25">
      <c r="A1492" s="168"/>
      <c r="B1492" s="144"/>
      <c r="C1492" s="34">
        <v>98</v>
      </c>
      <c r="D1492" s="144" t="str">
        <f>'Vật liệu'!$B$194</f>
        <v>I400</v>
      </c>
      <c r="E1492" s="144" t="str">
        <f>" - " &amp; 'Vật liệu'!$D$194</f>
        <v xml:space="preserve"> - Dầm I400 DƯL bản 8,65M</v>
      </c>
      <c r="F1492" s="168" t="str">
        <f>'Vật liệu'!$E$194</f>
        <v>1 dầm</v>
      </c>
      <c r="G1492" s="34">
        <f>'Hao phí vật tư'!$G$1493</f>
        <v>1</v>
      </c>
      <c r="H1492" s="68">
        <f>'Vật liệu'!$W$194</f>
        <v>8952556</v>
      </c>
      <c r="I1492" s="37">
        <v>1</v>
      </c>
      <c r="J1492" s="166">
        <f>ROUND(G1492*H1492*I1492,0)</f>
        <v>8952556</v>
      </c>
    </row>
    <row r="1493" spans="1:10" x14ac:dyDescent="0.25">
      <c r="A1493" s="65">
        <f>'Công trình'!$A$196</f>
        <v>156</v>
      </c>
      <c r="B1493" s="14" t="str">
        <f>'Công trình'!$B$196</f>
        <v>AF.14315</v>
      </c>
      <c r="C1493" s="94"/>
      <c r="D1493" s="31"/>
      <c r="E1493" s="14" t="str">
        <f>'Công trình'!$C$196</f>
        <v>Bê tông mặt cầu đá 1x2, vữa BT mác 300</v>
      </c>
      <c r="F1493" s="46" t="str">
        <f>'Công trình'!$D$196</f>
        <v>m3</v>
      </c>
      <c r="G1493" s="94"/>
      <c r="H1493" s="54"/>
      <c r="I1493" s="98"/>
      <c r="J1493" s="54"/>
    </row>
    <row r="1494" spans="1:10" x14ac:dyDescent="0.25">
      <c r="A1494" s="56"/>
      <c r="B1494" s="23"/>
      <c r="C1494" s="88"/>
      <c r="D1494" s="23"/>
      <c r="E1494" s="23" t="s">
        <v>479</v>
      </c>
      <c r="F1494" s="56"/>
      <c r="G1494" s="88"/>
      <c r="H1494" s="48"/>
      <c r="I1494" s="90"/>
      <c r="J1494" s="48">
        <f>ROUND(SUM(J1495:J1500),0)</f>
        <v>1607685</v>
      </c>
    </row>
    <row r="1495" spans="1:10" x14ac:dyDescent="0.25">
      <c r="A1495" s="168"/>
      <c r="B1495" s="144"/>
      <c r="C1495" s="34">
        <v>396</v>
      </c>
      <c r="D1495" s="144" t="str">
        <f>'Vật liệu'!$B$716</f>
        <v>V00759</v>
      </c>
      <c r="E1495" s="144" t="str">
        <f>" - " &amp; 'Vật liệu'!$D$716</f>
        <v xml:space="preserve"> - Xi măng PC30</v>
      </c>
      <c r="F1495" s="168" t="str">
        <f>'Vật liệu'!$E$716</f>
        <v>kg</v>
      </c>
      <c r="G1495" s="34">
        <f>'Hao phí vật tư'!$G$1496</f>
        <v>449.97500000000002</v>
      </c>
      <c r="H1495" s="68">
        <f>'Vật liệu'!$W$716</f>
        <v>1513</v>
      </c>
      <c r="I1495" s="37">
        <v>1</v>
      </c>
      <c r="J1495" s="166">
        <f>ROUND(G1495*H1495*I1495,0)</f>
        <v>680812</v>
      </c>
    </row>
    <row r="1496" spans="1:10" x14ac:dyDescent="0.25">
      <c r="A1496" s="168"/>
      <c r="B1496" s="144"/>
      <c r="C1496" s="34">
        <v>125</v>
      </c>
      <c r="D1496" s="144" t="str">
        <f>'Vật liệu'!$B$54</f>
        <v>V00112</v>
      </c>
      <c r="E1496" s="144" t="str">
        <f>" - " &amp; 'Vật liệu'!$D$54</f>
        <v xml:space="preserve"> - Cát vàng</v>
      </c>
      <c r="F1496" s="168" t="str">
        <f>'Vật liệu'!$E$54</f>
        <v>m3</v>
      </c>
      <c r="G1496" s="34">
        <f>'Hao phí vật tư'!$G$1497</f>
        <v>0.4551</v>
      </c>
      <c r="H1496" s="68">
        <f>'Vật liệu'!$W$54</f>
        <v>420000</v>
      </c>
      <c r="I1496" s="37">
        <v>1</v>
      </c>
      <c r="J1496" s="166">
        <f>ROUND(G1496*H1496*I1496,0)</f>
        <v>191142</v>
      </c>
    </row>
    <row r="1497" spans="1:10" x14ac:dyDescent="0.25">
      <c r="A1497" s="168"/>
      <c r="B1497" s="144"/>
      <c r="C1497" s="34">
        <v>404</v>
      </c>
      <c r="D1497" s="144" t="str">
        <f>'Vật liệu'!$B$179</f>
        <v>V00811</v>
      </c>
      <c r="E1497" s="144" t="str">
        <f>" - " &amp; 'Vật liệu'!$D$179</f>
        <v xml:space="preserve"> - Đá dăm 1x2</v>
      </c>
      <c r="F1497" s="168" t="str">
        <f>'Vật liệu'!$E$179</f>
        <v>m3</v>
      </c>
      <c r="G1497" s="34">
        <f>'Hao phí vật tư'!$G$1498</f>
        <v>0.88660000000000005</v>
      </c>
      <c r="H1497" s="68">
        <f>'Vật liệu'!$W$179</f>
        <v>360886</v>
      </c>
      <c r="I1497" s="37">
        <v>1</v>
      </c>
      <c r="J1497" s="166">
        <f>ROUND(G1497*H1497*I1497,0)</f>
        <v>319962</v>
      </c>
    </row>
    <row r="1498" spans="1:10" x14ac:dyDescent="0.25">
      <c r="A1498" s="168"/>
      <c r="B1498" s="144"/>
      <c r="C1498" s="34">
        <v>148</v>
      </c>
      <c r="D1498" s="144" t="str">
        <f>'Vật liệu'!$B$353</f>
        <v>V00494</v>
      </c>
      <c r="E1498" s="144" t="str">
        <f>" - " &amp; 'Vật liệu'!$D$353</f>
        <v xml:space="preserve"> - Nước</v>
      </c>
      <c r="F1498" s="168" t="str">
        <f>'Vật liệu'!$E$353</f>
        <v>lít</v>
      </c>
      <c r="G1498" s="34">
        <f>'Hao phí vật tư'!$G$1499</f>
        <v>178.35</v>
      </c>
      <c r="H1498" s="68">
        <f>'Vật liệu'!$W$353</f>
        <v>10</v>
      </c>
      <c r="I1498" s="37">
        <v>1</v>
      </c>
      <c r="J1498" s="166">
        <f>ROUND(G1498*H1498*I1498,0)</f>
        <v>1784</v>
      </c>
    </row>
    <row r="1499" spans="1:10" x14ac:dyDescent="0.25">
      <c r="A1499" s="168"/>
      <c r="B1499" s="144"/>
      <c r="C1499" s="34">
        <v>150</v>
      </c>
      <c r="D1499" s="144" t="str">
        <f>'Vật liệu'!$B$444</f>
        <v>V00508</v>
      </c>
      <c r="E1499" s="144" t="str">
        <f>" - " &amp; 'Vật liệu'!$D$444</f>
        <v xml:space="preserve"> - Phụ gia dẻo hoá bê tông</v>
      </c>
      <c r="F1499" s="168" t="str">
        <f>'Vật liệu'!$E$444</f>
        <v>kg</v>
      </c>
      <c r="G1499" s="34">
        <f>'Hao phí vật tư'!$G$1500</f>
        <v>22.498799999999999</v>
      </c>
      <c r="H1499" s="68">
        <f>'Vật liệu'!$W$444</f>
        <v>15652</v>
      </c>
      <c r="I1499" s="37">
        <v>1</v>
      </c>
      <c r="J1499" s="166">
        <f>ROUND(G1499*H1499*I1499,0)</f>
        <v>352151</v>
      </c>
    </row>
    <row r="1500" spans="1:10" x14ac:dyDescent="0.25">
      <c r="A1500" s="168"/>
      <c r="B1500" s="144"/>
      <c r="C1500" s="34">
        <v>287</v>
      </c>
      <c r="D1500" s="144" t="str">
        <f>'Vật liệu'!$B$766</f>
        <v>V00750</v>
      </c>
      <c r="E1500" s="144" t="str">
        <f>" - " &amp; 'Vật liệu'!$D$766</f>
        <v xml:space="preserve"> - Vật liệu khác</v>
      </c>
      <c r="F1500" s="168" t="str">
        <f>'Vật liệu'!$E$766</f>
        <v>%</v>
      </c>
      <c r="G1500" s="34">
        <f>'Hao phí vật tư'!$G$1501</f>
        <v>4</v>
      </c>
      <c r="H1500" s="166">
        <f>'Vật liệu'!$W$766</f>
        <v>0</v>
      </c>
      <c r="I1500" s="37">
        <v>1</v>
      </c>
      <c r="J1500" s="166">
        <f>ROUND((J1495+J1496+J1497+J1498+J1499)*G1500*I1500/100,0)</f>
        <v>61834</v>
      </c>
    </row>
    <row r="1501" spans="1:10" x14ac:dyDescent="0.25">
      <c r="A1501" s="56"/>
      <c r="B1501" s="23"/>
      <c r="C1501" s="88"/>
      <c r="D1501" s="23"/>
      <c r="E1501" s="23" t="s">
        <v>202</v>
      </c>
      <c r="F1501" s="56"/>
      <c r="G1501" s="88"/>
      <c r="H1501" s="48"/>
      <c r="I1501" s="90"/>
      <c r="J1501" s="48">
        <f>ROUND(SUM(J1502:J1502),0)</f>
        <v>595997</v>
      </c>
    </row>
    <row r="1502" spans="1:10" x14ac:dyDescent="0.25">
      <c r="A1502" s="168"/>
      <c r="B1502" s="144"/>
      <c r="C1502" s="34">
        <v>546</v>
      </c>
      <c r="D1502" s="144" t="str">
        <f>'Nhân công'!$B$45</f>
        <v>N0009</v>
      </c>
      <c r="E1502" s="144" t="s">
        <v>1052</v>
      </c>
      <c r="F1502" s="168" t="str">
        <f>'Nhân công'!$G$45</f>
        <v>công</v>
      </c>
      <c r="G1502" s="34">
        <f>'Hao phí vật tư'!$H$1503</f>
        <v>2.8</v>
      </c>
      <c r="H1502" s="68">
        <f>'Nhân công'!$M$45</f>
        <v>212856</v>
      </c>
      <c r="I1502" s="37">
        <v>1</v>
      </c>
      <c r="J1502" s="166">
        <f>ROUND(G1502*H1502*I1502,0)</f>
        <v>595997</v>
      </c>
    </row>
    <row r="1503" spans="1:10" x14ac:dyDescent="0.25">
      <c r="A1503" s="56"/>
      <c r="B1503" s="23"/>
      <c r="C1503" s="88"/>
      <c r="D1503" s="23"/>
      <c r="E1503" s="23" t="s">
        <v>378</v>
      </c>
      <c r="F1503" s="56"/>
      <c r="G1503" s="88"/>
      <c r="H1503" s="48"/>
      <c r="I1503" s="90"/>
      <c r="J1503" s="48">
        <f>ROUND(SUM(J1504:J1506),0)</f>
        <v>49569</v>
      </c>
    </row>
    <row r="1504" spans="1:10" x14ac:dyDescent="0.25">
      <c r="A1504" s="168"/>
      <c r="B1504" s="144"/>
      <c r="C1504" s="34">
        <v>699</v>
      </c>
      <c r="D1504" s="144" t="str">
        <f>'Máy thi công'!$B$226</f>
        <v>M112.1101</v>
      </c>
      <c r="E1504" s="144" t="str">
        <f>" - " &amp; 'Máy thi công'!$D$226</f>
        <v xml:space="preserve"> - Máy đầm bê tông, đầm bàn - công suất: 1,0 kW</v>
      </c>
      <c r="F1504" s="168" t="str">
        <f>'Máy thi công'!$E$226</f>
        <v>ca</v>
      </c>
      <c r="G1504" s="34">
        <f>'Hao phí vật tư'!$I$1505</f>
        <v>8.8999999999999996E-2</v>
      </c>
      <c r="H1504" s="68">
        <f>'Máy thi công'!$N$226</f>
        <v>222547</v>
      </c>
      <c r="I1504" s="37">
        <v>1</v>
      </c>
      <c r="J1504" s="166">
        <f>ROUND(G1504*H1504*I1504,0)</f>
        <v>19807</v>
      </c>
    </row>
    <row r="1505" spans="1:10" x14ac:dyDescent="0.25">
      <c r="A1505" s="168"/>
      <c r="B1505" s="144"/>
      <c r="C1505" s="34">
        <v>744</v>
      </c>
      <c r="D1505" s="144" t="str">
        <f>'Máy thi công'!$B$306</f>
        <v>M9555</v>
      </c>
      <c r="E1505" s="144" t="str">
        <f>" - " &amp; 'Máy thi công'!$D$306</f>
        <v xml:space="preserve"> - Máy trộn bê tông - dung tích: 250 lít</v>
      </c>
      <c r="F1505" s="168" t="str">
        <f>'Máy thi công'!$E$306</f>
        <v>ca</v>
      </c>
      <c r="G1505" s="34">
        <f>'Hao phí vật tư'!$I$1506</f>
        <v>9.5000000000000001E-2</v>
      </c>
      <c r="H1505" s="68">
        <f>'Máy thi công'!$N$306</f>
        <v>288447</v>
      </c>
      <c r="I1505" s="37">
        <v>1</v>
      </c>
      <c r="J1505" s="166">
        <f>ROUND(G1505*H1505*I1505,0)</f>
        <v>27402</v>
      </c>
    </row>
    <row r="1506" spans="1:10" x14ac:dyDescent="0.25">
      <c r="A1506" s="168"/>
      <c r="B1506" s="144"/>
      <c r="C1506" s="34">
        <v>626</v>
      </c>
      <c r="D1506" s="144" t="str">
        <f>'Máy thi công'!$B$398</f>
        <v>M0111</v>
      </c>
      <c r="E1506" s="144" t="str">
        <f>" - " &amp; 'Máy thi công'!$D$398</f>
        <v xml:space="preserve"> - Máy khác</v>
      </c>
      <c r="F1506" s="168" t="str">
        <f>'Máy thi công'!$E$398</f>
        <v>%</v>
      </c>
      <c r="G1506" s="34">
        <f>'Hao phí vật tư'!$I$1507</f>
        <v>5</v>
      </c>
      <c r="H1506" s="166">
        <f>'Máy thi công'!$N$398</f>
        <v>0</v>
      </c>
      <c r="I1506" s="37">
        <v>1</v>
      </c>
      <c r="J1506" s="166">
        <f>ROUND((J1504+J1505)*G1506*I1506/100,0)</f>
        <v>2360</v>
      </c>
    </row>
    <row r="1507" spans="1:10" x14ac:dyDescent="0.25">
      <c r="A1507" s="65">
        <f>'Công trình'!$A$197</f>
        <v>157</v>
      </c>
      <c r="B1507" s="14" t="str">
        <f>'Công trình'!$B$197</f>
        <v>AF.15225</v>
      </c>
      <c r="C1507" s="94"/>
      <c r="D1507" s="31"/>
      <c r="E1507" s="14" t="str">
        <f>'Công trình'!$C$197</f>
        <v>Bê tông dầm cầu đá 1x2, vữa BT mác 300</v>
      </c>
      <c r="F1507" s="46" t="str">
        <f>'Công trình'!$D$197</f>
        <v>m3</v>
      </c>
      <c r="G1507" s="94"/>
      <c r="H1507" s="54"/>
      <c r="I1507" s="98"/>
      <c r="J1507" s="54"/>
    </row>
    <row r="1508" spans="1:10" x14ac:dyDescent="0.25">
      <c r="A1508" s="56"/>
      <c r="B1508" s="23"/>
      <c r="C1508" s="88"/>
      <c r="D1508" s="23"/>
      <c r="E1508" s="23" t="s">
        <v>479</v>
      </c>
      <c r="F1508" s="56"/>
      <c r="G1508" s="88"/>
      <c r="H1508" s="48"/>
      <c r="I1508" s="90"/>
      <c r="J1508" s="48">
        <f>ROUND(SUM(J1509:J1513),0)</f>
        <v>1112205</v>
      </c>
    </row>
    <row r="1509" spans="1:10" x14ac:dyDescent="0.25">
      <c r="A1509" s="168"/>
      <c r="B1509" s="144"/>
      <c r="C1509" s="34">
        <v>397</v>
      </c>
      <c r="D1509" s="144" t="str">
        <f>'Vật liệu'!$B$721</f>
        <v>V00761</v>
      </c>
      <c r="E1509" s="144" t="str">
        <f>" - " &amp; 'Vật liệu'!$D$721</f>
        <v xml:space="preserve"> - Xi măng PC40</v>
      </c>
      <c r="F1509" s="168" t="str">
        <f>'Vật liệu'!$E$721</f>
        <v>kg</v>
      </c>
      <c r="G1509" s="34">
        <f>'Hao phí vật tư'!$G$1510</f>
        <v>383.35</v>
      </c>
      <c r="H1509" s="68">
        <f>'Vật liệu'!$W$721</f>
        <v>1513</v>
      </c>
      <c r="I1509" s="37">
        <v>1</v>
      </c>
      <c r="J1509" s="166">
        <f>ROUND(G1509*H1509*I1509,0)</f>
        <v>580009</v>
      </c>
    </row>
    <row r="1510" spans="1:10" x14ac:dyDescent="0.25">
      <c r="A1510" s="168"/>
      <c r="B1510" s="144"/>
      <c r="C1510" s="34">
        <v>125</v>
      </c>
      <c r="D1510" s="144" t="str">
        <f>'Vật liệu'!$B$54</f>
        <v>V00112</v>
      </c>
      <c r="E1510" s="144" t="str">
        <f>" - " &amp; 'Vật liệu'!$D$54</f>
        <v xml:space="preserve"> - Cát vàng</v>
      </c>
      <c r="F1510" s="168" t="str">
        <f>'Vật liệu'!$E$54</f>
        <v>m3</v>
      </c>
      <c r="G1510" s="34">
        <f>'Hao phí vật tư'!$G$1511</f>
        <v>0.46839999999999998</v>
      </c>
      <c r="H1510" s="68">
        <f>'Vật liệu'!$W$54</f>
        <v>420000</v>
      </c>
      <c r="I1510" s="37">
        <v>1</v>
      </c>
      <c r="J1510" s="166">
        <f>ROUND(G1510*H1510*I1510,0)</f>
        <v>196728</v>
      </c>
    </row>
    <row r="1511" spans="1:10" x14ac:dyDescent="0.25">
      <c r="A1511" s="168"/>
      <c r="B1511" s="144"/>
      <c r="C1511" s="34">
        <v>416</v>
      </c>
      <c r="D1511" s="144" t="str">
        <f>'Vật liệu'!$B$142</f>
        <v>V05207</v>
      </c>
      <c r="E1511" s="144" t="str">
        <f>" - " &amp; 'Vật liệu'!$D$142</f>
        <v xml:space="preserve"> - Đá 1x2</v>
      </c>
      <c r="F1511" s="168" t="str">
        <f>'Vật liệu'!$E$142</f>
        <v>m3</v>
      </c>
      <c r="G1511" s="34">
        <f>'Hao phí vật tư'!$G$1512</f>
        <v>0.89380000000000004</v>
      </c>
      <c r="H1511" s="68">
        <f>'Vật liệu'!$W$142</f>
        <v>360886</v>
      </c>
      <c r="I1511" s="37">
        <v>1</v>
      </c>
      <c r="J1511" s="166">
        <f>ROUND(G1511*H1511*I1511,0)</f>
        <v>322560</v>
      </c>
    </row>
    <row r="1512" spans="1:10" x14ac:dyDescent="0.25">
      <c r="A1512" s="168"/>
      <c r="B1512" s="144"/>
      <c r="C1512" s="34">
        <v>148</v>
      </c>
      <c r="D1512" s="144" t="str">
        <f>'Vật liệu'!$B$353</f>
        <v>V00494</v>
      </c>
      <c r="E1512" s="144" t="str">
        <f>" - " &amp; 'Vật liệu'!$D$353</f>
        <v xml:space="preserve"> - Nước</v>
      </c>
      <c r="F1512" s="168" t="str">
        <f>'Vật liệu'!$E$353</f>
        <v>lít</v>
      </c>
      <c r="G1512" s="34">
        <f>'Hao phí vật tư'!$G$1513</f>
        <v>189.625</v>
      </c>
      <c r="H1512" s="68">
        <f>'Vật liệu'!$W$353</f>
        <v>10</v>
      </c>
      <c r="I1512" s="37">
        <v>1</v>
      </c>
      <c r="J1512" s="166">
        <f>ROUND(G1512*H1512*I1512,0)</f>
        <v>1896</v>
      </c>
    </row>
    <row r="1513" spans="1:10" x14ac:dyDescent="0.25">
      <c r="A1513" s="168"/>
      <c r="B1513" s="144"/>
      <c r="C1513" s="34">
        <v>288</v>
      </c>
      <c r="D1513" s="144" t="str">
        <f>'Vật liệu'!$B$766</f>
        <v>V00750</v>
      </c>
      <c r="E1513" s="144" t="str">
        <f>" - " &amp; 'Vật liệu'!$D$766</f>
        <v xml:space="preserve"> - Vật liệu khác</v>
      </c>
      <c r="F1513" s="168" t="str">
        <f>'Vật liệu'!$E$766</f>
        <v>%</v>
      </c>
      <c r="G1513" s="34">
        <f>'Hao phí vật tư'!$G$1514</f>
        <v>1</v>
      </c>
      <c r="H1513" s="166">
        <f>'Vật liệu'!$W$766</f>
        <v>0</v>
      </c>
      <c r="I1513" s="37">
        <v>1</v>
      </c>
      <c r="J1513" s="166">
        <f>ROUND((J1509+J1510+J1511+J1512)*G1513*I1513/100,0)</f>
        <v>11012</v>
      </c>
    </row>
    <row r="1514" spans="1:10" x14ac:dyDescent="0.25">
      <c r="A1514" s="56"/>
      <c r="B1514" s="23"/>
      <c r="C1514" s="88"/>
      <c r="D1514" s="23"/>
      <c r="E1514" s="23" t="s">
        <v>202</v>
      </c>
      <c r="F1514" s="56"/>
      <c r="G1514" s="88"/>
      <c r="H1514" s="48"/>
      <c r="I1514" s="90"/>
      <c r="J1514" s="48">
        <f>ROUND(SUM(J1515:J1515),0)</f>
        <v>571593</v>
      </c>
    </row>
    <row r="1515" spans="1:10" x14ac:dyDescent="0.25">
      <c r="A1515" s="168"/>
      <c r="B1515" s="144"/>
      <c r="C1515" s="34">
        <v>550</v>
      </c>
      <c r="D1515" s="144" t="str">
        <f>'Nhân công'!$B$130</f>
        <v>N0011</v>
      </c>
      <c r="E1515" s="144" t="s">
        <v>671</v>
      </c>
      <c r="F1515" s="168" t="str">
        <f>'Nhân công'!$G$130</f>
        <v>công</v>
      </c>
      <c r="G1515" s="34">
        <f>'Hao phí vật tư'!$H$1516</f>
        <v>2.48</v>
      </c>
      <c r="H1515" s="68">
        <f>'Nhân công'!$M$130</f>
        <v>230481</v>
      </c>
      <c r="I1515" s="37">
        <v>1</v>
      </c>
      <c r="J1515" s="166">
        <f>ROUND(G1515*H1515*I1515,0)</f>
        <v>571593</v>
      </c>
    </row>
    <row r="1516" spans="1:10" x14ac:dyDescent="0.25">
      <c r="A1516" s="56"/>
      <c r="B1516" s="23"/>
      <c r="C1516" s="88"/>
      <c r="D1516" s="23"/>
      <c r="E1516" s="23" t="s">
        <v>378</v>
      </c>
      <c r="F1516" s="56"/>
      <c r="G1516" s="88"/>
      <c r="H1516" s="48"/>
      <c r="I1516" s="90"/>
      <c r="J1516" s="48">
        <f>ROUND(SUM(J1517:J1521),0)</f>
        <v>305854</v>
      </c>
    </row>
    <row r="1517" spans="1:10" ht="30" x14ac:dyDescent="0.25">
      <c r="A1517" s="168"/>
      <c r="B1517" s="144"/>
      <c r="C1517" s="34">
        <v>757</v>
      </c>
      <c r="D1517" s="144" t="str">
        <f>'Máy thi công'!$B$391</f>
        <v>M9622</v>
      </c>
      <c r="E1517" s="144" t="str">
        <f>" - " &amp; 'Máy thi công'!$D$391</f>
        <v xml:space="preserve"> - Tầu kéo và phục vụ thi công thuỷ (làm neo, cấp dầu,...) - công suất: 150 cv</v>
      </c>
      <c r="F1517" s="168" t="str">
        <f>'Máy thi công'!$E$391</f>
        <v>ca</v>
      </c>
      <c r="G1517" s="34">
        <f>'Hao phí vật tư'!$I$1518</f>
        <v>6.0000000000000001E-3</v>
      </c>
      <c r="H1517" s="68">
        <f>'Máy thi công'!$N$391</f>
        <v>4108162</v>
      </c>
      <c r="I1517" s="37">
        <v>1</v>
      </c>
      <c r="J1517" s="166">
        <f>ROUND(G1517*H1517*I1517,0)</f>
        <v>24649</v>
      </c>
    </row>
    <row r="1518" spans="1:10" x14ac:dyDescent="0.25">
      <c r="A1518" s="168"/>
      <c r="B1518" s="144"/>
      <c r="C1518" s="34">
        <v>754</v>
      </c>
      <c r="D1518" s="144" t="str">
        <f>'Máy thi công'!$B$382</f>
        <v>M9595</v>
      </c>
      <c r="E1518" s="144" t="str">
        <f>" - " &amp; 'Máy thi công'!$D$382</f>
        <v xml:space="preserve"> - Sà lan - trọng tải: 200 t</v>
      </c>
      <c r="F1518" s="168" t="str">
        <f>'Máy thi công'!$E$382</f>
        <v>ca</v>
      </c>
      <c r="G1518" s="34">
        <f>'Hao phí vật tư'!$I$1519</f>
        <v>0.21</v>
      </c>
      <c r="H1518" s="68">
        <f>'Máy thi công'!$N$382</f>
        <v>965014</v>
      </c>
      <c r="I1518" s="37">
        <v>1</v>
      </c>
      <c r="J1518" s="166">
        <f>ROUND(G1518*H1518*I1518,0)</f>
        <v>202653</v>
      </c>
    </row>
    <row r="1519" spans="1:10" x14ac:dyDescent="0.25">
      <c r="A1519" s="168"/>
      <c r="B1519" s="144"/>
      <c r="C1519" s="34">
        <v>744</v>
      </c>
      <c r="D1519" s="144" t="str">
        <f>'Máy thi công'!$B$306</f>
        <v>M9555</v>
      </c>
      <c r="E1519" s="144" t="str">
        <f>" - " &amp; 'Máy thi công'!$D$306</f>
        <v xml:space="preserve"> - Máy trộn bê tông - dung tích: 250 lít</v>
      </c>
      <c r="F1519" s="168" t="str">
        <f>'Máy thi công'!$E$306</f>
        <v>ca</v>
      </c>
      <c r="G1519" s="34">
        <f>'Hao phí vật tư'!$I$1520</f>
        <v>9.5000000000000001E-2</v>
      </c>
      <c r="H1519" s="68">
        <f>'Máy thi công'!$N$306</f>
        <v>288447</v>
      </c>
      <c r="I1519" s="37">
        <v>1</v>
      </c>
      <c r="J1519" s="166">
        <f>ROUND(G1519*H1519*I1519,0)</f>
        <v>27402</v>
      </c>
    </row>
    <row r="1520" spans="1:10" x14ac:dyDescent="0.25">
      <c r="A1520" s="168"/>
      <c r="B1520" s="144"/>
      <c r="C1520" s="34">
        <v>750</v>
      </c>
      <c r="D1520" s="144" t="str">
        <f>'Máy thi công'!$B$232</f>
        <v>M9571</v>
      </c>
      <c r="E1520" s="144" t="str">
        <f>" - " &amp; 'Máy thi công'!$D$232</f>
        <v xml:space="preserve"> - Máy đầm bê tông, dầm dùi - công suất: 1,5 kW</v>
      </c>
      <c r="F1520" s="168" t="str">
        <f>'Máy thi công'!$E$232</f>
        <v>ca</v>
      </c>
      <c r="G1520" s="34">
        <f>'Hao phí vật tư'!$I$1521</f>
        <v>0.2</v>
      </c>
      <c r="H1520" s="68">
        <f>'Máy thi công'!$N$232</f>
        <v>225765</v>
      </c>
      <c r="I1520" s="37">
        <v>1</v>
      </c>
      <c r="J1520" s="166">
        <f>ROUND(G1520*H1520*I1520,0)</f>
        <v>45153</v>
      </c>
    </row>
    <row r="1521" spans="1:10" x14ac:dyDescent="0.25">
      <c r="A1521" s="168"/>
      <c r="B1521" s="144"/>
      <c r="C1521" s="34">
        <v>627</v>
      </c>
      <c r="D1521" s="144" t="str">
        <f>'Máy thi công'!$B$398</f>
        <v>M0111</v>
      </c>
      <c r="E1521" s="144" t="str">
        <f>" - " &amp; 'Máy thi công'!$D$398</f>
        <v xml:space="preserve"> - Máy khác</v>
      </c>
      <c r="F1521" s="168" t="str">
        <f>'Máy thi công'!$E$398</f>
        <v>%</v>
      </c>
      <c r="G1521" s="34">
        <f>'Hao phí vật tư'!$I$1522</f>
        <v>2</v>
      </c>
      <c r="H1521" s="166">
        <f>'Máy thi công'!$N$398</f>
        <v>0</v>
      </c>
      <c r="I1521" s="37">
        <v>1</v>
      </c>
      <c r="J1521" s="166">
        <f>ROUND((J1517+J1518+J1519+J1520)*G1521*I1521/100,0)</f>
        <v>5997</v>
      </c>
    </row>
    <row r="1522" spans="1:10" x14ac:dyDescent="0.25">
      <c r="A1522" s="65">
        <f>'Công trình'!$A$198</f>
        <v>158</v>
      </c>
      <c r="B1522" s="14" t="str">
        <f>'Công trình'!$B$198</f>
        <v>TT</v>
      </c>
      <c r="C1522" s="94"/>
      <c r="D1522" s="31"/>
      <c r="E1522" s="14" t="str">
        <f>'Công trình'!$C$198</f>
        <v>Vữa xi măng dày 7cm, vữa XM mác 400</v>
      </c>
      <c r="F1522" s="46" t="str">
        <f>'Công trình'!$D$198</f>
        <v>m2</v>
      </c>
      <c r="G1522" s="94"/>
      <c r="H1522" s="54"/>
      <c r="I1522" s="98"/>
      <c r="J1522" s="54"/>
    </row>
    <row r="1523" spans="1:10" x14ac:dyDescent="0.25">
      <c r="A1523" s="56"/>
      <c r="B1523" s="23"/>
      <c r="C1523" s="88"/>
      <c r="D1523" s="23"/>
      <c r="E1523" s="23" t="s">
        <v>479</v>
      </c>
      <c r="F1523" s="56"/>
      <c r="G1523" s="88"/>
      <c r="H1523" s="48"/>
      <c r="I1523" s="90"/>
      <c r="J1523" s="48">
        <f>ROUND(SUM(J1524:J1528),0)</f>
        <v>141159</v>
      </c>
    </row>
    <row r="1524" spans="1:10" x14ac:dyDescent="0.25">
      <c r="A1524" s="168"/>
      <c r="B1524" s="144"/>
      <c r="C1524" s="34">
        <v>442</v>
      </c>
      <c r="D1524" s="144" t="str">
        <f>'Vật liệu'!$B$763</f>
        <v>V08770</v>
      </c>
      <c r="E1524" s="144" t="str">
        <f>" - " &amp; 'Vật liệu'!$D$763</f>
        <v xml:space="preserve"> - Xi măng PCB40</v>
      </c>
      <c r="F1524" s="168" t="str">
        <f>'Vật liệu'!$E$763</f>
        <v>kg</v>
      </c>
      <c r="G1524" s="34">
        <f>'Hao phí vật tư'!$G$1525</f>
        <v>35.21</v>
      </c>
      <c r="H1524" s="68">
        <f>'Vật liệu'!$W$763</f>
        <v>1513</v>
      </c>
      <c r="I1524" s="37">
        <v>1</v>
      </c>
      <c r="J1524" s="166">
        <f>ROUND(G1524*H1524*I1524,0)</f>
        <v>53273</v>
      </c>
    </row>
    <row r="1525" spans="1:10" x14ac:dyDescent="0.25">
      <c r="A1525" s="168"/>
      <c r="B1525" s="144"/>
      <c r="C1525" s="34">
        <v>125</v>
      </c>
      <c r="D1525" s="144" t="str">
        <f>'Vật liệu'!$B$54</f>
        <v>V00112</v>
      </c>
      <c r="E1525" s="144" t="str">
        <f>" - " &amp; 'Vật liệu'!$D$54</f>
        <v xml:space="preserve"> - Cát vàng</v>
      </c>
      <c r="F1525" s="168" t="str">
        <f>'Vật liệu'!$E$54</f>
        <v>m3</v>
      </c>
      <c r="G1525" s="34">
        <f>'Hao phí vật tư'!$G$1526</f>
        <v>7.7700000000000005E-2</v>
      </c>
      <c r="H1525" s="68">
        <f>'Vật liệu'!$W$54</f>
        <v>420000</v>
      </c>
      <c r="I1525" s="37">
        <v>1</v>
      </c>
      <c r="J1525" s="166">
        <f>ROUND(G1525*H1525*I1525,0)</f>
        <v>32634</v>
      </c>
    </row>
    <row r="1526" spans="1:10" x14ac:dyDescent="0.25">
      <c r="A1526" s="168"/>
      <c r="B1526" s="144"/>
      <c r="C1526" s="34">
        <v>446</v>
      </c>
      <c r="D1526" s="144" t="str">
        <f>'Vật liệu'!$B$177</f>
        <v>V11034</v>
      </c>
      <c r="E1526" s="144" t="str">
        <f>" - " &amp; 'Vật liệu'!$D$177</f>
        <v xml:space="preserve"> - Đá dăm 0,5x1</v>
      </c>
      <c r="F1526" s="168" t="str">
        <f>'Vật liệu'!$E$177</f>
        <v>m3</v>
      </c>
      <c r="G1526" s="34">
        <f>'Hao phí vật tư'!$G$1527</f>
        <v>0</v>
      </c>
      <c r="H1526" s="68">
        <f>'Vật liệu'!$W$177</f>
        <v>240000</v>
      </c>
      <c r="I1526" s="37">
        <v>1</v>
      </c>
      <c r="J1526" s="166">
        <f>ROUND(G1526*H1526*I1526,0)</f>
        <v>0</v>
      </c>
    </row>
    <row r="1527" spans="1:10" x14ac:dyDescent="0.25">
      <c r="A1527" s="168"/>
      <c r="B1527" s="144"/>
      <c r="C1527" s="34">
        <v>148</v>
      </c>
      <c r="D1527" s="144" t="str">
        <f>'Vật liệu'!$B$353</f>
        <v>V00494</v>
      </c>
      <c r="E1527" s="144" t="str">
        <f>" - " &amp; 'Vật liệu'!$D$353</f>
        <v xml:space="preserve"> - Nước</v>
      </c>
      <c r="F1527" s="168" t="str">
        <f>'Vật liệu'!$E$353</f>
        <v>lít</v>
      </c>
      <c r="G1527" s="34">
        <f>'Hao phí vật tư'!$G$1528</f>
        <v>14.07</v>
      </c>
      <c r="H1527" s="68">
        <f>'Vật liệu'!$W$353</f>
        <v>10</v>
      </c>
      <c r="I1527" s="37">
        <v>1</v>
      </c>
      <c r="J1527" s="166">
        <f>ROUND(G1527*H1527*I1527,0)</f>
        <v>141</v>
      </c>
    </row>
    <row r="1528" spans="1:10" x14ac:dyDescent="0.25">
      <c r="A1528" s="168"/>
      <c r="B1528" s="144"/>
      <c r="C1528" s="34">
        <v>152</v>
      </c>
      <c r="D1528" s="144" t="str">
        <f>'Vật liệu'!$B$448</f>
        <v>V00511</v>
      </c>
      <c r="E1528" s="144" t="str">
        <f>" - " &amp; 'Vật liệu'!$D$448</f>
        <v xml:space="preserve"> - Phụ gia siêu dẻo bê tông PC40</v>
      </c>
      <c r="F1528" s="168" t="str">
        <f>'Vật liệu'!$E$448</f>
        <v>kg</v>
      </c>
      <c r="G1528" s="34">
        <f>'Hao phí vật tư'!$G$1529</f>
        <v>3.5209999999999999</v>
      </c>
      <c r="H1528" s="68">
        <f>'Vật liệu'!$W$448</f>
        <v>15652</v>
      </c>
      <c r="I1528" s="37">
        <v>1</v>
      </c>
      <c r="J1528" s="166">
        <f>ROUND(G1528*H1528*I1528,0)</f>
        <v>55111</v>
      </c>
    </row>
    <row r="1529" spans="1:10" x14ac:dyDescent="0.25">
      <c r="A1529" s="56"/>
      <c r="B1529" s="23"/>
      <c r="C1529" s="88"/>
      <c r="D1529" s="23"/>
      <c r="E1529" s="23" t="s">
        <v>202</v>
      </c>
      <c r="F1529" s="56"/>
      <c r="G1529" s="88"/>
      <c r="H1529" s="48"/>
      <c r="I1529" s="90"/>
      <c r="J1529" s="48">
        <f>ROUND(SUM(J1530:J1530),0)</f>
        <v>56929</v>
      </c>
    </row>
    <row r="1530" spans="1:10" x14ac:dyDescent="0.25">
      <c r="A1530" s="168"/>
      <c r="B1530" s="144"/>
      <c r="C1530" s="34">
        <v>550</v>
      </c>
      <c r="D1530" s="144" t="str">
        <f>'Nhân công'!$B$130</f>
        <v>N0011</v>
      </c>
      <c r="E1530" s="144" t="s">
        <v>671</v>
      </c>
      <c r="F1530" s="168" t="str">
        <f>'Nhân công'!$G$130</f>
        <v>công</v>
      </c>
      <c r="G1530" s="34">
        <f>'Hao phí vật tư'!$H$1531</f>
        <v>0.247</v>
      </c>
      <c r="H1530" s="68">
        <f>'Nhân công'!$M$130</f>
        <v>230481</v>
      </c>
      <c r="I1530" s="37">
        <v>1</v>
      </c>
      <c r="J1530" s="166">
        <f>ROUND(G1530*H1530*I1530,0)</f>
        <v>56929</v>
      </c>
    </row>
    <row r="1531" spans="1:10" x14ac:dyDescent="0.25">
      <c r="A1531" s="56"/>
      <c r="B1531" s="23"/>
      <c r="C1531" s="88"/>
      <c r="D1531" s="23"/>
      <c r="E1531" s="23" t="s">
        <v>378</v>
      </c>
      <c r="F1531" s="56"/>
      <c r="G1531" s="88"/>
      <c r="H1531" s="48"/>
      <c r="I1531" s="90"/>
      <c r="J1531" s="48">
        <f>ROUND(SUM(J1532:J1532),0)</f>
        <v>2097</v>
      </c>
    </row>
    <row r="1532" spans="1:10" x14ac:dyDescent="0.25">
      <c r="A1532" s="168"/>
      <c r="B1532" s="144"/>
      <c r="C1532" s="34">
        <v>745</v>
      </c>
      <c r="D1532" s="144" t="str">
        <f>'Máy thi công'!$B$341</f>
        <v>M9558</v>
      </c>
      <c r="E1532" s="144" t="str">
        <f>" - " &amp; 'Máy thi công'!$D$341</f>
        <v xml:space="preserve"> - Máy trộn vữa - dung tích: 80 lít</v>
      </c>
      <c r="F1532" s="168" t="str">
        <f>'Máy thi công'!$E$341</f>
        <v>ca</v>
      </c>
      <c r="G1532" s="34">
        <f>'Hao phí vật tư'!$I$1533</f>
        <v>8.9999999999999993E-3</v>
      </c>
      <c r="H1532" s="68">
        <f>'Máy thi công'!$N$341</f>
        <v>232983</v>
      </c>
      <c r="I1532" s="37">
        <v>1</v>
      </c>
      <c r="J1532" s="166">
        <f>ROUND(G1532*H1532*I1532,0)</f>
        <v>2097</v>
      </c>
    </row>
    <row r="1533" spans="1:10" x14ac:dyDescent="0.25">
      <c r="A1533" s="65">
        <f>'Công trình'!$A$199</f>
        <v>159</v>
      </c>
      <c r="B1533" s="14" t="str">
        <f>'Công trình'!$B$199</f>
        <v>TT</v>
      </c>
      <c r="C1533" s="94"/>
      <c r="D1533" s="31"/>
      <c r="E1533" s="14" t="str">
        <f>'Công trình'!$C$199</f>
        <v>Lớp phòng nước dày 4mm</v>
      </c>
      <c r="F1533" s="46" t="str">
        <f>'Công trình'!$D$199</f>
        <v>m2</v>
      </c>
      <c r="G1533" s="94"/>
      <c r="H1533" s="54"/>
      <c r="I1533" s="98"/>
      <c r="J1533" s="54"/>
    </row>
    <row r="1534" spans="1:10" x14ac:dyDescent="0.25">
      <c r="A1534" s="56"/>
      <c r="B1534" s="23"/>
      <c r="C1534" s="88"/>
      <c r="D1534" s="23"/>
      <c r="E1534" s="23" t="s">
        <v>479</v>
      </c>
      <c r="F1534" s="56"/>
      <c r="G1534" s="88"/>
      <c r="H1534" s="48"/>
      <c r="I1534" s="90"/>
      <c r="J1534" s="48">
        <f>ROUND(SUM(J1535:J1535),0)</f>
        <v>75000</v>
      </c>
    </row>
    <row r="1535" spans="1:10" x14ac:dyDescent="0.25">
      <c r="A1535" s="168"/>
      <c r="B1535" s="144"/>
      <c r="C1535" s="34">
        <v>540</v>
      </c>
      <c r="D1535" s="144" t="str">
        <f>'Vật liệu'!$B$335</f>
        <v>pn</v>
      </c>
      <c r="E1535" s="144" t="str">
        <f>" - " &amp; 'Vật liệu'!$D$335</f>
        <v xml:space="preserve"> - Lớp phòng nước dày 4mm</v>
      </c>
      <c r="F1535" s="168" t="str">
        <f>'Vật liệu'!$E$335</f>
        <v>m2</v>
      </c>
      <c r="G1535" s="34">
        <f>'Hao phí vật tư'!$G$1536</f>
        <v>1</v>
      </c>
      <c r="H1535" s="68">
        <f>'Vật liệu'!$W$335</f>
        <v>75000</v>
      </c>
      <c r="I1535" s="37">
        <v>1</v>
      </c>
      <c r="J1535" s="166">
        <f>ROUND(G1535*H1535*I1535,0)</f>
        <v>75000</v>
      </c>
    </row>
    <row r="1536" spans="1:10" ht="28.5" x14ac:dyDescent="0.25">
      <c r="A1536" s="65">
        <f>'Công trình'!$A$200</f>
        <v>160</v>
      </c>
      <c r="B1536" s="14" t="str">
        <f>'Công trình'!$B$200</f>
        <v>AF.82111</v>
      </c>
      <c r="C1536" s="94"/>
      <c r="D1536" s="31"/>
      <c r="E1536" s="14" t="str">
        <f>'Công trình'!$C$200</f>
        <v>Sản xuất, lắp dựng tháo dỡ ván khuôn thép, cây chống gỗ dầm ngang, chiều cao &lt;=16m</v>
      </c>
      <c r="F1536" s="46" t="str">
        <f>'Công trình'!$D$200</f>
        <v>100m2</v>
      </c>
      <c r="G1536" s="94"/>
      <c r="H1536" s="54"/>
      <c r="I1536" s="98"/>
      <c r="J1536" s="54"/>
    </row>
    <row r="1537" spans="1:10" x14ac:dyDescent="0.25">
      <c r="A1537" s="56"/>
      <c r="B1537" s="23"/>
      <c r="C1537" s="88"/>
      <c r="D1537" s="23"/>
      <c r="E1537" s="23" t="s">
        <v>479</v>
      </c>
      <c r="F1537" s="56"/>
      <c r="G1537" s="88"/>
      <c r="H1537" s="48"/>
      <c r="I1537" s="90"/>
      <c r="J1537" s="48">
        <f>ROUND(SUM(J1538:J1542),0)</f>
        <v>3284877</v>
      </c>
    </row>
    <row r="1538" spans="1:10" x14ac:dyDescent="0.25">
      <c r="A1538" s="168"/>
      <c r="B1538" s="144"/>
      <c r="C1538" s="34">
        <v>154</v>
      </c>
      <c r="D1538" s="144" t="str">
        <f>'Vật liệu'!$B$450</f>
        <v>V00515</v>
      </c>
      <c r="E1538" s="144" t="str">
        <f>" - " &amp; 'Vật liệu'!$D$450</f>
        <v xml:space="preserve"> - Que hàn</v>
      </c>
      <c r="F1538" s="168" t="str">
        <f>'Vật liệu'!$E$450</f>
        <v>kg</v>
      </c>
      <c r="G1538" s="34">
        <f>'Hao phí vật tư'!$G$1539</f>
        <v>5.6</v>
      </c>
      <c r="H1538" s="68">
        <f>'Vật liệu'!$W$450</f>
        <v>19091</v>
      </c>
      <c r="I1538" s="37">
        <v>1</v>
      </c>
      <c r="J1538" s="166">
        <f>ROUND(G1538*H1538*I1538,0)</f>
        <v>106910</v>
      </c>
    </row>
    <row r="1539" spans="1:10" x14ac:dyDescent="0.25">
      <c r="A1539" s="168"/>
      <c r="B1539" s="144"/>
      <c r="C1539" s="34">
        <v>140</v>
      </c>
      <c r="D1539" s="144" t="str">
        <f>'Vật liệu'!$B$294</f>
        <v>V00390</v>
      </c>
      <c r="E1539" s="144" t="str">
        <f>" - " &amp; 'Vật liệu'!$D$294</f>
        <v xml:space="preserve"> - Gỗ chống</v>
      </c>
      <c r="F1539" s="168" t="str">
        <f>'Vật liệu'!$E$294</f>
        <v>m3</v>
      </c>
      <c r="G1539" s="34">
        <f>'Hao phí vật tư'!$G$1540</f>
        <v>0.496</v>
      </c>
      <c r="H1539" s="68">
        <f>'Vật liệu'!$W$294</f>
        <v>3272727</v>
      </c>
      <c r="I1539" s="37">
        <v>1</v>
      </c>
      <c r="J1539" s="166">
        <f>ROUND(G1539*H1539*I1539,0)</f>
        <v>1623273</v>
      </c>
    </row>
    <row r="1540" spans="1:10" x14ac:dyDescent="0.25">
      <c r="A1540" s="168"/>
      <c r="B1540" s="144"/>
      <c r="C1540" s="34">
        <v>166</v>
      </c>
      <c r="D1540" s="144" t="str">
        <f>'Vật liệu'!$B$606</f>
        <v>V00671</v>
      </c>
      <c r="E1540" s="144" t="str">
        <f>" - " &amp; 'Vật liệu'!$D$606</f>
        <v xml:space="preserve"> - Thép tấm</v>
      </c>
      <c r="F1540" s="168" t="str">
        <f>'Vật liệu'!$E$606</f>
        <v>kg</v>
      </c>
      <c r="G1540" s="34">
        <f>'Hao phí vật tư'!$G$1541</f>
        <v>51.81</v>
      </c>
      <c r="H1540" s="68">
        <f>'Vật liệu'!$W$606</f>
        <v>12574</v>
      </c>
      <c r="I1540" s="37">
        <v>1</v>
      </c>
      <c r="J1540" s="166">
        <f>ROUND(G1540*H1540*I1540,0)</f>
        <v>651459</v>
      </c>
    </row>
    <row r="1541" spans="1:10" x14ac:dyDescent="0.25">
      <c r="A1541" s="168"/>
      <c r="B1541" s="144"/>
      <c r="C1541" s="34">
        <v>160</v>
      </c>
      <c r="D1541" s="144" t="str">
        <f>'Vật liệu'!$B$556</f>
        <v>V00641</v>
      </c>
      <c r="E1541" s="144" t="str">
        <f>" - " &amp; 'Vật liệu'!$D$556</f>
        <v xml:space="preserve"> - Thép hình</v>
      </c>
      <c r="F1541" s="168" t="str">
        <f>'Vật liệu'!$E$556</f>
        <v>kg</v>
      </c>
      <c r="G1541" s="34">
        <f>'Hao phí vật tư'!$G$1542</f>
        <v>48.84</v>
      </c>
      <c r="H1541" s="68">
        <f>'Vật liệu'!$W$556</f>
        <v>15291</v>
      </c>
      <c r="I1541" s="37">
        <v>1</v>
      </c>
      <c r="J1541" s="166">
        <f>ROUND(G1541*H1541*I1541,0)</f>
        <v>746812</v>
      </c>
    </row>
    <row r="1542" spans="1:10" x14ac:dyDescent="0.25">
      <c r="A1542" s="168"/>
      <c r="B1542" s="144"/>
      <c r="C1542" s="34">
        <v>289</v>
      </c>
      <c r="D1542" s="144" t="str">
        <f>'Vật liệu'!$B$766</f>
        <v>V00750</v>
      </c>
      <c r="E1542" s="144" t="str">
        <f>" - " &amp; 'Vật liệu'!$D$766</f>
        <v xml:space="preserve"> - Vật liệu khác</v>
      </c>
      <c r="F1542" s="168" t="str">
        <f>'Vật liệu'!$E$766</f>
        <v>%</v>
      </c>
      <c r="G1542" s="34">
        <f>'Hao phí vật tư'!$G$1543</f>
        <v>5</v>
      </c>
      <c r="H1542" s="166">
        <f>'Vật liệu'!$W$766</f>
        <v>0</v>
      </c>
      <c r="I1542" s="37">
        <v>1</v>
      </c>
      <c r="J1542" s="166">
        <f>ROUND((J1538+J1539+J1540+J1541)*G1542*I1542/100,0)</f>
        <v>156423</v>
      </c>
    </row>
    <row r="1543" spans="1:10" x14ac:dyDescent="0.25">
      <c r="A1543" s="56"/>
      <c r="B1543" s="23"/>
      <c r="C1543" s="88"/>
      <c r="D1543" s="23"/>
      <c r="E1543" s="23" t="s">
        <v>202</v>
      </c>
      <c r="F1543" s="56"/>
      <c r="G1543" s="88"/>
      <c r="H1543" s="48"/>
      <c r="I1543" s="90"/>
      <c r="J1543" s="48">
        <f>ROUND(SUM(J1544:J1544),0)</f>
        <v>8822813</v>
      </c>
    </row>
    <row r="1544" spans="1:10" x14ac:dyDescent="0.25">
      <c r="A1544" s="168"/>
      <c r="B1544" s="144"/>
      <c r="C1544" s="34">
        <v>550</v>
      </c>
      <c r="D1544" s="144" t="str">
        <f>'Nhân công'!$B$130</f>
        <v>N0011</v>
      </c>
      <c r="E1544" s="144" t="s">
        <v>671</v>
      </c>
      <c r="F1544" s="168" t="str">
        <f>'Nhân công'!$G$130</f>
        <v>công</v>
      </c>
      <c r="G1544" s="34">
        <f>'Hao phí vật tư'!$H$1545</f>
        <v>38.28</v>
      </c>
      <c r="H1544" s="68">
        <f>'Nhân công'!$M$130</f>
        <v>230481</v>
      </c>
      <c r="I1544" s="37">
        <v>1</v>
      </c>
      <c r="J1544" s="166">
        <f>ROUND(G1544*H1544*I1544,0)</f>
        <v>8822813</v>
      </c>
    </row>
    <row r="1545" spans="1:10" x14ac:dyDescent="0.25">
      <c r="A1545" s="56"/>
      <c r="B1545" s="23"/>
      <c r="C1545" s="88"/>
      <c r="D1545" s="23"/>
      <c r="E1545" s="23" t="s">
        <v>378</v>
      </c>
      <c r="F1545" s="56"/>
      <c r="G1545" s="88"/>
      <c r="H1545" s="48"/>
      <c r="I1545" s="90"/>
      <c r="J1545" s="48">
        <f>ROUND(SUM(J1546:J1548),0)</f>
        <v>517171</v>
      </c>
    </row>
    <row r="1546" spans="1:10" x14ac:dyDescent="0.25">
      <c r="A1546" s="168"/>
      <c r="B1546" s="144"/>
      <c r="C1546" s="34">
        <v>746</v>
      </c>
      <c r="D1546" s="144" t="str">
        <f>'Máy thi công'!$B$358</f>
        <v>M9560</v>
      </c>
      <c r="E1546" s="144" t="str">
        <f>" - " &amp; 'Máy thi công'!$D$358</f>
        <v xml:space="preserve"> - Máy vận thăng - sức nâng: 0,8 t - H nâng 80 m</v>
      </c>
      <c r="F1546" s="168" t="str">
        <f>'Máy thi công'!$E$358</f>
        <v>ca</v>
      </c>
      <c r="G1546" s="34">
        <f>'Hao phí vật tư'!$I$1547</f>
        <v>0</v>
      </c>
      <c r="H1546" s="68">
        <f>'Máy thi công'!$N$358</f>
        <v>378219</v>
      </c>
      <c r="I1546" s="37">
        <v>1</v>
      </c>
      <c r="J1546" s="166">
        <f>ROUND(G1546*H1546*I1546,0)</f>
        <v>0</v>
      </c>
    </row>
    <row r="1547" spans="1:10" x14ac:dyDescent="0.25">
      <c r="A1547" s="168"/>
      <c r="B1547" s="144"/>
      <c r="C1547" s="34">
        <v>714</v>
      </c>
      <c r="D1547" s="144" t="str">
        <f>'Máy thi công'!$B$6</f>
        <v>M9438</v>
      </c>
      <c r="E1547" s="144" t="str">
        <f>" - " &amp; 'Máy thi công'!$D$6</f>
        <v xml:space="preserve"> - Biến thế hàn xoay chiều - công suất: 23 kW</v>
      </c>
      <c r="F1547" s="168" t="str">
        <f>'Máy thi công'!$E$6</f>
        <v>ca</v>
      </c>
      <c r="G1547" s="34">
        <f>'Hao phí vật tư'!$I$1548</f>
        <v>1.5</v>
      </c>
      <c r="H1547" s="68">
        <f>'Máy thi công'!$N$6</f>
        <v>338020</v>
      </c>
      <c r="I1547" s="37">
        <v>1</v>
      </c>
      <c r="J1547" s="166">
        <f>ROUND(G1547*H1547*I1547,0)</f>
        <v>507030</v>
      </c>
    </row>
    <row r="1548" spans="1:10" x14ac:dyDescent="0.25">
      <c r="A1548" s="168"/>
      <c r="B1548" s="144"/>
      <c r="C1548" s="34">
        <v>628</v>
      </c>
      <c r="D1548" s="144" t="str">
        <f>'Máy thi công'!$B$398</f>
        <v>M0111</v>
      </c>
      <c r="E1548" s="144" t="str">
        <f>" - " &amp; 'Máy thi công'!$D$398</f>
        <v xml:space="preserve"> - Máy khác</v>
      </c>
      <c r="F1548" s="168" t="str">
        <f>'Máy thi công'!$E$398</f>
        <v>%</v>
      </c>
      <c r="G1548" s="34">
        <f>'Hao phí vật tư'!$I$1549</f>
        <v>2</v>
      </c>
      <c r="H1548" s="166">
        <f>'Máy thi công'!$N$398</f>
        <v>0</v>
      </c>
      <c r="I1548" s="37">
        <v>1</v>
      </c>
      <c r="J1548" s="166">
        <f>ROUND((J1546+J1547)*G1548*I1548/100,0)</f>
        <v>10141</v>
      </c>
    </row>
    <row r="1549" spans="1:10" ht="28.5" x14ac:dyDescent="0.25">
      <c r="A1549" s="65">
        <f>'Công trình'!$A$201</f>
        <v>161</v>
      </c>
      <c r="B1549" s="14" t="str">
        <f>'Công trình'!$B$201</f>
        <v>AF.82311</v>
      </c>
      <c r="C1549" s="94"/>
      <c r="D1549" s="31"/>
      <c r="E1549" s="14" t="str">
        <f>'Công trình'!$C$201</f>
        <v>Sản xuất, lắp dựng tháo dỡ ván khuôn thép, cây chống gỗ mặt cầu, chiều cao &lt;=16m</v>
      </c>
      <c r="F1549" s="46" t="str">
        <f>'Công trình'!$D$201</f>
        <v>100m2</v>
      </c>
      <c r="G1549" s="94"/>
      <c r="H1549" s="54"/>
      <c r="I1549" s="98"/>
      <c r="J1549" s="54"/>
    </row>
    <row r="1550" spans="1:10" x14ac:dyDescent="0.25">
      <c r="A1550" s="56"/>
      <c r="B1550" s="23"/>
      <c r="C1550" s="88"/>
      <c r="D1550" s="23"/>
      <c r="E1550" s="23" t="s">
        <v>479</v>
      </c>
      <c r="F1550" s="56"/>
      <c r="G1550" s="88"/>
      <c r="H1550" s="48"/>
      <c r="I1550" s="90"/>
      <c r="J1550" s="48">
        <f>ROUND(SUM(J1551:J1555),0)</f>
        <v>3743235</v>
      </c>
    </row>
    <row r="1551" spans="1:10" x14ac:dyDescent="0.25">
      <c r="A1551" s="168"/>
      <c r="B1551" s="144"/>
      <c r="C1551" s="34">
        <v>154</v>
      </c>
      <c r="D1551" s="144" t="str">
        <f>'Vật liệu'!$B$450</f>
        <v>V00515</v>
      </c>
      <c r="E1551" s="144" t="str">
        <f>" - " &amp; 'Vật liệu'!$D$450</f>
        <v xml:space="preserve"> - Que hàn</v>
      </c>
      <c r="F1551" s="168" t="str">
        <f>'Vật liệu'!$E$450</f>
        <v>kg</v>
      </c>
      <c r="G1551" s="34">
        <f>'Hao phí vật tư'!$G$1552</f>
        <v>5.5</v>
      </c>
      <c r="H1551" s="68">
        <f>'Vật liệu'!$W$450</f>
        <v>19091</v>
      </c>
      <c r="I1551" s="37">
        <v>1</v>
      </c>
      <c r="J1551" s="166">
        <f>ROUND(G1551*H1551*I1551,0)</f>
        <v>105001</v>
      </c>
    </row>
    <row r="1552" spans="1:10" x14ac:dyDescent="0.25">
      <c r="A1552" s="168"/>
      <c r="B1552" s="144"/>
      <c r="C1552" s="34">
        <v>140</v>
      </c>
      <c r="D1552" s="144" t="str">
        <f>'Vật liệu'!$B$294</f>
        <v>V00390</v>
      </c>
      <c r="E1552" s="144" t="str">
        <f>" - " &amp; 'Vật liệu'!$D$294</f>
        <v xml:space="preserve"> - Gỗ chống</v>
      </c>
      <c r="F1552" s="168" t="str">
        <f>'Vật liệu'!$E$294</f>
        <v>m3</v>
      </c>
      <c r="G1552" s="34">
        <f>'Hao phí vật tư'!$G$1553</f>
        <v>0.66800000000000004</v>
      </c>
      <c r="H1552" s="68">
        <f>'Vật liệu'!$W$294</f>
        <v>3272727</v>
      </c>
      <c r="I1552" s="37">
        <v>1</v>
      </c>
      <c r="J1552" s="166">
        <f>ROUND(G1552*H1552*I1552,0)</f>
        <v>2186182</v>
      </c>
    </row>
    <row r="1553" spans="1:10" x14ac:dyDescent="0.25">
      <c r="A1553" s="168"/>
      <c r="B1553" s="144"/>
      <c r="C1553" s="34">
        <v>166</v>
      </c>
      <c r="D1553" s="144" t="str">
        <f>'Vật liệu'!$B$606</f>
        <v>V00671</v>
      </c>
      <c r="E1553" s="144" t="str">
        <f>" - " &amp; 'Vật liệu'!$D$606</f>
        <v xml:space="preserve"> - Thép tấm</v>
      </c>
      <c r="F1553" s="168" t="str">
        <f>'Vật liệu'!$E$606</f>
        <v>kg</v>
      </c>
      <c r="G1553" s="34">
        <f>'Hao phí vật tư'!$G$1554</f>
        <v>51.81</v>
      </c>
      <c r="H1553" s="68">
        <f>'Vật liệu'!$W$606</f>
        <v>12574</v>
      </c>
      <c r="I1553" s="37">
        <v>1</v>
      </c>
      <c r="J1553" s="166">
        <f>ROUND(G1553*H1553*I1553,0)</f>
        <v>651459</v>
      </c>
    </row>
    <row r="1554" spans="1:10" x14ac:dyDescent="0.25">
      <c r="A1554" s="168"/>
      <c r="B1554" s="144"/>
      <c r="C1554" s="34">
        <v>160</v>
      </c>
      <c r="D1554" s="144" t="str">
        <f>'Vật liệu'!$B$556</f>
        <v>V00641</v>
      </c>
      <c r="E1554" s="144" t="str">
        <f>" - " &amp; 'Vật liệu'!$D$556</f>
        <v xml:space="preserve"> - Thép hình</v>
      </c>
      <c r="F1554" s="168" t="str">
        <f>'Vật liệu'!$E$556</f>
        <v>kg</v>
      </c>
      <c r="G1554" s="34">
        <f>'Hao phí vật tư'!$G$1555</f>
        <v>40.700000000000003</v>
      </c>
      <c r="H1554" s="68">
        <f>'Vật liệu'!$W$556</f>
        <v>15291</v>
      </c>
      <c r="I1554" s="37">
        <v>1</v>
      </c>
      <c r="J1554" s="166">
        <f>ROUND(G1554*H1554*I1554,0)</f>
        <v>622344</v>
      </c>
    </row>
    <row r="1555" spans="1:10" x14ac:dyDescent="0.25">
      <c r="A1555" s="168"/>
      <c r="B1555" s="144"/>
      <c r="C1555" s="34">
        <v>374</v>
      </c>
      <c r="D1555" s="144" t="str">
        <f>'Vật liệu'!$B$766</f>
        <v>V00750</v>
      </c>
      <c r="E1555" s="144" t="str">
        <f>" - " &amp; 'Vật liệu'!$D$766</f>
        <v xml:space="preserve"> - Vật liệu khác</v>
      </c>
      <c r="F1555" s="168" t="str">
        <f>'Vật liệu'!$E$766</f>
        <v>%</v>
      </c>
      <c r="G1555" s="34">
        <f>'Hao phí vật tư'!$G$1556</f>
        <v>5</v>
      </c>
      <c r="H1555" s="166">
        <f>'Vật liệu'!$W$766</f>
        <v>0</v>
      </c>
      <c r="I1555" s="37">
        <v>1</v>
      </c>
      <c r="J1555" s="166">
        <f>ROUND((J1551+J1552+J1553+J1554)*G1555*I1555/100,0)</f>
        <v>178249</v>
      </c>
    </row>
    <row r="1556" spans="1:10" x14ac:dyDescent="0.25">
      <c r="A1556" s="56"/>
      <c r="B1556" s="23"/>
      <c r="C1556" s="88"/>
      <c r="D1556" s="23"/>
      <c r="E1556" s="23" t="s">
        <v>202</v>
      </c>
      <c r="F1556" s="56"/>
      <c r="G1556" s="88"/>
      <c r="H1556" s="48"/>
      <c r="I1556" s="90"/>
      <c r="J1556" s="48">
        <f>ROUND(SUM(J1557:J1557),0)</f>
        <v>7490633</v>
      </c>
    </row>
    <row r="1557" spans="1:10" x14ac:dyDescent="0.25">
      <c r="A1557" s="168"/>
      <c r="B1557" s="144"/>
      <c r="C1557" s="34">
        <v>550</v>
      </c>
      <c r="D1557" s="144" t="str">
        <f>'Nhân công'!$B$130</f>
        <v>N0011</v>
      </c>
      <c r="E1557" s="144" t="s">
        <v>671</v>
      </c>
      <c r="F1557" s="168" t="str">
        <f>'Nhân công'!$G$130</f>
        <v>công</v>
      </c>
      <c r="G1557" s="34">
        <f>'Hao phí vật tư'!$H$1558</f>
        <v>32.5</v>
      </c>
      <c r="H1557" s="68">
        <f>'Nhân công'!$M$130</f>
        <v>230481</v>
      </c>
      <c r="I1557" s="37">
        <v>1</v>
      </c>
      <c r="J1557" s="166">
        <f>ROUND(G1557*H1557*I1557,0)</f>
        <v>7490633</v>
      </c>
    </row>
    <row r="1558" spans="1:10" x14ac:dyDescent="0.25">
      <c r="A1558" s="56"/>
      <c r="B1558" s="23"/>
      <c r="C1558" s="88"/>
      <c r="D1558" s="23"/>
      <c r="E1558" s="23" t="s">
        <v>378</v>
      </c>
      <c r="F1558" s="56"/>
      <c r="G1558" s="88"/>
      <c r="H1558" s="48"/>
      <c r="I1558" s="90"/>
      <c r="J1558" s="48">
        <f>ROUND(SUM(J1559:J1561),0)</f>
        <v>517171</v>
      </c>
    </row>
    <row r="1559" spans="1:10" x14ac:dyDescent="0.25">
      <c r="A1559" s="168"/>
      <c r="B1559" s="144"/>
      <c r="C1559" s="34">
        <v>746</v>
      </c>
      <c r="D1559" s="144" t="str">
        <f>'Máy thi công'!$B$358</f>
        <v>M9560</v>
      </c>
      <c r="E1559" s="144" t="str">
        <f>" - " &amp; 'Máy thi công'!$D$358</f>
        <v xml:space="preserve"> - Máy vận thăng - sức nâng: 0,8 t - H nâng 80 m</v>
      </c>
      <c r="F1559" s="168" t="str">
        <f>'Máy thi công'!$E$358</f>
        <v>ca</v>
      </c>
      <c r="G1559" s="34">
        <f>'Hao phí vật tư'!$I$1560</f>
        <v>0</v>
      </c>
      <c r="H1559" s="68">
        <f>'Máy thi công'!$N$358</f>
        <v>378219</v>
      </c>
      <c r="I1559" s="37">
        <v>1</v>
      </c>
      <c r="J1559" s="166">
        <f>ROUND(G1559*H1559*I1559,0)</f>
        <v>0</v>
      </c>
    </row>
    <row r="1560" spans="1:10" x14ac:dyDescent="0.25">
      <c r="A1560" s="168"/>
      <c r="B1560" s="144"/>
      <c r="C1560" s="34">
        <v>714</v>
      </c>
      <c r="D1560" s="144" t="str">
        <f>'Máy thi công'!$B$6</f>
        <v>M9438</v>
      </c>
      <c r="E1560" s="144" t="str">
        <f>" - " &amp; 'Máy thi công'!$D$6</f>
        <v xml:space="preserve"> - Biến thế hàn xoay chiều - công suất: 23 kW</v>
      </c>
      <c r="F1560" s="168" t="str">
        <f>'Máy thi công'!$E$6</f>
        <v>ca</v>
      </c>
      <c r="G1560" s="34">
        <f>'Hao phí vật tư'!$I$1561</f>
        <v>1.5</v>
      </c>
      <c r="H1560" s="68">
        <f>'Máy thi công'!$N$6</f>
        <v>338020</v>
      </c>
      <c r="I1560" s="37">
        <v>1</v>
      </c>
      <c r="J1560" s="166">
        <f>ROUND(G1560*H1560*I1560,0)</f>
        <v>507030</v>
      </c>
    </row>
    <row r="1561" spans="1:10" x14ac:dyDescent="0.25">
      <c r="A1561" s="168"/>
      <c r="B1561" s="144"/>
      <c r="C1561" s="34">
        <v>678</v>
      </c>
      <c r="D1561" s="144" t="str">
        <f>'Máy thi công'!$B$398</f>
        <v>M0111</v>
      </c>
      <c r="E1561" s="144" t="str">
        <f>" - " &amp; 'Máy thi công'!$D$398</f>
        <v xml:space="preserve"> - Máy khác</v>
      </c>
      <c r="F1561" s="168" t="str">
        <f>'Máy thi công'!$E$398</f>
        <v>%</v>
      </c>
      <c r="G1561" s="34">
        <f>'Hao phí vật tư'!$I$1562</f>
        <v>2</v>
      </c>
      <c r="H1561" s="166">
        <f>'Máy thi công'!$N$398</f>
        <v>0</v>
      </c>
      <c r="I1561" s="37">
        <v>1</v>
      </c>
      <c r="J1561" s="166">
        <f>ROUND((J1559+J1560)*G1561*I1561/100,0)</f>
        <v>10141</v>
      </c>
    </row>
    <row r="1562" spans="1:10" ht="28.5" x14ac:dyDescent="0.25">
      <c r="A1562" s="65">
        <f>'Công trình'!$A$202</f>
        <v>162</v>
      </c>
      <c r="B1562" s="14" t="str">
        <f>'Công trình'!$B$202</f>
        <v>AF.61711</v>
      </c>
      <c r="C1562" s="94"/>
      <c r="D1562" s="31"/>
      <c r="E1562" s="14" t="str">
        <f>'Công trình'!$C$202</f>
        <v>Sản xuất, lắp dựng cốt thép mặt cầu đường kính &lt;=10mm, chiều cao &lt;=16m</v>
      </c>
      <c r="F1562" s="46" t="str">
        <f>'Công trình'!$D$202</f>
        <v>tấn</v>
      </c>
      <c r="G1562" s="94"/>
      <c r="H1562" s="54"/>
      <c r="I1562" s="98"/>
      <c r="J1562" s="54"/>
    </row>
    <row r="1563" spans="1:10" x14ac:dyDescent="0.25">
      <c r="A1563" s="56"/>
      <c r="B1563" s="23"/>
      <c r="C1563" s="88"/>
      <c r="D1563" s="23"/>
      <c r="E1563" s="23" t="s">
        <v>479</v>
      </c>
      <c r="F1563" s="56"/>
      <c r="G1563" s="88"/>
      <c r="H1563" s="48"/>
      <c r="I1563" s="90"/>
      <c r="J1563" s="48">
        <f>ROUND(SUM(J1564:J1565),0)</f>
        <v>14603640</v>
      </c>
    </row>
    <row r="1564" spans="1:10" x14ac:dyDescent="0.25">
      <c r="A1564" s="168"/>
      <c r="B1564" s="144"/>
      <c r="C1564" s="34">
        <v>135</v>
      </c>
      <c r="D1564" s="144" t="str">
        <f>'Vật liệu'!$B$221</f>
        <v>V00226</v>
      </c>
      <c r="E1564" s="144" t="str">
        <f>" - " &amp; 'Vật liệu'!$D$221</f>
        <v xml:space="preserve"> - Dây thép</v>
      </c>
      <c r="F1564" s="168" t="str">
        <f>'Vật liệu'!$E$221</f>
        <v>kg</v>
      </c>
      <c r="G1564" s="34">
        <f>'Hao phí vật tư'!$G$1565</f>
        <v>21.42</v>
      </c>
      <c r="H1564" s="68">
        <f>'Vật liệu'!$W$221</f>
        <v>17500</v>
      </c>
      <c r="I1564" s="37">
        <v>1</v>
      </c>
      <c r="J1564" s="166">
        <f>ROUND(G1564*H1564*I1564,0)</f>
        <v>374850</v>
      </c>
    </row>
    <row r="1565" spans="1:10" x14ac:dyDescent="0.25">
      <c r="A1565" s="168"/>
      <c r="B1565" s="144"/>
      <c r="C1565" s="34">
        <v>484</v>
      </c>
      <c r="D1565" s="144" t="str">
        <f>'Vật liệu'!$B$650</f>
        <v>V48494</v>
      </c>
      <c r="E1565" s="144" t="str">
        <f>" - " &amp; 'Vật liệu'!$D$650</f>
        <v xml:space="preserve"> - Thép tròn đường kính &lt;=10 mm</v>
      </c>
      <c r="F1565" s="168" t="str">
        <f>'Vật liệu'!$E$650</f>
        <v>kg</v>
      </c>
      <c r="G1565" s="34">
        <f>'Hao phí vật tư'!$G$1566</f>
        <v>1005</v>
      </c>
      <c r="H1565" s="68">
        <f>'Vật liệu'!$W$650</f>
        <v>14158</v>
      </c>
      <c r="I1565" s="37">
        <v>1</v>
      </c>
      <c r="J1565" s="166">
        <f>ROUND(G1565*H1565*I1565,0)</f>
        <v>14228790</v>
      </c>
    </row>
    <row r="1566" spans="1:10" x14ac:dyDescent="0.25">
      <c r="A1566" s="56"/>
      <c r="B1566" s="23"/>
      <c r="C1566" s="88"/>
      <c r="D1566" s="23"/>
      <c r="E1566" s="23" t="s">
        <v>202</v>
      </c>
      <c r="F1566" s="56"/>
      <c r="G1566" s="88"/>
      <c r="H1566" s="48"/>
      <c r="I1566" s="90"/>
      <c r="J1566" s="48">
        <f>ROUND(SUM(J1567:J1567),0)</f>
        <v>3114083</v>
      </c>
    </row>
    <row r="1567" spans="1:10" x14ac:dyDescent="0.25">
      <c r="A1567" s="168"/>
      <c r="B1567" s="144"/>
      <c r="C1567" s="34">
        <v>546</v>
      </c>
      <c r="D1567" s="144" t="str">
        <f>'Nhân công'!$B$45</f>
        <v>N0009</v>
      </c>
      <c r="E1567" s="144" t="s">
        <v>1052</v>
      </c>
      <c r="F1567" s="168" t="str">
        <f>'Nhân công'!$G$45</f>
        <v>công</v>
      </c>
      <c r="G1567" s="34">
        <f>'Hao phí vật tư'!$H$1568</f>
        <v>14.63</v>
      </c>
      <c r="H1567" s="68">
        <f>'Nhân công'!$M$45</f>
        <v>212856</v>
      </c>
      <c r="I1567" s="37">
        <v>1</v>
      </c>
      <c r="J1567" s="166">
        <f>ROUND(G1567*H1567*I1567,0)</f>
        <v>3114083</v>
      </c>
    </row>
    <row r="1568" spans="1:10" x14ac:dyDescent="0.25">
      <c r="A1568" s="56"/>
      <c r="B1568" s="23"/>
      <c r="C1568" s="88"/>
      <c r="D1568" s="23"/>
      <c r="E1568" s="23" t="s">
        <v>378</v>
      </c>
      <c r="F1568" s="56"/>
      <c r="G1568" s="88"/>
      <c r="H1568" s="48"/>
      <c r="I1568" s="90"/>
      <c r="J1568" s="48">
        <f>ROUND(SUM(J1569:J1570),0)</f>
        <v>93042</v>
      </c>
    </row>
    <row r="1569" spans="1:10" x14ac:dyDescent="0.25">
      <c r="A1569" s="168"/>
      <c r="B1569" s="144"/>
      <c r="C1569" s="34">
        <v>737</v>
      </c>
      <c r="D1569" s="144" t="str">
        <f>'Máy thi công'!$B$184</f>
        <v>M9521</v>
      </c>
      <c r="E1569" s="144" t="str">
        <f>" - " &amp; 'Máy thi công'!$D$184</f>
        <v xml:space="preserve"> - Máy cắt uốn cốt thép - công suất: 5 kW</v>
      </c>
      <c r="F1569" s="168" t="str">
        <f>'Máy thi công'!$E$184</f>
        <v>ca</v>
      </c>
      <c r="G1569" s="34">
        <f>'Hao phí vật tư'!$I$1570</f>
        <v>0.4</v>
      </c>
      <c r="H1569" s="68">
        <f>'Máy thi công'!$N$184</f>
        <v>228044</v>
      </c>
      <c r="I1569" s="37">
        <v>1</v>
      </c>
      <c r="J1569" s="166">
        <f>ROUND(G1569*H1569*I1569,0)</f>
        <v>91218</v>
      </c>
    </row>
    <row r="1570" spans="1:10" x14ac:dyDescent="0.25">
      <c r="A1570" s="168"/>
      <c r="B1570" s="144"/>
      <c r="C1570" s="34">
        <v>629</v>
      </c>
      <c r="D1570" s="144" t="str">
        <f>'Máy thi công'!$B$398</f>
        <v>M0111</v>
      </c>
      <c r="E1570" s="144" t="str">
        <f>" - " &amp; 'Máy thi công'!$D$398</f>
        <v xml:space="preserve"> - Máy khác</v>
      </c>
      <c r="F1570" s="168" t="str">
        <f>'Máy thi công'!$E$398</f>
        <v>%</v>
      </c>
      <c r="G1570" s="34">
        <f>'Hao phí vật tư'!$I$1571</f>
        <v>2</v>
      </c>
      <c r="H1570" s="166">
        <f>'Máy thi công'!$N$398</f>
        <v>0</v>
      </c>
      <c r="I1570" s="37">
        <v>1</v>
      </c>
      <c r="J1570" s="166">
        <f>ROUND((J1569)*G1570*I1570/100,0)</f>
        <v>1824</v>
      </c>
    </row>
    <row r="1571" spans="1:10" ht="28.5" x14ac:dyDescent="0.25">
      <c r="A1571" s="65">
        <f>'Công trình'!$A$204</f>
        <v>163</v>
      </c>
      <c r="B1571" s="14" t="str">
        <f>'Công trình'!$B$204</f>
        <v>AF.61721</v>
      </c>
      <c r="C1571" s="94"/>
      <c r="D1571" s="31"/>
      <c r="E1571" s="14" t="str">
        <f>'Công trình'!$C$204</f>
        <v>Sản xuất, lắp dựng cốt thép mặt cầu đường kính &gt;10mm, chiều cao &lt;=16m</v>
      </c>
      <c r="F1571" s="46" t="str">
        <f>'Công trình'!$D$204</f>
        <v>tấn</v>
      </c>
      <c r="G1571" s="94"/>
      <c r="H1571" s="54"/>
      <c r="I1571" s="98"/>
      <c r="J1571" s="54"/>
    </row>
    <row r="1572" spans="1:10" x14ac:dyDescent="0.25">
      <c r="A1572" s="56"/>
      <c r="B1572" s="23"/>
      <c r="C1572" s="88"/>
      <c r="D1572" s="23"/>
      <c r="E1572" s="23" t="s">
        <v>479</v>
      </c>
      <c r="F1572" s="56"/>
      <c r="G1572" s="88"/>
      <c r="H1572" s="48"/>
      <c r="I1572" s="90"/>
      <c r="J1572" s="48">
        <f>ROUND(SUM(J1573:J1575),0)</f>
        <v>14677203</v>
      </c>
    </row>
    <row r="1573" spans="1:10" x14ac:dyDescent="0.25">
      <c r="A1573" s="168"/>
      <c r="B1573" s="144"/>
      <c r="C1573" s="34">
        <v>154</v>
      </c>
      <c r="D1573" s="144" t="str">
        <f>'Vật liệu'!$B$450</f>
        <v>V00515</v>
      </c>
      <c r="E1573" s="144" t="str">
        <f>" - " &amp; 'Vật liệu'!$D$450</f>
        <v xml:space="preserve"> - Que hàn</v>
      </c>
      <c r="F1573" s="168" t="str">
        <f>'Vật liệu'!$E$450</f>
        <v>kg</v>
      </c>
      <c r="G1573" s="34">
        <f>'Hao phí vật tư'!$G$1574</f>
        <v>4.617</v>
      </c>
      <c r="H1573" s="68">
        <f>'Vật liệu'!$W$450</f>
        <v>19091</v>
      </c>
      <c r="I1573" s="37">
        <v>1</v>
      </c>
      <c r="J1573" s="166">
        <f>ROUND(G1573*H1573*I1573,0)</f>
        <v>88143</v>
      </c>
    </row>
    <row r="1574" spans="1:10" x14ac:dyDescent="0.25">
      <c r="A1574" s="168"/>
      <c r="B1574" s="144"/>
      <c r="C1574" s="34">
        <v>135</v>
      </c>
      <c r="D1574" s="144" t="str">
        <f>'Vật liệu'!$B$221</f>
        <v>V00226</v>
      </c>
      <c r="E1574" s="144" t="str">
        <f>" - " &amp; 'Vật liệu'!$D$221</f>
        <v xml:space="preserve"> - Dây thép</v>
      </c>
      <c r="F1574" s="168" t="str">
        <f>'Vật liệu'!$E$221</f>
        <v>kg</v>
      </c>
      <c r="G1574" s="34">
        <f>'Hao phí vật tư'!$G$1575</f>
        <v>14.28</v>
      </c>
      <c r="H1574" s="68">
        <f>'Vật liệu'!$W$221</f>
        <v>17500</v>
      </c>
      <c r="I1574" s="37">
        <v>1</v>
      </c>
      <c r="J1574" s="166">
        <f>ROUND(G1574*H1574*I1574,0)</f>
        <v>249900</v>
      </c>
    </row>
    <row r="1575" spans="1:10" x14ac:dyDescent="0.25">
      <c r="A1575" s="168"/>
      <c r="B1575" s="144"/>
      <c r="C1575" s="34">
        <v>486</v>
      </c>
      <c r="D1575" s="144" t="str">
        <f>'Vật liệu'!$B$682</f>
        <v>V48496</v>
      </c>
      <c r="E1575" s="144" t="str">
        <f>" - " &amp; 'Vật liệu'!$D$682</f>
        <v xml:space="preserve"> - Thép tròn đường kính &gt; 10 mm</v>
      </c>
      <c r="F1575" s="168" t="str">
        <f>'Vật liệu'!$E$682</f>
        <v>kg</v>
      </c>
      <c r="G1575" s="34">
        <f>'Hao phí vật tư'!$G$1576</f>
        <v>1020</v>
      </c>
      <c r="H1575" s="68">
        <f>'Vật liệu'!$W$682</f>
        <v>14058</v>
      </c>
      <c r="I1575" s="37">
        <v>1</v>
      </c>
      <c r="J1575" s="166">
        <f>ROUND(G1575*H1575*I1575,0)</f>
        <v>14339160</v>
      </c>
    </row>
    <row r="1576" spans="1:10" x14ac:dyDescent="0.25">
      <c r="A1576" s="56"/>
      <c r="B1576" s="23"/>
      <c r="C1576" s="88"/>
      <c r="D1576" s="23"/>
      <c r="E1576" s="23" t="s">
        <v>202</v>
      </c>
      <c r="F1576" s="56"/>
      <c r="G1576" s="88"/>
      <c r="H1576" s="48"/>
      <c r="I1576" s="90"/>
      <c r="J1576" s="48">
        <f>ROUND(SUM(J1577:J1577),0)</f>
        <v>2322259</v>
      </c>
    </row>
    <row r="1577" spans="1:10" x14ac:dyDescent="0.25">
      <c r="A1577" s="168"/>
      <c r="B1577" s="144"/>
      <c r="C1577" s="34">
        <v>546</v>
      </c>
      <c r="D1577" s="144" t="str">
        <f>'Nhân công'!$B$45</f>
        <v>N0009</v>
      </c>
      <c r="E1577" s="144" t="s">
        <v>1052</v>
      </c>
      <c r="F1577" s="168" t="str">
        <f>'Nhân công'!$G$45</f>
        <v>công</v>
      </c>
      <c r="G1577" s="34">
        <f>'Hao phí vật tư'!$H$1578</f>
        <v>10.91</v>
      </c>
      <c r="H1577" s="68">
        <f>'Nhân công'!$M$45</f>
        <v>212856</v>
      </c>
      <c r="I1577" s="37">
        <v>1</v>
      </c>
      <c r="J1577" s="166">
        <f>ROUND(G1577*H1577*I1577,0)</f>
        <v>2322259</v>
      </c>
    </row>
    <row r="1578" spans="1:10" x14ac:dyDescent="0.25">
      <c r="A1578" s="56"/>
      <c r="B1578" s="23"/>
      <c r="C1578" s="88"/>
      <c r="D1578" s="23"/>
      <c r="E1578" s="23" t="s">
        <v>378</v>
      </c>
      <c r="F1578" s="56"/>
      <c r="G1578" s="88"/>
      <c r="H1578" s="48"/>
      <c r="I1578" s="90"/>
      <c r="J1578" s="48">
        <f>ROUND(SUM(J1579:J1582),0)</f>
        <v>461621</v>
      </c>
    </row>
    <row r="1579" spans="1:10" x14ac:dyDescent="0.25">
      <c r="A1579" s="168"/>
      <c r="B1579" s="144"/>
      <c r="C1579" s="34">
        <v>746</v>
      </c>
      <c r="D1579" s="144" t="str">
        <f>'Máy thi công'!$B$358</f>
        <v>M9560</v>
      </c>
      <c r="E1579" s="144" t="str">
        <f>" - " &amp; 'Máy thi công'!$D$358</f>
        <v xml:space="preserve"> - Máy vận thăng - sức nâng: 0,8 t - H nâng 80 m</v>
      </c>
      <c r="F1579" s="168" t="str">
        <f>'Máy thi công'!$E$358</f>
        <v>ca</v>
      </c>
      <c r="G1579" s="34">
        <f>'Hao phí vật tư'!$I$1580</f>
        <v>0</v>
      </c>
      <c r="H1579" s="68">
        <f>'Máy thi công'!$N$358</f>
        <v>378219</v>
      </c>
      <c r="I1579" s="37">
        <v>1</v>
      </c>
      <c r="J1579" s="166">
        <f>ROUND(G1579*H1579*I1579,0)</f>
        <v>0</v>
      </c>
    </row>
    <row r="1580" spans="1:10" x14ac:dyDescent="0.25">
      <c r="A1580" s="168"/>
      <c r="B1580" s="144"/>
      <c r="C1580" s="34">
        <v>714</v>
      </c>
      <c r="D1580" s="144" t="str">
        <f>'Máy thi công'!$B$6</f>
        <v>M9438</v>
      </c>
      <c r="E1580" s="144" t="str">
        <f>" - " &amp; 'Máy thi công'!$D$6</f>
        <v xml:space="preserve"> - Biến thế hàn xoay chiều - công suất: 23 kW</v>
      </c>
      <c r="F1580" s="168" t="str">
        <f>'Máy thi công'!$E$6</f>
        <v>ca</v>
      </c>
      <c r="G1580" s="34">
        <f>'Hao phí vật tư'!$I$1581</f>
        <v>1.123</v>
      </c>
      <c r="H1580" s="68">
        <f>'Máy thi công'!$N$6</f>
        <v>338020</v>
      </c>
      <c r="I1580" s="37">
        <v>1</v>
      </c>
      <c r="J1580" s="166">
        <f>ROUND(G1580*H1580*I1580,0)</f>
        <v>379596</v>
      </c>
    </row>
    <row r="1581" spans="1:10" x14ac:dyDescent="0.25">
      <c r="A1581" s="168"/>
      <c r="B1581" s="144"/>
      <c r="C1581" s="34">
        <v>737</v>
      </c>
      <c r="D1581" s="144" t="str">
        <f>'Máy thi công'!$B$184</f>
        <v>M9521</v>
      </c>
      <c r="E1581" s="144" t="str">
        <f>" - " &amp; 'Máy thi công'!$D$184</f>
        <v xml:space="preserve"> - Máy cắt uốn cốt thép - công suất: 5 kW</v>
      </c>
      <c r="F1581" s="168" t="str">
        <f>'Máy thi công'!$E$184</f>
        <v>ca</v>
      </c>
      <c r="G1581" s="34">
        <f>'Hao phí vật tư'!$I$1582</f>
        <v>0.32</v>
      </c>
      <c r="H1581" s="68">
        <f>'Máy thi công'!$N$184</f>
        <v>228044</v>
      </c>
      <c r="I1581" s="37">
        <v>1</v>
      </c>
      <c r="J1581" s="166">
        <f>ROUND(G1581*H1581*I1581,0)</f>
        <v>72974</v>
      </c>
    </row>
    <row r="1582" spans="1:10" x14ac:dyDescent="0.25">
      <c r="A1582" s="168"/>
      <c r="B1582" s="144"/>
      <c r="C1582" s="34">
        <v>630</v>
      </c>
      <c r="D1582" s="144" t="str">
        <f>'Máy thi công'!$B$398</f>
        <v>M0111</v>
      </c>
      <c r="E1582" s="144" t="str">
        <f>" - " &amp; 'Máy thi công'!$D$398</f>
        <v xml:space="preserve"> - Máy khác</v>
      </c>
      <c r="F1582" s="168" t="str">
        <f>'Máy thi công'!$E$398</f>
        <v>%</v>
      </c>
      <c r="G1582" s="34">
        <f>'Hao phí vật tư'!$I$1583</f>
        <v>2</v>
      </c>
      <c r="H1582" s="166">
        <f>'Máy thi công'!$N$398</f>
        <v>0</v>
      </c>
      <c r="I1582" s="37">
        <v>1</v>
      </c>
      <c r="J1582" s="166">
        <f>ROUND((J1579+J1580+J1581)*G1582*I1582/100,0)</f>
        <v>9051</v>
      </c>
    </row>
    <row r="1583" spans="1:10" ht="28.5" x14ac:dyDescent="0.25">
      <c r="A1583" s="65">
        <f>'Công trình'!$A$206</f>
        <v>164</v>
      </c>
      <c r="B1583" s="14" t="str">
        <f>'Công trình'!$B$206</f>
        <v>AF.65410</v>
      </c>
      <c r="C1583" s="94"/>
      <c r="D1583" s="31"/>
      <c r="E1583" s="14" t="str">
        <f>'Công trình'!$C$206</f>
        <v>Công tác sản xuất lắp dựng cốt thép bê tông tại chỗ, cốt thép dầm cầu trên cạn, D ≤10mm</v>
      </c>
      <c r="F1583" s="46" t="str">
        <f>'Công trình'!$D$206</f>
        <v>tấn</v>
      </c>
      <c r="G1583" s="94"/>
      <c r="H1583" s="54"/>
      <c r="I1583" s="98"/>
      <c r="J1583" s="54"/>
    </row>
    <row r="1584" spans="1:10" x14ac:dyDescent="0.25">
      <c r="A1584" s="56"/>
      <c r="B1584" s="23"/>
      <c r="C1584" s="88"/>
      <c r="D1584" s="23"/>
      <c r="E1584" s="23" t="s">
        <v>479</v>
      </c>
      <c r="F1584" s="56"/>
      <c r="G1584" s="88"/>
      <c r="H1584" s="48"/>
      <c r="I1584" s="90"/>
      <c r="J1584" s="48">
        <f>ROUND(SUM(J1585:J1586),0)</f>
        <v>14603640</v>
      </c>
    </row>
    <row r="1585" spans="1:10" x14ac:dyDescent="0.25">
      <c r="A1585" s="168"/>
      <c r="B1585" s="144"/>
      <c r="C1585" s="34">
        <v>135</v>
      </c>
      <c r="D1585" s="144" t="str">
        <f>'Vật liệu'!$B$221</f>
        <v>V00226</v>
      </c>
      <c r="E1585" s="144" t="str">
        <f>" - " &amp; 'Vật liệu'!$D$221</f>
        <v xml:space="preserve"> - Dây thép</v>
      </c>
      <c r="F1585" s="168" t="str">
        <f>'Vật liệu'!$E$221</f>
        <v>kg</v>
      </c>
      <c r="G1585" s="34">
        <f>'Hao phí vật tư'!$G$1586</f>
        <v>21.42</v>
      </c>
      <c r="H1585" s="68">
        <f>'Vật liệu'!$W$221</f>
        <v>17500</v>
      </c>
      <c r="I1585" s="37">
        <v>1</v>
      </c>
      <c r="J1585" s="166">
        <f>ROUND(G1585*H1585*I1585,0)</f>
        <v>374850</v>
      </c>
    </row>
    <row r="1586" spans="1:10" x14ac:dyDescent="0.25">
      <c r="A1586" s="168"/>
      <c r="B1586" s="144"/>
      <c r="C1586" s="34">
        <v>484</v>
      </c>
      <c r="D1586" s="144" t="str">
        <f>'Vật liệu'!$B$650</f>
        <v>V48494</v>
      </c>
      <c r="E1586" s="144" t="str">
        <f>" - " &amp; 'Vật liệu'!$D$650</f>
        <v xml:space="preserve"> - Thép tròn đường kính &lt;=10 mm</v>
      </c>
      <c r="F1586" s="168" t="str">
        <f>'Vật liệu'!$E$650</f>
        <v>kg</v>
      </c>
      <c r="G1586" s="34">
        <f>'Hao phí vật tư'!$G$1587</f>
        <v>1005</v>
      </c>
      <c r="H1586" s="68">
        <f>'Vật liệu'!$W$650</f>
        <v>14158</v>
      </c>
      <c r="I1586" s="37">
        <v>1</v>
      </c>
      <c r="J1586" s="166">
        <f>ROUND(G1586*H1586*I1586,0)</f>
        <v>14228790</v>
      </c>
    </row>
    <row r="1587" spans="1:10" x14ac:dyDescent="0.25">
      <c r="A1587" s="56"/>
      <c r="B1587" s="23"/>
      <c r="C1587" s="88"/>
      <c r="D1587" s="23"/>
      <c r="E1587" s="23" t="s">
        <v>202</v>
      </c>
      <c r="F1587" s="56"/>
      <c r="G1587" s="88"/>
      <c r="H1587" s="48"/>
      <c r="I1587" s="90"/>
      <c r="J1587" s="48">
        <f>ROUND(SUM(J1588:J1588),0)</f>
        <v>4644192</v>
      </c>
    </row>
    <row r="1588" spans="1:10" x14ac:dyDescent="0.25">
      <c r="A1588" s="168"/>
      <c r="B1588" s="144"/>
      <c r="C1588" s="34">
        <v>550</v>
      </c>
      <c r="D1588" s="144" t="str">
        <f>'Nhân công'!$B$130</f>
        <v>N0011</v>
      </c>
      <c r="E1588" s="144" t="s">
        <v>671</v>
      </c>
      <c r="F1588" s="168" t="str">
        <f>'Nhân công'!$G$130</f>
        <v>công</v>
      </c>
      <c r="G1588" s="34">
        <f>'Hao phí vật tư'!$H$1589</f>
        <v>20.149999999999999</v>
      </c>
      <c r="H1588" s="68">
        <f>'Nhân công'!$M$130</f>
        <v>230481</v>
      </c>
      <c r="I1588" s="37">
        <v>1</v>
      </c>
      <c r="J1588" s="166">
        <f>ROUND(G1588*H1588*I1588,0)</f>
        <v>4644192</v>
      </c>
    </row>
    <row r="1589" spans="1:10" x14ac:dyDescent="0.25">
      <c r="A1589" s="56"/>
      <c r="B1589" s="23"/>
      <c r="C1589" s="88"/>
      <c r="D1589" s="23"/>
      <c r="E1589" s="23" t="s">
        <v>378</v>
      </c>
      <c r="F1589" s="56"/>
      <c r="G1589" s="88"/>
      <c r="H1589" s="48"/>
      <c r="I1589" s="90"/>
      <c r="J1589" s="48">
        <f>ROUND(SUM(J1590:J1591),0)</f>
        <v>441595</v>
      </c>
    </row>
    <row r="1590" spans="1:10" x14ac:dyDescent="0.25">
      <c r="A1590" s="168"/>
      <c r="B1590" s="144"/>
      <c r="C1590" s="34">
        <v>734</v>
      </c>
      <c r="D1590" s="144" t="str">
        <f>'Máy thi công'!$B$154</f>
        <v>M9479</v>
      </c>
      <c r="E1590" s="144" t="str">
        <f>" - " &amp; 'Máy thi công'!$D$154</f>
        <v xml:space="preserve"> - Cần trục ô tô - sức nâng: 16 t</v>
      </c>
      <c r="F1590" s="168" t="str">
        <f>'Máy thi công'!$E$154</f>
        <v>ca</v>
      </c>
      <c r="G1590" s="34">
        <f>'Hao phí vật tư'!$I$1591</f>
        <v>0.14399999999999999</v>
      </c>
      <c r="H1590" s="68">
        <f>'Máy thi công'!$N$154</f>
        <v>2433173</v>
      </c>
      <c r="I1590" s="37">
        <v>1</v>
      </c>
      <c r="J1590" s="166">
        <f>ROUND(G1590*H1590*I1590,0)</f>
        <v>350377</v>
      </c>
    </row>
    <row r="1591" spans="1:10" x14ac:dyDescent="0.25">
      <c r="A1591" s="168"/>
      <c r="B1591" s="144"/>
      <c r="C1591" s="34">
        <v>737</v>
      </c>
      <c r="D1591" s="144" t="str">
        <f>'Máy thi công'!$B$184</f>
        <v>M9521</v>
      </c>
      <c r="E1591" s="144" t="str">
        <f>" - " &amp; 'Máy thi công'!$D$184</f>
        <v xml:space="preserve"> - Máy cắt uốn cốt thép - công suất: 5 kW</v>
      </c>
      <c r="F1591" s="168" t="str">
        <f>'Máy thi công'!$E$184</f>
        <v>ca</v>
      </c>
      <c r="G1591" s="34">
        <f>'Hao phí vật tư'!$I$1592</f>
        <v>0.4</v>
      </c>
      <c r="H1591" s="68">
        <f>'Máy thi công'!$N$184</f>
        <v>228044</v>
      </c>
      <c r="I1591" s="37">
        <v>1</v>
      </c>
      <c r="J1591" s="166">
        <f>ROUND(G1591*H1591*I1591,0)</f>
        <v>91218</v>
      </c>
    </row>
    <row r="1592" spans="1:10" ht="28.5" x14ac:dyDescent="0.25">
      <c r="A1592" s="65">
        <f>'Công trình'!$A$208</f>
        <v>165</v>
      </c>
      <c r="B1592" s="14" t="str">
        <f>'Công trình'!$B$208</f>
        <v>AF.65420</v>
      </c>
      <c r="C1592" s="94"/>
      <c r="D1592" s="31"/>
      <c r="E1592" s="14" t="str">
        <f>'Công trình'!$C$208</f>
        <v>Công tác sản xuất lắp dựng cốt thép bê tông tại chỗ, cốt thép dầm cầu trên cạn, D ≤18mm</v>
      </c>
      <c r="F1592" s="46" t="str">
        <f>'Công trình'!$D$208</f>
        <v>tấn</v>
      </c>
      <c r="G1592" s="94"/>
      <c r="H1592" s="54"/>
      <c r="I1592" s="98"/>
      <c r="J1592" s="54"/>
    </row>
    <row r="1593" spans="1:10" x14ac:dyDescent="0.25">
      <c r="A1593" s="56"/>
      <c r="B1593" s="23"/>
      <c r="C1593" s="88"/>
      <c r="D1593" s="23"/>
      <c r="E1593" s="23" t="s">
        <v>479</v>
      </c>
      <c r="F1593" s="56"/>
      <c r="G1593" s="88"/>
      <c r="H1593" s="48"/>
      <c r="I1593" s="90"/>
      <c r="J1593" s="48">
        <f>ROUND(SUM(J1594:J1596),0)</f>
        <v>14713152</v>
      </c>
    </row>
    <row r="1594" spans="1:10" x14ac:dyDescent="0.25">
      <c r="A1594" s="168"/>
      <c r="B1594" s="144"/>
      <c r="C1594" s="34">
        <v>154</v>
      </c>
      <c r="D1594" s="144" t="str">
        <f>'Vật liệu'!$B$450</f>
        <v>V00515</v>
      </c>
      <c r="E1594" s="144" t="str">
        <f>" - " &amp; 'Vật liệu'!$D$450</f>
        <v xml:space="preserve"> - Que hàn</v>
      </c>
      <c r="F1594" s="168" t="str">
        <f>'Vật liệu'!$E$450</f>
        <v>kg</v>
      </c>
      <c r="G1594" s="34">
        <f>'Hao phí vật tư'!$G$1595</f>
        <v>6.5</v>
      </c>
      <c r="H1594" s="68">
        <f>'Vật liệu'!$W$450</f>
        <v>19091</v>
      </c>
      <c r="I1594" s="37">
        <v>1</v>
      </c>
      <c r="J1594" s="166">
        <f>ROUND(G1594*H1594*I1594,0)</f>
        <v>124092</v>
      </c>
    </row>
    <row r="1595" spans="1:10" x14ac:dyDescent="0.25">
      <c r="A1595" s="168"/>
      <c r="B1595" s="144"/>
      <c r="C1595" s="34">
        <v>135</v>
      </c>
      <c r="D1595" s="144" t="str">
        <f>'Vật liệu'!$B$221</f>
        <v>V00226</v>
      </c>
      <c r="E1595" s="144" t="str">
        <f>" - " &amp; 'Vật liệu'!$D$221</f>
        <v xml:space="preserve"> - Dây thép</v>
      </c>
      <c r="F1595" s="168" t="str">
        <f>'Vật liệu'!$E$221</f>
        <v>kg</v>
      </c>
      <c r="G1595" s="34">
        <f>'Hao phí vật tư'!$G$1596</f>
        <v>14.28</v>
      </c>
      <c r="H1595" s="68">
        <f>'Vật liệu'!$W$221</f>
        <v>17500</v>
      </c>
      <c r="I1595" s="37">
        <v>1</v>
      </c>
      <c r="J1595" s="166">
        <f>ROUND(G1595*H1595*I1595,0)</f>
        <v>249900</v>
      </c>
    </row>
    <row r="1596" spans="1:10" x14ac:dyDescent="0.25">
      <c r="A1596" s="168"/>
      <c r="B1596" s="144"/>
      <c r="C1596" s="34">
        <v>485</v>
      </c>
      <c r="D1596" s="144" t="str">
        <f>'Vật liệu'!$B$665</f>
        <v>V48495</v>
      </c>
      <c r="E1596" s="144" t="str">
        <f>" - " &amp; 'Vật liệu'!$D$665</f>
        <v xml:space="preserve"> - Thép tròn đường kính &lt;=18mm</v>
      </c>
      <c r="F1596" s="168" t="str">
        <f>'Vật liệu'!$E$665</f>
        <v>kg</v>
      </c>
      <c r="G1596" s="34">
        <f>'Hao phí vật tư'!$G$1597</f>
        <v>1020</v>
      </c>
      <c r="H1596" s="68">
        <f>'Vật liệu'!$W$665</f>
        <v>14058</v>
      </c>
      <c r="I1596" s="37">
        <v>1</v>
      </c>
      <c r="J1596" s="166">
        <f>ROUND(G1596*H1596*I1596,0)</f>
        <v>14339160</v>
      </c>
    </row>
    <row r="1597" spans="1:10" x14ac:dyDescent="0.25">
      <c r="A1597" s="56"/>
      <c r="B1597" s="23"/>
      <c r="C1597" s="88"/>
      <c r="D1597" s="23"/>
      <c r="E1597" s="23" t="s">
        <v>202</v>
      </c>
      <c r="F1597" s="56"/>
      <c r="G1597" s="88"/>
      <c r="H1597" s="48"/>
      <c r="I1597" s="90"/>
      <c r="J1597" s="48">
        <f>ROUND(SUM(J1598:J1598),0)</f>
        <v>3240563</v>
      </c>
    </row>
    <row r="1598" spans="1:10" x14ac:dyDescent="0.25">
      <c r="A1598" s="168"/>
      <c r="B1598" s="144"/>
      <c r="C1598" s="34">
        <v>550</v>
      </c>
      <c r="D1598" s="144" t="str">
        <f>'Nhân công'!$B$130</f>
        <v>N0011</v>
      </c>
      <c r="E1598" s="144" t="s">
        <v>671</v>
      </c>
      <c r="F1598" s="168" t="str">
        <f>'Nhân công'!$G$130</f>
        <v>công</v>
      </c>
      <c r="G1598" s="34">
        <f>'Hao phí vật tư'!$H$1599</f>
        <v>14.06</v>
      </c>
      <c r="H1598" s="68">
        <f>'Nhân công'!$M$130</f>
        <v>230481</v>
      </c>
      <c r="I1598" s="37">
        <v>1</v>
      </c>
      <c r="J1598" s="166">
        <f>ROUND(G1598*H1598*I1598,0)</f>
        <v>3240563</v>
      </c>
    </row>
    <row r="1599" spans="1:10" x14ac:dyDescent="0.25">
      <c r="A1599" s="56"/>
      <c r="B1599" s="23"/>
      <c r="C1599" s="88"/>
      <c r="D1599" s="23"/>
      <c r="E1599" s="23" t="s">
        <v>378</v>
      </c>
      <c r="F1599" s="56"/>
      <c r="G1599" s="88"/>
      <c r="H1599" s="48"/>
      <c r="I1599" s="90"/>
      <c r="J1599" s="48">
        <f>ROUND(SUM(J1600:J1602),0)</f>
        <v>876589</v>
      </c>
    </row>
    <row r="1600" spans="1:10" x14ac:dyDescent="0.25">
      <c r="A1600" s="168"/>
      <c r="B1600" s="144"/>
      <c r="C1600" s="34">
        <v>734</v>
      </c>
      <c r="D1600" s="144" t="str">
        <f>'Máy thi công'!$B$154</f>
        <v>M9479</v>
      </c>
      <c r="E1600" s="144" t="str">
        <f>" - " &amp; 'Máy thi công'!$D$154</f>
        <v xml:space="preserve"> - Cần trục ô tô - sức nâng: 16 t</v>
      </c>
      <c r="F1600" s="168" t="str">
        <f>'Máy thi công'!$E$154</f>
        <v>ca</v>
      </c>
      <c r="G1600" s="34">
        <f>'Hao phí vật tư'!$I$1601</f>
        <v>0.108</v>
      </c>
      <c r="H1600" s="68">
        <f>'Máy thi công'!$N$154</f>
        <v>2433173</v>
      </c>
      <c r="I1600" s="37">
        <v>1</v>
      </c>
      <c r="J1600" s="166">
        <f>ROUND(G1600*H1600*I1600,0)</f>
        <v>262783</v>
      </c>
    </row>
    <row r="1601" spans="1:10" x14ac:dyDescent="0.25">
      <c r="A1601" s="168"/>
      <c r="B1601" s="144"/>
      <c r="C1601" s="34">
        <v>737</v>
      </c>
      <c r="D1601" s="144" t="str">
        <f>'Máy thi công'!$B$184</f>
        <v>M9521</v>
      </c>
      <c r="E1601" s="144" t="str">
        <f>" - " &amp; 'Máy thi công'!$D$184</f>
        <v xml:space="preserve"> - Máy cắt uốn cốt thép - công suất: 5 kW</v>
      </c>
      <c r="F1601" s="168" t="str">
        <f>'Máy thi công'!$E$184</f>
        <v>ca</v>
      </c>
      <c r="G1601" s="34">
        <f>'Hao phí vật tư'!$I$1602</f>
        <v>0.32</v>
      </c>
      <c r="H1601" s="68">
        <f>'Máy thi công'!$N$184</f>
        <v>228044</v>
      </c>
      <c r="I1601" s="37">
        <v>1</v>
      </c>
      <c r="J1601" s="166">
        <f>ROUND(G1601*H1601*I1601,0)</f>
        <v>72974</v>
      </c>
    </row>
    <row r="1602" spans="1:10" x14ac:dyDescent="0.25">
      <c r="A1602" s="168"/>
      <c r="B1602" s="144"/>
      <c r="C1602" s="34">
        <v>714</v>
      </c>
      <c r="D1602" s="144" t="str">
        <f>'Máy thi công'!$B$6</f>
        <v>M9438</v>
      </c>
      <c r="E1602" s="144" t="str">
        <f>" - " &amp; 'Máy thi công'!$D$6</f>
        <v xml:space="preserve"> - Biến thế hàn xoay chiều - công suất: 23 kW</v>
      </c>
      <c r="F1602" s="168" t="str">
        <f>'Máy thi công'!$E$6</f>
        <v>ca</v>
      </c>
      <c r="G1602" s="34">
        <f>'Hao phí vật tư'!$I$1603</f>
        <v>1.6</v>
      </c>
      <c r="H1602" s="68">
        <f>'Máy thi công'!$N$6</f>
        <v>338020</v>
      </c>
      <c r="I1602" s="37">
        <v>1</v>
      </c>
      <c r="J1602" s="166">
        <f>ROUND(G1602*H1602*I1602,0)</f>
        <v>540832</v>
      </c>
    </row>
    <row r="1603" spans="1:10" ht="28.5" x14ac:dyDescent="0.25">
      <c r="A1603" s="65">
        <f>'Công trình'!$A$210</f>
        <v>166</v>
      </c>
      <c r="B1603" s="14" t="str">
        <f>'Công trình'!$B$210</f>
        <v>AF.65430</v>
      </c>
      <c r="C1603" s="94"/>
      <c r="D1603" s="31"/>
      <c r="E1603" s="14" t="str">
        <f>'Công trình'!$C$210</f>
        <v>Công tác sản xuất lắp dựng cốt thép bê tông tại chỗ, cốt thép dầm cầu trên cạn, D &gt;18mm</v>
      </c>
      <c r="F1603" s="46" t="str">
        <f>'Công trình'!$D$210</f>
        <v>tấn</v>
      </c>
      <c r="G1603" s="94"/>
      <c r="H1603" s="54"/>
      <c r="I1603" s="98"/>
      <c r="J1603" s="54"/>
    </row>
    <row r="1604" spans="1:10" x14ac:dyDescent="0.25">
      <c r="A1604" s="56"/>
      <c r="B1604" s="23"/>
      <c r="C1604" s="88"/>
      <c r="D1604" s="23"/>
      <c r="E1604" s="23" t="s">
        <v>479</v>
      </c>
      <c r="F1604" s="56"/>
      <c r="G1604" s="88"/>
      <c r="H1604" s="48"/>
      <c r="I1604" s="90"/>
      <c r="J1604" s="48">
        <f>ROUND(SUM(J1605:J1607),0)</f>
        <v>14721361</v>
      </c>
    </row>
    <row r="1605" spans="1:10" x14ac:dyDescent="0.25">
      <c r="A1605" s="168"/>
      <c r="B1605" s="144"/>
      <c r="C1605" s="34">
        <v>154</v>
      </c>
      <c r="D1605" s="144" t="str">
        <f>'Vật liệu'!$B$450</f>
        <v>V00515</v>
      </c>
      <c r="E1605" s="144" t="str">
        <f>" - " &amp; 'Vật liệu'!$D$450</f>
        <v xml:space="preserve"> - Que hàn</v>
      </c>
      <c r="F1605" s="168" t="str">
        <f>'Vật liệu'!$E$450</f>
        <v>kg</v>
      </c>
      <c r="G1605" s="34">
        <f>'Hao phí vật tư'!$G$1606</f>
        <v>6.93</v>
      </c>
      <c r="H1605" s="68">
        <f>'Vật liệu'!$W$450</f>
        <v>19091</v>
      </c>
      <c r="I1605" s="37">
        <v>1</v>
      </c>
      <c r="J1605" s="166">
        <f>ROUND(G1605*H1605*I1605,0)</f>
        <v>132301</v>
      </c>
    </row>
    <row r="1606" spans="1:10" x14ac:dyDescent="0.25">
      <c r="A1606" s="168"/>
      <c r="B1606" s="144"/>
      <c r="C1606" s="34">
        <v>135</v>
      </c>
      <c r="D1606" s="144" t="str">
        <f>'Vật liệu'!$B$221</f>
        <v>V00226</v>
      </c>
      <c r="E1606" s="144" t="str">
        <f>" - " &amp; 'Vật liệu'!$D$221</f>
        <v xml:space="preserve"> - Dây thép</v>
      </c>
      <c r="F1606" s="168" t="str">
        <f>'Vật liệu'!$E$221</f>
        <v>kg</v>
      </c>
      <c r="G1606" s="34">
        <f>'Hao phí vật tư'!$G$1607</f>
        <v>14.28</v>
      </c>
      <c r="H1606" s="68">
        <f>'Vật liệu'!$W$221</f>
        <v>17500</v>
      </c>
      <c r="I1606" s="37">
        <v>1</v>
      </c>
      <c r="J1606" s="166">
        <f>ROUND(G1606*H1606*I1606,0)</f>
        <v>249900</v>
      </c>
    </row>
    <row r="1607" spans="1:10" x14ac:dyDescent="0.25">
      <c r="A1607" s="168"/>
      <c r="B1607" s="144"/>
      <c r="C1607" s="34">
        <v>488</v>
      </c>
      <c r="D1607" s="144" t="str">
        <f>'Vật liệu'!$B$689</f>
        <v>V48498</v>
      </c>
      <c r="E1607" s="144" t="str">
        <f>" - " &amp; 'Vật liệu'!$D$689</f>
        <v xml:space="preserve"> - Thép tròn đường kính &gt;18mm</v>
      </c>
      <c r="F1607" s="168" t="str">
        <f>'Vật liệu'!$E$689</f>
        <v>kg</v>
      </c>
      <c r="G1607" s="34">
        <f>'Hao phí vật tư'!$G$1608</f>
        <v>1020</v>
      </c>
      <c r="H1607" s="68">
        <f>'Vật liệu'!$W$689</f>
        <v>14058</v>
      </c>
      <c r="I1607" s="37">
        <v>1</v>
      </c>
      <c r="J1607" s="166">
        <f>ROUND(G1607*H1607*I1607,0)</f>
        <v>14339160</v>
      </c>
    </row>
    <row r="1608" spans="1:10" x14ac:dyDescent="0.25">
      <c r="A1608" s="56"/>
      <c r="B1608" s="23"/>
      <c r="C1608" s="88"/>
      <c r="D1608" s="23"/>
      <c r="E1608" s="23" t="s">
        <v>202</v>
      </c>
      <c r="F1608" s="56"/>
      <c r="G1608" s="88"/>
      <c r="H1608" s="48"/>
      <c r="I1608" s="90"/>
      <c r="J1608" s="48">
        <f>ROUND(SUM(J1609:J1609),0)</f>
        <v>2696628</v>
      </c>
    </row>
    <row r="1609" spans="1:10" x14ac:dyDescent="0.25">
      <c r="A1609" s="168"/>
      <c r="B1609" s="144"/>
      <c r="C1609" s="34">
        <v>550</v>
      </c>
      <c r="D1609" s="144" t="str">
        <f>'Nhân công'!$B$130</f>
        <v>N0011</v>
      </c>
      <c r="E1609" s="144" t="s">
        <v>671</v>
      </c>
      <c r="F1609" s="168" t="str">
        <f>'Nhân công'!$G$130</f>
        <v>công</v>
      </c>
      <c r="G1609" s="34">
        <f>'Hao phí vật tư'!$H$1610</f>
        <v>11.7</v>
      </c>
      <c r="H1609" s="68">
        <f>'Nhân công'!$M$130</f>
        <v>230481</v>
      </c>
      <c r="I1609" s="37">
        <v>1</v>
      </c>
      <c r="J1609" s="166">
        <f>ROUND(G1609*H1609*I1609,0)</f>
        <v>2696628</v>
      </c>
    </row>
    <row r="1610" spans="1:10" x14ac:dyDescent="0.25">
      <c r="A1610" s="56"/>
      <c r="B1610" s="23"/>
      <c r="C1610" s="88"/>
      <c r="D1610" s="23"/>
      <c r="E1610" s="23" t="s">
        <v>378</v>
      </c>
      <c r="F1610" s="56"/>
      <c r="G1610" s="88"/>
      <c r="H1610" s="48"/>
      <c r="I1610" s="90"/>
      <c r="J1610" s="48">
        <f>ROUND(SUM(J1611:J1613),0)</f>
        <v>854847</v>
      </c>
    </row>
    <row r="1611" spans="1:10" x14ac:dyDescent="0.25">
      <c r="A1611" s="168"/>
      <c r="B1611" s="144"/>
      <c r="C1611" s="34">
        <v>734</v>
      </c>
      <c r="D1611" s="144" t="str">
        <f>'Máy thi công'!$B$154</f>
        <v>M9479</v>
      </c>
      <c r="E1611" s="144" t="str">
        <f>" - " &amp; 'Máy thi công'!$D$154</f>
        <v xml:space="preserve"> - Cần trục ô tô - sức nâng: 16 t</v>
      </c>
      <c r="F1611" s="168" t="str">
        <f>'Máy thi công'!$E$154</f>
        <v>ca</v>
      </c>
      <c r="G1611" s="34">
        <f>'Hao phí vật tư'!$I$1612</f>
        <v>9.6000000000000002E-2</v>
      </c>
      <c r="H1611" s="68">
        <f>'Máy thi công'!$N$154</f>
        <v>2433173</v>
      </c>
      <c r="I1611" s="37">
        <v>1</v>
      </c>
      <c r="J1611" s="166">
        <f>ROUND(G1611*H1611*I1611,0)</f>
        <v>233585</v>
      </c>
    </row>
    <row r="1612" spans="1:10" x14ac:dyDescent="0.25">
      <c r="A1612" s="168"/>
      <c r="B1612" s="144"/>
      <c r="C1612" s="34">
        <v>737</v>
      </c>
      <c r="D1612" s="144" t="str">
        <f>'Máy thi công'!$B$184</f>
        <v>M9521</v>
      </c>
      <c r="E1612" s="144" t="str">
        <f>" - " &amp; 'Máy thi công'!$D$184</f>
        <v xml:space="preserve"> - Máy cắt uốn cốt thép - công suất: 5 kW</v>
      </c>
      <c r="F1612" s="168" t="str">
        <f>'Máy thi công'!$E$184</f>
        <v>ca</v>
      </c>
      <c r="G1612" s="34">
        <f>'Hao phí vật tư'!$I$1613</f>
        <v>0.16</v>
      </c>
      <c r="H1612" s="68">
        <f>'Máy thi công'!$N$184</f>
        <v>228044</v>
      </c>
      <c r="I1612" s="37">
        <v>1</v>
      </c>
      <c r="J1612" s="166">
        <f>ROUND(G1612*H1612*I1612,0)</f>
        <v>36487</v>
      </c>
    </row>
    <row r="1613" spans="1:10" x14ac:dyDescent="0.25">
      <c r="A1613" s="168"/>
      <c r="B1613" s="144"/>
      <c r="C1613" s="34">
        <v>714</v>
      </c>
      <c r="D1613" s="144" t="str">
        <f>'Máy thi công'!$B$6</f>
        <v>M9438</v>
      </c>
      <c r="E1613" s="144" t="str">
        <f>" - " &amp; 'Máy thi công'!$D$6</f>
        <v xml:space="preserve"> - Biến thế hàn xoay chiều - công suất: 23 kW</v>
      </c>
      <c r="F1613" s="168" t="str">
        <f>'Máy thi công'!$E$6</f>
        <v>ca</v>
      </c>
      <c r="G1613" s="34">
        <f>'Hao phí vật tư'!$I$1614</f>
        <v>1.73</v>
      </c>
      <c r="H1613" s="68">
        <f>'Máy thi công'!$N$6</f>
        <v>338020</v>
      </c>
      <c r="I1613" s="37">
        <v>1</v>
      </c>
      <c r="J1613" s="166">
        <f>ROUND(G1613*H1613*I1613,0)</f>
        <v>584775</v>
      </c>
    </row>
    <row r="1614" spans="1:10" x14ac:dyDescent="0.25">
      <c r="A1614" s="65">
        <f>'Công trình'!$A$213</f>
        <v>167</v>
      </c>
      <c r="B1614" s="14" t="str">
        <f>'Công trình'!$B$213</f>
        <v>AL.25121</v>
      </c>
      <c r="C1614" s="94"/>
      <c r="D1614" s="31"/>
      <c r="E1614" s="14" t="str">
        <f>'Công trình'!$C$213</f>
        <v>Lắp đặt khe co giãn dầm liên tục</v>
      </c>
      <c r="F1614" s="46" t="str">
        <f>'Công trình'!$D$213</f>
        <v>m</v>
      </c>
      <c r="G1614" s="94"/>
      <c r="H1614" s="54"/>
      <c r="I1614" s="98"/>
      <c r="J1614" s="54"/>
    </row>
    <row r="1615" spans="1:10" x14ac:dyDescent="0.25">
      <c r="A1615" s="56"/>
      <c r="B1615" s="23"/>
      <c r="C1615" s="88"/>
      <c r="D1615" s="23"/>
      <c r="E1615" s="23" t="s">
        <v>479</v>
      </c>
      <c r="F1615" s="56"/>
      <c r="G1615" s="88"/>
      <c r="H1615" s="48"/>
      <c r="I1615" s="90"/>
      <c r="J1615" s="48">
        <f>ROUND(SUM(J1616:J1617),0)</f>
        <v>1590750</v>
      </c>
    </row>
    <row r="1616" spans="1:10" x14ac:dyDescent="0.25">
      <c r="A1616" s="168"/>
      <c r="B1616" s="144"/>
      <c r="C1616" s="34">
        <v>439</v>
      </c>
      <c r="D1616" s="144" t="str">
        <f>'Vật liệu'!$B$333</f>
        <v>V08518</v>
      </c>
      <c r="E1616" s="144" t="str">
        <f>" - " &amp; 'Vật liệu'!$D$333</f>
        <v xml:space="preserve"> - Khe co giãn</v>
      </c>
      <c r="F1616" s="168" t="str">
        <f>'Vật liệu'!$E$333</f>
        <v>m</v>
      </c>
      <c r="G1616" s="34">
        <f>'Hao phí vật tư'!$G$1617</f>
        <v>1.05</v>
      </c>
      <c r="H1616" s="68">
        <f>'Vật liệu'!$W$333</f>
        <v>1500000</v>
      </c>
      <c r="I1616" s="37">
        <v>1</v>
      </c>
      <c r="J1616" s="166">
        <f>ROUND(G1616*H1616*I1616,0)</f>
        <v>1575000</v>
      </c>
    </row>
    <row r="1617" spans="1:10" x14ac:dyDescent="0.25">
      <c r="A1617" s="168"/>
      <c r="B1617" s="144"/>
      <c r="C1617" s="34">
        <v>290</v>
      </c>
      <c r="D1617" s="144" t="str">
        <f>'Vật liệu'!$B$766</f>
        <v>V00750</v>
      </c>
      <c r="E1617" s="144" t="str">
        <f>" - " &amp; 'Vật liệu'!$D$766</f>
        <v xml:space="preserve"> - Vật liệu khác</v>
      </c>
      <c r="F1617" s="168" t="str">
        <f>'Vật liệu'!$E$766</f>
        <v>%</v>
      </c>
      <c r="G1617" s="34">
        <f>'Hao phí vật tư'!$G$1618</f>
        <v>1</v>
      </c>
      <c r="H1617" s="166">
        <f>'Vật liệu'!$W$766</f>
        <v>0</v>
      </c>
      <c r="I1617" s="37">
        <v>1</v>
      </c>
      <c r="J1617" s="166">
        <f>ROUND((J1616)*G1617*I1617/100,0)</f>
        <v>15750</v>
      </c>
    </row>
    <row r="1618" spans="1:10" x14ac:dyDescent="0.25">
      <c r="A1618" s="56"/>
      <c r="B1618" s="23"/>
      <c r="C1618" s="88"/>
      <c r="D1618" s="23"/>
      <c r="E1618" s="23" t="s">
        <v>202</v>
      </c>
      <c r="F1618" s="56"/>
      <c r="G1618" s="88"/>
      <c r="H1618" s="48"/>
      <c r="I1618" s="90"/>
      <c r="J1618" s="48">
        <f>ROUND(SUM(J1619:J1619),0)</f>
        <v>310200</v>
      </c>
    </row>
    <row r="1619" spans="1:10" x14ac:dyDescent="0.25">
      <c r="A1619" s="168"/>
      <c r="B1619" s="144"/>
      <c r="C1619" s="34">
        <v>555</v>
      </c>
      <c r="D1619" s="144" t="str">
        <f>'Nhân công'!$B$185</f>
        <v>N0020</v>
      </c>
      <c r="E1619" s="144" t="s">
        <v>625</v>
      </c>
      <c r="F1619" s="168" t="str">
        <f>'Nhân công'!$G$185</f>
        <v>công</v>
      </c>
      <c r="G1619" s="34">
        <f>'Hao phí vật tư'!$H$1620</f>
        <v>1.2</v>
      </c>
      <c r="H1619" s="68">
        <f>'Nhân công'!$M$185</f>
        <v>258500</v>
      </c>
      <c r="I1619" s="37">
        <v>1</v>
      </c>
      <c r="J1619" s="166">
        <f>ROUND(G1619*H1619*I1619,0)</f>
        <v>310200</v>
      </c>
    </row>
    <row r="1620" spans="1:10" x14ac:dyDescent="0.25">
      <c r="A1620" s="65">
        <f>'Công trình'!$A$214</f>
        <v>168</v>
      </c>
      <c r="B1620" s="14" t="str">
        <f>'Công trình'!$B$214</f>
        <v>TT</v>
      </c>
      <c r="C1620" s="94"/>
      <c r="D1620" s="31"/>
      <c r="E1620" s="14" t="str">
        <f>'Công trình'!$C$214</f>
        <v>Bulông M16</v>
      </c>
      <c r="F1620" s="46" t="str">
        <f>'Công trình'!$D$214</f>
        <v>cái</v>
      </c>
      <c r="G1620" s="94"/>
      <c r="H1620" s="54"/>
      <c r="I1620" s="98"/>
      <c r="J1620" s="54"/>
    </row>
    <row r="1621" spans="1:10" x14ac:dyDescent="0.25">
      <c r="A1621" s="56"/>
      <c r="B1621" s="23"/>
      <c r="C1621" s="88"/>
      <c r="D1621" s="23"/>
      <c r="E1621" s="23" t="s">
        <v>479</v>
      </c>
      <c r="F1621" s="56"/>
      <c r="G1621" s="88"/>
      <c r="H1621" s="48"/>
      <c r="I1621" s="90"/>
      <c r="J1621" s="48">
        <f>ROUND(SUM(J1622:J1622),0)</f>
        <v>15000</v>
      </c>
    </row>
    <row r="1622" spans="1:10" x14ac:dyDescent="0.25">
      <c r="A1622" s="168"/>
      <c r="B1622" s="144"/>
      <c r="C1622" s="34">
        <v>462</v>
      </c>
      <c r="D1622" s="144" t="str">
        <f>'Vật liệu'!$B$36</f>
        <v>V14859</v>
      </c>
      <c r="E1622" s="144" t="str">
        <f>" - " &amp; 'Vật liệu'!$D$36</f>
        <v xml:space="preserve"> - Bulông M16</v>
      </c>
      <c r="F1622" s="168" t="str">
        <f>'Vật liệu'!$E$36</f>
        <v>Bộ</v>
      </c>
      <c r="G1622" s="34">
        <f>'Hao phí vật tư'!$G$1623</f>
        <v>1</v>
      </c>
      <c r="H1622" s="68">
        <f>'Vật liệu'!$W$36</f>
        <v>15000</v>
      </c>
      <c r="I1622" s="37">
        <v>1</v>
      </c>
      <c r="J1622" s="166">
        <f>ROUND(G1622*H1622*I1622,0)</f>
        <v>15000</v>
      </c>
    </row>
    <row r="1623" spans="1:10" x14ac:dyDescent="0.25">
      <c r="A1623" s="65">
        <f>'Công trình'!$A$215</f>
        <v>169</v>
      </c>
      <c r="B1623" s="14" t="str">
        <f>'Công trình'!$B$215</f>
        <v>TT</v>
      </c>
      <c r="C1623" s="94"/>
      <c r="D1623" s="31"/>
      <c r="E1623" s="14" t="str">
        <f>'Công trình'!$C$215</f>
        <v>Keo Epoxy</v>
      </c>
      <c r="F1623" s="46" t="str">
        <f>'Công trình'!$D$215</f>
        <v>lít</v>
      </c>
      <c r="G1623" s="94"/>
      <c r="H1623" s="54"/>
      <c r="I1623" s="98"/>
      <c r="J1623" s="54"/>
    </row>
    <row r="1624" spans="1:10" x14ac:dyDescent="0.25">
      <c r="A1624" s="56"/>
      <c r="B1624" s="23"/>
      <c r="C1624" s="88"/>
      <c r="D1624" s="23"/>
      <c r="E1624" s="23" t="s">
        <v>479</v>
      </c>
      <c r="F1624" s="56"/>
      <c r="G1624" s="88"/>
      <c r="H1624" s="48"/>
      <c r="I1624" s="90"/>
      <c r="J1624" s="48">
        <f>ROUND(SUM(J1625:J1625),0)</f>
        <v>250000</v>
      </c>
    </row>
    <row r="1625" spans="1:10" x14ac:dyDescent="0.25">
      <c r="A1625" s="168"/>
      <c r="B1625" s="144"/>
      <c r="C1625" s="34">
        <v>528</v>
      </c>
      <c r="D1625" s="144" t="str">
        <f>'Vật liệu'!$B$331</f>
        <v>epx</v>
      </c>
      <c r="E1625" s="144" t="str">
        <f>" - " &amp; 'Vật liệu'!$D$331</f>
        <v xml:space="preserve"> - Keo Epoxy</v>
      </c>
      <c r="F1625" s="168" t="str">
        <f>'Vật liệu'!$E$331</f>
        <v>lit</v>
      </c>
      <c r="G1625" s="34">
        <f>'Hao phí vật tư'!$G$1626</f>
        <v>1</v>
      </c>
      <c r="H1625" s="68">
        <f>'Vật liệu'!$W$331</f>
        <v>250000</v>
      </c>
      <c r="I1625" s="37">
        <v>1</v>
      </c>
      <c r="J1625" s="166">
        <f>ROUND(G1625*H1625*I1625,0)</f>
        <v>250000</v>
      </c>
    </row>
    <row r="1626" spans="1:10" x14ac:dyDescent="0.25">
      <c r="A1626" s="65">
        <f>'Công trình'!$A$216</f>
        <v>170</v>
      </c>
      <c r="B1626" s="14" t="str">
        <f>'Công trình'!$B$216</f>
        <v>TT</v>
      </c>
      <c r="C1626" s="94"/>
      <c r="D1626" s="31"/>
      <c r="E1626" s="14" t="str">
        <f>'Công trình'!$C$216</f>
        <v>Sika</v>
      </c>
      <c r="F1626" s="46" t="str">
        <f>'Công trình'!$D$216</f>
        <v>m²</v>
      </c>
      <c r="G1626" s="94"/>
      <c r="H1626" s="54"/>
      <c r="I1626" s="98"/>
      <c r="J1626" s="54"/>
    </row>
    <row r="1627" spans="1:10" x14ac:dyDescent="0.25">
      <c r="A1627" s="56"/>
      <c r="B1627" s="23"/>
      <c r="C1627" s="88"/>
      <c r="D1627" s="23"/>
      <c r="E1627" s="23" t="s">
        <v>479</v>
      </c>
      <c r="F1627" s="56"/>
      <c r="G1627" s="88"/>
      <c r="H1627" s="48"/>
      <c r="I1627" s="90"/>
      <c r="J1627" s="48">
        <f>ROUND(SUM(J1628:J1628),0)</f>
        <v>35000</v>
      </c>
    </row>
    <row r="1628" spans="1:10" x14ac:dyDescent="0.25">
      <c r="A1628" s="168"/>
      <c r="B1628" s="144"/>
      <c r="C1628" s="34">
        <v>544</v>
      </c>
      <c r="D1628" s="144" t="str">
        <f>'Vật liệu'!$B$531</f>
        <v>sk</v>
      </c>
      <c r="E1628" s="144" t="str">
        <f>" - " &amp; 'Vật liệu'!$D$531</f>
        <v xml:space="preserve"> - Sika</v>
      </c>
      <c r="F1628" s="168" t="str">
        <f>'Vật liệu'!$E$531</f>
        <v>m2</v>
      </c>
      <c r="G1628" s="34">
        <f>'Hao phí vật tư'!$G$1629</f>
        <v>1</v>
      </c>
      <c r="H1628" s="68">
        <f>'Vật liệu'!$W$531</f>
        <v>35000</v>
      </c>
      <c r="I1628" s="37">
        <v>1</v>
      </c>
      <c r="J1628" s="166">
        <f>ROUND(G1628*H1628*I1628,0)</f>
        <v>35000</v>
      </c>
    </row>
    <row r="1629" spans="1:10" x14ac:dyDescent="0.25">
      <c r="A1629" s="65">
        <f>'Công trình'!$A$217</f>
        <v>171</v>
      </c>
      <c r="B1629" s="14" t="str">
        <f>'Công trình'!$B$217</f>
        <v>AF.11215</v>
      </c>
      <c r="C1629" s="94"/>
      <c r="D1629" s="31"/>
      <c r="E1629" s="14" t="str">
        <f>'Công trình'!$C$217</f>
        <v>BT M300 đổ sau có phụ gia</v>
      </c>
      <c r="F1629" s="46" t="str">
        <f>'Công trình'!$D$217</f>
        <v>m3</v>
      </c>
      <c r="G1629" s="94"/>
      <c r="H1629" s="54"/>
      <c r="I1629" s="98"/>
      <c r="J1629" s="54"/>
    </row>
    <row r="1630" spans="1:10" x14ac:dyDescent="0.25">
      <c r="A1630" s="56"/>
      <c r="B1630" s="23"/>
      <c r="C1630" s="88"/>
      <c r="D1630" s="23"/>
      <c r="E1630" s="23" t="s">
        <v>479</v>
      </c>
      <c r="F1630" s="56"/>
      <c r="G1630" s="88"/>
      <c r="H1630" s="48"/>
      <c r="I1630" s="90"/>
      <c r="J1630" s="48">
        <f>ROUND(SUM(J1631:J1636),0)</f>
        <v>1430376</v>
      </c>
    </row>
    <row r="1631" spans="1:10" x14ac:dyDescent="0.25">
      <c r="A1631" s="168"/>
      <c r="B1631" s="144"/>
      <c r="C1631" s="34">
        <v>442</v>
      </c>
      <c r="D1631" s="144" t="str">
        <f>'Vật liệu'!$B$763</f>
        <v>V08770</v>
      </c>
      <c r="E1631" s="144" t="str">
        <f>" - " &amp; 'Vật liệu'!$D$763</f>
        <v xml:space="preserve"> - Xi măng PCB40</v>
      </c>
      <c r="F1631" s="168" t="str">
        <f>'Vật liệu'!$E$763</f>
        <v>kg</v>
      </c>
      <c r="G1631" s="34">
        <f>'Hao phí vật tư'!$G$1632</f>
        <v>401.8</v>
      </c>
      <c r="H1631" s="68">
        <f>'Vật liệu'!$W$763</f>
        <v>1513</v>
      </c>
      <c r="I1631" s="37">
        <v>1</v>
      </c>
      <c r="J1631" s="166">
        <f>ROUND(G1631*H1631*I1631,0)</f>
        <v>607923</v>
      </c>
    </row>
    <row r="1632" spans="1:10" x14ac:dyDescent="0.25">
      <c r="A1632" s="168"/>
      <c r="B1632" s="144"/>
      <c r="C1632" s="34">
        <v>125</v>
      </c>
      <c r="D1632" s="144" t="str">
        <f>'Vật liệu'!$B$54</f>
        <v>V00112</v>
      </c>
      <c r="E1632" s="144" t="str">
        <f>" - " &amp; 'Vật liệu'!$D$54</f>
        <v xml:space="preserve"> - Cát vàng</v>
      </c>
      <c r="F1632" s="168" t="str">
        <f>'Vật liệu'!$E$54</f>
        <v>m3</v>
      </c>
      <c r="G1632" s="34">
        <f>'Hao phí vật tư'!$G$1633</f>
        <v>0.47970000000000002</v>
      </c>
      <c r="H1632" s="68">
        <f>'Vật liệu'!$W$54</f>
        <v>420000</v>
      </c>
      <c r="I1632" s="37">
        <v>1</v>
      </c>
      <c r="J1632" s="166">
        <f>ROUND(G1632*H1632*I1632,0)</f>
        <v>201474</v>
      </c>
    </row>
    <row r="1633" spans="1:10" x14ac:dyDescent="0.25">
      <c r="A1633" s="168"/>
      <c r="B1633" s="144"/>
      <c r="C1633" s="34">
        <v>404</v>
      </c>
      <c r="D1633" s="144" t="str">
        <f>'Vật liệu'!$B$179</f>
        <v>V00811</v>
      </c>
      <c r="E1633" s="144" t="str">
        <f>" - " &amp; 'Vật liệu'!$D$179</f>
        <v xml:space="preserve"> - Đá dăm 1x2</v>
      </c>
      <c r="F1633" s="168" t="str">
        <f>'Vật liệu'!$E$179</f>
        <v>m3</v>
      </c>
      <c r="G1633" s="34">
        <f>'Hao phí vật tư'!$G$1634</f>
        <v>0.80459999999999998</v>
      </c>
      <c r="H1633" s="68">
        <f>'Vật liệu'!$W$179</f>
        <v>360886</v>
      </c>
      <c r="I1633" s="37">
        <v>1</v>
      </c>
      <c r="J1633" s="166">
        <f>ROUND(G1633*H1633*I1633,0)</f>
        <v>290369</v>
      </c>
    </row>
    <row r="1634" spans="1:10" x14ac:dyDescent="0.25">
      <c r="A1634" s="168"/>
      <c r="B1634" s="144"/>
      <c r="C1634" s="34">
        <v>148</v>
      </c>
      <c r="D1634" s="144" t="str">
        <f>'Vật liệu'!$B$353</f>
        <v>V00494</v>
      </c>
      <c r="E1634" s="144" t="str">
        <f>" - " &amp; 'Vật liệu'!$D$353</f>
        <v xml:space="preserve"> - Nước</v>
      </c>
      <c r="F1634" s="168" t="str">
        <f>'Vật liệu'!$E$353</f>
        <v>lít</v>
      </c>
      <c r="G1634" s="34">
        <f>'Hao phí vật tư'!$G$1635</f>
        <v>199.875</v>
      </c>
      <c r="H1634" s="68">
        <f>'Vật liệu'!$W$353</f>
        <v>10</v>
      </c>
      <c r="I1634" s="37">
        <v>1</v>
      </c>
      <c r="J1634" s="166">
        <f>ROUND(G1634*H1634*I1634,0)</f>
        <v>1999</v>
      </c>
    </row>
    <row r="1635" spans="1:10" x14ac:dyDescent="0.25">
      <c r="A1635" s="168"/>
      <c r="B1635" s="144"/>
      <c r="C1635" s="34">
        <v>151</v>
      </c>
      <c r="D1635" s="144" t="str">
        <f>'Vật liệu'!$B$446</f>
        <v>V00509</v>
      </c>
      <c r="E1635" s="144" t="str">
        <f>" - " &amp; 'Vật liệu'!$D$446</f>
        <v xml:space="preserve"> - Phụ gia dẻo hoá bê tông PC40</v>
      </c>
      <c r="F1635" s="168" t="str">
        <f>'Vật liệu'!$E$446</f>
        <v>kg</v>
      </c>
      <c r="G1635" s="34">
        <f>'Hao phí vật tư'!$G$1636</f>
        <v>20.09</v>
      </c>
      <c r="H1635" s="68">
        <f>'Vật liệu'!$W$446</f>
        <v>15652</v>
      </c>
      <c r="I1635" s="37">
        <v>1</v>
      </c>
      <c r="J1635" s="166">
        <f>ROUND(G1635*H1635*I1635,0)</f>
        <v>314449</v>
      </c>
    </row>
    <row r="1636" spans="1:10" x14ac:dyDescent="0.25">
      <c r="A1636" s="168"/>
      <c r="B1636" s="144"/>
      <c r="C1636" s="34">
        <v>291</v>
      </c>
      <c r="D1636" s="144" t="str">
        <f>'Vật liệu'!$B$766</f>
        <v>V00750</v>
      </c>
      <c r="E1636" s="144" t="str">
        <f>" - " &amp; 'Vật liệu'!$D$766</f>
        <v xml:space="preserve"> - Vật liệu khác</v>
      </c>
      <c r="F1636" s="168" t="str">
        <f>'Vật liệu'!$E$766</f>
        <v>%</v>
      </c>
      <c r="G1636" s="34">
        <f>'Hao phí vật tư'!$G$1637</f>
        <v>1</v>
      </c>
      <c r="H1636" s="166">
        <f>'Vật liệu'!$W$766</f>
        <v>0</v>
      </c>
      <c r="I1636" s="37">
        <v>1</v>
      </c>
      <c r="J1636" s="166">
        <f>ROUND((J1631+J1632+J1633+J1634+J1635)*G1636*I1636/100,0)</f>
        <v>14162</v>
      </c>
    </row>
    <row r="1637" spans="1:10" x14ac:dyDescent="0.25">
      <c r="A1637" s="56"/>
      <c r="B1637" s="23"/>
      <c r="C1637" s="88"/>
      <c r="D1637" s="23"/>
      <c r="E1637" s="23" t="s">
        <v>202</v>
      </c>
      <c r="F1637" s="56"/>
      <c r="G1637" s="88"/>
      <c r="H1637" s="48"/>
      <c r="I1637" s="90"/>
      <c r="J1637" s="48">
        <f>ROUND(SUM(J1638:J1638),0)</f>
        <v>320179</v>
      </c>
    </row>
    <row r="1638" spans="1:10" x14ac:dyDescent="0.25">
      <c r="A1638" s="168"/>
      <c r="B1638" s="144"/>
      <c r="C1638" s="34">
        <v>545</v>
      </c>
      <c r="D1638" s="144" t="str">
        <f>'Nhân công'!$B$6</f>
        <v>N0006</v>
      </c>
      <c r="E1638" s="144" t="s">
        <v>256</v>
      </c>
      <c r="F1638" s="168" t="str">
        <f>'Nhân công'!$G$6</f>
        <v>công</v>
      </c>
      <c r="G1638" s="34">
        <f>'Hao phí vật tư'!$H$1639</f>
        <v>1.64</v>
      </c>
      <c r="H1638" s="68">
        <f>'Nhân công'!$M$6</f>
        <v>195231</v>
      </c>
      <c r="I1638" s="37">
        <v>1</v>
      </c>
      <c r="J1638" s="166">
        <f>ROUND(G1638*H1638*I1638,0)</f>
        <v>320179</v>
      </c>
    </row>
    <row r="1639" spans="1:10" x14ac:dyDescent="0.25">
      <c r="A1639" s="56"/>
      <c r="B1639" s="23"/>
      <c r="C1639" s="88"/>
      <c r="D1639" s="23"/>
      <c r="E1639" s="23" t="s">
        <v>378</v>
      </c>
      <c r="F1639" s="56"/>
      <c r="G1639" s="88"/>
      <c r="H1639" s="48"/>
      <c r="I1639" s="90"/>
      <c r="J1639" s="48">
        <f>ROUND(SUM(J1640:J1641),0)</f>
        <v>47495</v>
      </c>
    </row>
    <row r="1640" spans="1:10" x14ac:dyDescent="0.25">
      <c r="A1640" s="168"/>
      <c r="B1640" s="144"/>
      <c r="C1640" s="34">
        <v>750</v>
      </c>
      <c r="D1640" s="144" t="str">
        <f>'Máy thi công'!$B$232</f>
        <v>M9571</v>
      </c>
      <c r="E1640" s="144" t="str">
        <f>" - " &amp; 'Máy thi công'!$D$232</f>
        <v xml:space="preserve"> - Máy đầm bê tông, dầm dùi - công suất: 1,5 kW</v>
      </c>
      <c r="F1640" s="168" t="str">
        <f>'Máy thi công'!$E$232</f>
        <v>ca</v>
      </c>
      <c r="G1640" s="34">
        <f>'Hao phí vật tư'!$I$1641</f>
        <v>8.8999999999999996E-2</v>
      </c>
      <c r="H1640" s="68">
        <f>'Máy thi công'!$N$232</f>
        <v>225765</v>
      </c>
      <c r="I1640" s="37">
        <v>1</v>
      </c>
      <c r="J1640" s="166">
        <f>ROUND(G1640*H1640*I1640,0)</f>
        <v>20093</v>
      </c>
    </row>
    <row r="1641" spans="1:10" x14ac:dyDescent="0.25">
      <c r="A1641" s="168"/>
      <c r="B1641" s="144"/>
      <c r="C1641" s="34">
        <v>744</v>
      </c>
      <c r="D1641" s="144" t="str">
        <f>'Máy thi công'!$B$306</f>
        <v>M9555</v>
      </c>
      <c r="E1641" s="144" t="str">
        <f>" - " &amp; 'Máy thi công'!$D$306</f>
        <v xml:space="preserve"> - Máy trộn bê tông - dung tích: 250 lít</v>
      </c>
      <c r="F1641" s="168" t="str">
        <f>'Máy thi công'!$E$306</f>
        <v>ca</v>
      </c>
      <c r="G1641" s="34">
        <f>'Hao phí vật tư'!$I$1642</f>
        <v>9.5000000000000001E-2</v>
      </c>
      <c r="H1641" s="68">
        <f>'Máy thi công'!$N$306</f>
        <v>288447</v>
      </c>
      <c r="I1641" s="37">
        <v>1</v>
      </c>
      <c r="J1641" s="166">
        <f>ROUND(G1641*H1641*I1641,0)</f>
        <v>27402</v>
      </c>
    </row>
    <row r="1642" spans="1:10" ht="28.5" x14ac:dyDescent="0.25">
      <c r="A1642" s="65">
        <f>'Công trình'!$A$218</f>
        <v>172</v>
      </c>
      <c r="B1642" s="14" t="str">
        <f>'Công trình'!$B$218</f>
        <v>AF.61120</v>
      </c>
      <c r="C1642" s="94"/>
      <c r="D1642" s="31"/>
      <c r="E1642" s="14" t="str">
        <f>'Công trình'!$C$218</f>
        <v>Sản xuất, lắp dựng cốt thép móng đường kính &lt;=18mm</v>
      </c>
      <c r="F1642" s="46" t="str">
        <f>'Công trình'!$D$218</f>
        <v>tấn</v>
      </c>
      <c r="G1642" s="94"/>
      <c r="H1642" s="54"/>
      <c r="I1642" s="98"/>
      <c r="J1642" s="54"/>
    </row>
    <row r="1643" spans="1:10" x14ac:dyDescent="0.25">
      <c r="A1643" s="56"/>
      <c r="B1643" s="23"/>
      <c r="C1643" s="88"/>
      <c r="D1643" s="23"/>
      <c r="E1643" s="23" t="s">
        <v>479</v>
      </c>
      <c r="F1643" s="56"/>
      <c r="G1643" s="88"/>
      <c r="H1643" s="48"/>
      <c r="I1643" s="90"/>
      <c r="J1643" s="48">
        <f>ROUND(SUM(J1644:J1646),0)</f>
        <v>14677642</v>
      </c>
    </row>
    <row r="1644" spans="1:10" x14ac:dyDescent="0.25">
      <c r="A1644" s="168"/>
      <c r="B1644" s="144"/>
      <c r="C1644" s="34">
        <v>154</v>
      </c>
      <c r="D1644" s="144" t="str">
        <f>'Vật liệu'!$B$450</f>
        <v>V00515</v>
      </c>
      <c r="E1644" s="144" t="str">
        <f>" - " &amp; 'Vật liệu'!$D$450</f>
        <v xml:space="preserve"> - Que hàn</v>
      </c>
      <c r="F1644" s="168" t="str">
        <f>'Vật liệu'!$E$450</f>
        <v>kg</v>
      </c>
      <c r="G1644" s="34">
        <f>'Hao phí vật tư'!$G$1645</f>
        <v>4.6399999999999997</v>
      </c>
      <c r="H1644" s="68">
        <f>'Vật liệu'!$W$450</f>
        <v>19091</v>
      </c>
      <c r="I1644" s="37">
        <v>1</v>
      </c>
      <c r="J1644" s="166">
        <f>ROUND(G1644*H1644*I1644,0)</f>
        <v>88582</v>
      </c>
    </row>
    <row r="1645" spans="1:10" x14ac:dyDescent="0.25">
      <c r="A1645" s="168"/>
      <c r="B1645" s="144"/>
      <c r="C1645" s="34">
        <v>135</v>
      </c>
      <c r="D1645" s="144" t="str">
        <f>'Vật liệu'!$B$221</f>
        <v>V00226</v>
      </c>
      <c r="E1645" s="144" t="str">
        <f>" - " &amp; 'Vật liệu'!$D$221</f>
        <v xml:space="preserve"> - Dây thép</v>
      </c>
      <c r="F1645" s="168" t="str">
        <f>'Vật liệu'!$E$221</f>
        <v>kg</v>
      </c>
      <c r="G1645" s="34">
        <f>'Hao phí vật tư'!$G$1646</f>
        <v>14.28</v>
      </c>
      <c r="H1645" s="68">
        <f>'Vật liệu'!$W$221</f>
        <v>17500</v>
      </c>
      <c r="I1645" s="37">
        <v>1</v>
      </c>
      <c r="J1645" s="166">
        <f>ROUND(G1645*H1645*I1645,0)</f>
        <v>249900</v>
      </c>
    </row>
    <row r="1646" spans="1:10" x14ac:dyDescent="0.25">
      <c r="A1646" s="168"/>
      <c r="B1646" s="144"/>
      <c r="C1646" s="34">
        <v>485</v>
      </c>
      <c r="D1646" s="144" t="str">
        <f>'Vật liệu'!$B$665</f>
        <v>V48495</v>
      </c>
      <c r="E1646" s="144" t="str">
        <f>" - " &amp; 'Vật liệu'!$D$665</f>
        <v xml:space="preserve"> - Thép tròn đường kính &lt;=18mm</v>
      </c>
      <c r="F1646" s="168" t="str">
        <f>'Vật liệu'!$E$665</f>
        <v>kg</v>
      </c>
      <c r="G1646" s="34">
        <f>'Hao phí vật tư'!$G$1647</f>
        <v>1020</v>
      </c>
      <c r="H1646" s="68">
        <f>'Vật liệu'!$W$665</f>
        <v>14058</v>
      </c>
      <c r="I1646" s="37">
        <v>1</v>
      </c>
      <c r="J1646" s="166">
        <f>ROUND(G1646*H1646*I1646,0)</f>
        <v>14339160</v>
      </c>
    </row>
    <row r="1647" spans="1:10" x14ac:dyDescent="0.25">
      <c r="A1647" s="56"/>
      <c r="B1647" s="23"/>
      <c r="C1647" s="88"/>
      <c r="D1647" s="23"/>
      <c r="E1647" s="23" t="s">
        <v>202</v>
      </c>
      <c r="F1647" s="56"/>
      <c r="G1647" s="88"/>
      <c r="H1647" s="48"/>
      <c r="I1647" s="90"/>
      <c r="J1647" s="48">
        <f>ROUND(SUM(J1648:J1648),0)</f>
        <v>1775219</v>
      </c>
    </row>
    <row r="1648" spans="1:10" x14ac:dyDescent="0.25">
      <c r="A1648" s="168"/>
      <c r="B1648" s="144"/>
      <c r="C1648" s="34">
        <v>546</v>
      </c>
      <c r="D1648" s="144" t="str">
        <f>'Nhân công'!$B$45</f>
        <v>N0009</v>
      </c>
      <c r="E1648" s="144" t="s">
        <v>1052</v>
      </c>
      <c r="F1648" s="168" t="str">
        <f>'Nhân công'!$G$45</f>
        <v>công</v>
      </c>
      <c r="G1648" s="34">
        <f>'Hao phí vật tư'!$H$1649</f>
        <v>8.34</v>
      </c>
      <c r="H1648" s="68">
        <f>'Nhân công'!$M$45</f>
        <v>212856</v>
      </c>
      <c r="I1648" s="37">
        <v>1</v>
      </c>
      <c r="J1648" s="166">
        <f>ROUND(G1648*H1648*I1648,0)</f>
        <v>1775219</v>
      </c>
    </row>
    <row r="1649" spans="1:10" x14ac:dyDescent="0.25">
      <c r="A1649" s="56"/>
      <c r="B1649" s="23"/>
      <c r="C1649" s="88"/>
      <c r="D1649" s="23"/>
      <c r="E1649" s="23" t="s">
        <v>378</v>
      </c>
      <c r="F1649" s="56"/>
      <c r="G1649" s="88"/>
      <c r="H1649" s="48"/>
      <c r="I1649" s="90"/>
      <c r="J1649" s="48">
        <f>ROUND(SUM(J1650:J1651),0)</f>
        <v>451556</v>
      </c>
    </row>
    <row r="1650" spans="1:10" x14ac:dyDescent="0.25">
      <c r="A1650" s="168"/>
      <c r="B1650" s="144"/>
      <c r="C1650" s="34">
        <v>737</v>
      </c>
      <c r="D1650" s="144" t="str">
        <f>'Máy thi công'!$B$184</f>
        <v>M9521</v>
      </c>
      <c r="E1650" s="144" t="str">
        <f>" - " &amp; 'Máy thi công'!$D$184</f>
        <v xml:space="preserve"> - Máy cắt uốn cốt thép - công suất: 5 kW</v>
      </c>
      <c r="F1650" s="168" t="str">
        <f>'Máy thi công'!$E$184</f>
        <v>ca</v>
      </c>
      <c r="G1650" s="34">
        <f>'Hao phí vật tư'!$I$1651</f>
        <v>0.32</v>
      </c>
      <c r="H1650" s="68">
        <f>'Máy thi công'!$N$184</f>
        <v>228044</v>
      </c>
      <c r="I1650" s="37">
        <v>1</v>
      </c>
      <c r="J1650" s="166">
        <f>ROUND(G1650*H1650*I1650,0)</f>
        <v>72974</v>
      </c>
    </row>
    <row r="1651" spans="1:10" x14ac:dyDescent="0.25">
      <c r="A1651" s="168"/>
      <c r="B1651" s="144"/>
      <c r="C1651" s="34">
        <v>714</v>
      </c>
      <c r="D1651" s="144" t="str">
        <f>'Máy thi công'!$B$6</f>
        <v>M9438</v>
      </c>
      <c r="E1651" s="144" t="str">
        <f>" - " &amp; 'Máy thi công'!$D$6</f>
        <v xml:space="preserve"> - Biến thế hàn xoay chiều - công suất: 23 kW</v>
      </c>
      <c r="F1651" s="168" t="str">
        <f>'Máy thi công'!$E$6</f>
        <v>ca</v>
      </c>
      <c r="G1651" s="34">
        <f>'Hao phí vật tư'!$I$1652</f>
        <v>1.1200000000000001</v>
      </c>
      <c r="H1651" s="68">
        <f>'Máy thi công'!$N$6</f>
        <v>338020</v>
      </c>
      <c r="I1651" s="37">
        <v>1</v>
      </c>
      <c r="J1651" s="166">
        <f>ROUND(G1651*H1651*I1651,0)</f>
        <v>378582</v>
      </c>
    </row>
    <row r="1652" spans="1:10" ht="28.5" x14ac:dyDescent="0.25">
      <c r="A1652" s="65">
        <f>'Công trình'!$A$220</f>
        <v>173</v>
      </c>
      <c r="B1652" s="14" t="str">
        <f>'Công trình'!$B$220</f>
        <v>AF.61110</v>
      </c>
      <c r="C1652" s="94"/>
      <c r="D1652" s="31"/>
      <c r="E1652" s="14" t="str">
        <f>'Công trình'!$C$220</f>
        <v>Sản xuất, lắp dựng cốt thép đường kính &lt;=10mm</v>
      </c>
      <c r="F1652" s="46" t="str">
        <f>'Công trình'!$D$220</f>
        <v>tấn</v>
      </c>
      <c r="G1652" s="94"/>
      <c r="H1652" s="54"/>
      <c r="I1652" s="98"/>
      <c r="J1652" s="54"/>
    </row>
    <row r="1653" spans="1:10" x14ac:dyDescent="0.25">
      <c r="A1653" s="56"/>
      <c r="B1653" s="23"/>
      <c r="C1653" s="88"/>
      <c r="D1653" s="23"/>
      <c r="E1653" s="23" t="s">
        <v>479</v>
      </c>
      <c r="F1653" s="56"/>
      <c r="G1653" s="88"/>
      <c r="H1653" s="48"/>
      <c r="I1653" s="90"/>
      <c r="J1653" s="48">
        <f>ROUND(SUM(J1654:J1655),0)</f>
        <v>14603640</v>
      </c>
    </row>
    <row r="1654" spans="1:10" x14ac:dyDescent="0.25">
      <c r="A1654" s="168"/>
      <c r="B1654" s="144"/>
      <c r="C1654" s="34">
        <v>135</v>
      </c>
      <c r="D1654" s="144" t="str">
        <f>'Vật liệu'!$B$221</f>
        <v>V00226</v>
      </c>
      <c r="E1654" s="144" t="str">
        <f>" - " &amp; 'Vật liệu'!$D$221</f>
        <v xml:space="preserve"> - Dây thép</v>
      </c>
      <c r="F1654" s="168" t="str">
        <f>'Vật liệu'!$E$221</f>
        <v>kg</v>
      </c>
      <c r="G1654" s="34">
        <f>'Hao phí vật tư'!$G$1655</f>
        <v>21.42</v>
      </c>
      <c r="H1654" s="68">
        <f>'Vật liệu'!$W$221</f>
        <v>17500</v>
      </c>
      <c r="I1654" s="37">
        <v>1</v>
      </c>
      <c r="J1654" s="166">
        <f>ROUND(G1654*H1654*I1654,0)</f>
        <v>374850</v>
      </c>
    </row>
    <row r="1655" spans="1:10" x14ac:dyDescent="0.25">
      <c r="A1655" s="168"/>
      <c r="B1655" s="144"/>
      <c r="C1655" s="34">
        <v>484</v>
      </c>
      <c r="D1655" s="144" t="str">
        <f>'Vật liệu'!$B$650</f>
        <v>V48494</v>
      </c>
      <c r="E1655" s="144" t="str">
        <f>" - " &amp; 'Vật liệu'!$D$650</f>
        <v xml:space="preserve"> - Thép tròn đường kính &lt;=10 mm</v>
      </c>
      <c r="F1655" s="168" t="str">
        <f>'Vật liệu'!$E$650</f>
        <v>kg</v>
      </c>
      <c r="G1655" s="34">
        <f>'Hao phí vật tư'!$G$1656</f>
        <v>1005</v>
      </c>
      <c r="H1655" s="68">
        <f>'Vật liệu'!$W$650</f>
        <v>14158</v>
      </c>
      <c r="I1655" s="37">
        <v>1</v>
      </c>
      <c r="J1655" s="166">
        <f>ROUND(G1655*H1655*I1655,0)</f>
        <v>14228790</v>
      </c>
    </row>
    <row r="1656" spans="1:10" x14ac:dyDescent="0.25">
      <c r="A1656" s="56"/>
      <c r="B1656" s="23"/>
      <c r="C1656" s="88"/>
      <c r="D1656" s="23"/>
      <c r="E1656" s="23" t="s">
        <v>202</v>
      </c>
      <c r="F1656" s="56"/>
      <c r="G1656" s="88"/>
      <c r="H1656" s="48"/>
      <c r="I1656" s="90"/>
      <c r="J1656" s="48">
        <f>ROUND(SUM(J1657:J1657),0)</f>
        <v>2409530</v>
      </c>
    </row>
    <row r="1657" spans="1:10" x14ac:dyDescent="0.25">
      <c r="A1657" s="168"/>
      <c r="B1657" s="144"/>
      <c r="C1657" s="34">
        <v>546</v>
      </c>
      <c r="D1657" s="144" t="str">
        <f>'Nhân công'!$B$45</f>
        <v>N0009</v>
      </c>
      <c r="E1657" s="144" t="s">
        <v>1052</v>
      </c>
      <c r="F1657" s="168" t="str">
        <f>'Nhân công'!$G$45</f>
        <v>công</v>
      </c>
      <c r="G1657" s="34">
        <f>'Hao phí vật tư'!$H$1658</f>
        <v>11.32</v>
      </c>
      <c r="H1657" s="68">
        <f>'Nhân công'!$M$45</f>
        <v>212856</v>
      </c>
      <c r="I1657" s="37">
        <v>1</v>
      </c>
      <c r="J1657" s="166">
        <f>ROUND(G1657*H1657*I1657,0)</f>
        <v>2409530</v>
      </c>
    </row>
    <row r="1658" spans="1:10" x14ac:dyDescent="0.25">
      <c r="A1658" s="56"/>
      <c r="B1658" s="23"/>
      <c r="C1658" s="88"/>
      <c r="D1658" s="23"/>
      <c r="E1658" s="23" t="s">
        <v>378</v>
      </c>
      <c r="F1658" s="56"/>
      <c r="G1658" s="88"/>
      <c r="H1658" s="48"/>
      <c r="I1658" s="90"/>
      <c r="J1658" s="48">
        <f>ROUND(SUM(J1659:J1659),0)</f>
        <v>91218</v>
      </c>
    </row>
    <row r="1659" spans="1:10" x14ac:dyDescent="0.25">
      <c r="A1659" s="168"/>
      <c r="B1659" s="144"/>
      <c r="C1659" s="34">
        <v>737</v>
      </c>
      <c r="D1659" s="144" t="str">
        <f>'Máy thi công'!$B$184</f>
        <v>M9521</v>
      </c>
      <c r="E1659" s="144" t="str">
        <f>" - " &amp; 'Máy thi công'!$D$184</f>
        <v xml:space="preserve"> - Máy cắt uốn cốt thép - công suất: 5 kW</v>
      </c>
      <c r="F1659" s="168" t="str">
        <f>'Máy thi công'!$E$184</f>
        <v>ca</v>
      </c>
      <c r="G1659" s="34">
        <f>'Hao phí vật tư'!$I$1660</f>
        <v>0.4</v>
      </c>
      <c r="H1659" s="68">
        <f>'Máy thi công'!$N$184</f>
        <v>228044</v>
      </c>
      <c r="I1659" s="37">
        <v>1</v>
      </c>
      <c r="J1659" s="166">
        <f>ROUND(G1659*H1659*I1659,0)</f>
        <v>91218</v>
      </c>
    </row>
    <row r="1660" spans="1:10" ht="28.5" x14ac:dyDescent="0.25">
      <c r="A1660" s="65">
        <f>'Công trình'!$A$221</f>
        <v>174</v>
      </c>
      <c r="B1660" s="14" t="str">
        <f>'Công trình'!$B$221</f>
        <v>AF.61120</v>
      </c>
      <c r="C1660" s="94"/>
      <c r="D1660" s="31"/>
      <c r="E1660" s="14" t="str">
        <f>'Công trình'!$C$221</f>
        <v>Sản xuất, lắp dựng cốt thép đường kính &lt;=18mm</v>
      </c>
      <c r="F1660" s="46" t="str">
        <f>'Công trình'!$D$221</f>
        <v>tấn</v>
      </c>
      <c r="G1660" s="94"/>
      <c r="H1660" s="54"/>
      <c r="I1660" s="98"/>
      <c r="J1660" s="54"/>
    </row>
    <row r="1661" spans="1:10" x14ac:dyDescent="0.25">
      <c r="A1661" s="56"/>
      <c r="B1661" s="23"/>
      <c r="C1661" s="88"/>
      <c r="D1661" s="23"/>
      <c r="E1661" s="23" t="s">
        <v>479</v>
      </c>
      <c r="F1661" s="56"/>
      <c r="G1661" s="88"/>
      <c r="H1661" s="48"/>
      <c r="I1661" s="90"/>
      <c r="J1661" s="48">
        <f>ROUND(SUM(J1662:J1664),0)</f>
        <v>14677642</v>
      </c>
    </row>
    <row r="1662" spans="1:10" x14ac:dyDescent="0.25">
      <c r="A1662" s="168"/>
      <c r="B1662" s="144"/>
      <c r="C1662" s="34">
        <v>154</v>
      </c>
      <c r="D1662" s="144" t="str">
        <f>'Vật liệu'!$B$450</f>
        <v>V00515</v>
      </c>
      <c r="E1662" s="144" t="str">
        <f>" - " &amp; 'Vật liệu'!$D$450</f>
        <v xml:space="preserve"> - Que hàn</v>
      </c>
      <c r="F1662" s="168" t="str">
        <f>'Vật liệu'!$E$450</f>
        <v>kg</v>
      </c>
      <c r="G1662" s="34">
        <f>'Hao phí vật tư'!$G$1663</f>
        <v>4.6399999999999997</v>
      </c>
      <c r="H1662" s="68">
        <f>'Vật liệu'!$W$450</f>
        <v>19091</v>
      </c>
      <c r="I1662" s="37">
        <v>1</v>
      </c>
      <c r="J1662" s="166">
        <f>ROUND(G1662*H1662*I1662,0)</f>
        <v>88582</v>
      </c>
    </row>
    <row r="1663" spans="1:10" x14ac:dyDescent="0.25">
      <c r="A1663" s="168"/>
      <c r="B1663" s="144"/>
      <c r="C1663" s="34">
        <v>135</v>
      </c>
      <c r="D1663" s="144" t="str">
        <f>'Vật liệu'!$B$221</f>
        <v>V00226</v>
      </c>
      <c r="E1663" s="144" t="str">
        <f>" - " &amp; 'Vật liệu'!$D$221</f>
        <v xml:space="preserve"> - Dây thép</v>
      </c>
      <c r="F1663" s="168" t="str">
        <f>'Vật liệu'!$E$221</f>
        <v>kg</v>
      </c>
      <c r="G1663" s="34">
        <f>'Hao phí vật tư'!$G$1664</f>
        <v>14.28</v>
      </c>
      <c r="H1663" s="68">
        <f>'Vật liệu'!$W$221</f>
        <v>17500</v>
      </c>
      <c r="I1663" s="37">
        <v>1</v>
      </c>
      <c r="J1663" s="166">
        <f>ROUND(G1663*H1663*I1663,0)</f>
        <v>249900</v>
      </c>
    </row>
    <row r="1664" spans="1:10" x14ac:dyDescent="0.25">
      <c r="A1664" s="168"/>
      <c r="B1664" s="144"/>
      <c r="C1664" s="34">
        <v>485</v>
      </c>
      <c r="D1664" s="144" t="str">
        <f>'Vật liệu'!$B$665</f>
        <v>V48495</v>
      </c>
      <c r="E1664" s="144" t="str">
        <f>" - " &amp; 'Vật liệu'!$D$665</f>
        <v xml:space="preserve"> - Thép tròn đường kính &lt;=18mm</v>
      </c>
      <c r="F1664" s="168" t="str">
        <f>'Vật liệu'!$E$665</f>
        <v>kg</v>
      </c>
      <c r="G1664" s="34">
        <f>'Hao phí vật tư'!$G$1665</f>
        <v>1020</v>
      </c>
      <c r="H1664" s="68">
        <f>'Vật liệu'!$W$665</f>
        <v>14058</v>
      </c>
      <c r="I1664" s="37">
        <v>1</v>
      </c>
      <c r="J1664" s="166">
        <f>ROUND(G1664*H1664*I1664,0)</f>
        <v>14339160</v>
      </c>
    </row>
    <row r="1665" spans="1:10" x14ac:dyDescent="0.25">
      <c r="A1665" s="56"/>
      <c r="B1665" s="23"/>
      <c r="C1665" s="88"/>
      <c r="D1665" s="23"/>
      <c r="E1665" s="23" t="s">
        <v>202</v>
      </c>
      <c r="F1665" s="56"/>
      <c r="G1665" s="88"/>
      <c r="H1665" s="48"/>
      <c r="I1665" s="90"/>
      <c r="J1665" s="48">
        <f>ROUND(SUM(J1666:J1666),0)</f>
        <v>1775219</v>
      </c>
    </row>
    <row r="1666" spans="1:10" x14ac:dyDescent="0.25">
      <c r="A1666" s="168"/>
      <c r="B1666" s="144"/>
      <c r="C1666" s="34">
        <v>546</v>
      </c>
      <c r="D1666" s="144" t="str">
        <f>'Nhân công'!$B$45</f>
        <v>N0009</v>
      </c>
      <c r="E1666" s="144" t="s">
        <v>1052</v>
      </c>
      <c r="F1666" s="168" t="str">
        <f>'Nhân công'!$G$45</f>
        <v>công</v>
      </c>
      <c r="G1666" s="34">
        <f>'Hao phí vật tư'!$H$1667</f>
        <v>8.34</v>
      </c>
      <c r="H1666" s="68">
        <f>'Nhân công'!$M$45</f>
        <v>212856</v>
      </c>
      <c r="I1666" s="37">
        <v>1</v>
      </c>
      <c r="J1666" s="166">
        <f>ROUND(G1666*H1666*I1666,0)</f>
        <v>1775219</v>
      </c>
    </row>
    <row r="1667" spans="1:10" x14ac:dyDescent="0.25">
      <c r="A1667" s="56"/>
      <c r="B1667" s="23"/>
      <c r="C1667" s="88"/>
      <c r="D1667" s="23"/>
      <c r="E1667" s="23" t="s">
        <v>378</v>
      </c>
      <c r="F1667" s="56"/>
      <c r="G1667" s="88"/>
      <c r="H1667" s="48"/>
      <c r="I1667" s="90"/>
      <c r="J1667" s="48">
        <f>ROUND(SUM(J1668:J1669),0)</f>
        <v>451556</v>
      </c>
    </row>
    <row r="1668" spans="1:10" x14ac:dyDescent="0.25">
      <c r="A1668" s="168"/>
      <c r="B1668" s="144"/>
      <c r="C1668" s="34">
        <v>737</v>
      </c>
      <c r="D1668" s="144" t="str">
        <f>'Máy thi công'!$B$184</f>
        <v>M9521</v>
      </c>
      <c r="E1668" s="144" t="str">
        <f>" - " &amp; 'Máy thi công'!$D$184</f>
        <v xml:space="preserve"> - Máy cắt uốn cốt thép - công suất: 5 kW</v>
      </c>
      <c r="F1668" s="168" t="str">
        <f>'Máy thi công'!$E$184</f>
        <v>ca</v>
      </c>
      <c r="G1668" s="34">
        <f>'Hao phí vật tư'!$I$1669</f>
        <v>0.32</v>
      </c>
      <c r="H1668" s="68">
        <f>'Máy thi công'!$N$184</f>
        <v>228044</v>
      </c>
      <c r="I1668" s="37">
        <v>1</v>
      </c>
      <c r="J1668" s="166">
        <f>ROUND(G1668*H1668*I1668,0)</f>
        <v>72974</v>
      </c>
    </row>
    <row r="1669" spans="1:10" x14ac:dyDescent="0.25">
      <c r="A1669" s="168"/>
      <c r="B1669" s="144"/>
      <c r="C1669" s="34">
        <v>714</v>
      </c>
      <c r="D1669" s="144" t="str">
        <f>'Máy thi công'!$B$6</f>
        <v>M9438</v>
      </c>
      <c r="E1669" s="144" t="str">
        <f>" - " &amp; 'Máy thi công'!$D$6</f>
        <v xml:space="preserve"> - Biến thế hàn xoay chiều - công suất: 23 kW</v>
      </c>
      <c r="F1669" s="168" t="str">
        <f>'Máy thi công'!$E$6</f>
        <v>ca</v>
      </c>
      <c r="G1669" s="34">
        <f>'Hao phí vật tư'!$I$1670</f>
        <v>1.1200000000000001</v>
      </c>
      <c r="H1669" s="68">
        <f>'Máy thi công'!$N$6</f>
        <v>338020</v>
      </c>
      <c r="I1669" s="37">
        <v>1</v>
      </c>
      <c r="J1669" s="166">
        <f>ROUND(G1669*H1669*I1669,0)</f>
        <v>378582</v>
      </c>
    </row>
    <row r="1670" spans="1:10" x14ac:dyDescent="0.25">
      <c r="A1670" s="65">
        <f>'Công trình'!$A$222</f>
        <v>175</v>
      </c>
      <c r="B1670" s="14" t="str">
        <f>'Công trình'!$B$222</f>
        <v>AL.16210</v>
      </c>
      <c r="C1670" s="94"/>
      <c r="D1670" s="31"/>
      <c r="E1670" s="14" t="str">
        <f>'Công trình'!$C$222</f>
        <v>Giấy dầu</v>
      </c>
      <c r="F1670" s="46" t="str">
        <f>'Công trình'!$D$222</f>
        <v>100m2</v>
      </c>
      <c r="G1670" s="94"/>
      <c r="H1670" s="54"/>
      <c r="I1670" s="98"/>
      <c r="J1670" s="54"/>
    </row>
    <row r="1671" spans="1:10" x14ac:dyDescent="0.25">
      <c r="A1671" s="56"/>
      <c r="B1671" s="23"/>
      <c r="C1671" s="88"/>
      <c r="D1671" s="23"/>
      <c r="E1671" s="23" t="s">
        <v>479</v>
      </c>
      <c r="F1671" s="56"/>
      <c r="G1671" s="88"/>
      <c r="H1671" s="48"/>
      <c r="I1671" s="90"/>
      <c r="J1671" s="48">
        <f>ROUND(SUM(J1672:J1673),0)</f>
        <v>448896</v>
      </c>
    </row>
    <row r="1672" spans="1:10" x14ac:dyDescent="0.25">
      <c r="A1672" s="168"/>
      <c r="B1672" s="144"/>
      <c r="C1672" s="34">
        <v>137</v>
      </c>
      <c r="D1672" s="144" t="str">
        <f>'Vật liệu'!$B$292</f>
        <v>V00269</v>
      </c>
      <c r="E1672" s="144" t="str">
        <f>" - " &amp; 'Vật liệu'!$D$292</f>
        <v xml:space="preserve"> - Giấy dầu</v>
      </c>
      <c r="F1672" s="168" t="str">
        <f>'Vật liệu'!$E$292</f>
        <v>m2</v>
      </c>
      <c r="G1672" s="34">
        <f>'Hao phí vật tư'!$G$1673</f>
        <v>112</v>
      </c>
      <c r="H1672" s="68">
        <f>'Vật liệu'!$W$292</f>
        <v>4000</v>
      </c>
      <c r="I1672" s="37">
        <v>1</v>
      </c>
      <c r="J1672" s="166">
        <f>ROUND(G1672*H1672*I1672,0)</f>
        <v>448000</v>
      </c>
    </row>
    <row r="1673" spans="1:10" x14ac:dyDescent="0.25">
      <c r="A1673" s="168"/>
      <c r="B1673" s="144"/>
      <c r="C1673" s="34">
        <v>292</v>
      </c>
      <c r="D1673" s="144" t="str">
        <f>'Vật liệu'!$B$766</f>
        <v>V00750</v>
      </c>
      <c r="E1673" s="144" t="str">
        <f>" - " &amp; 'Vật liệu'!$D$766</f>
        <v xml:space="preserve"> - Vật liệu khác</v>
      </c>
      <c r="F1673" s="168" t="str">
        <f>'Vật liệu'!$E$766</f>
        <v>%</v>
      </c>
      <c r="G1673" s="34">
        <f>'Hao phí vật tư'!$G$1674</f>
        <v>0.2</v>
      </c>
      <c r="H1673" s="166">
        <f>'Vật liệu'!$W$766</f>
        <v>0</v>
      </c>
      <c r="I1673" s="37">
        <v>1</v>
      </c>
      <c r="J1673" s="166">
        <f>ROUND((J1672)*G1673*I1673/100,0)</f>
        <v>896</v>
      </c>
    </row>
    <row r="1674" spans="1:10" x14ac:dyDescent="0.25">
      <c r="A1674" s="56"/>
      <c r="B1674" s="23"/>
      <c r="C1674" s="88"/>
      <c r="D1674" s="23"/>
      <c r="E1674" s="23" t="s">
        <v>202</v>
      </c>
      <c r="F1674" s="56"/>
      <c r="G1674" s="88"/>
      <c r="H1674" s="48"/>
      <c r="I1674" s="90"/>
      <c r="J1674" s="48">
        <f>ROUND(SUM(J1675:J1675),0)</f>
        <v>282632</v>
      </c>
    </row>
    <row r="1675" spans="1:10" x14ac:dyDescent="0.25">
      <c r="A1675" s="168"/>
      <c r="B1675" s="144"/>
      <c r="C1675" s="34">
        <v>554</v>
      </c>
      <c r="D1675" s="144" t="str">
        <f>'Nhân công'!$B$103</f>
        <v>N0015</v>
      </c>
      <c r="E1675" s="144" t="s">
        <v>1014</v>
      </c>
      <c r="F1675" s="168" t="str">
        <f>'Nhân công'!$G$103</f>
        <v>công</v>
      </c>
      <c r="G1675" s="34">
        <f>'Hao phí vật tư'!$H$1676</f>
        <v>1.18</v>
      </c>
      <c r="H1675" s="68">
        <f>'Nhân công'!$M$103</f>
        <v>239519</v>
      </c>
      <c r="I1675" s="37">
        <v>1</v>
      </c>
      <c r="J1675" s="166">
        <f>ROUND(G1675*H1675*I1675,0)</f>
        <v>282632</v>
      </c>
    </row>
    <row r="1676" spans="1:10" x14ac:dyDescent="0.25">
      <c r="A1676" s="65">
        <f>'Công trình'!$A$223</f>
        <v>176</v>
      </c>
      <c r="B1676" s="14" t="str">
        <f>'Công trình'!$B$223</f>
        <v>TT</v>
      </c>
      <c r="C1676" s="94"/>
      <c r="D1676" s="31"/>
      <c r="E1676" s="14" t="str">
        <f>'Công trình'!$C$223</f>
        <v>Tôn (206x700x0.1)cm</v>
      </c>
      <c r="F1676" s="46" t="str">
        <f>'Công trình'!$D$223</f>
        <v>kg</v>
      </c>
      <c r="G1676" s="94"/>
      <c r="H1676" s="54"/>
      <c r="I1676" s="98"/>
      <c r="J1676" s="54"/>
    </row>
    <row r="1677" spans="1:10" x14ac:dyDescent="0.25">
      <c r="A1677" s="56"/>
      <c r="B1677" s="23"/>
      <c r="C1677" s="88"/>
      <c r="D1677" s="23"/>
      <c r="E1677" s="23" t="s">
        <v>479</v>
      </c>
      <c r="F1677" s="56"/>
      <c r="G1677" s="88"/>
      <c r="H1677" s="48"/>
      <c r="I1677" s="90"/>
      <c r="J1677" s="48">
        <f>ROUND(SUM(J1678:J1678),0)</f>
        <v>25168</v>
      </c>
    </row>
    <row r="1678" spans="1:10" x14ac:dyDescent="0.25">
      <c r="A1678" s="168"/>
      <c r="B1678" s="144"/>
      <c r="C1678" s="34">
        <v>414</v>
      </c>
      <c r="D1678" s="144" t="str">
        <f>'Vật liệu'!$B$702</f>
        <v>V03174</v>
      </c>
      <c r="E1678" s="144" t="str">
        <f>" - " &amp; 'Vật liệu'!$D$702</f>
        <v xml:space="preserve"> - Tôn tráng kẽm</v>
      </c>
      <c r="F1678" s="168" t="str">
        <f>'Vật liệu'!$E$702</f>
        <v>kg</v>
      </c>
      <c r="G1678" s="34">
        <f>'Hao phí vật tư'!$G$1679</f>
        <v>1.1000000000000001</v>
      </c>
      <c r="H1678" s="68">
        <f>'Vật liệu'!$W$702</f>
        <v>22880</v>
      </c>
      <c r="I1678" s="37">
        <v>1</v>
      </c>
      <c r="J1678" s="166">
        <f>ROUND(G1678*H1678*I1678,0)</f>
        <v>25168</v>
      </c>
    </row>
    <row r="1679" spans="1:10" ht="28.5" x14ac:dyDescent="0.25">
      <c r="A1679" s="65">
        <f>'Công trình'!$A$225</f>
        <v>177</v>
      </c>
      <c r="B1679" s="14" t="str">
        <f>'Công trình'!$B$225</f>
        <v>AG.11125</v>
      </c>
      <c r="C1679" s="94"/>
      <c r="D1679" s="31"/>
      <c r="E1679" s="14" t="str">
        <f>'Công trình'!$C$225</f>
        <v>Sản xuất bê tông cọc cừ đúc sẵn đá 1x2, vữa BT mác 300</v>
      </c>
      <c r="F1679" s="46" t="str">
        <f>'Công trình'!$D$225</f>
        <v>m3</v>
      </c>
      <c r="G1679" s="94"/>
      <c r="H1679" s="54"/>
      <c r="I1679" s="98"/>
      <c r="J1679" s="54"/>
    </row>
    <row r="1680" spans="1:10" x14ac:dyDescent="0.25">
      <c r="A1680" s="56"/>
      <c r="B1680" s="23"/>
      <c r="C1680" s="88"/>
      <c r="D1680" s="23"/>
      <c r="E1680" s="23" t="s">
        <v>479</v>
      </c>
      <c r="F1680" s="56"/>
      <c r="G1680" s="88"/>
      <c r="H1680" s="48"/>
      <c r="I1680" s="90"/>
      <c r="J1680" s="48">
        <f>ROUND(SUM(J1681:J1685),0)</f>
        <v>1095938</v>
      </c>
    </row>
    <row r="1681" spans="1:10" x14ac:dyDescent="0.25">
      <c r="A1681" s="168"/>
      <c r="B1681" s="144"/>
      <c r="C1681" s="34">
        <v>397</v>
      </c>
      <c r="D1681" s="144" t="str">
        <f>'Vật liệu'!$B$721</f>
        <v>V00761</v>
      </c>
      <c r="E1681" s="144" t="str">
        <f>" - " &amp; 'Vật liệu'!$D$721</f>
        <v xml:space="preserve"> - Xi măng PC40</v>
      </c>
      <c r="F1681" s="168" t="str">
        <f>'Vật liệu'!$E$721</f>
        <v>kg</v>
      </c>
      <c r="G1681" s="34">
        <f>'Hao phí vật tư'!$G$1682</f>
        <v>379.61</v>
      </c>
      <c r="H1681" s="68">
        <f>'Vật liệu'!$W$721</f>
        <v>1513</v>
      </c>
      <c r="I1681" s="37">
        <v>1</v>
      </c>
      <c r="J1681" s="166">
        <f>ROUND(G1681*H1681*I1681,0)</f>
        <v>574350</v>
      </c>
    </row>
    <row r="1682" spans="1:10" x14ac:dyDescent="0.25">
      <c r="A1682" s="168"/>
      <c r="B1682" s="144"/>
      <c r="C1682" s="34">
        <v>125</v>
      </c>
      <c r="D1682" s="144" t="str">
        <f>'Vật liệu'!$B$54</f>
        <v>V00112</v>
      </c>
      <c r="E1682" s="144" t="str">
        <f>" - " &amp; 'Vật liệu'!$D$54</f>
        <v xml:space="preserve"> - Cát vàng</v>
      </c>
      <c r="F1682" s="168" t="str">
        <f>'Vật liệu'!$E$54</f>
        <v>m3</v>
      </c>
      <c r="G1682" s="34">
        <f>'Hao phí vật tư'!$G$1683</f>
        <v>0.46389999999999998</v>
      </c>
      <c r="H1682" s="68">
        <f>'Vật liệu'!$W$54</f>
        <v>420000</v>
      </c>
      <c r="I1682" s="37">
        <v>1</v>
      </c>
      <c r="J1682" s="166">
        <f>ROUND(G1682*H1682*I1682,0)</f>
        <v>194838</v>
      </c>
    </row>
    <row r="1683" spans="1:10" x14ac:dyDescent="0.25">
      <c r="A1683" s="168"/>
      <c r="B1683" s="144"/>
      <c r="C1683" s="34">
        <v>416</v>
      </c>
      <c r="D1683" s="144" t="str">
        <f>'Vật liệu'!$B$142</f>
        <v>V05207</v>
      </c>
      <c r="E1683" s="144" t="str">
        <f>" - " &amp; 'Vật liệu'!$D$142</f>
        <v xml:space="preserve"> - Đá 1x2</v>
      </c>
      <c r="F1683" s="168" t="str">
        <f>'Vật liệu'!$E$142</f>
        <v>m3</v>
      </c>
      <c r="G1683" s="34">
        <f>'Hao phí vật tư'!$G$1684</f>
        <v>0.8851</v>
      </c>
      <c r="H1683" s="68">
        <f>'Vật liệu'!$W$142</f>
        <v>360886</v>
      </c>
      <c r="I1683" s="37">
        <v>1</v>
      </c>
      <c r="J1683" s="166">
        <f>ROUND(G1683*H1683*I1683,0)</f>
        <v>319420</v>
      </c>
    </row>
    <row r="1684" spans="1:10" x14ac:dyDescent="0.25">
      <c r="A1684" s="168"/>
      <c r="B1684" s="144"/>
      <c r="C1684" s="34">
        <v>148</v>
      </c>
      <c r="D1684" s="144" t="str">
        <f>'Vật liệu'!$B$353</f>
        <v>V00494</v>
      </c>
      <c r="E1684" s="144" t="str">
        <f>" - " &amp; 'Vật liệu'!$D$353</f>
        <v xml:space="preserve"> - Nước</v>
      </c>
      <c r="F1684" s="168" t="str">
        <f>'Vật liệu'!$E$353</f>
        <v>lít</v>
      </c>
      <c r="G1684" s="34">
        <f>'Hao phí vật tư'!$G$1685</f>
        <v>187.77500000000001</v>
      </c>
      <c r="H1684" s="68">
        <f>'Vật liệu'!$W$353</f>
        <v>10</v>
      </c>
      <c r="I1684" s="37">
        <v>1</v>
      </c>
      <c r="J1684" s="166">
        <f>ROUND(G1684*H1684*I1684,0)</f>
        <v>1878</v>
      </c>
    </row>
    <row r="1685" spans="1:10" x14ac:dyDescent="0.25">
      <c r="A1685" s="168"/>
      <c r="B1685" s="144"/>
      <c r="C1685" s="34">
        <v>293</v>
      </c>
      <c r="D1685" s="144" t="str">
        <f>'Vật liệu'!$B$766</f>
        <v>V00750</v>
      </c>
      <c r="E1685" s="144" t="str">
        <f>" - " &amp; 'Vật liệu'!$D$766</f>
        <v xml:space="preserve"> - Vật liệu khác</v>
      </c>
      <c r="F1685" s="168" t="str">
        <f>'Vật liệu'!$E$766</f>
        <v>%</v>
      </c>
      <c r="G1685" s="34">
        <f>'Hao phí vật tư'!$G$1686</f>
        <v>0.5</v>
      </c>
      <c r="H1685" s="166">
        <f>'Vật liệu'!$W$766</f>
        <v>0</v>
      </c>
      <c r="I1685" s="37">
        <v>1</v>
      </c>
      <c r="J1685" s="166">
        <f>ROUND((J1681+J1682+J1683+J1684)*G1685*I1685/100,0)</f>
        <v>5452</v>
      </c>
    </row>
    <row r="1686" spans="1:10" x14ac:dyDescent="0.25">
      <c r="A1686" s="56"/>
      <c r="B1686" s="23"/>
      <c r="C1686" s="88"/>
      <c r="D1686" s="23"/>
      <c r="E1686" s="23" t="s">
        <v>202</v>
      </c>
      <c r="F1686" s="56"/>
      <c r="G1686" s="88"/>
      <c r="H1686" s="48"/>
      <c r="I1686" s="90"/>
      <c r="J1686" s="48">
        <f>ROUND(SUM(J1687:J1687),0)</f>
        <v>732116</v>
      </c>
    </row>
    <row r="1687" spans="1:10" x14ac:dyDescent="0.25">
      <c r="A1687" s="168"/>
      <c r="B1687" s="144"/>
      <c r="C1687" s="34">
        <v>545</v>
      </c>
      <c r="D1687" s="144" t="str">
        <f>'Nhân công'!$B$6</f>
        <v>N0006</v>
      </c>
      <c r="E1687" s="144" t="s">
        <v>256</v>
      </c>
      <c r="F1687" s="168" t="str">
        <f>'Nhân công'!$G$6</f>
        <v>công</v>
      </c>
      <c r="G1687" s="34">
        <f>'Hao phí vật tư'!$H$1688</f>
        <v>3.75</v>
      </c>
      <c r="H1687" s="68">
        <f>'Nhân công'!$M$6</f>
        <v>195231</v>
      </c>
      <c r="I1687" s="37">
        <v>1</v>
      </c>
      <c r="J1687" s="166">
        <f>ROUND(G1687*H1687*I1687,0)</f>
        <v>732116</v>
      </c>
    </row>
    <row r="1688" spans="1:10" x14ac:dyDescent="0.25">
      <c r="A1688" s="56"/>
      <c r="B1688" s="23"/>
      <c r="C1688" s="88"/>
      <c r="D1688" s="23"/>
      <c r="E1688" s="23" t="s">
        <v>378</v>
      </c>
      <c r="F1688" s="56"/>
      <c r="G1688" s="88"/>
      <c r="H1688" s="48"/>
      <c r="I1688" s="90"/>
      <c r="J1688" s="48">
        <f>ROUND(SUM(J1689:J1691),0)</f>
        <v>59943</v>
      </c>
    </row>
    <row r="1689" spans="1:10" x14ac:dyDescent="0.25">
      <c r="A1689" s="168"/>
      <c r="B1689" s="144"/>
      <c r="C1689" s="34">
        <v>750</v>
      </c>
      <c r="D1689" s="144" t="str">
        <f>'Máy thi công'!$B$232</f>
        <v>M9571</v>
      </c>
      <c r="E1689" s="144" t="str">
        <f>" - " &amp; 'Máy thi công'!$D$232</f>
        <v xml:space="preserve"> - Máy đầm bê tông, dầm dùi - công suất: 1,5 kW</v>
      </c>
      <c r="F1689" s="168" t="str">
        <f>'Máy thi công'!$E$232</f>
        <v>ca</v>
      </c>
      <c r="G1689" s="34">
        <f>'Hao phí vật tư'!$I$1690</f>
        <v>0.12</v>
      </c>
      <c r="H1689" s="68">
        <f>'Máy thi công'!$N$232</f>
        <v>225765</v>
      </c>
      <c r="I1689" s="37">
        <v>1</v>
      </c>
      <c r="J1689" s="166">
        <f>ROUND(G1689*H1689*I1689,0)</f>
        <v>27092</v>
      </c>
    </row>
    <row r="1690" spans="1:10" x14ac:dyDescent="0.25">
      <c r="A1690" s="168"/>
      <c r="B1690" s="144"/>
      <c r="C1690" s="34">
        <v>744</v>
      </c>
      <c r="D1690" s="144" t="str">
        <f>'Máy thi công'!$B$306</f>
        <v>M9555</v>
      </c>
      <c r="E1690" s="144" t="str">
        <f>" - " &amp; 'Máy thi công'!$D$306</f>
        <v xml:space="preserve"> - Máy trộn bê tông - dung tích: 250 lít</v>
      </c>
      <c r="F1690" s="168" t="str">
        <f>'Máy thi công'!$E$306</f>
        <v>ca</v>
      </c>
      <c r="G1690" s="34">
        <f>'Hao phí vật tư'!$I$1691</f>
        <v>9.5000000000000001E-2</v>
      </c>
      <c r="H1690" s="68">
        <f>'Máy thi công'!$N$306</f>
        <v>288447</v>
      </c>
      <c r="I1690" s="37">
        <v>1</v>
      </c>
      <c r="J1690" s="166">
        <f>ROUND(G1690*H1690*I1690,0)</f>
        <v>27402</v>
      </c>
    </row>
    <row r="1691" spans="1:10" x14ac:dyDescent="0.25">
      <c r="A1691" s="168"/>
      <c r="B1691" s="144"/>
      <c r="C1691" s="34">
        <v>631</v>
      </c>
      <c r="D1691" s="144" t="str">
        <f>'Máy thi công'!$B$398</f>
        <v>M0111</v>
      </c>
      <c r="E1691" s="144" t="str">
        <f>" - " &amp; 'Máy thi công'!$D$398</f>
        <v xml:space="preserve"> - Máy khác</v>
      </c>
      <c r="F1691" s="168" t="str">
        <f>'Máy thi công'!$E$398</f>
        <v>%</v>
      </c>
      <c r="G1691" s="34">
        <f>'Hao phí vật tư'!$I$1692</f>
        <v>10</v>
      </c>
      <c r="H1691" s="166">
        <f>'Máy thi công'!$N$398</f>
        <v>0</v>
      </c>
      <c r="I1691" s="37">
        <v>1</v>
      </c>
      <c r="J1691" s="166">
        <f>ROUND((J1689+J1690)*G1691*I1691/100,0)</f>
        <v>5449</v>
      </c>
    </row>
    <row r="1692" spans="1:10" ht="28.5" x14ac:dyDescent="0.25">
      <c r="A1692" s="65">
        <f>'Công trình'!$A$226</f>
        <v>178</v>
      </c>
      <c r="B1692" s="14" t="str">
        <f>'Công trình'!$B$226</f>
        <v>AG.13111</v>
      </c>
      <c r="C1692" s="94"/>
      <c r="D1692" s="31"/>
      <c r="E1692" s="14" t="str">
        <f>'Công trình'!$C$226</f>
        <v>Sản xuất, lắp dựng cốt thép BT đúc sẵn cọc, đường kính &lt;=10mm</v>
      </c>
      <c r="F1692" s="46" t="str">
        <f>'Công trình'!$D$226</f>
        <v>tấn</v>
      </c>
      <c r="G1692" s="94"/>
      <c r="H1692" s="54"/>
      <c r="I1692" s="98"/>
      <c r="J1692" s="54"/>
    </row>
    <row r="1693" spans="1:10" x14ac:dyDescent="0.25">
      <c r="A1693" s="56"/>
      <c r="B1693" s="23"/>
      <c r="C1693" s="88"/>
      <c r="D1693" s="23"/>
      <c r="E1693" s="23" t="s">
        <v>479</v>
      </c>
      <c r="F1693" s="56"/>
      <c r="G1693" s="88"/>
      <c r="H1693" s="48"/>
      <c r="I1693" s="90"/>
      <c r="J1693" s="48">
        <f>ROUND(SUM(J1694:J1695),0)</f>
        <v>14603640</v>
      </c>
    </row>
    <row r="1694" spans="1:10" x14ac:dyDescent="0.25">
      <c r="A1694" s="168"/>
      <c r="B1694" s="144"/>
      <c r="C1694" s="34">
        <v>135</v>
      </c>
      <c r="D1694" s="144" t="str">
        <f>'Vật liệu'!$B$221</f>
        <v>V00226</v>
      </c>
      <c r="E1694" s="144" t="str">
        <f>" - " &amp; 'Vật liệu'!$D$221</f>
        <v xml:space="preserve"> - Dây thép</v>
      </c>
      <c r="F1694" s="168" t="str">
        <f>'Vật liệu'!$E$221</f>
        <v>kg</v>
      </c>
      <c r="G1694" s="34">
        <f>'Hao phí vật tư'!$G$1695</f>
        <v>21.42</v>
      </c>
      <c r="H1694" s="68">
        <f>'Vật liệu'!$W$221</f>
        <v>17500</v>
      </c>
      <c r="I1694" s="37">
        <v>1</v>
      </c>
      <c r="J1694" s="166">
        <f>ROUND(G1694*H1694*I1694,0)</f>
        <v>374850</v>
      </c>
    </row>
    <row r="1695" spans="1:10" x14ac:dyDescent="0.25">
      <c r="A1695" s="168"/>
      <c r="B1695" s="144"/>
      <c r="C1695" s="34">
        <v>484</v>
      </c>
      <c r="D1695" s="144" t="str">
        <f>'Vật liệu'!$B$650</f>
        <v>V48494</v>
      </c>
      <c r="E1695" s="144" t="str">
        <f>" - " &amp; 'Vật liệu'!$D$650</f>
        <v xml:space="preserve"> - Thép tròn đường kính &lt;=10 mm</v>
      </c>
      <c r="F1695" s="168" t="str">
        <f>'Vật liệu'!$E$650</f>
        <v>kg</v>
      </c>
      <c r="G1695" s="34">
        <f>'Hao phí vật tư'!$G$1696</f>
        <v>1005</v>
      </c>
      <c r="H1695" s="68">
        <f>'Vật liệu'!$W$650</f>
        <v>14158</v>
      </c>
      <c r="I1695" s="37">
        <v>1</v>
      </c>
      <c r="J1695" s="166">
        <f>ROUND(G1695*H1695*I1695,0)</f>
        <v>14228790</v>
      </c>
    </row>
    <row r="1696" spans="1:10" x14ac:dyDescent="0.25">
      <c r="A1696" s="56"/>
      <c r="B1696" s="23"/>
      <c r="C1696" s="88"/>
      <c r="D1696" s="23"/>
      <c r="E1696" s="23" t="s">
        <v>202</v>
      </c>
      <c r="F1696" s="56"/>
      <c r="G1696" s="88"/>
      <c r="H1696" s="48"/>
      <c r="I1696" s="90"/>
      <c r="J1696" s="48">
        <f>ROUND(SUM(J1697:J1697),0)</f>
        <v>3033198</v>
      </c>
    </row>
    <row r="1697" spans="1:10" x14ac:dyDescent="0.25">
      <c r="A1697" s="168"/>
      <c r="B1697" s="144"/>
      <c r="C1697" s="34">
        <v>546</v>
      </c>
      <c r="D1697" s="144" t="str">
        <f>'Nhân công'!$B$45</f>
        <v>N0009</v>
      </c>
      <c r="E1697" s="144" t="s">
        <v>1052</v>
      </c>
      <c r="F1697" s="168" t="str">
        <f>'Nhân công'!$G$45</f>
        <v>công</v>
      </c>
      <c r="G1697" s="34">
        <f>'Hao phí vật tư'!$H$1698</f>
        <v>14.25</v>
      </c>
      <c r="H1697" s="68">
        <f>'Nhân công'!$M$45</f>
        <v>212856</v>
      </c>
      <c r="I1697" s="37">
        <v>1</v>
      </c>
      <c r="J1697" s="166">
        <f>ROUND(G1697*H1697*I1697,0)</f>
        <v>3033198</v>
      </c>
    </row>
    <row r="1698" spans="1:10" x14ac:dyDescent="0.25">
      <c r="A1698" s="56"/>
      <c r="B1698" s="23"/>
      <c r="C1698" s="88"/>
      <c r="D1698" s="23"/>
      <c r="E1698" s="23" t="s">
        <v>378</v>
      </c>
      <c r="F1698" s="56"/>
      <c r="G1698" s="88"/>
      <c r="H1698" s="48"/>
      <c r="I1698" s="90"/>
      <c r="J1698" s="48">
        <f>ROUND(SUM(J1699:J1699),0)</f>
        <v>91218</v>
      </c>
    </row>
    <row r="1699" spans="1:10" x14ac:dyDescent="0.25">
      <c r="A1699" s="168"/>
      <c r="B1699" s="144"/>
      <c r="C1699" s="34">
        <v>737</v>
      </c>
      <c r="D1699" s="144" t="str">
        <f>'Máy thi công'!$B$184</f>
        <v>M9521</v>
      </c>
      <c r="E1699" s="144" t="str">
        <f>" - " &amp; 'Máy thi công'!$D$184</f>
        <v xml:space="preserve"> - Máy cắt uốn cốt thép - công suất: 5 kW</v>
      </c>
      <c r="F1699" s="168" t="str">
        <f>'Máy thi công'!$E$184</f>
        <v>ca</v>
      </c>
      <c r="G1699" s="34">
        <f>'Hao phí vật tư'!$I$1700</f>
        <v>0.4</v>
      </c>
      <c r="H1699" s="68">
        <f>'Máy thi công'!$N$184</f>
        <v>228044</v>
      </c>
      <c r="I1699" s="37">
        <v>1</v>
      </c>
      <c r="J1699" s="166">
        <f>ROUND(G1699*H1699*I1699,0)</f>
        <v>91218</v>
      </c>
    </row>
    <row r="1700" spans="1:10" ht="28.5" x14ac:dyDescent="0.25">
      <c r="A1700" s="65">
        <f>'Công trình'!$A$227</f>
        <v>179</v>
      </c>
      <c r="B1700" s="14" t="str">
        <f>'Công trình'!$B$227</f>
        <v>AG.13121</v>
      </c>
      <c r="C1700" s="94"/>
      <c r="D1700" s="31"/>
      <c r="E1700" s="14" t="str">
        <f>'Công trình'!$C$227</f>
        <v>Sản xuất, lắp dựng cốt thép BT đúc sẵn cọc, đường kính &lt;=18mm</v>
      </c>
      <c r="F1700" s="46" t="str">
        <f>'Công trình'!$D$227</f>
        <v>tấn</v>
      </c>
      <c r="G1700" s="94"/>
      <c r="H1700" s="54"/>
      <c r="I1700" s="98"/>
      <c r="J1700" s="54"/>
    </row>
    <row r="1701" spans="1:10" x14ac:dyDescent="0.25">
      <c r="A1701" s="56"/>
      <c r="B1701" s="23"/>
      <c r="C1701" s="88"/>
      <c r="D1701" s="23"/>
      <c r="E1701" s="23" t="s">
        <v>479</v>
      </c>
      <c r="F1701" s="56"/>
      <c r="G1701" s="88"/>
      <c r="H1701" s="48"/>
      <c r="I1701" s="90"/>
      <c r="J1701" s="48">
        <f>ROUND(SUM(J1702:J1704),0)</f>
        <v>14678788</v>
      </c>
    </row>
    <row r="1702" spans="1:10" x14ac:dyDescent="0.25">
      <c r="A1702" s="168"/>
      <c r="B1702" s="144"/>
      <c r="C1702" s="34">
        <v>154</v>
      </c>
      <c r="D1702" s="144" t="str">
        <f>'Vật liệu'!$B$450</f>
        <v>V00515</v>
      </c>
      <c r="E1702" s="144" t="str">
        <f>" - " &amp; 'Vật liệu'!$D$450</f>
        <v xml:space="preserve"> - Que hàn</v>
      </c>
      <c r="F1702" s="168" t="str">
        <f>'Vật liệu'!$E$450</f>
        <v>kg</v>
      </c>
      <c r="G1702" s="34">
        <f>'Hao phí vật tư'!$G$1703</f>
        <v>4.7</v>
      </c>
      <c r="H1702" s="68">
        <f>'Vật liệu'!$W$450</f>
        <v>19091</v>
      </c>
      <c r="I1702" s="37">
        <v>1</v>
      </c>
      <c r="J1702" s="166">
        <f>ROUND(G1702*H1702*I1702,0)</f>
        <v>89728</v>
      </c>
    </row>
    <row r="1703" spans="1:10" x14ac:dyDescent="0.25">
      <c r="A1703" s="168"/>
      <c r="B1703" s="144"/>
      <c r="C1703" s="34">
        <v>135</v>
      </c>
      <c r="D1703" s="144" t="str">
        <f>'Vật liệu'!$B$221</f>
        <v>V00226</v>
      </c>
      <c r="E1703" s="144" t="str">
        <f>" - " &amp; 'Vật liệu'!$D$221</f>
        <v xml:space="preserve"> - Dây thép</v>
      </c>
      <c r="F1703" s="168" t="str">
        <f>'Vật liệu'!$E$221</f>
        <v>kg</v>
      </c>
      <c r="G1703" s="34">
        <f>'Hao phí vật tư'!$G$1704</f>
        <v>14.28</v>
      </c>
      <c r="H1703" s="68">
        <f>'Vật liệu'!$W$221</f>
        <v>17500</v>
      </c>
      <c r="I1703" s="37">
        <v>1</v>
      </c>
      <c r="J1703" s="166">
        <f>ROUND(G1703*H1703*I1703,0)</f>
        <v>249900</v>
      </c>
    </row>
    <row r="1704" spans="1:10" x14ac:dyDescent="0.25">
      <c r="A1704" s="168"/>
      <c r="B1704" s="144"/>
      <c r="C1704" s="34">
        <v>485</v>
      </c>
      <c r="D1704" s="144" t="str">
        <f>'Vật liệu'!$B$665</f>
        <v>V48495</v>
      </c>
      <c r="E1704" s="144" t="str">
        <f>" - " &amp; 'Vật liệu'!$D$665</f>
        <v xml:space="preserve"> - Thép tròn đường kính &lt;=18mm</v>
      </c>
      <c r="F1704" s="168" t="str">
        <f>'Vật liệu'!$E$665</f>
        <v>kg</v>
      </c>
      <c r="G1704" s="34">
        <f>'Hao phí vật tư'!$G$1705</f>
        <v>1020</v>
      </c>
      <c r="H1704" s="68">
        <f>'Vật liệu'!$W$665</f>
        <v>14058</v>
      </c>
      <c r="I1704" s="37">
        <v>1</v>
      </c>
      <c r="J1704" s="166">
        <f>ROUND(G1704*H1704*I1704,0)</f>
        <v>14339160</v>
      </c>
    </row>
    <row r="1705" spans="1:10" x14ac:dyDescent="0.25">
      <c r="A1705" s="56"/>
      <c r="B1705" s="23"/>
      <c r="C1705" s="88"/>
      <c r="D1705" s="23"/>
      <c r="E1705" s="23" t="s">
        <v>202</v>
      </c>
      <c r="F1705" s="56"/>
      <c r="G1705" s="88"/>
      <c r="H1705" s="48"/>
      <c r="I1705" s="90"/>
      <c r="J1705" s="48">
        <f>ROUND(SUM(J1706:J1706),0)</f>
        <v>1664534</v>
      </c>
    </row>
    <row r="1706" spans="1:10" x14ac:dyDescent="0.25">
      <c r="A1706" s="168"/>
      <c r="B1706" s="144"/>
      <c r="C1706" s="34">
        <v>546</v>
      </c>
      <c r="D1706" s="144" t="str">
        <f>'Nhân công'!$B$45</f>
        <v>N0009</v>
      </c>
      <c r="E1706" s="144" t="s">
        <v>1052</v>
      </c>
      <c r="F1706" s="168" t="str">
        <f>'Nhân công'!$G$45</f>
        <v>công</v>
      </c>
      <c r="G1706" s="34">
        <f>'Hao phí vật tư'!$H$1707</f>
        <v>7.82</v>
      </c>
      <c r="H1706" s="68">
        <f>'Nhân công'!$M$45</f>
        <v>212856</v>
      </c>
      <c r="I1706" s="37">
        <v>1</v>
      </c>
      <c r="J1706" s="166">
        <f>ROUND(G1706*H1706*I1706,0)</f>
        <v>1664534</v>
      </c>
    </row>
    <row r="1707" spans="1:10" x14ac:dyDescent="0.25">
      <c r="A1707" s="56"/>
      <c r="B1707" s="23"/>
      <c r="C1707" s="88"/>
      <c r="D1707" s="23"/>
      <c r="E1707" s="23" t="s">
        <v>378</v>
      </c>
      <c r="F1707" s="56"/>
      <c r="G1707" s="88"/>
      <c r="H1707" s="48"/>
      <c r="I1707" s="90"/>
      <c r="J1707" s="48">
        <f>ROUND(SUM(J1708:J1709),0)</f>
        <v>455951</v>
      </c>
    </row>
    <row r="1708" spans="1:10" x14ac:dyDescent="0.25">
      <c r="A1708" s="168"/>
      <c r="B1708" s="144"/>
      <c r="C1708" s="34">
        <v>737</v>
      </c>
      <c r="D1708" s="144" t="str">
        <f>'Máy thi công'!$B$184</f>
        <v>M9521</v>
      </c>
      <c r="E1708" s="144" t="str">
        <f>" - " &amp; 'Máy thi công'!$D$184</f>
        <v xml:space="preserve"> - Máy cắt uốn cốt thép - công suất: 5 kW</v>
      </c>
      <c r="F1708" s="168" t="str">
        <f>'Máy thi công'!$E$184</f>
        <v>ca</v>
      </c>
      <c r="G1708" s="34">
        <f>'Hao phí vật tư'!$I$1709</f>
        <v>0.32</v>
      </c>
      <c r="H1708" s="68">
        <f>'Máy thi công'!$N$184</f>
        <v>228044</v>
      </c>
      <c r="I1708" s="37">
        <v>1</v>
      </c>
      <c r="J1708" s="166">
        <f>ROUND(G1708*H1708*I1708,0)</f>
        <v>72974</v>
      </c>
    </row>
    <row r="1709" spans="1:10" x14ac:dyDescent="0.25">
      <c r="A1709" s="168"/>
      <c r="B1709" s="144"/>
      <c r="C1709" s="34">
        <v>714</v>
      </c>
      <c r="D1709" s="144" t="str">
        <f>'Máy thi công'!$B$6</f>
        <v>M9438</v>
      </c>
      <c r="E1709" s="144" t="str">
        <f>" - " &amp; 'Máy thi công'!$D$6</f>
        <v xml:space="preserve"> - Biến thế hàn xoay chiều - công suất: 23 kW</v>
      </c>
      <c r="F1709" s="168" t="str">
        <f>'Máy thi công'!$E$6</f>
        <v>ca</v>
      </c>
      <c r="G1709" s="34">
        <f>'Hao phí vật tư'!$I$1710</f>
        <v>1.133</v>
      </c>
      <c r="H1709" s="68">
        <f>'Máy thi công'!$N$6</f>
        <v>338020</v>
      </c>
      <c r="I1709" s="37">
        <v>1</v>
      </c>
      <c r="J1709" s="166">
        <f>ROUND(G1709*H1709*I1709,0)</f>
        <v>382977</v>
      </c>
    </row>
    <row r="1710" spans="1:10" ht="28.5" x14ac:dyDescent="0.25">
      <c r="A1710" s="65">
        <f>'Công trình'!$A$228</f>
        <v>180</v>
      </c>
      <c r="B1710" s="14" t="str">
        <f>'Công trình'!$B$228</f>
        <v>AG.13131</v>
      </c>
      <c r="C1710" s="94"/>
      <c r="D1710" s="31"/>
      <c r="E1710" s="14" t="str">
        <f>'Công trình'!$C$228</f>
        <v>Sản xuất, lắp dựng cốt thép BT đúc sẵn cọc, đường kính &gt;18mm</v>
      </c>
      <c r="F1710" s="46" t="str">
        <f>'Công trình'!$D$228</f>
        <v>tấn</v>
      </c>
      <c r="G1710" s="94"/>
      <c r="H1710" s="54"/>
      <c r="I1710" s="98"/>
      <c r="J1710" s="54"/>
    </row>
    <row r="1711" spans="1:10" x14ac:dyDescent="0.25">
      <c r="A1711" s="56"/>
      <c r="B1711" s="23"/>
      <c r="C1711" s="88"/>
      <c r="D1711" s="23"/>
      <c r="E1711" s="23" t="s">
        <v>479</v>
      </c>
      <c r="F1711" s="56"/>
      <c r="G1711" s="88"/>
      <c r="H1711" s="48"/>
      <c r="I1711" s="90"/>
      <c r="J1711" s="48">
        <f>ROUND(SUM(J1712:J1714),0)</f>
        <v>14678788</v>
      </c>
    </row>
    <row r="1712" spans="1:10" x14ac:dyDescent="0.25">
      <c r="A1712" s="168"/>
      <c r="B1712" s="144"/>
      <c r="C1712" s="34">
        <v>154</v>
      </c>
      <c r="D1712" s="144" t="str">
        <f>'Vật liệu'!$B$450</f>
        <v>V00515</v>
      </c>
      <c r="E1712" s="144" t="str">
        <f>" - " &amp; 'Vật liệu'!$D$450</f>
        <v xml:space="preserve"> - Que hàn</v>
      </c>
      <c r="F1712" s="168" t="str">
        <f>'Vật liệu'!$E$450</f>
        <v>kg</v>
      </c>
      <c r="G1712" s="34">
        <f>'Hao phí vật tư'!$G$1713</f>
        <v>4.7</v>
      </c>
      <c r="H1712" s="68">
        <f>'Vật liệu'!$W$450</f>
        <v>19091</v>
      </c>
      <c r="I1712" s="37">
        <v>1</v>
      </c>
      <c r="J1712" s="166">
        <f>ROUND(G1712*H1712*I1712,0)</f>
        <v>89728</v>
      </c>
    </row>
    <row r="1713" spans="1:10" x14ac:dyDescent="0.25">
      <c r="A1713" s="168"/>
      <c r="B1713" s="144"/>
      <c r="C1713" s="34">
        <v>135</v>
      </c>
      <c r="D1713" s="144" t="str">
        <f>'Vật liệu'!$B$221</f>
        <v>V00226</v>
      </c>
      <c r="E1713" s="144" t="str">
        <f>" - " &amp; 'Vật liệu'!$D$221</f>
        <v xml:space="preserve"> - Dây thép</v>
      </c>
      <c r="F1713" s="168" t="str">
        <f>'Vật liệu'!$E$221</f>
        <v>kg</v>
      </c>
      <c r="G1713" s="34">
        <f>'Hao phí vật tư'!$G$1714</f>
        <v>14.28</v>
      </c>
      <c r="H1713" s="68">
        <f>'Vật liệu'!$W$221</f>
        <v>17500</v>
      </c>
      <c r="I1713" s="37">
        <v>1</v>
      </c>
      <c r="J1713" s="166">
        <f>ROUND(G1713*H1713*I1713,0)</f>
        <v>249900</v>
      </c>
    </row>
    <row r="1714" spans="1:10" x14ac:dyDescent="0.25">
      <c r="A1714" s="168"/>
      <c r="B1714" s="144"/>
      <c r="C1714" s="34">
        <v>488</v>
      </c>
      <c r="D1714" s="144" t="str">
        <f>'Vật liệu'!$B$689</f>
        <v>V48498</v>
      </c>
      <c r="E1714" s="144" t="str">
        <f>" - " &amp; 'Vật liệu'!$D$689</f>
        <v xml:space="preserve"> - Thép tròn đường kính &gt;18mm</v>
      </c>
      <c r="F1714" s="168" t="str">
        <f>'Vật liệu'!$E$689</f>
        <v>kg</v>
      </c>
      <c r="G1714" s="34">
        <f>'Hao phí vật tư'!$G$1715</f>
        <v>1020</v>
      </c>
      <c r="H1714" s="68">
        <f>'Vật liệu'!$W$689</f>
        <v>14058</v>
      </c>
      <c r="I1714" s="37">
        <v>1</v>
      </c>
      <c r="J1714" s="166">
        <f>ROUND(G1714*H1714*I1714,0)</f>
        <v>14339160</v>
      </c>
    </row>
    <row r="1715" spans="1:10" x14ac:dyDescent="0.25">
      <c r="A1715" s="56"/>
      <c r="B1715" s="23"/>
      <c r="C1715" s="88"/>
      <c r="D1715" s="23"/>
      <c r="E1715" s="23" t="s">
        <v>202</v>
      </c>
      <c r="F1715" s="56"/>
      <c r="G1715" s="88"/>
      <c r="H1715" s="48"/>
      <c r="I1715" s="90"/>
      <c r="J1715" s="48">
        <f>ROUND(SUM(J1716:J1716),0)</f>
        <v>1594291</v>
      </c>
    </row>
    <row r="1716" spans="1:10" x14ac:dyDescent="0.25">
      <c r="A1716" s="168"/>
      <c r="B1716" s="144"/>
      <c r="C1716" s="34">
        <v>546</v>
      </c>
      <c r="D1716" s="144" t="str">
        <f>'Nhân công'!$B$45</f>
        <v>N0009</v>
      </c>
      <c r="E1716" s="144" t="s">
        <v>1052</v>
      </c>
      <c r="F1716" s="168" t="str">
        <f>'Nhân công'!$G$45</f>
        <v>công</v>
      </c>
      <c r="G1716" s="34">
        <f>'Hao phí vật tư'!$H$1717</f>
        <v>7.49</v>
      </c>
      <c r="H1716" s="68">
        <f>'Nhân công'!$M$45</f>
        <v>212856</v>
      </c>
      <c r="I1716" s="37">
        <v>1</v>
      </c>
      <c r="J1716" s="166">
        <f>ROUND(G1716*H1716*I1716,0)</f>
        <v>1594291</v>
      </c>
    </row>
    <row r="1717" spans="1:10" x14ac:dyDescent="0.25">
      <c r="A1717" s="56"/>
      <c r="B1717" s="23"/>
      <c r="C1717" s="88"/>
      <c r="D1717" s="23"/>
      <c r="E1717" s="23" t="s">
        <v>378</v>
      </c>
      <c r="F1717" s="56"/>
      <c r="G1717" s="88"/>
      <c r="H1717" s="48"/>
      <c r="I1717" s="90"/>
      <c r="J1717" s="48">
        <f>ROUND(SUM(J1718:J1719),0)</f>
        <v>405943</v>
      </c>
    </row>
    <row r="1718" spans="1:10" x14ac:dyDescent="0.25">
      <c r="A1718" s="168"/>
      <c r="B1718" s="144"/>
      <c r="C1718" s="34">
        <v>737</v>
      </c>
      <c r="D1718" s="144" t="str">
        <f>'Máy thi công'!$B$184</f>
        <v>M9521</v>
      </c>
      <c r="E1718" s="144" t="str">
        <f>" - " &amp; 'Máy thi công'!$D$184</f>
        <v xml:space="preserve"> - Máy cắt uốn cốt thép - công suất: 5 kW</v>
      </c>
      <c r="F1718" s="168" t="str">
        <f>'Máy thi công'!$E$184</f>
        <v>ca</v>
      </c>
      <c r="G1718" s="34">
        <f>'Hao phí vật tư'!$I$1719</f>
        <v>0.16</v>
      </c>
      <c r="H1718" s="68">
        <f>'Máy thi công'!$N$184</f>
        <v>228044</v>
      </c>
      <c r="I1718" s="37">
        <v>1</v>
      </c>
      <c r="J1718" s="166">
        <f>ROUND(G1718*H1718*I1718,0)</f>
        <v>36487</v>
      </c>
    </row>
    <row r="1719" spans="1:10" x14ac:dyDescent="0.25">
      <c r="A1719" s="168"/>
      <c r="B1719" s="144"/>
      <c r="C1719" s="34">
        <v>714</v>
      </c>
      <c r="D1719" s="144" t="str">
        <f>'Máy thi công'!$B$6</f>
        <v>M9438</v>
      </c>
      <c r="E1719" s="144" t="str">
        <f>" - " &amp; 'Máy thi công'!$D$6</f>
        <v xml:space="preserve"> - Biến thế hàn xoay chiều - công suất: 23 kW</v>
      </c>
      <c r="F1719" s="168" t="str">
        <f>'Máy thi công'!$E$6</f>
        <v>ca</v>
      </c>
      <c r="G1719" s="34">
        <f>'Hao phí vật tư'!$I$1720</f>
        <v>1.093</v>
      </c>
      <c r="H1719" s="68">
        <f>'Máy thi công'!$N$6</f>
        <v>338020</v>
      </c>
      <c r="I1719" s="37">
        <v>1</v>
      </c>
      <c r="J1719" s="166">
        <f>ROUND(G1719*H1719*I1719,0)</f>
        <v>369456</v>
      </c>
    </row>
    <row r="1720" spans="1:10" ht="28.5" x14ac:dyDescent="0.25">
      <c r="A1720" s="65">
        <f>'Công trình'!$A$229</f>
        <v>181</v>
      </c>
      <c r="B1720" s="14" t="str">
        <f>'Công trình'!$B$229</f>
        <v>AI.13111</v>
      </c>
      <c r="C1720" s="94"/>
      <c r="D1720" s="31"/>
      <c r="E1720" s="14" t="str">
        <f>'Công trình'!$C$229</f>
        <v>Sản xuất cấu kiện thép đặt sẵn trong bê tông, khối lượng &lt;=10kg/cấu kiện</v>
      </c>
      <c r="F1720" s="46" t="str">
        <f>'Công trình'!$D$229</f>
        <v>tấn</v>
      </c>
      <c r="G1720" s="94"/>
      <c r="H1720" s="54"/>
      <c r="I1720" s="98"/>
      <c r="J1720" s="54"/>
    </row>
    <row r="1721" spans="1:10" x14ac:dyDescent="0.25">
      <c r="A1721" s="56"/>
      <c r="B1721" s="23"/>
      <c r="C1721" s="88"/>
      <c r="D1721" s="23"/>
      <c r="E1721" s="23" t="s">
        <v>479</v>
      </c>
      <c r="F1721" s="56"/>
      <c r="G1721" s="88"/>
      <c r="H1721" s="48"/>
      <c r="I1721" s="90"/>
      <c r="J1721" s="48">
        <f>ROUND(SUM(J1722:J1728),0)</f>
        <v>15447317</v>
      </c>
    </row>
    <row r="1722" spans="1:10" x14ac:dyDescent="0.25">
      <c r="A1722" s="168"/>
      <c r="B1722" s="144"/>
      <c r="C1722" s="34">
        <v>407</v>
      </c>
      <c r="D1722" s="144" t="str">
        <f>'Vật liệu'!$B$186</f>
        <v>V00824</v>
      </c>
      <c r="E1722" s="144" t="str">
        <f>" - " &amp; 'Vật liệu'!$D$186</f>
        <v xml:space="preserve"> - Đá mài</v>
      </c>
      <c r="F1722" s="168" t="str">
        <f>'Vật liệu'!$E$186</f>
        <v>viên</v>
      </c>
      <c r="G1722" s="34">
        <f>'Hao phí vật tư'!$G$1723</f>
        <v>0.7</v>
      </c>
      <c r="H1722" s="68">
        <f>'Vật liệu'!$W$186</f>
        <v>13200</v>
      </c>
      <c r="I1722" s="37">
        <v>1</v>
      </c>
      <c r="J1722" s="166">
        <f t="shared" ref="J1722:J1727" si="13">ROUND(G1722*H1722*I1722,0)</f>
        <v>9240</v>
      </c>
    </row>
    <row r="1723" spans="1:10" x14ac:dyDescent="0.25">
      <c r="A1723" s="168"/>
      <c r="B1723" s="144"/>
      <c r="C1723" s="34">
        <v>154</v>
      </c>
      <c r="D1723" s="144" t="str">
        <f>'Vật liệu'!$B$450</f>
        <v>V00515</v>
      </c>
      <c r="E1723" s="144" t="str">
        <f>" - " &amp; 'Vật liệu'!$D$450</f>
        <v xml:space="preserve"> - Que hàn</v>
      </c>
      <c r="F1723" s="168" t="str">
        <f>'Vật liệu'!$E$450</f>
        <v>kg</v>
      </c>
      <c r="G1723" s="34">
        <f>'Hao phí vật tư'!$G$1724</f>
        <v>19.38</v>
      </c>
      <c r="H1723" s="68">
        <f>'Vật liệu'!$W$450</f>
        <v>19091</v>
      </c>
      <c r="I1723" s="37">
        <v>1</v>
      </c>
      <c r="J1723" s="166">
        <f t="shared" si="13"/>
        <v>369984</v>
      </c>
    </row>
    <row r="1724" spans="1:10" x14ac:dyDescent="0.25">
      <c r="A1724" s="168"/>
      <c r="B1724" s="144"/>
      <c r="C1724" s="34">
        <v>411</v>
      </c>
      <c r="D1724" s="144" t="str">
        <f>'Vật liệu'!$B$200</f>
        <v>V00833</v>
      </c>
      <c r="E1724" s="144" t="str">
        <f>" - " &amp; 'Vật liệu'!$D$200</f>
        <v xml:space="preserve"> - Đất đèn</v>
      </c>
      <c r="F1724" s="168" t="str">
        <f>'Vật liệu'!$E$200</f>
        <v>kg</v>
      </c>
      <c r="G1724" s="34">
        <f>'Hao phí vật tư'!$G$1725</f>
        <v>14.8</v>
      </c>
      <c r="H1724" s="68">
        <f>'Vật liệu'!$W$200</f>
        <v>14000</v>
      </c>
      <c r="I1724" s="37">
        <v>1</v>
      </c>
      <c r="J1724" s="166">
        <f t="shared" si="13"/>
        <v>207200</v>
      </c>
    </row>
    <row r="1725" spans="1:10" x14ac:dyDescent="0.25">
      <c r="A1725" s="168"/>
      <c r="B1725" s="144"/>
      <c r="C1725" s="34">
        <v>166</v>
      </c>
      <c r="D1725" s="144" t="str">
        <f>'Vật liệu'!$B$606</f>
        <v>V00671</v>
      </c>
      <c r="E1725" s="144" t="str">
        <f>" - " &amp; 'Vật liệu'!$D$606</f>
        <v xml:space="preserve"> - Thép tấm</v>
      </c>
      <c r="F1725" s="168" t="str">
        <f>'Vật liệu'!$E$606</f>
        <v>kg</v>
      </c>
      <c r="G1725" s="34">
        <f>'Hao phí vật tư'!$G$1726</f>
        <v>825</v>
      </c>
      <c r="H1725" s="68">
        <f>'Vật liệu'!$W$606</f>
        <v>12574</v>
      </c>
      <c r="I1725" s="37">
        <v>1</v>
      </c>
      <c r="J1725" s="166">
        <f t="shared" si="13"/>
        <v>10373550</v>
      </c>
    </row>
    <row r="1726" spans="1:10" x14ac:dyDescent="0.25">
      <c r="A1726" s="168"/>
      <c r="B1726" s="144"/>
      <c r="C1726" s="34">
        <v>487</v>
      </c>
      <c r="D1726" s="144" t="str">
        <f>'Vật liệu'!$B$684</f>
        <v>V48497</v>
      </c>
      <c r="E1726" s="144" t="str">
        <f>" - " &amp; 'Vật liệu'!$D$684</f>
        <v xml:space="preserve"> - Thép tròn đường kính &gt;14</v>
      </c>
      <c r="F1726" s="168" t="str">
        <f>'Vật liệu'!$E$684</f>
        <v>kg</v>
      </c>
      <c r="G1726" s="34">
        <f>'Hao phí vật tư'!$G$1727</f>
        <v>275.5</v>
      </c>
      <c r="H1726" s="68">
        <f>'Vật liệu'!$W$684</f>
        <v>14058</v>
      </c>
      <c r="I1726" s="37">
        <v>1</v>
      </c>
      <c r="J1726" s="166">
        <f t="shared" si="13"/>
        <v>3872979</v>
      </c>
    </row>
    <row r="1727" spans="1:10" x14ac:dyDescent="0.25">
      <c r="A1727" s="168"/>
      <c r="B1727" s="144"/>
      <c r="C1727" s="34">
        <v>400</v>
      </c>
      <c r="D1727" s="144" t="str">
        <f>'Vật liệu'!$B$401</f>
        <v>V00770</v>
      </c>
      <c r="E1727" s="144" t="str">
        <f>" - " &amp; 'Vật liệu'!$D$401</f>
        <v xml:space="preserve"> - Ô xy</v>
      </c>
      <c r="F1727" s="168" t="str">
        <f>'Vật liệu'!$E$401</f>
        <v>Chai</v>
      </c>
      <c r="G1727" s="34">
        <f>'Hao phí vật tư'!$G$1728</f>
        <v>3.3</v>
      </c>
      <c r="H1727" s="68">
        <f>'Vật liệu'!$W$401</f>
        <v>72000</v>
      </c>
      <c r="I1727" s="37">
        <v>1</v>
      </c>
      <c r="J1727" s="166">
        <f t="shared" si="13"/>
        <v>237600</v>
      </c>
    </row>
    <row r="1728" spans="1:10" x14ac:dyDescent="0.25">
      <c r="A1728" s="168"/>
      <c r="B1728" s="144"/>
      <c r="C1728" s="34">
        <v>294</v>
      </c>
      <c r="D1728" s="144" t="str">
        <f>'Vật liệu'!$B$766</f>
        <v>V00750</v>
      </c>
      <c r="E1728" s="144" t="str">
        <f>" - " &amp; 'Vật liệu'!$D$766</f>
        <v xml:space="preserve"> - Vật liệu khác</v>
      </c>
      <c r="F1728" s="168" t="str">
        <f>'Vật liệu'!$E$766</f>
        <v>%</v>
      </c>
      <c r="G1728" s="34">
        <f>'Hao phí vật tư'!$G$1729</f>
        <v>2.5</v>
      </c>
      <c r="H1728" s="166">
        <f>'Vật liệu'!$W$766</f>
        <v>0</v>
      </c>
      <c r="I1728" s="37">
        <v>1</v>
      </c>
      <c r="J1728" s="166">
        <f>ROUND((J1722+J1723+J1724+J1725+J1726+J1727)*G1728*I1728/100,0)</f>
        <v>376764</v>
      </c>
    </row>
    <row r="1729" spans="1:10" x14ac:dyDescent="0.25">
      <c r="A1729" s="56"/>
      <c r="B1729" s="23"/>
      <c r="C1729" s="88"/>
      <c r="D1729" s="23"/>
      <c r="E1729" s="23" t="s">
        <v>202</v>
      </c>
      <c r="F1729" s="56"/>
      <c r="G1729" s="88"/>
      <c r="H1729" s="48"/>
      <c r="I1729" s="90"/>
      <c r="J1729" s="48">
        <f>ROUND(SUM(J1730:J1730),0)</f>
        <v>8769288</v>
      </c>
    </row>
    <row r="1730" spans="1:10" x14ac:dyDescent="0.25">
      <c r="A1730" s="168"/>
      <c r="B1730" s="144"/>
      <c r="C1730" s="34">
        <v>553</v>
      </c>
      <c r="D1730" s="144" t="str">
        <f>'Nhân công'!$B$221</f>
        <v>N0013</v>
      </c>
      <c r="E1730" s="144" t="s">
        <v>275</v>
      </c>
      <c r="F1730" s="168" t="str">
        <f>'Nhân công'!$G$221</f>
        <v>công</v>
      </c>
      <c r="G1730" s="34">
        <f>'Hao phí vật tư'!$H$1731</f>
        <v>34.9</v>
      </c>
      <c r="H1730" s="68">
        <f>'Nhân công'!$M$221</f>
        <v>251269</v>
      </c>
      <c r="I1730" s="37">
        <v>1</v>
      </c>
      <c r="J1730" s="166">
        <f>ROUND(G1730*H1730*I1730,0)</f>
        <v>8769288</v>
      </c>
    </row>
    <row r="1731" spans="1:10" x14ac:dyDescent="0.25">
      <c r="A1731" s="56"/>
      <c r="B1731" s="23"/>
      <c r="C1731" s="88"/>
      <c r="D1731" s="23"/>
      <c r="E1731" s="23" t="s">
        <v>378</v>
      </c>
      <c r="F1731" s="56"/>
      <c r="G1731" s="88"/>
      <c r="H1731" s="48"/>
      <c r="I1731" s="90"/>
      <c r="J1731" s="48">
        <f>ROUND(SUM(J1732:J1735),0)</f>
        <v>1842565</v>
      </c>
    </row>
    <row r="1732" spans="1:10" x14ac:dyDescent="0.25">
      <c r="A1732" s="168"/>
      <c r="B1732" s="144"/>
      <c r="C1732" s="34">
        <v>701</v>
      </c>
      <c r="D1732" s="144" t="str">
        <f>'Máy thi công'!$B$273</f>
        <v>M112.1501</v>
      </c>
      <c r="E1732" s="144" t="str">
        <f>" - " &amp; 'Máy thi công'!$D$273</f>
        <v xml:space="preserve"> - Máy khoan đứng - công suất: 2,5 kW</v>
      </c>
      <c r="F1732" s="168" t="str">
        <f>'Máy thi công'!$E$273</f>
        <v>ca</v>
      </c>
      <c r="G1732" s="34">
        <f>'Hao phí vật tư'!$I$1733</f>
        <v>1.55</v>
      </c>
      <c r="H1732" s="68">
        <f>'Máy thi công'!$N$273</f>
        <v>247705</v>
      </c>
      <c r="I1732" s="37">
        <v>1</v>
      </c>
      <c r="J1732" s="166">
        <f>ROUND(G1732*H1732*I1732,0)</f>
        <v>383943</v>
      </c>
    </row>
    <row r="1733" spans="1:10" x14ac:dyDescent="0.25">
      <c r="A1733" s="168"/>
      <c r="B1733" s="144"/>
      <c r="C1733" s="34">
        <v>714</v>
      </c>
      <c r="D1733" s="144" t="str">
        <f>'Máy thi công'!$B$6</f>
        <v>M9438</v>
      </c>
      <c r="E1733" s="144" t="str">
        <f>" - " &amp; 'Máy thi công'!$D$6</f>
        <v xml:space="preserve"> - Biến thế hàn xoay chiều - công suất: 23 kW</v>
      </c>
      <c r="F1733" s="168" t="str">
        <f>'Máy thi công'!$E$6</f>
        <v>ca</v>
      </c>
      <c r="G1733" s="34">
        <f>'Hao phí vật tư'!$I$1734</f>
        <v>3.23</v>
      </c>
      <c r="H1733" s="68">
        <f>'Máy thi công'!$N$6</f>
        <v>338020</v>
      </c>
      <c r="I1733" s="37">
        <v>1</v>
      </c>
      <c r="J1733" s="166">
        <f>ROUND(G1733*H1733*I1733,0)</f>
        <v>1091805</v>
      </c>
    </row>
    <row r="1734" spans="1:10" x14ac:dyDescent="0.25">
      <c r="A1734" s="168"/>
      <c r="B1734" s="144"/>
      <c r="C1734" s="34">
        <v>705</v>
      </c>
      <c r="D1734" s="144" t="str">
        <f>'Máy thi công'!$B$285</f>
        <v>M112.3702</v>
      </c>
      <c r="E1734" s="144" t="str">
        <f>" - " &amp; 'Máy thi công'!$D$285</f>
        <v xml:space="preserve"> - Máy mài - công suất: 2,7 kW</v>
      </c>
      <c r="F1734" s="168" t="str">
        <f>'Máy thi công'!$E$285</f>
        <v>ca</v>
      </c>
      <c r="G1734" s="34">
        <f>'Hao phí vật tư'!$I$1735</f>
        <v>1.55</v>
      </c>
      <c r="H1734" s="68">
        <f>'Máy thi công'!$N$285</f>
        <v>213347</v>
      </c>
      <c r="I1734" s="37">
        <v>1</v>
      </c>
      <c r="J1734" s="166">
        <f>ROUND(G1734*H1734*I1734,0)</f>
        <v>330688</v>
      </c>
    </row>
    <row r="1735" spans="1:10" x14ac:dyDescent="0.25">
      <c r="A1735" s="168"/>
      <c r="B1735" s="144"/>
      <c r="C1735" s="34">
        <v>632</v>
      </c>
      <c r="D1735" s="144" t="str">
        <f>'Máy thi công'!$B$398</f>
        <v>M0111</v>
      </c>
      <c r="E1735" s="144" t="str">
        <f>" - " &amp; 'Máy thi công'!$D$398</f>
        <v xml:space="preserve"> - Máy khác</v>
      </c>
      <c r="F1735" s="168" t="str">
        <f>'Máy thi công'!$E$398</f>
        <v>%</v>
      </c>
      <c r="G1735" s="34">
        <f>'Hao phí vật tư'!$I$1736</f>
        <v>2</v>
      </c>
      <c r="H1735" s="166">
        <f>'Máy thi công'!$N$398</f>
        <v>0</v>
      </c>
      <c r="I1735" s="37">
        <v>1</v>
      </c>
      <c r="J1735" s="166">
        <f>ROUND((J1732+J1733+J1734)*G1735*I1735/100,0)</f>
        <v>36129</v>
      </c>
    </row>
    <row r="1736" spans="1:10" ht="28.5" x14ac:dyDescent="0.25">
      <c r="A1736" s="65">
        <f>'Công trình'!$A$230</f>
        <v>182</v>
      </c>
      <c r="B1736" s="14" t="str">
        <f>'Công trình'!$B$230</f>
        <v>AG.32321</v>
      </c>
      <c r="C1736" s="94"/>
      <c r="D1736" s="31"/>
      <c r="E1736" s="14" t="str">
        <f>'Công trình'!$C$230</f>
        <v>Sản xuất, lắp dựng, tháo dỡ ván khuôn thép bê tông đúc sẵn cọc, cột</v>
      </c>
      <c r="F1736" s="46" t="str">
        <f>'Công trình'!$D$230</f>
        <v>100m2</v>
      </c>
      <c r="G1736" s="94"/>
      <c r="H1736" s="54"/>
      <c r="I1736" s="98"/>
      <c r="J1736" s="54"/>
    </row>
    <row r="1737" spans="1:10" x14ac:dyDescent="0.25">
      <c r="A1737" s="56"/>
      <c r="B1737" s="23"/>
      <c r="C1737" s="88"/>
      <c r="D1737" s="23"/>
      <c r="E1737" s="23" t="s">
        <v>479</v>
      </c>
      <c r="F1737" s="56"/>
      <c r="G1737" s="88"/>
      <c r="H1737" s="48"/>
      <c r="I1737" s="90"/>
      <c r="J1737" s="48">
        <f>ROUND(SUM(J1738:J1741),0)</f>
        <v>704451</v>
      </c>
    </row>
    <row r="1738" spans="1:10" x14ac:dyDescent="0.25">
      <c r="A1738" s="168"/>
      <c r="B1738" s="144"/>
      <c r="C1738" s="34">
        <v>154</v>
      </c>
      <c r="D1738" s="144" t="str">
        <f>'Vật liệu'!$B$450</f>
        <v>V00515</v>
      </c>
      <c r="E1738" s="144" t="str">
        <f>" - " &amp; 'Vật liệu'!$D$450</f>
        <v xml:space="preserve"> - Que hàn</v>
      </c>
      <c r="F1738" s="168" t="str">
        <f>'Vật liệu'!$E$450</f>
        <v>kg</v>
      </c>
      <c r="G1738" s="34">
        <f>'Hao phí vật tư'!$G$1739</f>
        <v>1.22</v>
      </c>
      <c r="H1738" s="68">
        <f>'Vật liệu'!$W$450</f>
        <v>19091</v>
      </c>
      <c r="I1738" s="37">
        <v>1</v>
      </c>
      <c r="J1738" s="166">
        <f>ROUND(G1738*H1738*I1738,0)</f>
        <v>23291</v>
      </c>
    </row>
    <row r="1739" spans="1:10" x14ac:dyDescent="0.25">
      <c r="A1739" s="168"/>
      <c r="B1739" s="144"/>
      <c r="C1739" s="34">
        <v>166</v>
      </c>
      <c r="D1739" s="144" t="str">
        <f>'Vật liệu'!$B$606</f>
        <v>V00671</v>
      </c>
      <c r="E1739" s="144" t="str">
        <f>" - " &amp; 'Vật liệu'!$D$606</f>
        <v xml:space="preserve"> - Thép tấm</v>
      </c>
      <c r="F1739" s="168" t="str">
        <f>'Vật liệu'!$E$606</f>
        <v>kg</v>
      </c>
      <c r="G1739" s="34">
        <f>'Hao phí vật tư'!$G$1740</f>
        <v>34.54</v>
      </c>
      <c r="H1739" s="68">
        <f>'Vật liệu'!$W$606</f>
        <v>12574</v>
      </c>
      <c r="I1739" s="37">
        <v>1</v>
      </c>
      <c r="J1739" s="166">
        <f>ROUND(G1739*H1739*I1739,0)</f>
        <v>434306</v>
      </c>
    </row>
    <row r="1740" spans="1:10" x14ac:dyDescent="0.25">
      <c r="A1740" s="168"/>
      <c r="B1740" s="144"/>
      <c r="C1740" s="34">
        <v>160</v>
      </c>
      <c r="D1740" s="144" t="str">
        <f>'Vật liệu'!$B$556</f>
        <v>V00641</v>
      </c>
      <c r="E1740" s="144" t="str">
        <f>" - " &amp; 'Vật liệu'!$D$556</f>
        <v xml:space="preserve"> - Thép hình</v>
      </c>
      <c r="F1740" s="168" t="str">
        <f>'Vật liệu'!$E$556</f>
        <v>kg</v>
      </c>
      <c r="G1740" s="34">
        <f>'Hao phí vật tư'!$G$1741</f>
        <v>13.95</v>
      </c>
      <c r="H1740" s="68">
        <f>'Vật liệu'!$W$556</f>
        <v>15291</v>
      </c>
      <c r="I1740" s="37">
        <v>1</v>
      </c>
      <c r="J1740" s="166">
        <f>ROUND(G1740*H1740*I1740,0)</f>
        <v>213309</v>
      </c>
    </row>
    <row r="1741" spans="1:10" x14ac:dyDescent="0.25">
      <c r="A1741" s="168"/>
      <c r="B1741" s="144"/>
      <c r="C1741" s="34">
        <v>384</v>
      </c>
      <c r="D1741" s="144" t="str">
        <f>'Vật liệu'!$B$766</f>
        <v>V00750</v>
      </c>
      <c r="E1741" s="144" t="str">
        <f>" - " &amp; 'Vật liệu'!$D$766</f>
        <v xml:space="preserve"> - Vật liệu khác</v>
      </c>
      <c r="F1741" s="168" t="str">
        <f>'Vật liệu'!$E$766</f>
        <v>%</v>
      </c>
      <c r="G1741" s="34">
        <f>'Hao phí vật tư'!$G$1742</f>
        <v>5</v>
      </c>
      <c r="H1741" s="166">
        <f>'Vật liệu'!$W$766</f>
        <v>0</v>
      </c>
      <c r="I1741" s="37">
        <v>1</v>
      </c>
      <c r="J1741" s="166">
        <f>ROUND((J1738+J1739+J1740)*G1741*I1741/100,0)</f>
        <v>33545</v>
      </c>
    </row>
    <row r="1742" spans="1:10" x14ac:dyDescent="0.25">
      <c r="A1742" s="56"/>
      <c r="B1742" s="23"/>
      <c r="C1742" s="88"/>
      <c r="D1742" s="23"/>
      <c r="E1742" s="23" t="s">
        <v>202</v>
      </c>
      <c r="F1742" s="56"/>
      <c r="G1742" s="88"/>
      <c r="H1742" s="48"/>
      <c r="I1742" s="90"/>
      <c r="J1742" s="48">
        <f>ROUND(SUM(J1743:J1743),0)</f>
        <v>5500199</v>
      </c>
    </row>
    <row r="1743" spans="1:10" x14ac:dyDescent="0.25">
      <c r="A1743" s="168"/>
      <c r="B1743" s="144"/>
      <c r="C1743" s="34">
        <v>546</v>
      </c>
      <c r="D1743" s="144" t="str">
        <f>'Nhân công'!$B$45</f>
        <v>N0009</v>
      </c>
      <c r="E1743" s="144" t="s">
        <v>1052</v>
      </c>
      <c r="F1743" s="168" t="str">
        <f>'Nhân công'!$G$45</f>
        <v>công</v>
      </c>
      <c r="G1743" s="34">
        <f>'Hao phí vật tư'!$H$1744</f>
        <v>25.84</v>
      </c>
      <c r="H1743" s="68">
        <f>'Nhân công'!$M$45</f>
        <v>212856</v>
      </c>
      <c r="I1743" s="37">
        <v>1</v>
      </c>
      <c r="J1743" s="166">
        <f>ROUND(G1743*H1743*I1743,0)</f>
        <v>5500199</v>
      </c>
    </row>
    <row r="1744" spans="1:10" x14ac:dyDescent="0.25">
      <c r="A1744" s="56"/>
      <c r="B1744" s="23"/>
      <c r="C1744" s="88"/>
      <c r="D1744" s="23"/>
      <c r="E1744" s="23" t="s">
        <v>378</v>
      </c>
      <c r="F1744" s="56"/>
      <c r="G1744" s="88"/>
      <c r="H1744" s="48"/>
      <c r="I1744" s="90"/>
      <c r="J1744" s="48">
        <f>ROUND(SUM(J1745:J1746),0)</f>
        <v>163602</v>
      </c>
    </row>
    <row r="1745" spans="1:10" x14ac:dyDescent="0.25">
      <c r="A1745" s="168"/>
      <c r="B1745" s="144"/>
      <c r="C1745" s="34">
        <v>714</v>
      </c>
      <c r="D1745" s="144" t="str">
        <f>'Máy thi công'!$B$6</f>
        <v>M9438</v>
      </c>
      <c r="E1745" s="144" t="str">
        <f>" - " &amp; 'Máy thi công'!$D$6</f>
        <v xml:space="preserve"> - Biến thế hàn xoay chiều - công suất: 23 kW</v>
      </c>
      <c r="F1745" s="168" t="str">
        <f>'Máy thi công'!$E$6</f>
        <v>ca</v>
      </c>
      <c r="G1745" s="34">
        <f>'Hao phí vật tư'!$I$1746</f>
        <v>0.44</v>
      </c>
      <c r="H1745" s="68">
        <f>'Máy thi công'!$N$6</f>
        <v>338020</v>
      </c>
      <c r="I1745" s="37">
        <v>1</v>
      </c>
      <c r="J1745" s="166">
        <f>ROUND(G1745*H1745*I1745,0)</f>
        <v>148729</v>
      </c>
    </row>
    <row r="1746" spans="1:10" x14ac:dyDescent="0.25">
      <c r="A1746" s="168"/>
      <c r="B1746" s="144"/>
      <c r="C1746" s="34">
        <v>684</v>
      </c>
      <c r="D1746" s="144" t="str">
        <f>'Máy thi công'!$B$398</f>
        <v>M0111</v>
      </c>
      <c r="E1746" s="144" t="str">
        <f>" - " &amp; 'Máy thi công'!$D$398</f>
        <v xml:space="preserve"> - Máy khác</v>
      </c>
      <c r="F1746" s="168" t="str">
        <f>'Máy thi công'!$E$398</f>
        <v>%</v>
      </c>
      <c r="G1746" s="34">
        <f>'Hao phí vật tư'!$I$1747</f>
        <v>10</v>
      </c>
      <c r="H1746" s="166">
        <f>'Máy thi công'!$N$398</f>
        <v>0</v>
      </c>
      <c r="I1746" s="37">
        <v>1</v>
      </c>
      <c r="J1746" s="166">
        <f>ROUND((J1745)*G1746*I1746/100,0)</f>
        <v>14873</v>
      </c>
    </row>
    <row r="1747" spans="1:10" x14ac:dyDescent="0.25">
      <c r="A1747" s="65">
        <f>'Công trình'!$A$231</f>
        <v>183</v>
      </c>
      <c r="B1747" s="14" t="str">
        <f>'Công trình'!$B$231</f>
        <v>AI.52211</v>
      </c>
      <c r="C1747" s="94"/>
      <c r="D1747" s="31"/>
      <c r="E1747" s="14" t="str">
        <f>'Công trình'!$C$231</f>
        <v>Thép hình hộp nối cọc</v>
      </c>
      <c r="F1747" s="46" t="str">
        <f>'Công trình'!$D$231</f>
        <v>tấn</v>
      </c>
      <c r="G1747" s="94"/>
      <c r="H1747" s="54"/>
      <c r="I1747" s="98"/>
      <c r="J1747" s="54"/>
    </row>
    <row r="1748" spans="1:10" x14ac:dyDescent="0.25">
      <c r="A1748" s="56"/>
      <c r="B1748" s="23"/>
      <c r="C1748" s="88"/>
      <c r="D1748" s="23"/>
      <c r="E1748" s="23" t="s">
        <v>479</v>
      </c>
      <c r="F1748" s="56"/>
      <c r="G1748" s="88"/>
      <c r="H1748" s="48"/>
      <c r="I1748" s="90"/>
      <c r="J1748" s="48">
        <f>ROUND(SUM(J1749:J1755),0)</f>
        <v>16318605</v>
      </c>
    </row>
    <row r="1749" spans="1:10" x14ac:dyDescent="0.25">
      <c r="A1749" s="168"/>
      <c r="B1749" s="144"/>
      <c r="C1749" s="34">
        <v>411</v>
      </c>
      <c r="D1749" s="144" t="str">
        <f>'Vật liệu'!$B$200</f>
        <v>V00833</v>
      </c>
      <c r="E1749" s="144" t="str">
        <f>" - " &amp; 'Vật liệu'!$D$200</f>
        <v xml:space="preserve"> - Đất đèn</v>
      </c>
      <c r="F1749" s="168" t="str">
        <f>'Vật liệu'!$E$200</f>
        <v>kg</v>
      </c>
      <c r="G1749" s="34">
        <f>'Hao phí vật tư'!$G$1750</f>
        <v>9.6199999999999992</v>
      </c>
      <c r="H1749" s="68">
        <f>'Vật liệu'!$W$200</f>
        <v>14000</v>
      </c>
      <c r="I1749" s="37">
        <v>1</v>
      </c>
      <c r="J1749" s="166">
        <f t="shared" ref="J1749:J1754" si="14">ROUND(G1749*H1749*I1749,0)</f>
        <v>134680</v>
      </c>
    </row>
    <row r="1750" spans="1:10" x14ac:dyDescent="0.25">
      <c r="A1750" s="168"/>
      <c r="B1750" s="144"/>
      <c r="C1750" s="34">
        <v>154</v>
      </c>
      <c r="D1750" s="144" t="str">
        <f>'Vật liệu'!$B$450</f>
        <v>V00515</v>
      </c>
      <c r="E1750" s="144" t="str">
        <f>" - " &amp; 'Vật liệu'!$D$450</f>
        <v xml:space="preserve"> - Que hàn</v>
      </c>
      <c r="F1750" s="168" t="str">
        <f>'Vật liệu'!$E$450</f>
        <v>kg</v>
      </c>
      <c r="G1750" s="34">
        <f>'Hao phí vật tư'!$G$1751</f>
        <v>18.75</v>
      </c>
      <c r="H1750" s="68">
        <f>'Vật liệu'!$W$450</f>
        <v>19091</v>
      </c>
      <c r="I1750" s="37">
        <v>1</v>
      </c>
      <c r="J1750" s="166">
        <f t="shared" si="14"/>
        <v>357956</v>
      </c>
    </row>
    <row r="1751" spans="1:10" x14ac:dyDescent="0.25">
      <c r="A1751" s="168"/>
      <c r="B1751" s="144"/>
      <c r="C1751" s="34">
        <v>400</v>
      </c>
      <c r="D1751" s="144" t="str">
        <f>'Vật liệu'!$B$401</f>
        <v>V00770</v>
      </c>
      <c r="E1751" s="144" t="str">
        <f>" - " &amp; 'Vật liệu'!$D$401</f>
        <v xml:space="preserve"> - Ô xy</v>
      </c>
      <c r="F1751" s="168" t="str">
        <f>'Vật liệu'!$E$401</f>
        <v>Chai</v>
      </c>
      <c r="G1751" s="34">
        <f>'Hao phí vật tư'!$G$1752</f>
        <v>1.75</v>
      </c>
      <c r="H1751" s="68">
        <f>'Vật liệu'!$W$401</f>
        <v>72000</v>
      </c>
      <c r="I1751" s="37">
        <v>1</v>
      </c>
      <c r="J1751" s="166">
        <f t="shared" si="14"/>
        <v>126000</v>
      </c>
    </row>
    <row r="1752" spans="1:10" x14ac:dyDescent="0.25">
      <c r="A1752" s="168"/>
      <c r="B1752" s="144"/>
      <c r="C1752" s="34">
        <v>166</v>
      </c>
      <c r="D1752" s="144" t="str">
        <f>'Vật liệu'!$B$606</f>
        <v>V00671</v>
      </c>
      <c r="E1752" s="144" t="str">
        <f>" - " &amp; 'Vật liệu'!$D$606</f>
        <v xml:space="preserve"> - Thép tấm</v>
      </c>
      <c r="F1752" s="168" t="str">
        <f>'Vật liệu'!$E$606</f>
        <v>kg</v>
      </c>
      <c r="G1752" s="34">
        <f>'Hao phí vật tư'!$G$1753</f>
        <v>250</v>
      </c>
      <c r="H1752" s="68">
        <f>'Vật liệu'!$W$606</f>
        <v>12574</v>
      </c>
      <c r="I1752" s="37">
        <v>1</v>
      </c>
      <c r="J1752" s="166">
        <f t="shared" si="14"/>
        <v>3143500</v>
      </c>
    </row>
    <row r="1753" spans="1:10" x14ac:dyDescent="0.25">
      <c r="A1753" s="168"/>
      <c r="B1753" s="144"/>
      <c r="C1753" s="34">
        <v>160</v>
      </c>
      <c r="D1753" s="144" t="str">
        <f>'Vật liệu'!$B$556</f>
        <v>V00641</v>
      </c>
      <c r="E1753" s="144" t="str">
        <f>" - " &amp; 'Vật liệu'!$D$556</f>
        <v xml:space="preserve"> - Thép hình</v>
      </c>
      <c r="F1753" s="168" t="str">
        <f>'Vật liệu'!$E$556</f>
        <v>kg</v>
      </c>
      <c r="G1753" s="34">
        <f>'Hao phí vật tư'!$G$1754</f>
        <v>800</v>
      </c>
      <c r="H1753" s="68">
        <f>'Vật liệu'!$W$556</f>
        <v>15291</v>
      </c>
      <c r="I1753" s="37">
        <v>1</v>
      </c>
      <c r="J1753" s="166">
        <f t="shared" si="14"/>
        <v>12232800</v>
      </c>
    </row>
    <row r="1754" spans="1:10" x14ac:dyDescent="0.25">
      <c r="A1754" s="168"/>
      <c r="B1754" s="144"/>
      <c r="C1754" s="34">
        <v>407</v>
      </c>
      <c r="D1754" s="144" t="str">
        <f>'Vật liệu'!$B$186</f>
        <v>V00824</v>
      </c>
      <c r="E1754" s="144" t="str">
        <f>" - " &amp; 'Vật liệu'!$D$186</f>
        <v xml:space="preserve"> - Đá mài</v>
      </c>
      <c r="F1754" s="168" t="str">
        <f>'Vật liệu'!$E$186</f>
        <v>viên</v>
      </c>
      <c r="G1754" s="34">
        <f>'Hao phí vật tư'!$G$1755</f>
        <v>0.28000000000000003</v>
      </c>
      <c r="H1754" s="68">
        <f>'Vật liệu'!$W$186</f>
        <v>13200</v>
      </c>
      <c r="I1754" s="37">
        <v>1</v>
      </c>
      <c r="J1754" s="166">
        <f t="shared" si="14"/>
        <v>3696</v>
      </c>
    </row>
    <row r="1755" spans="1:10" x14ac:dyDescent="0.25">
      <c r="A1755" s="168"/>
      <c r="B1755" s="144"/>
      <c r="C1755" s="34">
        <v>296</v>
      </c>
      <c r="D1755" s="144" t="str">
        <f>'Vật liệu'!$B$766</f>
        <v>V00750</v>
      </c>
      <c r="E1755" s="144" t="str">
        <f>" - " &amp; 'Vật liệu'!$D$766</f>
        <v xml:space="preserve"> - Vật liệu khác</v>
      </c>
      <c r="F1755" s="168" t="str">
        <f>'Vật liệu'!$E$766</f>
        <v>%</v>
      </c>
      <c r="G1755" s="34">
        <f>'Hao phí vật tư'!$G$1756</f>
        <v>2</v>
      </c>
      <c r="H1755" s="166">
        <f>'Vật liệu'!$W$766</f>
        <v>0</v>
      </c>
      <c r="I1755" s="37">
        <v>1</v>
      </c>
      <c r="J1755" s="166">
        <f>ROUND((J1749+J1750+J1751+J1752+J1753+J1754)*G1755*I1755/100,0)</f>
        <v>319973</v>
      </c>
    </row>
    <row r="1756" spans="1:10" x14ac:dyDescent="0.25">
      <c r="A1756" s="56"/>
      <c r="B1756" s="23"/>
      <c r="C1756" s="88"/>
      <c r="D1756" s="23"/>
      <c r="E1756" s="23" t="s">
        <v>202</v>
      </c>
      <c r="F1756" s="56"/>
      <c r="G1756" s="88"/>
      <c r="H1756" s="48"/>
      <c r="I1756" s="90"/>
      <c r="J1756" s="48">
        <f>ROUND(SUM(J1757:J1757),0)</f>
        <v>6570684</v>
      </c>
    </row>
    <row r="1757" spans="1:10" x14ac:dyDescent="0.25">
      <c r="A1757" s="168"/>
      <c r="B1757" s="144"/>
      <c r="C1757" s="34">
        <v>553</v>
      </c>
      <c r="D1757" s="144" t="str">
        <f>'Nhân công'!$B$221</f>
        <v>N0013</v>
      </c>
      <c r="E1757" s="144" t="s">
        <v>275</v>
      </c>
      <c r="F1757" s="168" t="str">
        <f>'Nhân công'!$G$221</f>
        <v>công</v>
      </c>
      <c r="G1757" s="34">
        <f>'Hao phí vật tư'!$H$1758</f>
        <v>26.15</v>
      </c>
      <c r="H1757" s="68">
        <f>'Nhân công'!$M$221</f>
        <v>251269</v>
      </c>
      <c r="I1757" s="37">
        <v>1</v>
      </c>
      <c r="J1757" s="166">
        <f>ROUND(G1757*H1757*I1757,0)</f>
        <v>6570684</v>
      </c>
    </row>
    <row r="1758" spans="1:10" x14ac:dyDescent="0.25">
      <c r="A1758" s="56"/>
      <c r="B1758" s="23"/>
      <c r="C1758" s="88"/>
      <c r="D1758" s="23"/>
      <c r="E1758" s="23" t="s">
        <v>378</v>
      </c>
      <c r="F1758" s="56"/>
      <c r="G1758" s="88"/>
      <c r="H1758" s="48"/>
      <c r="I1758" s="90"/>
      <c r="J1758" s="48">
        <f>ROUND(SUM(J1759:J1762),0)</f>
        <v>1989622</v>
      </c>
    </row>
    <row r="1759" spans="1:10" x14ac:dyDescent="0.25">
      <c r="A1759" s="168"/>
      <c r="B1759" s="144"/>
      <c r="C1759" s="34">
        <v>701</v>
      </c>
      <c r="D1759" s="144" t="str">
        <f>'Máy thi công'!$B$273</f>
        <v>M112.1501</v>
      </c>
      <c r="E1759" s="144" t="str">
        <f>" - " &amp; 'Máy thi công'!$D$273</f>
        <v xml:space="preserve"> - Máy khoan đứng - công suất: 2,5 kW</v>
      </c>
      <c r="F1759" s="168" t="str">
        <f>'Máy thi công'!$E$273</f>
        <v>ca</v>
      </c>
      <c r="G1759" s="34">
        <f>'Hao phí vật tư'!$I$1760</f>
        <v>1.06</v>
      </c>
      <c r="H1759" s="68">
        <f>'Máy thi công'!$N$273</f>
        <v>247705</v>
      </c>
      <c r="I1759" s="37">
        <v>1</v>
      </c>
      <c r="J1759" s="166">
        <f>ROUND(G1759*H1759*I1759,0)</f>
        <v>262567</v>
      </c>
    </row>
    <row r="1760" spans="1:10" x14ac:dyDescent="0.25">
      <c r="A1760" s="168"/>
      <c r="B1760" s="144"/>
      <c r="C1760" s="34">
        <v>714</v>
      </c>
      <c r="D1760" s="144" t="str">
        <f>'Máy thi công'!$B$6</f>
        <v>M9438</v>
      </c>
      <c r="E1760" s="144" t="str">
        <f>" - " &amp; 'Máy thi công'!$D$6</f>
        <v xml:space="preserve"> - Biến thế hàn xoay chiều - công suất: 23 kW</v>
      </c>
      <c r="F1760" s="168" t="str">
        <f>'Máy thi công'!$E$6</f>
        <v>ca</v>
      </c>
      <c r="G1760" s="34">
        <f>'Hao phí vật tư'!$I$1761</f>
        <v>4.16</v>
      </c>
      <c r="H1760" s="68">
        <f>'Máy thi công'!$N$6</f>
        <v>338020</v>
      </c>
      <c r="I1760" s="37">
        <v>1</v>
      </c>
      <c r="J1760" s="166">
        <f>ROUND(G1760*H1760*I1760,0)</f>
        <v>1406163</v>
      </c>
    </row>
    <row r="1761" spans="1:10" x14ac:dyDescent="0.25">
      <c r="A1761" s="168"/>
      <c r="B1761" s="144"/>
      <c r="C1761" s="34">
        <v>705</v>
      </c>
      <c r="D1761" s="144" t="str">
        <f>'Máy thi công'!$B$285</f>
        <v>M112.3702</v>
      </c>
      <c r="E1761" s="144" t="str">
        <f>" - " &amp; 'Máy thi công'!$D$285</f>
        <v xml:space="preserve"> - Máy mài - công suất: 2,7 kW</v>
      </c>
      <c r="F1761" s="168" t="str">
        <f>'Máy thi công'!$E$285</f>
        <v>ca</v>
      </c>
      <c r="G1761" s="34">
        <f>'Hao phí vật tư'!$I$1762</f>
        <v>1.06</v>
      </c>
      <c r="H1761" s="68">
        <f>'Máy thi công'!$N$285</f>
        <v>213347</v>
      </c>
      <c r="I1761" s="37">
        <v>1</v>
      </c>
      <c r="J1761" s="166">
        <f>ROUND(G1761*H1761*I1761,0)</f>
        <v>226148</v>
      </c>
    </row>
    <row r="1762" spans="1:10" x14ac:dyDescent="0.25">
      <c r="A1762" s="168"/>
      <c r="B1762" s="144"/>
      <c r="C1762" s="34">
        <v>634</v>
      </c>
      <c r="D1762" s="144" t="str">
        <f>'Máy thi công'!$B$398</f>
        <v>M0111</v>
      </c>
      <c r="E1762" s="144" t="str">
        <f>" - " &amp; 'Máy thi công'!$D$398</f>
        <v xml:space="preserve"> - Máy khác</v>
      </c>
      <c r="F1762" s="168" t="str">
        <f>'Máy thi công'!$E$398</f>
        <v>%</v>
      </c>
      <c r="G1762" s="34">
        <f>'Hao phí vật tư'!$I$1763</f>
        <v>5</v>
      </c>
      <c r="H1762" s="166">
        <f>'Máy thi công'!$N$398</f>
        <v>0</v>
      </c>
      <c r="I1762" s="37">
        <v>1</v>
      </c>
      <c r="J1762" s="166">
        <f>ROUND((J1759+J1760+J1761)*G1762*I1762/100,0)</f>
        <v>94744</v>
      </c>
    </row>
    <row r="1763" spans="1:10" ht="28.5" x14ac:dyDescent="0.25">
      <c r="A1763" s="65">
        <f>'Công trình'!$A$232</f>
        <v>184</v>
      </c>
      <c r="B1763" s="14" t="str">
        <f>'Công trình'!$B$232</f>
        <v>AC.14114</v>
      </c>
      <c r="C1763" s="94"/>
      <c r="D1763" s="31"/>
      <c r="E1763" s="14" t="str">
        <f>'Công trình'!$C$232</f>
        <v>Đóng cọc BTCT 35x35 chiều dài &lt;=24m trên mặt đất, trọng lượng đầu búa 1,8T, đất cấp I</v>
      </c>
      <c r="F1763" s="46" t="str">
        <f>'Công trình'!$D$232</f>
        <v>100m</v>
      </c>
      <c r="G1763" s="94"/>
      <c r="H1763" s="54"/>
      <c r="I1763" s="98"/>
      <c r="J1763" s="54"/>
    </row>
    <row r="1764" spans="1:10" x14ac:dyDescent="0.25">
      <c r="A1764" s="56"/>
      <c r="B1764" s="23"/>
      <c r="C1764" s="88"/>
      <c r="D1764" s="23"/>
      <c r="E1764" s="23" t="s">
        <v>479</v>
      </c>
      <c r="F1764" s="56"/>
      <c r="G1764" s="88"/>
      <c r="H1764" s="48"/>
      <c r="I1764" s="90"/>
      <c r="J1764" s="48">
        <f>ROUND(SUM(J1765:J1766),0)</f>
        <v>0</v>
      </c>
    </row>
    <row r="1765" spans="1:10" x14ac:dyDescent="0.25">
      <c r="A1765" s="168"/>
      <c r="B1765" s="144"/>
      <c r="C1765" s="34">
        <v>457</v>
      </c>
      <c r="D1765" s="144" t="str">
        <f>'Vật liệu'!$B$111</f>
        <v>V12705</v>
      </c>
      <c r="E1765" s="144" t="str">
        <f>" - " &amp; 'Vật liệu'!$D$111</f>
        <v xml:space="preserve"> - Cọc bê tông 35cmx35cm</v>
      </c>
      <c r="F1765" s="168" t="str">
        <f>'Vật liệu'!$E$111</f>
        <v>m</v>
      </c>
      <c r="G1765" s="34">
        <f>'Hao phí vật tư'!$G$1766</f>
        <v>0</v>
      </c>
      <c r="H1765" s="68">
        <f>'Vật liệu'!$W$111</f>
        <v>594300</v>
      </c>
      <c r="I1765" s="37">
        <v>1</v>
      </c>
      <c r="J1765" s="166">
        <f>ROUND(G1765*H1765*I1765,0)</f>
        <v>0</v>
      </c>
    </row>
    <row r="1766" spans="1:10" x14ac:dyDescent="0.25">
      <c r="A1766" s="168"/>
      <c r="B1766" s="144"/>
      <c r="C1766" s="34">
        <v>299</v>
      </c>
      <c r="D1766" s="144" t="str">
        <f>'Vật liệu'!$B$766</f>
        <v>V00750</v>
      </c>
      <c r="E1766" s="144" t="str">
        <f>" - " &amp; 'Vật liệu'!$D$766</f>
        <v xml:space="preserve"> - Vật liệu khác</v>
      </c>
      <c r="F1766" s="168" t="str">
        <f>'Vật liệu'!$E$766</f>
        <v>%</v>
      </c>
      <c r="G1766" s="34">
        <f>'Hao phí vật tư'!$G$1767</f>
        <v>1.5</v>
      </c>
      <c r="H1766" s="166">
        <f>'Vật liệu'!$W$766</f>
        <v>0</v>
      </c>
      <c r="I1766" s="37">
        <v>1</v>
      </c>
      <c r="J1766" s="166">
        <f>ROUND((J1765)*G1766*I1766/100,0)</f>
        <v>0</v>
      </c>
    </row>
    <row r="1767" spans="1:10" x14ac:dyDescent="0.25">
      <c r="A1767" s="56"/>
      <c r="B1767" s="23"/>
      <c r="C1767" s="88"/>
      <c r="D1767" s="23"/>
      <c r="E1767" s="23" t="s">
        <v>202</v>
      </c>
      <c r="F1767" s="56"/>
      <c r="G1767" s="88"/>
      <c r="H1767" s="48"/>
      <c r="I1767" s="90"/>
      <c r="J1767" s="48">
        <f>ROUND(SUM(J1768:J1768),0)</f>
        <v>1647891</v>
      </c>
    </row>
    <row r="1768" spans="1:10" x14ac:dyDescent="0.25">
      <c r="A1768" s="168"/>
      <c r="B1768" s="144"/>
      <c r="C1768" s="34">
        <v>554</v>
      </c>
      <c r="D1768" s="144" t="str">
        <f>'Nhân công'!$B$103</f>
        <v>N0015</v>
      </c>
      <c r="E1768" s="144" t="s">
        <v>1014</v>
      </c>
      <c r="F1768" s="168" t="str">
        <f>'Nhân công'!$G$103</f>
        <v>công</v>
      </c>
      <c r="G1768" s="34">
        <f>'Hao phí vật tư'!$H$1769</f>
        <v>6.88</v>
      </c>
      <c r="H1768" s="68">
        <f>'Nhân công'!$M$103</f>
        <v>239519</v>
      </c>
      <c r="I1768" s="37">
        <v>1</v>
      </c>
      <c r="J1768" s="166">
        <f>ROUND(G1768*H1768*I1768,0)</f>
        <v>1647891</v>
      </c>
    </row>
    <row r="1769" spans="1:10" x14ac:dyDescent="0.25">
      <c r="A1769" s="56"/>
      <c r="B1769" s="23"/>
      <c r="C1769" s="88"/>
      <c r="D1769" s="23"/>
      <c r="E1769" s="23" t="s">
        <v>378</v>
      </c>
      <c r="F1769" s="56"/>
      <c r="G1769" s="88"/>
      <c r="H1769" s="48"/>
      <c r="I1769" s="90"/>
      <c r="J1769" s="48">
        <f>ROUND(SUM(J1770:J1771),0)</f>
        <v>7178697</v>
      </c>
    </row>
    <row r="1770" spans="1:10" ht="30" x14ac:dyDescent="0.25">
      <c r="A1770" s="168"/>
      <c r="B1770" s="144"/>
      <c r="C1770" s="34">
        <v>717</v>
      </c>
      <c r="D1770" s="144" t="str">
        <f>'Máy thi công'!$B$94</f>
        <v>M9441</v>
      </c>
      <c r="E1770" s="144" t="str">
        <f>" - " &amp; 'Máy thi công'!$D$94</f>
        <v xml:space="preserve"> - Búa diezel chạy trên ray - trọng lượng đầu búa: 1,8 t</v>
      </c>
      <c r="F1770" s="168" t="str">
        <f>'Máy thi công'!$E$94</f>
        <v>ca</v>
      </c>
      <c r="G1770" s="34">
        <f>'Hao phí vật tư'!$I$1771</f>
        <v>3.44</v>
      </c>
      <c r="H1770" s="68">
        <f>'Máy thi công'!$N$94</f>
        <v>1968708</v>
      </c>
      <c r="I1770" s="37">
        <v>1</v>
      </c>
      <c r="J1770" s="166">
        <f>ROUND(G1770*H1770*I1770,0)</f>
        <v>6772356</v>
      </c>
    </row>
    <row r="1771" spans="1:10" x14ac:dyDescent="0.25">
      <c r="A1771" s="168"/>
      <c r="B1771" s="144"/>
      <c r="C1771" s="34">
        <v>637</v>
      </c>
      <c r="D1771" s="144" t="str">
        <f>'Máy thi công'!$B$398</f>
        <v>M0111</v>
      </c>
      <c r="E1771" s="144" t="str">
        <f>" - " &amp; 'Máy thi công'!$D$398</f>
        <v xml:space="preserve"> - Máy khác</v>
      </c>
      <c r="F1771" s="168" t="str">
        <f>'Máy thi công'!$E$398</f>
        <v>%</v>
      </c>
      <c r="G1771" s="34">
        <f>'Hao phí vật tư'!$I$1772</f>
        <v>6</v>
      </c>
      <c r="H1771" s="166">
        <f>'Máy thi công'!$N$398</f>
        <v>0</v>
      </c>
      <c r="I1771" s="37">
        <v>1</v>
      </c>
      <c r="J1771" s="166">
        <f>ROUND((J1770)*G1771*I1771/100,0)</f>
        <v>406341</v>
      </c>
    </row>
    <row r="1772" spans="1:10" ht="42.75" x14ac:dyDescent="0.25">
      <c r="A1772" s="65">
        <f>'Công trình'!$A$233</f>
        <v>185</v>
      </c>
      <c r="B1772" s="14" t="str">
        <f>'Công trình'!$B$233</f>
        <v>AC.14114</v>
      </c>
      <c r="C1772" s="94"/>
      <c r="D1772" s="31"/>
      <c r="E1772" s="14" t="str">
        <f>'Công trình'!$C$233</f>
        <v>Đóng cọc xiên BTCT 35x35 chiều dài &lt;=24m trên mặt đất, trọng lượng đầu búa 1,8T, đất cấp I (HS NC, MTC x 1,22)</v>
      </c>
      <c r="F1772" s="46" t="str">
        <f>'Công trình'!$D$233</f>
        <v>100m</v>
      </c>
      <c r="G1772" s="94"/>
      <c r="H1772" s="54"/>
      <c r="I1772" s="98"/>
      <c r="J1772" s="54"/>
    </row>
    <row r="1773" spans="1:10" x14ac:dyDescent="0.25">
      <c r="A1773" s="56"/>
      <c r="B1773" s="23"/>
      <c r="C1773" s="88"/>
      <c r="D1773" s="23"/>
      <c r="E1773" s="23" t="s">
        <v>479</v>
      </c>
      <c r="F1773" s="56"/>
      <c r="G1773" s="88"/>
      <c r="H1773" s="48"/>
      <c r="I1773" s="90"/>
      <c r="J1773" s="48">
        <f>ROUND(SUM(J1774:J1775),0)</f>
        <v>0</v>
      </c>
    </row>
    <row r="1774" spans="1:10" x14ac:dyDescent="0.25">
      <c r="A1774" s="168"/>
      <c r="B1774" s="144"/>
      <c r="C1774" s="34">
        <v>457</v>
      </c>
      <c r="D1774" s="144" t="str">
        <f>'Vật liệu'!$B$111</f>
        <v>V12705</v>
      </c>
      <c r="E1774" s="144" t="str">
        <f>" - " &amp; 'Vật liệu'!$D$111</f>
        <v xml:space="preserve"> - Cọc bê tông 35cmx35cm</v>
      </c>
      <c r="F1774" s="168" t="str">
        <f>'Vật liệu'!$E$111</f>
        <v>m</v>
      </c>
      <c r="G1774" s="34">
        <f>'Hao phí vật tư'!$G$1775</f>
        <v>0</v>
      </c>
      <c r="H1774" s="68">
        <f>'Vật liệu'!$W$111</f>
        <v>594300</v>
      </c>
      <c r="I1774" s="37">
        <v>1</v>
      </c>
      <c r="J1774" s="166">
        <f>ROUND(G1774*H1774*I1774,0)</f>
        <v>0</v>
      </c>
    </row>
    <row r="1775" spans="1:10" x14ac:dyDescent="0.25">
      <c r="A1775" s="168"/>
      <c r="B1775" s="144"/>
      <c r="C1775" s="34">
        <v>300</v>
      </c>
      <c r="D1775" s="144" t="str">
        <f>'Vật liệu'!$B$766</f>
        <v>V00750</v>
      </c>
      <c r="E1775" s="144" t="str">
        <f>" - " &amp; 'Vật liệu'!$D$766</f>
        <v xml:space="preserve"> - Vật liệu khác</v>
      </c>
      <c r="F1775" s="168" t="str">
        <f>'Vật liệu'!$E$766</f>
        <v>%</v>
      </c>
      <c r="G1775" s="34">
        <f>'Hao phí vật tư'!$G$1776</f>
        <v>1.5</v>
      </c>
      <c r="H1775" s="166">
        <f>'Vật liệu'!$W$766</f>
        <v>0</v>
      </c>
      <c r="I1775" s="37">
        <v>1</v>
      </c>
      <c r="J1775" s="166">
        <f>ROUND((J1774)*G1775*I1775/100,0)</f>
        <v>0</v>
      </c>
    </row>
    <row r="1776" spans="1:10" x14ac:dyDescent="0.25">
      <c r="A1776" s="56"/>
      <c r="B1776" s="23"/>
      <c r="C1776" s="88"/>
      <c r="D1776" s="23"/>
      <c r="E1776" s="23" t="s">
        <v>202</v>
      </c>
      <c r="F1776" s="56"/>
      <c r="G1776" s="88"/>
      <c r="H1776" s="48"/>
      <c r="I1776" s="90"/>
      <c r="J1776" s="48">
        <f>ROUND(SUM(J1777:J1777),0)</f>
        <v>2010427</v>
      </c>
    </row>
    <row r="1777" spans="1:10" x14ac:dyDescent="0.25">
      <c r="A1777" s="168"/>
      <c r="B1777" s="144"/>
      <c r="C1777" s="34">
        <v>554</v>
      </c>
      <c r="D1777" s="144" t="str">
        <f>'Nhân công'!$B$103</f>
        <v>N0015</v>
      </c>
      <c r="E1777" s="144" t="s">
        <v>1014</v>
      </c>
      <c r="F1777" s="168" t="str">
        <f>'Nhân công'!$G$103</f>
        <v>công</v>
      </c>
      <c r="G1777" s="34">
        <f>'Hao phí vật tư'!$H$1778</f>
        <v>8.3935999999999993</v>
      </c>
      <c r="H1777" s="68">
        <f>'Nhân công'!$M$103</f>
        <v>239519</v>
      </c>
      <c r="I1777" s="37">
        <v>1</v>
      </c>
      <c r="J1777" s="166">
        <f>ROUND(G1777*H1777*I1777,0)</f>
        <v>2010427</v>
      </c>
    </row>
    <row r="1778" spans="1:10" x14ac:dyDescent="0.25">
      <c r="A1778" s="56"/>
      <c r="B1778" s="23"/>
      <c r="C1778" s="88"/>
      <c r="D1778" s="23"/>
      <c r="E1778" s="23" t="s">
        <v>378</v>
      </c>
      <c r="F1778" s="56"/>
      <c r="G1778" s="88"/>
      <c r="H1778" s="48"/>
      <c r="I1778" s="90"/>
      <c r="J1778" s="48">
        <f>ROUND(SUM(J1779:J1780),0)</f>
        <v>8758010</v>
      </c>
    </row>
    <row r="1779" spans="1:10" ht="30" x14ac:dyDescent="0.25">
      <c r="A1779" s="168"/>
      <c r="B1779" s="144"/>
      <c r="C1779" s="34">
        <v>717</v>
      </c>
      <c r="D1779" s="144" t="str">
        <f>'Máy thi công'!$B$94</f>
        <v>M9441</v>
      </c>
      <c r="E1779" s="144" t="str">
        <f>" - " &amp; 'Máy thi công'!$D$94</f>
        <v xml:space="preserve"> - Búa diezel chạy trên ray - trọng lượng đầu búa: 1,8 t</v>
      </c>
      <c r="F1779" s="168" t="str">
        <f>'Máy thi công'!$E$94</f>
        <v>ca</v>
      </c>
      <c r="G1779" s="34">
        <f>'Hao phí vật tư'!$I$1780</f>
        <v>4.1967999999999996</v>
      </c>
      <c r="H1779" s="68">
        <f>'Máy thi công'!$N$94</f>
        <v>1968708</v>
      </c>
      <c r="I1779" s="37">
        <v>1</v>
      </c>
      <c r="J1779" s="166">
        <f>ROUND(G1779*H1779*I1779,0)</f>
        <v>8262274</v>
      </c>
    </row>
    <row r="1780" spans="1:10" x14ac:dyDescent="0.25">
      <c r="A1780" s="168"/>
      <c r="B1780" s="144"/>
      <c r="C1780" s="34">
        <v>638</v>
      </c>
      <c r="D1780" s="144" t="str">
        <f>'Máy thi công'!$B$398</f>
        <v>M0111</v>
      </c>
      <c r="E1780" s="144" t="str">
        <f>" - " &amp; 'Máy thi công'!$D$398</f>
        <v xml:space="preserve"> - Máy khác</v>
      </c>
      <c r="F1780" s="168" t="str">
        <f>'Máy thi công'!$E$398</f>
        <v>%</v>
      </c>
      <c r="G1780" s="34">
        <f>'Hao phí vật tư'!$I$1781</f>
        <v>6</v>
      </c>
      <c r="H1780" s="166">
        <f>'Máy thi công'!$N$398</f>
        <v>0</v>
      </c>
      <c r="I1780" s="37">
        <v>1</v>
      </c>
      <c r="J1780" s="166">
        <f>ROUND((J1779)*G1780*I1780/100,0)</f>
        <v>495736</v>
      </c>
    </row>
    <row r="1781" spans="1:10" ht="28.5" x14ac:dyDescent="0.25">
      <c r="A1781" s="65">
        <f>'Công trình'!$A$234</f>
        <v>186</v>
      </c>
      <c r="B1781" s="14" t="str">
        <f>'Công trình'!$B$234</f>
        <v>AC.29341</v>
      </c>
      <c r="C1781" s="94"/>
      <c r="D1781" s="31"/>
      <c r="E1781" s="14" t="str">
        <f>'Công trình'!$C$234</f>
        <v>Nối cọc BTCT 35x35cm</v>
      </c>
      <c r="F1781" s="46" t="str">
        <f>'Công trình'!$D$234</f>
        <v>1mối nối</v>
      </c>
      <c r="G1781" s="94"/>
      <c r="H1781" s="54"/>
      <c r="I1781" s="98"/>
      <c r="J1781" s="54"/>
    </row>
    <row r="1782" spans="1:10" x14ac:dyDescent="0.25">
      <c r="A1782" s="56"/>
      <c r="B1782" s="23"/>
      <c r="C1782" s="88"/>
      <c r="D1782" s="23"/>
      <c r="E1782" s="23" t="s">
        <v>479</v>
      </c>
      <c r="F1782" s="56"/>
      <c r="G1782" s="88"/>
      <c r="H1782" s="48"/>
      <c r="I1782" s="90"/>
      <c r="J1782" s="48">
        <f>ROUND(SUM(J1783:J1785),0)</f>
        <v>82784</v>
      </c>
    </row>
    <row r="1783" spans="1:10" x14ac:dyDescent="0.25">
      <c r="A1783" s="168"/>
      <c r="B1783" s="144"/>
      <c r="C1783" s="34">
        <v>154</v>
      </c>
      <c r="D1783" s="144" t="str">
        <f>'Vật liệu'!$B$450</f>
        <v>V00515</v>
      </c>
      <c r="E1783" s="144" t="str">
        <f>" - " &amp; 'Vật liệu'!$D$450</f>
        <v xml:space="preserve"> - Que hàn</v>
      </c>
      <c r="F1783" s="168" t="str">
        <f>'Vật liệu'!$E$450</f>
        <v>kg</v>
      </c>
      <c r="G1783" s="34">
        <f>'Hao phí vật tư'!$G$1784</f>
        <v>4.21</v>
      </c>
      <c r="H1783" s="68">
        <f>'Vật liệu'!$W$450</f>
        <v>19091</v>
      </c>
      <c r="I1783" s="37">
        <v>1</v>
      </c>
      <c r="J1783" s="166">
        <f>ROUND(G1783*H1783*I1783,0)</f>
        <v>80373</v>
      </c>
    </row>
    <row r="1784" spans="1:10" x14ac:dyDescent="0.25">
      <c r="A1784" s="168"/>
      <c r="B1784" s="144"/>
      <c r="C1784" s="34">
        <v>158</v>
      </c>
      <c r="D1784" s="144" t="str">
        <f>'Vật liệu'!$B$551</f>
        <v>V00638</v>
      </c>
      <c r="E1784" s="144" t="str">
        <f>" - " &amp; 'Vật liệu'!$D$551</f>
        <v xml:space="preserve"> - Thép góc 100x100mm</v>
      </c>
      <c r="F1784" s="168" t="str">
        <f>'Vật liệu'!$E$551</f>
        <v>kg</v>
      </c>
      <c r="G1784" s="34">
        <f>'Hao phí vật tư'!$G$1785</f>
        <v>0</v>
      </c>
      <c r="H1784" s="68">
        <f>'Vật liệu'!$W$551</f>
        <v>15291</v>
      </c>
      <c r="I1784" s="37">
        <v>1</v>
      </c>
      <c r="J1784" s="166">
        <f>ROUND(G1784*H1784*I1784,0)</f>
        <v>0</v>
      </c>
    </row>
    <row r="1785" spans="1:10" x14ac:dyDescent="0.25">
      <c r="A1785" s="168"/>
      <c r="B1785" s="144"/>
      <c r="C1785" s="34">
        <v>301</v>
      </c>
      <c r="D1785" s="144" t="str">
        <f>'Vật liệu'!$B$766</f>
        <v>V00750</v>
      </c>
      <c r="E1785" s="144" t="str">
        <f>" - " &amp; 'Vật liệu'!$D$766</f>
        <v xml:space="preserve"> - Vật liệu khác</v>
      </c>
      <c r="F1785" s="168" t="str">
        <f>'Vật liệu'!$E$766</f>
        <v>%</v>
      </c>
      <c r="G1785" s="34">
        <f>'Hao phí vật tư'!$G$1786</f>
        <v>3</v>
      </c>
      <c r="H1785" s="166">
        <f>'Vật liệu'!$W$766</f>
        <v>0</v>
      </c>
      <c r="I1785" s="37">
        <v>1</v>
      </c>
      <c r="J1785" s="166">
        <f>ROUND((J1783+J1784)*G1785*I1785/100,0)</f>
        <v>2411</v>
      </c>
    </row>
    <row r="1786" spans="1:10" x14ac:dyDescent="0.25">
      <c r="A1786" s="56"/>
      <c r="B1786" s="23"/>
      <c r="C1786" s="88"/>
      <c r="D1786" s="23"/>
      <c r="E1786" s="23" t="s">
        <v>202</v>
      </c>
      <c r="F1786" s="56"/>
      <c r="G1786" s="88"/>
      <c r="H1786" s="48"/>
      <c r="I1786" s="90"/>
      <c r="J1786" s="48">
        <f>ROUND(SUM(J1787:J1787),0)</f>
        <v>209385</v>
      </c>
    </row>
    <row r="1787" spans="1:10" x14ac:dyDescent="0.25">
      <c r="A1787" s="168"/>
      <c r="B1787" s="144"/>
      <c r="C1787" s="34">
        <v>555</v>
      </c>
      <c r="D1787" s="144" t="str">
        <f>'Nhân công'!$B$185</f>
        <v>N0020</v>
      </c>
      <c r="E1787" s="144" t="s">
        <v>625</v>
      </c>
      <c r="F1787" s="168" t="str">
        <f>'Nhân công'!$G$185</f>
        <v>công</v>
      </c>
      <c r="G1787" s="34">
        <f>'Hao phí vật tư'!$H$1788</f>
        <v>0.81</v>
      </c>
      <c r="H1787" s="68">
        <f>'Nhân công'!$M$185</f>
        <v>258500</v>
      </c>
      <c r="I1787" s="37">
        <v>1</v>
      </c>
      <c r="J1787" s="166">
        <f>ROUND(G1787*H1787*I1787,0)</f>
        <v>209385</v>
      </c>
    </row>
    <row r="1788" spans="1:10" x14ac:dyDescent="0.25">
      <c r="A1788" s="56"/>
      <c r="B1788" s="23"/>
      <c r="C1788" s="88"/>
      <c r="D1788" s="23"/>
      <c r="E1788" s="23" t="s">
        <v>378</v>
      </c>
      <c r="F1788" s="56"/>
      <c r="G1788" s="88"/>
      <c r="H1788" s="48"/>
      <c r="I1788" s="90"/>
      <c r="J1788" s="48">
        <f>ROUND(SUM(J1789:J1790),0)</f>
        <v>62669</v>
      </c>
    </row>
    <row r="1789" spans="1:10" x14ac:dyDescent="0.25">
      <c r="A1789" s="168"/>
      <c r="B1789" s="144"/>
      <c r="C1789" s="34">
        <v>714</v>
      </c>
      <c r="D1789" s="144" t="str">
        <f>'Máy thi công'!$B$6</f>
        <v>M9438</v>
      </c>
      <c r="E1789" s="144" t="str">
        <f>" - " &amp; 'Máy thi công'!$D$6</f>
        <v xml:space="preserve"> - Biến thế hàn xoay chiều - công suất: 23 kW</v>
      </c>
      <c r="F1789" s="168" t="str">
        <f>'Máy thi công'!$E$6</f>
        <v>ca</v>
      </c>
      <c r="G1789" s="34">
        <f>'Hao phí vật tư'!$I$1790</f>
        <v>0.18</v>
      </c>
      <c r="H1789" s="68">
        <f>'Máy thi công'!$N$6</f>
        <v>338020</v>
      </c>
      <c r="I1789" s="37">
        <v>1</v>
      </c>
      <c r="J1789" s="166">
        <f>ROUND(G1789*H1789*I1789,0)</f>
        <v>60844</v>
      </c>
    </row>
    <row r="1790" spans="1:10" x14ac:dyDescent="0.25">
      <c r="A1790" s="168"/>
      <c r="B1790" s="144"/>
      <c r="C1790" s="34">
        <v>639</v>
      </c>
      <c r="D1790" s="144" t="str">
        <f>'Máy thi công'!$B$398</f>
        <v>M0111</v>
      </c>
      <c r="E1790" s="144" t="str">
        <f>" - " &amp; 'Máy thi công'!$D$398</f>
        <v xml:space="preserve"> - Máy khác</v>
      </c>
      <c r="F1790" s="168" t="str">
        <f>'Máy thi công'!$E$398</f>
        <v>%</v>
      </c>
      <c r="G1790" s="34">
        <f>'Hao phí vật tư'!$I$1791</f>
        <v>3</v>
      </c>
      <c r="H1790" s="166">
        <f>'Máy thi công'!$N$398</f>
        <v>0</v>
      </c>
      <c r="I1790" s="37">
        <v>1</v>
      </c>
      <c r="J1790" s="166">
        <f>ROUND((J1789)*G1790*I1790/100,0)</f>
        <v>1825</v>
      </c>
    </row>
    <row r="1791" spans="1:10" x14ac:dyDescent="0.25">
      <c r="A1791" s="65">
        <f>'Công trình'!$A$235</f>
        <v>187</v>
      </c>
      <c r="B1791" s="14" t="str">
        <f>'Công trình'!$B$235</f>
        <v>AA.22310</v>
      </c>
      <c r="C1791" s="94"/>
      <c r="D1791" s="31"/>
      <c r="E1791" s="14" t="str">
        <f>'Công trình'!$C$235</f>
        <v>Đập đầu cọc trên cạn</v>
      </c>
      <c r="F1791" s="46" t="str">
        <f>'Công trình'!$D$235</f>
        <v>m3</v>
      </c>
      <c r="G1791" s="94"/>
      <c r="H1791" s="54"/>
      <c r="I1791" s="98"/>
      <c r="J1791" s="54"/>
    </row>
    <row r="1792" spans="1:10" x14ac:dyDescent="0.25">
      <c r="A1792" s="56"/>
      <c r="B1792" s="23"/>
      <c r="C1792" s="88"/>
      <c r="D1792" s="23"/>
      <c r="E1792" s="23" t="s">
        <v>479</v>
      </c>
      <c r="F1792" s="56"/>
      <c r="G1792" s="88"/>
      <c r="H1792" s="48"/>
      <c r="I1792" s="90"/>
      <c r="J1792" s="48">
        <f>ROUND(SUM(J1793:J1793),0)</f>
        <v>0</v>
      </c>
    </row>
    <row r="1793" spans="1:10" x14ac:dyDescent="0.25">
      <c r="A1793" s="168"/>
      <c r="B1793" s="144"/>
      <c r="C1793" s="34">
        <v>154</v>
      </c>
      <c r="D1793" s="144" t="str">
        <f>'Vật liệu'!$B$450</f>
        <v>V00515</v>
      </c>
      <c r="E1793" s="144" t="str">
        <f>" - " &amp; 'Vật liệu'!$D$450</f>
        <v xml:space="preserve"> - Que hàn</v>
      </c>
      <c r="F1793" s="168" t="str">
        <f>'Vật liệu'!$E$450</f>
        <v>kg</v>
      </c>
      <c r="G1793" s="34">
        <f>'Hao phí vật tư'!$G$1794</f>
        <v>0</v>
      </c>
      <c r="H1793" s="68">
        <f>'Vật liệu'!$W$450</f>
        <v>19091</v>
      </c>
      <c r="I1793" s="37">
        <v>1</v>
      </c>
      <c r="J1793" s="166">
        <f>ROUND(G1793*H1793*I1793,0)</f>
        <v>0</v>
      </c>
    </row>
    <row r="1794" spans="1:10" x14ac:dyDescent="0.25">
      <c r="A1794" s="56"/>
      <c r="B1794" s="23"/>
      <c r="C1794" s="88"/>
      <c r="D1794" s="23"/>
      <c r="E1794" s="23" t="s">
        <v>202</v>
      </c>
      <c r="F1794" s="56"/>
      <c r="G1794" s="88"/>
      <c r="H1794" s="48"/>
      <c r="I1794" s="90"/>
      <c r="J1794" s="48">
        <f>ROUND(SUM(J1795:J1795),0)</f>
        <v>186120</v>
      </c>
    </row>
    <row r="1795" spans="1:10" x14ac:dyDescent="0.25">
      <c r="A1795" s="168"/>
      <c r="B1795" s="144"/>
      <c r="C1795" s="34">
        <v>555</v>
      </c>
      <c r="D1795" s="144" t="str">
        <f>'Nhân công'!$B$185</f>
        <v>N0020</v>
      </c>
      <c r="E1795" s="144" t="s">
        <v>625</v>
      </c>
      <c r="F1795" s="168" t="str">
        <f>'Nhân công'!$G$185</f>
        <v>công</v>
      </c>
      <c r="G1795" s="34">
        <f>'Hao phí vật tư'!$H$1796</f>
        <v>0.72</v>
      </c>
      <c r="H1795" s="68">
        <f>'Nhân công'!$M$185</f>
        <v>258500</v>
      </c>
      <c r="I1795" s="37">
        <v>1</v>
      </c>
      <c r="J1795" s="166">
        <f>ROUND(G1795*H1795*I1795,0)</f>
        <v>186120</v>
      </c>
    </row>
    <row r="1796" spans="1:10" x14ac:dyDescent="0.25">
      <c r="A1796" s="56"/>
      <c r="B1796" s="23"/>
      <c r="C1796" s="88"/>
      <c r="D1796" s="23"/>
      <c r="E1796" s="23" t="s">
        <v>378</v>
      </c>
      <c r="F1796" s="56"/>
      <c r="G1796" s="88"/>
      <c r="H1796" s="48"/>
      <c r="I1796" s="90"/>
      <c r="J1796" s="48">
        <f>ROUND(SUM(J1797:J1800),0)</f>
        <v>574150</v>
      </c>
    </row>
    <row r="1797" spans="1:10" x14ac:dyDescent="0.25">
      <c r="A1797" s="168"/>
      <c r="B1797" s="144"/>
      <c r="C1797" s="34">
        <v>714</v>
      </c>
      <c r="D1797" s="144" t="str">
        <f>'Máy thi công'!$B$6</f>
        <v>M9438</v>
      </c>
      <c r="E1797" s="144" t="str">
        <f>" - " &amp; 'Máy thi công'!$D$6</f>
        <v xml:space="preserve"> - Biến thế hàn xoay chiều - công suất: 23 kW</v>
      </c>
      <c r="F1797" s="168" t="str">
        <f>'Máy thi công'!$E$6</f>
        <v>ca</v>
      </c>
      <c r="G1797" s="34">
        <f>'Hao phí vật tư'!$I$1798</f>
        <v>0.23</v>
      </c>
      <c r="H1797" s="68">
        <f>'Máy thi công'!$N$6</f>
        <v>338020</v>
      </c>
      <c r="I1797" s="37">
        <v>1</v>
      </c>
      <c r="J1797" s="166">
        <f>ROUND(G1797*H1797*I1797,0)</f>
        <v>77745</v>
      </c>
    </row>
    <row r="1798" spans="1:10" x14ac:dyDescent="0.25">
      <c r="A1798" s="168"/>
      <c r="B1798" s="144"/>
      <c r="C1798" s="34">
        <v>725</v>
      </c>
      <c r="D1798" s="144" t="str">
        <f>'Máy thi công'!$B$113</f>
        <v>M9465</v>
      </c>
      <c r="E1798" s="144" t="str">
        <f>" - " &amp; 'Máy thi công'!$D$113</f>
        <v xml:space="preserve"> - Cần trục bánh hơi - sức nâng: 16 t</v>
      </c>
      <c r="F1798" s="168" t="str">
        <f>'Máy thi công'!$E$113</f>
        <v>ca</v>
      </c>
      <c r="G1798" s="34">
        <f>'Hao phí vật tư'!$I$1799</f>
        <v>0.111</v>
      </c>
      <c r="H1798" s="68">
        <f>'Máy thi công'!$N$113</f>
        <v>1878687</v>
      </c>
      <c r="I1798" s="37">
        <v>1</v>
      </c>
      <c r="J1798" s="166">
        <f>ROUND(G1798*H1798*I1798,0)</f>
        <v>208534</v>
      </c>
    </row>
    <row r="1799" spans="1:10" ht="30" x14ac:dyDescent="0.25">
      <c r="A1799" s="168"/>
      <c r="B1799" s="144"/>
      <c r="C1799" s="34">
        <v>715</v>
      </c>
      <c r="D1799" s="144" t="str">
        <f>'Máy thi công'!$B$81</f>
        <v>M9439</v>
      </c>
      <c r="E1799" s="144" t="str">
        <f>" - " &amp; 'Máy thi công'!$D$81</f>
        <v xml:space="preserve"> - Búa căn khí nén (chưa tính khí nén) - tiêu hao khí nén: 1,5 m3/ph</v>
      </c>
      <c r="F1799" s="168" t="str">
        <f>'Máy thi công'!$E$81</f>
        <v>ca</v>
      </c>
      <c r="G1799" s="34">
        <f>'Hao phí vật tư'!$I$1800</f>
        <v>0.35</v>
      </c>
      <c r="H1799" s="68">
        <f>'Máy thi công'!$N$81</f>
        <v>250903</v>
      </c>
      <c r="I1799" s="37">
        <v>1</v>
      </c>
      <c r="J1799" s="166">
        <f>ROUND(G1799*H1799*I1799,0)</f>
        <v>87816</v>
      </c>
    </row>
    <row r="1800" spans="1:10" x14ac:dyDescent="0.25">
      <c r="A1800" s="168"/>
      <c r="B1800" s="144"/>
      <c r="C1800" s="34">
        <v>741</v>
      </c>
      <c r="D1800" s="144" t="str">
        <f>'Máy thi công'!$B$297</f>
        <v>M9538</v>
      </c>
      <c r="E1800" s="144" t="str">
        <f>" - " &amp; 'Máy thi công'!$D$297</f>
        <v xml:space="preserve"> - Máy nén khí, động cơ diezel - năng suất: 360 m3/h</v>
      </c>
      <c r="F1800" s="168" t="str">
        <f>'Máy thi công'!$E$297</f>
        <v>ca</v>
      </c>
      <c r="G1800" s="34">
        <f>'Hao phí vật tư'!$I$1801</f>
        <v>0.18</v>
      </c>
      <c r="H1800" s="68">
        <f>'Máy thi công'!$N$297</f>
        <v>1111419</v>
      </c>
      <c r="I1800" s="37">
        <v>1</v>
      </c>
      <c r="J1800" s="166">
        <f>ROUND(G1800*H1800*I1800,0)</f>
        <v>200055</v>
      </c>
    </row>
    <row r="1801" spans="1:10" ht="28.5" x14ac:dyDescent="0.25">
      <c r="A1801" s="65">
        <f>'Công trình'!$A$236</f>
        <v>188</v>
      </c>
      <c r="B1801" s="14" t="str">
        <f>'Công trình'!$B$236</f>
        <v>AC.14114</v>
      </c>
      <c r="C1801" s="94"/>
      <c r="D1801" s="31"/>
      <c r="E1801" s="14" t="str">
        <f>'Công trình'!$C$236</f>
        <v>Đóng cọc âm chiều dài &lt;=24m trên mặt đất, trọng lượng đầu búa 1,8T, đất cấp I</v>
      </c>
      <c r="F1801" s="46" t="str">
        <f>'Công trình'!$D$236</f>
        <v>100m</v>
      </c>
      <c r="G1801" s="94"/>
      <c r="H1801" s="54"/>
      <c r="I1801" s="98"/>
      <c r="J1801" s="54"/>
    </row>
    <row r="1802" spans="1:10" x14ac:dyDescent="0.25">
      <c r="A1802" s="56"/>
      <c r="B1802" s="23"/>
      <c r="C1802" s="88"/>
      <c r="D1802" s="23"/>
      <c r="E1802" s="23" t="s">
        <v>479</v>
      </c>
      <c r="F1802" s="56"/>
      <c r="G1802" s="88"/>
      <c r="H1802" s="48"/>
      <c r="I1802" s="90"/>
      <c r="J1802" s="48">
        <f>ROUND(SUM(J1803:J1804),0)</f>
        <v>0</v>
      </c>
    </row>
    <row r="1803" spans="1:10" x14ac:dyDescent="0.25">
      <c r="A1803" s="168"/>
      <c r="B1803" s="144"/>
      <c r="C1803" s="34">
        <v>457</v>
      </c>
      <c r="D1803" s="144" t="str">
        <f>'Vật liệu'!$B$111</f>
        <v>V12705</v>
      </c>
      <c r="E1803" s="144" t="str">
        <f>" - " &amp; 'Vật liệu'!$D$111</f>
        <v xml:space="preserve"> - Cọc bê tông 35cmx35cm</v>
      </c>
      <c r="F1803" s="168" t="str">
        <f>'Vật liệu'!$E$111</f>
        <v>m</v>
      </c>
      <c r="G1803" s="34">
        <f>'Hao phí vật tư'!$G$1804</f>
        <v>0</v>
      </c>
      <c r="H1803" s="68">
        <f>'Vật liệu'!$W$111</f>
        <v>594300</v>
      </c>
      <c r="I1803" s="37">
        <v>1</v>
      </c>
      <c r="J1803" s="166">
        <f>ROUND(G1803*H1803*I1803,0)</f>
        <v>0</v>
      </c>
    </row>
    <row r="1804" spans="1:10" x14ac:dyDescent="0.25">
      <c r="A1804" s="168"/>
      <c r="B1804" s="144"/>
      <c r="C1804" s="34">
        <v>302</v>
      </c>
      <c r="D1804" s="144" t="str">
        <f>'Vật liệu'!$B$766</f>
        <v>V00750</v>
      </c>
      <c r="E1804" s="144" t="str">
        <f>" - " &amp; 'Vật liệu'!$D$766</f>
        <v xml:space="preserve"> - Vật liệu khác</v>
      </c>
      <c r="F1804" s="168" t="str">
        <f>'Vật liệu'!$E$766</f>
        <v>%</v>
      </c>
      <c r="G1804" s="34">
        <f>'Hao phí vật tư'!$G$1805</f>
        <v>1.5</v>
      </c>
      <c r="H1804" s="166">
        <f>'Vật liệu'!$W$766</f>
        <v>0</v>
      </c>
      <c r="I1804" s="37">
        <v>1</v>
      </c>
      <c r="J1804" s="166">
        <f>ROUND((J1803)*G1804*I1804/100,0)</f>
        <v>0</v>
      </c>
    </row>
    <row r="1805" spans="1:10" x14ac:dyDescent="0.25">
      <c r="A1805" s="56"/>
      <c r="B1805" s="23"/>
      <c r="C1805" s="88"/>
      <c r="D1805" s="23"/>
      <c r="E1805" s="23" t="s">
        <v>202</v>
      </c>
      <c r="F1805" s="56"/>
      <c r="G1805" s="88"/>
      <c r="H1805" s="48"/>
      <c r="I1805" s="90"/>
      <c r="J1805" s="48">
        <f>ROUND(SUM(J1806:J1806),0)</f>
        <v>1730285</v>
      </c>
    </row>
    <row r="1806" spans="1:10" x14ac:dyDescent="0.25">
      <c r="A1806" s="168"/>
      <c r="B1806" s="144"/>
      <c r="C1806" s="34">
        <v>554</v>
      </c>
      <c r="D1806" s="144" t="str">
        <f>'Nhân công'!$B$103</f>
        <v>N0015</v>
      </c>
      <c r="E1806" s="144" t="s">
        <v>1014</v>
      </c>
      <c r="F1806" s="168" t="str">
        <f>'Nhân công'!$G$103</f>
        <v>công</v>
      </c>
      <c r="G1806" s="34">
        <f>'Hao phí vật tư'!$H$1807</f>
        <v>7.2240000000000002</v>
      </c>
      <c r="H1806" s="68">
        <f>'Nhân công'!$M$103</f>
        <v>239519</v>
      </c>
      <c r="I1806" s="37">
        <v>1</v>
      </c>
      <c r="J1806" s="166">
        <f>ROUND(G1806*H1806*I1806,0)</f>
        <v>1730285</v>
      </c>
    </row>
    <row r="1807" spans="1:10" x14ac:dyDescent="0.25">
      <c r="A1807" s="56"/>
      <c r="B1807" s="23"/>
      <c r="C1807" s="88"/>
      <c r="D1807" s="23"/>
      <c r="E1807" s="23" t="s">
        <v>378</v>
      </c>
      <c r="F1807" s="56"/>
      <c r="G1807" s="88"/>
      <c r="H1807" s="48"/>
      <c r="I1807" s="90"/>
      <c r="J1807" s="48">
        <f>ROUND(SUM(J1808:J1809),0)</f>
        <v>7537631</v>
      </c>
    </row>
    <row r="1808" spans="1:10" ht="30" x14ac:dyDescent="0.25">
      <c r="A1808" s="168"/>
      <c r="B1808" s="144"/>
      <c r="C1808" s="34">
        <v>717</v>
      </c>
      <c r="D1808" s="144" t="str">
        <f>'Máy thi công'!$B$94</f>
        <v>M9441</v>
      </c>
      <c r="E1808" s="144" t="str">
        <f>" - " &amp; 'Máy thi công'!$D$94</f>
        <v xml:space="preserve"> - Búa diezel chạy trên ray - trọng lượng đầu búa: 1,8 t</v>
      </c>
      <c r="F1808" s="168" t="str">
        <f>'Máy thi công'!$E$94</f>
        <v>ca</v>
      </c>
      <c r="G1808" s="34">
        <f>'Hao phí vật tư'!$I$1809</f>
        <v>3.6120000000000001</v>
      </c>
      <c r="H1808" s="68">
        <f>'Máy thi công'!$N$94</f>
        <v>1968708</v>
      </c>
      <c r="I1808" s="37">
        <v>1</v>
      </c>
      <c r="J1808" s="166">
        <f>ROUND(G1808*H1808*I1808,0)</f>
        <v>7110973</v>
      </c>
    </row>
    <row r="1809" spans="1:10" x14ac:dyDescent="0.25">
      <c r="A1809" s="168"/>
      <c r="B1809" s="144"/>
      <c r="C1809" s="34">
        <v>640</v>
      </c>
      <c r="D1809" s="144" t="str">
        <f>'Máy thi công'!$B$398</f>
        <v>M0111</v>
      </c>
      <c r="E1809" s="144" t="str">
        <f>" - " &amp; 'Máy thi công'!$D$398</f>
        <v xml:space="preserve"> - Máy khác</v>
      </c>
      <c r="F1809" s="168" t="str">
        <f>'Máy thi công'!$E$398</f>
        <v>%</v>
      </c>
      <c r="G1809" s="34">
        <f>'Hao phí vật tư'!$I$1810</f>
        <v>6</v>
      </c>
      <c r="H1809" s="166">
        <f>'Máy thi công'!$N$398</f>
        <v>0</v>
      </c>
      <c r="I1809" s="37">
        <v>1</v>
      </c>
      <c r="J1809" s="166">
        <f>ROUND((J1808)*G1809*I1809/100,0)</f>
        <v>426658</v>
      </c>
    </row>
    <row r="1810" spans="1:10" ht="28.5" x14ac:dyDescent="0.25">
      <c r="A1810" s="65">
        <f>'Công trình'!$A$238</f>
        <v>189</v>
      </c>
      <c r="B1810" s="14" t="str">
        <f>'Công trình'!$B$238</f>
        <v>AB.25112</v>
      </c>
      <c r="C1810" s="94"/>
      <c r="D1810" s="31"/>
      <c r="E1810" s="14" t="str">
        <f>'Công trình'!$C$238</f>
        <v>Đào móng chiều rộng &lt;=6m bằng máy đào 0,8m3, đất cấp II</v>
      </c>
      <c r="F1810" s="46" t="str">
        <f>'Công trình'!$D$238</f>
        <v>100m3</v>
      </c>
      <c r="G1810" s="94"/>
      <c r="H1810" s="54"/>
      <c r="I1810" s="98"/>
      <c r="J1810" s="54"/>
    </row>
    <row r="1811" spans="1:10" x14ac:dyDescent="0.25">
      <c r="A1811" s="56"/>
      <c r="B1811" s="23"/>
      <c r="C1811" s="88"/>
      <c r="D1811" s="23"/>
      <c r="E1811" s="23" t="s">
        <v>202</v>
      </c>
      <c r="F1811" s="56"/>
      <c r="G1811" s="88"/>
      <c r="H1811" s="48"/>
      <c r="I1811" s="90"/>
      <c r="J1811" s="48">
        <f>ROUND(SUM(J1812:J1812),0)</f>
        <v>1192861</v>
      </c>
    </row>
    <row r="1812" spans="1:10" x14ac:dyDescent="0.25">
      <c r="A1812" s="168"/>
      <c r="B1812" s="144"/>
      <c r="C1812" s="34">
        <v>545</v>
      </c>
      <c r="D1812" s="144" t="str">
        <f>'Nhân công'!$B$6</f>
        <v>N0006</v>
      </c>
      <c r="E1812" s="144" t="s">
        <v>256</v>
      </c>
      <c r="F1812" s="168" t="str">
        <f>'Nhân công'!$G$6</f>
        <v>công</v>
      </c>
      <c r="G1812" s="34">
        <f>'Hao phí vật tư'!$H$1813</f>
        <v>6.11</v>
      </c>
      <c r="H1812" s="68">
        <f>'Nhân công'!$M$6</f>
        <v>195231</v>
      </c>
      <c r="I1812" s="37">
        <v>1</v>
      </c>
      <c r="J1812" s="166">
        <f>ROUND(G1812*H1812*I1812,0)</f>
        <v>1192861</v>
      </c>
    </row>
    <row r="1813" spans="1:10" x14ac:dyDescent="0.25">
      <c r="A1813" s="56"/>
      <c r="B1813" s="23"/>
      <c r="C1813" s="88"/>
      <c r="D1813" s="23"/>
      <c r="E1813" s="23" t="s">
        <v>378</v>
      </c>
      <c r="F1813" s="56"/>
      <c r="G1813" s="88"/>
      <c r="H1813" s="48"/>
      <c r="I1813" s="90"/>
      <c r="J1813" s="48">
        <f>ROUND(SUM(J1814:J1814),0)</f>
        <v>996759</v>
      </c>
    </row>
    <row r="1814" spans="1:10" ht="30" x14ac:dyDescent="0.25">
      <c r="A1814" s="168"/>
      <c r="B1814" s="144"/>
      <c r="C1814" s="34">
        <v>711</v>
      </c>
      <c r="D1814" s="144" t="str">
        <f>'Máy thi công'!$B$269</f>
        <v>M7900</v>
      </c>
      <c r="E1814" s="144" t="str">
        <f>" - " &amp; 'Máy thi công'!$D$269</f>
        <v xml:space="preserve"> - Máy đào một gầu, bánh xích - dung tích gầu: 0,80 m3</v>
      </c>
      <c r="F1814" s="168" t="str">
        <f>'Máy thi công'!$E$269</f>
        <v>ca</v>
      </c>
      <c r="G1814" s="34">
        <f>'Hao phí vật tư'!$I$1815</f>
        <v>0.372</v>
      </c>
      <c r="H1814" s="68">
        <f>'Máy thi công'!$N$269</f>
        <v>2679461</v>
      </c>
      <c r="I1814" s="37">
        <v>1</v>
      </c>
      <c r="J1814" s="166">
        <f>ROUND(G1814*H1814*I1814,0)</f>
        <v>996759</v>
      </c>
    </row>
    <row r="1815" spans="1:10" ht="28.5" x14ac:dyDescent="0.25">
      <c r="A1815" s="65">
        <f>'Công trình'!$A$239</f>
        <v>190</v>
      </c>
      <c r="B1815" s="14" t="str">
        <f>'Công trình'!$B$239</f>
        <v>AB.65120</v>
      </c>
      <c r="C1815" s="94"/>
      <c r="D1815" s="31"/>
      <c r="E1815" s="14" t="str">
        <f>'Công trình'!$C$239</f>
        <v>Đắp đất công trình bằng đầm cóc, độ chặt K=0,90</v>
      </c>
      <c r="F1815" s="46" t="str">
        <f>'Công trình'!$D$239</f>
        <v>100m3</v>
      </c>
      <c r="G1815" s="94"/>
      <c r="H1815" s="54"/>
      <c r="I1815" s="98"/>
      <c r="J1815" s="54"/>
    </row>
    <row r="1816" spans="1:10" x14ac:dyDescent="0.25">
      <c r="A1816" s="56"/>
      <c r="B1816" s="23"/>
      <c r="C1816" s="88"/>
      <c r="D1816" s="23"/>
      <c r="E1816" s="23" t="s">
        <v>202</v>
      </c>
      <c r="F1816" s="56"/>
      <c r="G1816" s="88"/>
      <c r="H1816" s="48"/>
      <c r="I1816" s="90"/>
      <c r="J1816" s="48">
        <f>ROUND(SUM(J1817:J1817),0)</f>
        <v>2037452</v>
      </c>
    </row>
    <row r="1817" spans="1:10" x14ac:dyDescent="0.25">
      <c r="A1817" s="168"/>
      <c r="B1817" s="144"/>
      <c r="C1817" s="34">
        <v>550</v>
      </c>
      <c r="D1817" s="144" t="str">
        <f>'Nhân công'!$B$130</f>
        <v>N0011</v>
      </c>
      <c r="E1817" s="144" t="s">
        <v>671</v>
      </c>
      <c r="F1817" s="168" t="str">
        <f>'Nhân công'!$G$130</f>
        <v>công</v>
      </c>
      <c r="G1817" s="34">
        <f>'Hao phí vật tư'!$H$1818</f>
        <v>8.84</v>
      </c>
      <c r="H1817" s="68">
        <f>'Nhân công'!$M$130</f>
        <v>230481</v>
      </c>
      <c r="I1817" s="37">
        <v>1</v>
      </c>
      <c r="J1817" s="166">
        <f>ROUND(G1817*H1817*I1817,0)</f>
        <v>2037452</v>
      </c>
    </row>
    <row r="1818" spans="1:10" x14ac:dyDescent="0.25">
      <c r="A1818" s="56"/>
      <c r="B1818" s="23"/>
      <c r="C1818" s="88"/>
      <c r="D1818" s="23"/>
      <c r="E1818" s="23" t="s">
        <v>378</v>
      </c>
      <c r="F1818" s="56"/>
      <c r="G1818" s="88"/>
      <c r="H1818" s="48"/>
      <c r="I1818" s="90"/>
      <c r="J1818" s="48">
        <f>ROUND(SUM(J1819:J1819),0)</f>
        <v>1401980</v>
      </c>
    </row>
    <row r="1819" spans="1:10" x14ac:dyDescent="0.25">
      <c r="A1819" s="168"/>
      <c r="B1819" s="144"/>
      <c r="C1819" s="34">
        <v>752</v>
      </c>
      <c r="D1819" s="144" t="str">
        <f>'Máy thi công'!$B$258</f>
        <v>M9577</v>
      </c>
      <c r="E1819" s="144" t="str">
        <f>" - " &amp; 'Máy thi công'!$D$258</f>
        <v xml:space="preserve"> - Máy đầm đất cầm tay - trọng lượng : 60 kg</v>
      </c>
      <c r="F1819" s="168" t="str">
        <f>'Máy thi công'!$E$258</f>
        <v>ca</v>
      </c>
      <c r="G1819" s="34">
        <f>'Hao phí vật tư'!$I$1820</f>
        <v>4.42</v>
      </c>
      <c r="H1819" s="68">
        <f>'Máy thi công'!$N$258</f>
        <v>317190</v>
      </c>
      <c r="I1819" s="37">
        <v>1</v>
      </c>
      <c r="J1819" s="166">
        <f>ROUND(G1819*H1819*I1819,0)</f>
        <v>1401980</v>
      </c>
    </row>
    <row r="1820" spans="1:10" ht="28.5" x14ac:dyDescent="0.25">
      <c r="A1820" s="65">
        <f>'Công trình'!$A$241</f>
        <v>191</v>
      </c>
      <c r="B1820" s="14" t="str">
        <f>'Công trình'!$B$241</f>
        <v>AD.11222</v>
      </c>
      <c r="C1820" s="94"/>
      <c r="D1820" s="31"/>
      <c r="E1820" s="14" t="str">
        <f>'Công trình'!$C$241</f>
        <v>Làm móng lớp trên cấp phối đá dăm, đường làm mới</v>
      </c>
      <c r="F1820" s="46" t="str">
        <f>'Công trình'!$D$241</f>
        <v>100m3</v>
      </c>
      <c r="G1820" s="94"/>
      <c r="H1820" s="54"/>
      <c r="I1820" s="98"/>
      <c r="J1820" s="54"/>
    </row>
    <row r="1821" spans="1:10" x14ac:dyDescent="0.25">
      <c r="A1821" s="56"/>
      <c r="B1821" s="23"/>
      <c r="C1821" s="88"/>
      <c r="D1821" s="23"/>
      <c r="E1821" s="23" t="s">
        <v>479</v>
      </c>
      <c r="F1821" s="56"/>
      <c r="G1821" s="88"/>
      <c r="H1821" s="48"/>
      <c r="I1821" s="90"/>
      <c r="J1821" s="48">
        <f>ROUND(SUM(J1822:J1822),0)</f>
        <v>35707036</v>
      </c>
    </row>
    <row r="1822" spans="1:10" x14ac:dyDescent="0.25">
      <c r="A1822" s="168"/>
      <c r="B1822" s="144"/>
      <c r="C1822" s="34">
        <v>454</v>
      </c>
      <c r="D1822" s="144" t="str">
        <f>'Vật liệu'!$B$43</f>
        <v>V12698</v>
      </c>
      <c r="E1822" s="144" t="str">
        <f>" - " &amp; 'Vật liệu'!$D$43</f>
        <v xml:space="preserve"> - Cấp phối đá dăm 0,075-50mm lớp trên</v>
      </c>
      <c r="F1822" s="168" t="str">
        <f>'Vật liệu'!$E$43</f>
        <v>m3</v>
      </c>
      <c r="G1822" s="34">
        <f>'Hao phí vật tư'!$G$1823</f>
        <v>142</v>
      </c>
      <c r="H1822" s="68">
        <f>'Vật liệu'!$W$43</f>
        <v>251458</v>
      </c>
      <c r="I1822" s="37">
        <v>1</v>
      </c>
      <c r="J1822" s="166">
        <f>ROUND(G1822*H1822*I1822,0)</f>
        <v>35707036</v>
      </c>
    </row>
    <row r="1823" spans="1:10" x14ac:dyDescent="0.25">
      <c r="A1823" s="56"/>
      <c r="B1823" s="23"/>
      <c r="C1823" s="88"/>
      <c r="D1823" s="23"/>
      <c r="E1823" s="23" t="s">
        <v>202</v>
      </c>
      <c r="F1823" s="56"/>
      <c r="G1823" s="88"/>
      <c r="H1823" s="48"/>
      <c r="I1823" s="90"/>
      <c r="J1823" s="48">
        <f>ROUND(SUM(J1824:J1824),0)</f>
        <v>1137400</v>
      </c>
    </row>
    <row r="1824" spans="1:10" x14ac:dyDescent="0.25">
      <c r="A1824" s="168"/>
      <c r="B1824" s="144"/>
      <c r="C1824" s="34">
        <v>555</v>
      </c>
      <c r="D1824" s="144" t="str">
        <f>'Nhân công'!$B$185</f>
        <v>N0020</v>
      </c>
      <c r="E1824" s="144" t="s">
        <v>625</v>
      </c>
      <c r="F1824" s="168" t="str">
        <f>'Nhân công'!$G$185</f>
        <v>công</v>
      </c>
      <c r="G1824" s="34">
        <f>'Hao phí vật tư'!$H$1825</f>
        <v>4.4000000000000004</v>
      </c>
      <c r="H1824" s="68">
        <f>'Nhân công'!$M$185</f>
        <v>258500</v>
      </c>
      <c r="I1824" s="37">
        <v>1</v>
      </c>
      <c r="J1824" s="166">
        <f>ROUND(G1824*H1824*I1824,0)</f>
        <v>1137400</v>
      </c>
    </row>
    <row r="1825" spans="1:10" x14ac:dyDescent="0.25">
      <c r="A1825" s="56"/>
      <c r="B1825" s="23"/>
      <c r="C1825" s="88"/>
      <c r="D1825" s="23"/>
      <c r="E1825" s="23" t="s">
        <v>378</v>
      </c>
      <c r="F1825" s="56"/>
      <c r="G1825" s="88"/>
      <c r="H1825" s="48"/>
      <c r="I1825" s="90"/>
      <c r="J1825" s="48">
        <f>ROUND(SUM(J1826:J1831),0)</f>
        <v>2573717</v>
      </c>
    </row>
    <row r="1826" spans="1:10" x14ac:dyDescent="0.25">
      <c r="A1826" s="168"/>
      <c r="B1826" s="144"/>
      <c r="C1826" s="34">
        <v>766</v>
      </c>
      <c r="D1826" s="144" t="str">
        <f>'Máy thi công'!$B$167</f>
        <v>M9657</v>
      </c>
      <c r="E1826" s="144" t="str">
        <f>" - " &amp; 'Máy thi công'!$D$167</f>
        <v xml:space="preserve"> - Đầm bánh thép tự hành - trọng lượng: 10 t</v>
      </c>
      <c r="F1826" s="168" t="str">
        <f>'Máy thi công'!$E$167</f>
        <v>ca</v>
      </c>
      <c r="G1826" s="34">
        <f>'Hao phí vật tư'!$I$1827</f>
        <v>0.21</v>
      </c>
      <c r="H1826" s="68">
        <f>'Máy thi công'!$N$167</f>
        <v>1121307</v>
      </c>
      <c r="I1826" s="37">
        <v>1</v>
      </c>
      <c r="J1826" s="166">
        <f>ROUND(G1826*H1826*I1826,0)</f>
        <v>235474</v>
      </c>
    </row>
    <row r="1827" spans="1:10" x14ac:dyDescent="0.25">
      <c r="A1827" s="168"/>
      <c r="B1827" s="144"/>
      <c r="C1827" s="34">
        <v>759</v>
      </c>
      <c r="D1827" s="144" t="str">
        <f>'Máy thi công'!$B$374</f>
        <v>M9637</v>
      </c>
      <c r="E1827" s="144" t="str">
        <f>" - " &amp; 'Máy thi công'!$D$374</f>
        <v xml:space="preserve"> - Ô tô tưới nước - dung tích: 5 m3</v>
      </c>
      <c r="F1827" s="168" t="str">
        <f>'Máy thi công'!$E$374</f>
        <v>ca</v>
      </c>
      <c r="G1827" s="34">
        <f>'Hao phí vật tư'!$I$1828</f>
        <v>0.21</v>
      </c>
      <c r="H1827" s="68">
        <f>'Máy thi công'!$N$374</f>
        <v>1132383</v>
      </c>
      <c r="I1827" s="37">
        <v>1</v>
      </c>
      <c r="J1827" s="166">
        <f>ROUND(G1827*H1827*I1827,0)</f>
        <v>237800</v>
      </c>
    </row>
    <row r="1828" spans="1:10" x14ac:dyDescent="0.25">
      <c r="A1828" s="168"/>
      <c r="B1828" s="144"/>
      <c r="C1828" s="34">
        <v>742</v>
      </c>
      <c r="D1828" s="144" t="str">
        <f>'Máy thi công'!$B$301</f>
        <v>M9551</v>
      </c>
      <c r="E1828" s="144" t="str">
        <f>" - " &amp; 'Máy thi công'!$D$301</f>
        <v xml:space="preserve"> - Máy rải cấp phối đá dăm - năng suất 60 m3/h</v>
      </c>
      <c r="F1828" s="168" t="str">
        <f>'Máy thi công'!$E$301</f>
        <v>ca</v>
      </c>
      <c r="G1828" s="34">
        <f>'Hao phí vật tư'!$I$1829</f>
        <v>0.21</v>
      </c>
      <c r="H1828" s="68">
        <f>'Máy thi công'!$N$301</f>
        <v>3797208</v>
      </c>
      <c r="I1828" s="37">
        <v>1</v>
      </c>
      <c r="J1828" s="166">
        <f>ROUND(G1828*H1828*I1828,0)</f>
        <v>797414</v>
      </c>
    </row>
    <row r="1829" spans="1:10" x14ac:dyDescent="0.25">
      <c r="A1829" s="168"/>
      <c r="B1829" s="144"/>
      <c r="C1829" s="34">
        <v>751</v>
      </c>
      <c r="D1829" s="144" t="str">
        <f>'Máy thi công'!$B$261</f>
        <v>M9576</v>
      </c>
      <c r="E1829" s="144" t="str">
        <f>" - " &amp; 'Máy thi công'!$D$261</f>
        <v xml:space="preserve"> - Máy đầm rung tự hành - trọng lượng: 25 t</v>
      </c>
      <c r="F1829" s="168" t="str">
        <f>'Máy thi công'!$E$261</f>
        <v>ca</v>
      </c>
      <c r="G1829" s="34">
        <f>'Hao phí vật tư'!$I$1830</f>
        <v>0.21</v>
      </c>
      <c r="H1829" s="68">
        <f>'Máy thi công'!$N$261</f>
        <v>2923684</v>
      </c>
      <c r="I1829" s="37">
        <v>1</v>
      </c>
      <c r="J1829" s="166">
        <f>ROUND(G1829*H1829*I1829,0)</f>
        <v>613974</v>
      </c>
    </row>
    <row r="1830" spans="1:10" x14ac:dyDescent="0.25">
      <c r="A1830" s="168"/>
      <c r="B1830" s="144"/>
      <c r="C1830" s="34">
        <v>764</v>
      </c>
      <c r="D1830" s="144" t="str">
        <f>'Máy thi công'!$B$158</f>
        <v>M9654</v>
      </c>
      <c r="E1830" s="144" t="str">
        <f>" - " &amp; 'Máy thi công'!$D$158</f>
        <v xml:space="preserve"> - Đầm bánh hơi tự hành - trọng lượng: 16 t</v>
      </c>
      <c r="F1830" s="168" t="str">
        <f>'Máy thi công'!$E$158</f>
        <v>ca</v>
      </c>
      <c r="G1830" s="34">
        <f>'Hao phí vật tư'!$I$1831</f>
        <v>0.42</v>
      </c>
      <c r="H1830" s="68">
        <f>'Máy thi công'!$N$158</f>
        <v>1610120</v>
      </c>
      <c r="I1830" s="37">
        <v>1</v>
      </c>
      <c r="J1830" s="166">
        <f>ROUND(G1830*H1830*I1830,0)</f>
        <v>676250</v>
      </c>
    </row>
    <row r="1831" spans="1:10" x14ac:dyDescent="0.25">
      <c r="A1831" s="168"/>
      <c r="B1831" s="144"/>
      <c r="C1831" s="34">
        <v>641</v>
      </c>
      <c r="D1831" s="144" t="str">
        <f>'Máy thi công'!$B$398</f>
        <v>M0111</v>
      </c>
      <c r="E1831" s="144" t="str">
        <f>" - " &amp; 'Máy thi công'!$D$398</f>
        <v xml:space="preserve"> - Máy khác</v>
      </c>
      <c r="F1831" s="168" t="str">
        <f>'Máy thi công'!$E$398</f>
        <v>%</v>
      </c>
      <c r="G1831" s="34">
        <f>'Hao phí vật tư'!$I$1832</f>
        <v>0.5</v>
      </c>
      <c r="H1831" s="166">
        <f>'Máy thi công'!$N$398</f>
        <v>0</v>
      </c>
      <c r="I1831" s="37">
        <v>1</v>
      </c>
      <c r="J1831" s="166">
        <f>ROUND((J1826+J1827+J1828+J1829+J1830)*G1831*I1831/100,0)</f>
        <v>12805</v>
      </c>
    </row>
    <row r="1832" spans="1:10" ht="28.5" x14ac:dyDescent="0.25">
      <c r="A1832" s="65">
        <f>'Công trình'!$A$242</f>
        <v>192</v>
      </c>
      <c r="B1832" s="14" t="str">
        <f>'Công trình'!$B$242</f>
        <v>AB.66114</v>
      </c>
      <c r="C1832" s="94"/>
      <c r="D1832" s="31"/>
      <c r="E1832" s="14" t="str">
        <f>'Công trình'!$C$242</f>
        <v>Đắp cát công trình bằng máy đầm 9T, độ chặt K=0,98</v>
      </c>
      <c r="F1832" s="46" t="str">
        <f>'Công trình'!$D$242</f>
        <v>100m3</v>
      </c>
      <c r="G1832" s="94"/>
      <c r="H1832" s="54"/>
      <c r="I1832" s="98"/>
      <c r="J1832" s="54"/>
    </row>
    <row r="1833" spans="1:10" x14ac:dyDescent="0.25">
      <c r="A1833" s="56"/>
      <c r="B1833" s="23"/>
      <c r="C1833" s="88"/>
      <c r="D1833" s="23"/>
      <c r="E1833" s="23" t="s">
        <v>479</v>
      </c>
      <c r="F1833" s="56"/>
      <c r="G1833" s="88"/>
      <c r="H1833" s="48"/>
      <c r="I1833" s="90"/>
      <c r="J1833" s="48">
        <f>ROUND(SUM(J1834:J1834),0)</f>
        <v>27450000</v>
      </c>
    </row>
    <row r="1834" spans="1:10" x14ac:dyDescent="0.25">
      <c r="A1834" s="168"/>
      <c r="B1834" s="144"/>
      <c r="C1834" s="34">
        <v>127</v>
      </c>
      <c r="D1834" s="144" t="str">
        <f>'Vật liệu'!$B$45</f>
        <v>V00113</v>
      </c>
      <c r="E1834" s="144" t="str">
        <f>" - " &amp; 'Vật liệu'!$D$45</f>
        <v xml:space="preserve"> - Cát đen</v>
      </c>
      <c r="F1834" s="168" t="str">
        <f>'Vật liệu'!$E$45</f>
        <v>m3</v>
      </c>
      <c r="G1834" s="34">
        <f>'Hao phí vật tư'!$G$1835</f>
        <v>122</v>
      </c>
      <c r="H1834" s="68">
        <f>'Vật liệu'!$W$45</f>
        <v>225000</v>
      </c>
      <c r="I1834" s="37">
        <v>1</v>
      </c>
      <c r="J1834" s="166">
        <f>ROUND(G1834*H1834*I1834,0)</f>
        <v>27450000</v>
      </c>
    </row>
    <row r="1835" spans="1:10" x14ac:dyDescent="0.25">
      <c r="A1835" s="56"/>
      <c r="B1835" s="23"/>
      <c r="C1835" s="88"/>
      <c r="D1835" s="23"/>
      <c r="E1835" s="23" t="s">
        <v>202</v>
      </c>
      <c r="F1835" s="56"/>
      <c r="G1835" s="88"/>
      <c r="H1835" s="48"/>
      <c r="I1835" s="90"/>
      <c r="J1835" s="48">
        <f>ROUND(SUM(J1836:J1836),0)</f>
        <v>292847</v>
      </c>
    </row>
    <row r="1836" spans="1:10" x14ac:dyDescent="0.25">
      <c r="A1836" s="168"/>
      <c r="B1836" s="144"/>
      <c r="C1836" s="34">
        <v>545</v>
      </c>
      <c r="D1836" s="144" t="str">
        <f>'Nhân công'!$B$6</f>
        <v>N0006</v>
      </c>
      <c r="E1836" s="144" t="s">
        <v>256</v>
      </c>
      <c r="F1836" s="168" t="str">
        <f>'Nhân công'!$G$6</f>
        <v>công</v>
      </c>
      <c r="G1836" s="34">
        <f>'Hao phí vật tư'!$H$1837</f>
        <v>1.5</v>
      </c>
      <c r="H1836" s="68">
        <f>'Nhân công'!$M$6</f>
        <v>195231</v>
      </c>
      <c r="I1836" s="37">
        <v>1</v>
      </c>
      <c r="J1836" s="166">
        <f>ROUND(G1836*H1836*I1836,0)</f>
        <v>292847</v>
      </c>
    </row>
    <row r="1837" spans="1:10" x14ac:dyDescent="0.25">
      <c r="A1837" s="56"/>
      <c r="B1837" s="23"/>
      <c r="C1837" s="88"/>
      <c r="D1837" s="23"/>
      <c r="E1837" s="23" t="s">
        <v>378</v>
      </c>
      <c r="F1837" s="56"/>
      <c r="G1837" s="88"/>
      <c r="H1837" s="48"/>
      <c r="I1837" s="90"/>
      <c r="J1837" s="48">
        <f>ROUND(SUM(J1838:J1840),0)</f>
        <v>958077</v>
      </c>
    </row>
    <row r="1838" spans="1:10" x14ac:dyDescent="0.25">
      <c r="A1838" s="168"/>
      <c r="B1838" s="144"/>
      <c r="C1838" s="34">
        <v>753</v>
      </c>
      <c r="D1838" s="144" t="str">
        <f>'Máy thi công'!$B$350</f>
        <v>M9578</v>
      </c>
      <c r="E1838" s="144" t="str">
        <f>" - " &amp; 'Máy thi công'!$D$350</f>
        <v xml:space="preserve"> - Máy ủi - công suất: 108,0 CV (110CV)</v>
      </c>
      <c r="F1838" s="168" t="str">
        <f>'Máy thi công'!$E$350</f>
        <v>ca</v>
      </c>
      <c r="G1838" s="34">
        <f>'Hao phí vật tư'!$I$1839</f>
        <v>0.19</v>
      </c>
      <c r="H1838" s="68">
        <f>'Máy thi công'!$N$350</f>
        <v>2049156</v>
      </c>
      <c r="I1838" s="37">
        <v>1</v>
      </c>
      <c r="J1838" s="166">
        <f>ROUND(G1838*H1838*I1838,0)</f>
        <v>389340</v>
      </c>
    </row>
    <row r="1839" spans="1:10" x14ac:dyDescent="0.25">
      <c r="A1839" s="168"/>
      <c r="B1839" s="144"/>
      <c r="C1839" s="34">
        <v>765</v>
      </c>
      <c r="D1839" s="144" t="str">
        <f>'Máy thi công'!$B$162</f>
        <v>M9656</v>
      </c>
      <c r="E1839" s="144" t="str">
        <f>" - " &amp; 'Máy thi công'!$D$162</f>
        <v xml:space="preserve"> - Đầm bánh hơi tự hành - trọng lượng: 9 t</v>
      </c>
      <c r="F1839" s="168" t="str">
        <f>'Máy thi công'!$E$162</f>
        <v>ca</v>
      </c>
      <c r="G1839" s="34">
        <f>'Hao phí vật tư'!$I$1840</f>
        <v>0.38</v>
      </c>
      <c r="H1839" s="68">
        <f>'Máy thi công'!$N$162</f>
        <v>1459416</v>
      </c>
      <c r="I1839" s="37">
        <v>1</v>
      </c>
      <c r="J1839" s="166">
        <f>ROUND(G1839*H1839*I1839,0)</f>
        <v>554578</v>
      </c>
    </row>
    <row r="1840" spans="1:10" x14ac:dyDescent="0.25">
      <c r="A1840" s="168"/>
      <c r="B1840" s="144"/>
      <c r="C1840" s="34">
        <v>643</v>
      </c>
      <c r="D1840" s="144" t="str">
        <f>'Máy thi công'!$B$398</f>
        <v>M0111</v>
      </c>
      <c r="E1840" s="144" t="str">
        <f>" - " &amp; 'Máy thi công'!$D$398</f>
        <v xml:space="preserve"> - Máy khác</v>
      </c>
      <c r="F1840" s="168" t="str">
        <f>'Máy thi công'!$E$398</f>
        <v>%</v>
      </c>
      <c r="G1840" s="34">
        <f>'Hao phí vật tư'!$I$1841</f>
        <v>1.5</v>
      </c>
      <c r="H1840" s="166">
        <f>'Máy thi công'!$N$398</f>
        <v>0</v>
      </c>
      <c r="I1840" s="37">
        <v>1</v>
      </c>
      <c r="J1840" s="166">
        <f>ROUND((J1838+J1839)*G1840*I1840/100,0)</f>
        <v>14159</v>
      </c>
    </row>
    <row r="1841" spans="1:10" x14ac:dyDescent="0.25">
      <c r="A1841" s="65">
        <f>'Công trình'!$A$243</f>
        <v>193</v>
      </c>
      <c r="B1841" s="14" t="str">
        <f>'Công trình'!$B$243</f>
        <v>AB.21121</v>
      </c>
      <c r="C1841" s="94"/>
      <c r="D1841" s="31"/>
      <c r="E1841" s="14" t="str">
        <f>'Công trình'!$C$243</f>
        <v>Đất bóc phong hóa</v>
      </c>
      <c r="F1841" s="46" t="str">
        <f>'Công trình'!$D$243</f>
        <v>100m3</v>
      </c>
      <c r="G1841" s="94"/>
      <c r="H1841" s="54"/>
      <c r="I1841" s="98"/>
      <c r="J1841" s="54"/>
    </row>
    <row r="1842" spans="1:10" x14ac:dyDescent="0.25">
      <c r="A1842" s="56"/>
      <c r="B1842" s="23"/>
      <c r="C1842" s="88"/>
      <c r="D1842" s="23"/>
      <c r="E1842" s="23" t="s">
        <v>202</v>
      </c>
      <c r="F1842" s="56"/>
      <c r="G1842" s="88"/>
      <c r="H1842" s="48"/>
      <c r="I1842" s="90"/>
      <c r="J1842" s="48">
        <f>ROUND(SUM(J1843:J1843),0)</f>
        <v>97616</v>
      </c>
    </row>
    <row r="1843" spans="1:10" x14ac:dyDescent="0.25">
      <c r="A1843" s="168"/>
      <c r="B1843" s="144"/>
      <c r="C1843" s="34">
        <v>545</v>
      </c>
      <c r="D1843" s="144" t="str">
        <f>'Nhân công'!$B$6</f>
        <v>N0006</v>
      </c>
      <c r="E1843" s="144" t="s">
        <v>256</v>
      </c>
      <c r="F1843" s="168" t="str">
        <f>'Nhân công'!$G$6</f>
        <v>công</v>
      </c>
      <c r="G1843" s="34">
        <f>'Hao phí vật tư'!$H$1844</f>
        <v>0.5</v>
      </c>
      <c r="H1843" s="68">
        <f>'Nhân công'!$M$6</f>
        <v>195231</v>
      </c>
      <c r="I1843" s="37">
        <v>1</v>
      </c>
      <c r="J1843" s="166">
        <f>ROUND(G1843*H1843*I1843,0)</f>
        <v>97616</v>
      </c>
    </row>
    <row r="1844" spans="1:10" x14ac:dyDescent="0.25">
      <c r="A1844" s="56"/>
      <c r="B1844" s="23"/>
      <c r="C1844" s="88"/>
      <c r="D1844" s="23"/>
      <c r="E1844" s="23" t="s">
        <v>378</v>
      </c>
      <c r="F1844" s="56"/>
      <c r="G1844" s="88"/>
      <c r="H1844" s="48"/>
      <c r="I1844" s="90"/>
      <c r="J1844" s="48">
        <f>ROUND(SUM(J1845:J1846),0)</f>
        <v>731340</v>
      </c>
    </row>
    <row r="1845" spans="1:10" x14ac:dyDescent="0.25">
      <c r="A1845" s="168"/>
      <c r="B1845" s="144"/>
      <c r="C1845" s="34">
        <v>753</v>
      </c>
      <c r="D1845" s="144" t="str">
        <f>'Máy thi công'!$B$350</f>
        <v>M9578</v>
      </c>
      <c r="E1845" s="144" t="str">
        <f>" - " &amp; 'Máy thi công'!$D$350</f>
        <v xml:space="preserve"> - Máy ủi - công suất: 108,0 CV (110CV)</v>
      </c>
      <c r="F1845" s="168" t="str">
        <f>'Máy thi công'!$E$350</f>
        <v>ca</v>
      </c>
      <c r="G1845" s="34">
        <f>'Hao phí vật tư'!$I$1846</f>
        <v>0.03</v>
      </c>
      <c r="H1845" s="68">
        <f>'Máy thi công'!$N$350</f>
        <v>2049156</v>
      </c>
      <c r="I1845" s="37">
        <v>1</v>
      </c>
      <c r="J1845" s="166">
        <f>ROUND(G1845*H1845*I1845,0)</f>
        <v>61475</v>
      </c>
    </row>
    <row r="1846" spans="1:10" ht="30" x14ac:dyDescent="0.25">
      <c r="A1846" s="168"/>
      <c r="B1846" s="144"/>
      <c r="C1846" s="34">
        <v>711</v>
      </c>
      <c r="D1846" s="144" t="str">
        <f>'Máy thi công'!$B$269</f>
        <v>M7900</v>
      </c>
      <c r="E1846" s="144" t="str">
        <f>" - " &amp; 'Máy thi công'!$D$269</f>
        <v xml:space="preserve"> - Máy đào một gầu, bánh xích - dung tích gầu: 0,80 m3</v>
      </c>
      <c r="F1846" s="168" t="str">
        <f>'Máy thi công'!$E$269</f>
        <v>ca</v>
      </c>
      <c r="G1846" s="34">
        <f>'Hao phí vật tư'!$I$1847</f>
        <v>0.25</v>
      </c>
      <c r="H1846" s="68">
        <f>'Máy thi công'!$N$269</f>
        <v>2679461</v>
      </c>
      <c r="I1846" s="37">
        <v>1</v>
      </c>
      <c r="J1846" s="166">
        <f>ROUND(G1846*H1846*I1846,0)</f>
        <v>669865</v>
      </c>
    </row>
    <row r="1847" spans="1:10" ht="28.5" x14ac:dyDescent="0.25">
      <c r="A1847" s="65">
        <f>'Công trình'!$A$244</f>
        <v>194</v>
      </c>
      <c r="B1847" s="14" t="str">
        <f>'Công trình'!$B$244</f>
        <v>AB.25112</v>
      </c>
      <c r="C1847" s="94"/>
      <c r="D1847" s="31"/>
      <c r="E1847" s="14" t="str">
        <f>'Công trình'!$C$244</f>
        <v>Đào móng chiều rộng &lt;=6m bằng máy đào 0,8m3, đất cấp II</v>
      </c>
      <c r="F1847" s="46" t="str">
        <f>'Công trình'!$D$244</f>
        <v>100m3</v>
      </c>
      <c r="G1847" s="94"/>
      <c r="H1847" s="54"/>
      <c r="I1847" s="98"/>
      <c r="J1847" s="54"/>
    </row>
    <row r="1848" spans="1:10" x14ac:dyDescent="0.25">
      <c r="A1848" s="56"/>
      <c r="B1848" s="23"/>
      <c r="C1848" s="88"/>
      <c r="D1848" s="23"/>
      <c r="E1848" s="23" t="s">
        <v>202</v>
      </c>
      <c r="F1848" s="56"/>
      <c r="G1848" s="88"/>
      <c r="H1848" s="48"/>
      <c r="I1848" s="90"/>
      <c r="J1848" s="48">
        <f>ROUND(SUM(J1849:J1849),0)</f>
        <v>1192861</v>
      </c>
    </row>
    <row r="1849" spans="1:10" x14ac:dyDescent="0.25">
      <c r="A1849" s="168"/>
      <c r="B1849" s="144"/>
      <c r="C1849" s="34">
        <v>545</v>
      </c>
      <c r="D1849" s="144" t="str">
        <f>'Nhân công'!$B$6</f>
        <v>N0006</v>
      </c>
      <c r="E1849" s="144" t="s">
        <v>256</v>
      </c>
      <c r="F1849" s="168" t="str">
        <f>'Nhân công'!$G$6</f>
        <v>công</v>
      </c>
      <c r="G1849" s="34">
        <f>'Hao phí vật tư'!$H$1850</f>
        <v>6.11</v>
      </c>
      <c r="H1849" s="68">
        <f>'Nhân công'!$M$6</f>
        <v>195231</v>
      </c>
      <c r="I1849" s="37">
        <v>1</v>
      </c>
      <c r="J1849" s="166">
        <f>ROUND(G1849*H1849*I1849,0)</f>
        <v>1192861</v>
      </c>
    </row>
    <row r="1850" spans="1:10" x14ac:dyDescent="0.25">
      <c r="A1850" s="56"/>
      <c r="B1850" s="23"/>
      <c r="C1850" s="88"/>
      <c r="D1850" s="23"/>
      <c r="E1850" s="23" t="s">
        <v>378</v>
      </c>
      <c r="F1850" s="56"/>
      <c r="G1850" s="88"/>
      <c r="H1850" s="48"/>
      <c r="I1850" s="90"/>
      <c r="J1850" s="48">
        <f>ROUND(SUM(J1851:J1851),0)</f>
        <v>996759</v>
      </c>
    </row>
    <row r="1851" spans="1:10" ht="30" x14ac:dyDescent="0.25">
      <c r="A1851" s="168"/>
      <c r="B1851" s="144"/>
      <c r="C1851" s="34">
        <v>711</v>
      </c>
      <c r="D1851" s="144" t="str">
        <f>'Máy thi công'!$B$269</f>
        <v>M7900</v>
      </c>
      <c r="E1851" s="144" t="str">
        <f>" - " &amp; 'Máy thi công'!$D$269</f>
        <v xml:space="preserve"> - Máy đào một gầu, bánh xích - dung tích gầu: 0,80 m3</v>
      </c>
      <c r="F1851" s="168" t="str">
        <f>'Máy thi công'!$E$269</f>
        <v>ca</v>
      </c>
      <c r="G1851" s="34">
        <f>'Hao phí vật tư'!$I$1852</f>
        <v>0.372</v>
      </c>
      <c r="H1851" s="68">
        <f>'Máy thi công'!$N$269</f>
        <v>2679461</v>
      </c>
      <c r="I1851" s="37">
        <v>1</v>
      </c>
      <c r="J1851" s="166">
        <f>ROUND(G1851*H1851*I1851,0)</f>
        <v>996759</v>
      </c>
    </row>
    <row r="1852" spans="1:10" ht="28.5" x14ac:dyDescent="0.25">
      <c r="A1852" s="65">
        <f>'Công trình'!$A$245</f>
        <v>195</v>
      </c>
      <c r="B1852" s="14" t="str">
        <f>'Công trình'!$B$245</f>
        <v>AB.64112</v>
      </c>
      <c r="C1852" s="94"/>
      <c r="D1852" s="31"/>
      <c r="E1852" s="14" t="str">
        <f>'Công trình'!$C$245</f>
        <v>Đắp nền đường bằng máy đầm 9T, độ chặt K=0,90</v>
      </c>
      <c r="F1852" s="46" t="str">
        <f>'Công trình'!$D$245</f>
        <v>100m3</v>
      </c>
      <c r="G1852" s="94"/>
      <c r="H1852" s="54"/>
      <c r="I1852" s="98"/>
      <c r="J1852" s="54"/>
    </row>
    <row r="1853" spans="1:10" x14ac:dyDescent="0.25">
      <c r="A1853" s="56"/>
      <c r="B1853" s="23"/>
      <c r="C1853" s="88"/>
      <c r="D1853" s="23"/>
      <c r="E1853" s="23" t="s">
        <v>202</v>
      </c>
      <c r="F1853" s="56"/>
      <c r="G1853" s="88"/>
      <c r="H1853" s="48"/>
      <c r="I1853" s="90"/>
      <c r="J1853" s="48">
        <f>ROUND(SUM(J1854:J1854),0)</f>
        <v>339702</v>
      </c>
    </row>
    <row r="1854" spans="1:10" x14ac:dyDescent="0.25">
      <c r="A1854" s="168"/>
      <c r="B1854" s="144"/>
      <c r="C1854" s="34">
        <v>545</v>
      </c>
      <c r="D1854" s="144" t="str">
        <f>'Nhân công'!$B$6</f>
        <v>N0006</v>
      </c>
      <c r="E1854" s="144" t="s">
        <v>256</v>
      </c>
      <c r="F1854" s="168" t="str">
        <f>'Nhân công'!$G$6</f>
        <v>công</v>
      </c>
      <c r="G1854" s="34">
        <f>'Hao phí vật tư'!$H$1855</f>
        <v>1.74</v>
      </c>
      <c r="H1854" s="68">
        <f>'Nhân công'!$M$6</f>
        <v>195231</v>
      </c>
      <c r="I1854" s="37">
        <v>1</v>
      </c>
      <c r="J1854" s="166">
        <f>ROUND(G1854*H1854*I1854,0)</f>
        <v>339702</v>
      </c>
    </row>
    <row r="1855" spans="1:10" x14ac:dyDescent="0.25">
      <c r="A1855" s="56"/>
      <c r="B1855" s="23"/>
      <c r="C1855" s="88"/>
      <c r="D1855" s="23"/>
      <c r="E1855" s="23" t="s">
        <v>378</v>
      </c>
      <c r="F1855" s="56"/>
      <c r="G1855" s="88"/>
      <c r="H1855" s="48"/>
      <c r="I1855" s="90"/>
      <c r="J1855" s="48">
        <f>ROUND(SUM(J1856:J1858),0)</f>
        <v>756376</v>
      </c>
    </row>
    <row r="1856" spans="1:10" x14ac:dyDescent="0.25">
      <c r="A1856" s="168"/>
      <c r="B1856" s="144"/>
      <c r="C1856" s="34">
        <v>753</v>
      </c>
      <c r="D1856" s="144" t="str">
        <f>'Máy thi công'!$B$350</f>
        <v>M9578</v>
      </c>
      <c r="E1856" s="144" t="str">
        <f>" - " &amp; 'Máy thi công'!$D$350</f>
        <v xml:space="preserve"> - Máy ủi - công suất: 108,0 CV (110CV)</v>
      </c>
      <c r="F1856" s="168" t="str">
        <f>'Máy thi công'!$E$350</f>
        <v>ca</v>
      </c>
      <c r="G1856" s="34">
        <f>'Hao phí vật tư'!$I$1857</f>
        <v>0.15</v>
      </c>
      <c r="H1856" s="68">
        <f>'Máy thi công'!$N$350</f>
        <v>2049156</v>
      </c>
      <c r="I1856" s="37">
        <v>1</v>
      </c>
      <c r="J1856" s="166">
        <f>ROUND(G1856*H1856*I1856,0)</f>
        <v>307373</v>
      </c>
    </row>
    <row r="1857" spans="1:10" x14ac:dyDescent="0.25">
      <c r="A1857" s="168"/>
      <c r="B1857" s="144"/>
      <c r="C1857" s="34">
        <v>765</v>
      </c>
      <c r="D1857" s="144" t="str">
        <f>'Máy thi công'!$B$162</f>
        <v>M9656</v>
      </c>
      <c r="E1857" s="144" t="str">
        <f>" - " &amp; 'Máy thi công'!$D$162</f>
        <v xml:space="preserve"> - Đầm bánh hơi tự hành - trọng lượng: 9 t</v>
      </c>
      <c r="F1857" s="168" t="str">
        <f>'Máy thi công'!$E$162</f>
        <v>ca</v>
      </c>
      <c r="G1857" s="34">
        <f>'Hao phí vật tư'!$I$1858</f>
        <v>0.3</v>
      </c>
      <c r="H1857" s="68">
        <f>'Máy thi công'!$N$162</f>
        <v>1459416</v>
      </c>
      <c r="I1857" s="37">
        <v>1</v>
      </c>
      <c r="J1857" s="166">
        <f>ROUND(G1857*H1857*I1857,0)</f>
        <v>437825</v>
      </c>
    </row>
    <row r="1858" spans="1:10" x14ac:dyDescent="0.25">
      <c r="A1858" s="168"/>
      <c r="B1858" s="144"/>
      <c r="C1858" s="34">
        <v>688</v>
      </c>
      <c r="D1858" s="144" t="str">
        <f>'Máy thi công'!$B$398</f>
        <v>M0111</v>
      </c>
      <c r="E1858" s="144" t="str">
        <f>" - " &amp; 'Máy thi công'!$D$398</f>
        <v xml:space="preserve"> - Máy khác</v>
      </c>
      <c r="F1858" s="168" t="str">
        <f>'Máy thi công'!$E$398</f>
        <v>%</v>
      </c>
      <c r="G1858" s="34">
        <f>'Hao phí vật tư'!$I$1859</f>
        <v>1.5</v>
      </c>
      <c r="H1858" s="166">
        <f>'Máy thi công'!$N$398</f>
        <v>0</v>
      </c>
      <c r="I1858" s="37">
        <v>1</v>
      </c>
      <c r="J1858" s="166">
        <f>ROUND((J1856+J1857)*G1858*I1858/100,0)</f>
        <v>11178</v>
      </c>
    </row>
    <row r="1859" spans="1:10" x14ac:dyDescent="0.25">
      <c r="A1859" s="65">
        <f>'Công trình'!$A$246</f>
        <v>196</v>
      </c>
      <c r="B1859" s="14" t="str">
        <f>'Công trình'!$B$246</f>
        <v>TT</v>
      </c>
      <c r="C1859" s="94"/>
      <c r="D1859" s="31"/>
      <c r="E1859" s="14" t="str">
        <f>'Công trình'!$C$246</f>
        <v>Mua đất chọn lọc để đắp (HS 1,14*1,07)</v>
      </c>
      <c r="F1859" s="46" t="str">
        <f>'Công trình'!$D$246</f>
        <v>m3</v>
      </c>
      <c r="G1859" s="94"/>
      <c r="H1859" s="54"/>
      <c r="I1859" s="98"/>
      <c r="J1859" s="54"/>
    </row>
    <row r="1860" spans="1:10" x14ac:dyDescent="0.25">
      <c r="A1860" s="56"/>
      <c r="B1860" s="23"/>
      <c r="C1860" s="88"/>
      <c r="D1860" s="23"/>
      <c r="E1860" s="23" t="s">
        <v>479</v>
      </c>
      <c r="F1860" s="56"/>
      <c r="G1860" s="88"/>
      <c r="H1860" s="48"/>
      <c r="I1860" s="90"/>
      <c r="J1860" s="48">
        <f>ROUND(SUM(J1861:J1861),0)</f>
        <v>192673</v>
      </c>
    </row>
    <row r="1861" spans="1:10" x14ac:dyDescent="0.25">
      <c r="A1861" s="168"/>
      <c r="B1861" s="144"/>
      <c r="C1861" s="34">
        <v>410</v>
      </c>
      <c r="D1861" s="144" t="str">
        <f>'Vật liệu'!$B$198</f>
        <v>V00830</v>
      </c>
      <c r="E1861" s="144" t="str">
        <f>" - " &amp; 'Vật liệu'!$D$198</f>
        <v xml:space="preserve"> - Đất chọn lọc</v>
      </c>
      <c r="F1861" s="168" t="str">
        <f>'Vật liệu'!$E$198</f>
        <v>m3</v>
      </c>
      <c r="G1861" s="34">
        <f>'Hao phí vật tư'!$G$1862</f>
        <v>1</v>
      </c>
      <c r="H1861" s="68">
        <f>'Vật liệu'!$W$198</f>
        <v>192673</v>
      </c>
      <c r="I1861" s="37">
        <v>1</v>
      </c>
      <c r="J1861" s="166">
        <f>ROUND(G1861*H1861*I1861,0)</f>
        <v>192673</v>
      </c>
    </row>
    <row r="1862" spans="1:10" ht="28.5" x14ac:dyDescent="0.25">
      <c r="A1862" s="65">
        <f>'Công trình'!$A$247</f>
        <v>197</v>
      </c>
      <c r="B1862" s="14" t="str">
        <f>'Công trình'!$B$247</f>
        <v>AF.12313</v>
      </c>
      <c r="C1862" s="94"/>
      <c r="D1862" s="31"/>
      <c r="E1862" s="14" t="str">
        <f>'Công trình'!$C$247</f>
        <v>Bê tông dầm chặn chân, đá 1x2, vữa BT mác 200</v>
      </c>
      <c r="F1862" s="46" t="str">
        <f>'Công trình'!$D$247</f>
        <v>m3</v>
      </c>
      <c r="G1862" s="94"/>
      <c r="H1862" s="54"/>
      <c r="I1862" s="98"/>
      <c r="J1862" s="54"/>
    </row>
    <row r="1863" spans="1:10" x14ac:dyDescent="0.25">
      <c r="A1863" s="56"/>
      <c r="B1863" s="23"/>
      <c r="C1863" s="88"/>
      <c r="D1863" s="23"/>
      <c r="E1863" s="23" t="s">
        <v>479</v>
      </c>
      <c r="F1863" s="56"/>
      <c r="G1863" s="88"/>
      <c r="H1863" s="48"/>
      <c r="I1863" s="90"/>
      <c r="J1863" s="48">
        <f>ROUND(SUM(J1864:J1868),0)</f>
        <v>989296</v>
      </c>
    </row>
    <row r="1864" spans="1:10" x14ac:dyDescent="0.25">
      <c r="A1864" s="168"/>
      <c r="B1864" s="144"/>
      <c r="C1864" s="34">
        <v>397</v>
      </c>
      <c r="D1864" s="144" t="str">
        <f>'Vật liệu'!$B$721</f>
        <v>V00761</v>
      </c>
      <c r="E1864" s="144" t="str">
        <f>" - " &amp; 'Vật liệu'!$D$721</f>
        <v xml:space="preserve"> - Xi măng PC40</v>
      </c>
      <c r="F1864" s="168" t="str">
        <f>'Vật liệu'!$E$721</f>
        <v>kg</v>
      </c>
      <c r="G1864" s="34">
        <f>'Hao phí vật tư'!$G$1865</f>
        <v>288.02499999999998</v>
      </c>
      <c r="H1864" s="68">
        <f>'Vật liệu'!$W$721</f>
        <v>1513</v>
      </c>
      <c r="I1864" s="37">
        <v>1</v>
      </c>
      <c r="J1864" s="166">
        <f>ROUND(G1864*H1864*I1864,0)</f>
        <v>435782</v>
      </c>
    </row>
    <row r="1865" spans="1:10" x14ac:dyDescent="0.25">
      <c r="A1865" s="168"/>
      <c r="B1865" s="144"/>
      <c r="C1865" s="34">
        <v>125</v>
      </c>
      <c r="D1865" s="144" t="str">
        <f>'Vật liệu'!$B$54</f>
        <v>V00112</v>
      </c>
      <c r="E1865" s="144" t="str">
        <f>" - " &amp; 'Vật liệu'!$D$54</f>
        <v xml:space="preserve"> - Cát vàng</v>
      </c>
      <c r="F1865" s="168" t="str">
        <f>'Vật liệu'!$E$54</f>
        <v>m3</v>
      </c>
      <c r="G1865" s="34">
        <f>'Hao phí vật tư'!$G$1866</f>
        <v>0.50529999999999997</v>
      </c>
      <c r="H1865" s="68">
        <f>'Vật liệu'!$W$54</f>
        <v>420000</v>
      </c>
      <c r="I1865" s="37">
        <v>1</v>
      </c>
      <c r="J1865" s="166">
        <f>ROUND(G1865*H1865*I1865,0)</f>
        <v>212226</v>
      </c>
    </row>
    <row r="1866" spans="1:10" x14ac:dyDescent="0.25">
      <c r="A1866" s="168"/>
      <c r="B1866" s="144"/>
      <c r="C1866" s="34">
        <v>416</v>
      </c>
      <c r="D1866" s="144" t="str">
        <f>'Vật liệu'!$B$142</f>
        <v>V05207</v>
      </c>
      <c r="E1866" s="144" t="str">
        <f>" - " &amp; 'Vật liệu'!$D$142</f>
        <v xml:space="preserve"> - Đá 1x2</v>
      </c>
      <c r="F1866" s="168" t="str">
        <f>'Vật liệu'!$E$142</f>
        <v>m3</v>
      </c>
      <c r="G1866" s="34">
        <f>'Hao phí vật tư'!$G$1867</f>
        <v>0.9133</v>
      </c>
      <c r="H1866" s="68">
        <f>'Vật liệu'!$W$142</f>
        <v>360886</v>
      </c>
      <c r="I1866" s="37">
        <v>1</v>
      </c>
      <c r="J1866" s="166">
        <f>ROUND(G1866*H1866*I1866,0)</f>
        <v>329597</v>
      </c>
    </row>
    <row r="1867" spans="1:10" x14ac:dyDescent="0.25">
      <c r="A1867" s="168"/>
      <c r="B1867" s="144"/>
      <c r="C1867" s="34">
        <v>148</v>
      </c>
      <c r="D1867" s="144" t="str">
        <f>'Vật liệu'!$B$353</f>
        <v>V00494</v>
      </c>
      <c r="E1867" s="144" t="str">
        <f>" - " &amp; 'Vật liệu'!$D$353</f>
        <v xml:space="preserve"> - Nước</v>
      </c>
      <c r="F1867" s="168" t="str">
        <f>'Vật liệu'!$E$353</f>
        <v>lít</v>
      </c>
      <c r="G1867" s="34">
        <f>'Hao phí vật tư'!$G$1868</f>
        <v>189.625</v>
      </c>
      <c r="H1867" s="68">
        <f>'Vật liệu'!$W$353</f>
        <v>10</v>
      </c>
      <c r="I1867" s="37">
        <v>1</v>
      </c>
      <c r="J1867" s="166">
        <f>ROUND(G1867*H1867*I1867,0)</f>
        <v>1896</v>
      </c>
    </row>
    <row r="1868" spans="1:10" x14ac:dyDescent="0.25">
      <c r="A1868" s="168"/>
      <c r="B1868" s="144"/>
      <c r="C1868" s="34">
        <v>303</v>
      </c>
      <c r="D1868" s="144" t="str">
        <f>'Vật liệu'!$B$766</f>
        <v>V00750</v>
      </c>
      <c r="E1868" s="144" t="str">
        <f>" - " &amp; 'Vật liệu'!$D$766</f>
        <v xml:space="preserve"> - Vật liệu khác</v>
      </c>
      <c r="F1868" s="168" t="str">
        <f>'Vật liệu'!$E$766</f>
        <v>%</v>
      </c>
      <c r="G1868" s="34">
        <f>'Hao phí vật tư'!$G$1869</f>
        <v>1</v>
      </c>
      <c r="H1868" s="166">
        <f>'Vật liệu'!$W$766</f>
        <v>0</v>
      </c>
      <c r="I1868" s="37">
        <v>1</v>
      </c>
      <c r="J1868" s="166">
        <f>ROUND((J1864+J1865+J1866+J1867)*G1868*I1868/100,0)</f>
        <v>9795</v>
      </c>
    </row>
    <row r="1869" spans="1:10" x14ac:dyDescent="0.25">
      <c r="A1869" s="56"/>
      <c r="B1869" s="23"/>
      <c r="C1869" s="88"/>
      <c r="D1869" s="23"/>
      <c r="E1869" s="23" t="s">
        <v>202</v>
      </c>
      <c r="F1869" s="56"/>
      <c r="G1869" s="88"/>
      <c r="H1869" s="48"/>
      <c r="I1869" s="90"/>
      <c r="J1869" s="48">
        <f>ROUND(SUM(J1870:J1870),0)</f>
        <v>757767</v>
      </c>
    </row>
    <row r="1870" spans="1:10" x14ac:dyDescent="0.25">
      <c r="A1870" s="168"/>
      <c r="B1870" s="144"/>
      <c r="C1870" s="34">
        <v>546</v>
      </c>
      <c r="D1870" s="144" t="str">
        <f>'Nhân công'!$B$45</f>
        <v>N0009</v>
      </c>
      <c r="E1870" s="144" t="s">
        <v>1052</v>
      </c>
      <c r="F1870" s="168" t="str">
        <f>'Nhân công'!$G$45</f>
        <v>công</v>
      </c>
      <c r="G1870" s="34">
        <f>'Hao phí vật tư'!$H$1871</f>
        <v>3.56</v>
      </c>
      <c r="H1870" s="68">
        <f>'Nhân công'!$M$45</f>
        <v>212856</v>
      </c>
      <c r="I1870" s="37">
        <v>1</v>
      </c>
      <c r="J1870" s="166">
        <f>ROUND(G1870*H1870*I1870,0)</f>
        <v>757767</v>
      </c>
    </row>
    <row r="1871" spans="1:10" x14ac:dyDescent="0.25">
      <c r="A1871" s="56"/>
      <c r="B1871" s="23"/>
      <c r="C1871" s="88"/>
      <c r="D1871" s="23"/>
      <c r="E1871" s="23" t="s">
        <v>378</v>
      </c>
      <c r="F1871" s="56"/>
      <c r="G1871" s="88"/>
      <c r="H1871" s="48"/>
      <c r="I1871" s="90"/>
      <c r="J1871" s="48">
        <f>ROUND(SUM(J1872:J1874),0)</f>
        <v>68040</v>
      </c>
    </row>
    <row r="1872" spans="1:10" x14ac:dyDescent="0.25">
      <c r="A1872" s="168"/>
      <c r="B1872" s="144"/>
      <c r="C1872" s="34">
        <v>746</v>
      </c>
      <c r="D1872" s="144" t="str">
        <f>'Máy thi công'!$B$358</f>
        <v>M9560</v>
      </c>
      <c r="E1872" s="144" t="str">
        <f>" - " &amp; 'Máy thi công'!$D$358</f>
        <v xml:space="preserve"> - Máy vận thăng - sức nâng: 0,8 t - H nâng 80 m</v>
      </c>
      <c r="F1872" s="168" t="str">
        <f>'Máy thi công'!$E$358</f>
        <v>ca</v>
      </c>
      <c r="G1872" s="34">
        <f>'Hao phí vật tư'!$I$1873</f>
        <v>0</v>
      </c>
      <c r="H1872" s="68">
        <f>'Máy thi công'!$N$358</f>
        <v>378219</v>
      </c>
      <c r="I1872" s="37">
        <v>1</v>
      </c>
      <c r="J1872" s="166">
        <f>ROUND(G1872*H1872*I1872,0)</f>
        <v>0</v>
      </c>
    </row>
    <row r="1873" spans="1:10" x14ac:dyDescent="0.25">
      <c r="A1873" s="168"/>
      <c r="B1873" s="144"/>
      <c r="C1873" s="34">
        <v>750</v>
      </c>
      <c r="D1873" s="144" t="str">
        <f>'Máy thi công'!$B$232</f>
        <v>M9571</v>
      </c>
      <c r="E1873" s="144" t="str">
        <f>" - " &amp; 'Máy thi công'!$D$232</f>
        <v xml:space="preserve"> - Máy đầm bê tông, dầm dùi - công suất: 1,5 kW</v>
      </c>
      <c r="F1873" s="168" t="str">
        <f>'Máy thi công'!$E$232</f>
        <v>ca</v>
      </c>
      <c r="G1873" s="34">
        <f>'Hao phí vật tư'!$I$1874</f>
        <v>0.18</v>
      </c>
      <c r="H1873" s="68">
        <f>'Máy thi công'!$N$232</f>
        <v>225765</v>
      </c>
      <c r="I1873" s="37">
        <v>1</v>
      </c>
      <c r="J1873" s="166">
        <f>ROUND(G1873*H1873*I1873,0)</f>
        <v>40638</v>
      </c>
    </row>
    <row r="1874" spans="1:10" x14ac:dyDescent="0.25">
      <c r="A1874" s="168"/>
      <c r="B1874" s="144"/>
      <c r="C1874" s="34">
        <v>744</v>
      </c>
      <c r="D1874" s="144" t="str">
        <f>'Máy thi công'!$B$306</f>
        <v>M9555</v>
      </c>
      <c r="E1874" s="144" t="str">
        <f>" - " &amp; 'Máy thi công'!$D$306</f>
        <v xml:space="preserve"> - Máy trộn bê tông - dung tích: 250 lít</v>
      </c>
      <c r="F1874" s="168" t="str">
        <f>'Máy thi công'!$E$306</f>
        <v>ca</v>
      </c>
      <c r="G1874" s="34">
        <f>'Hao phí vật tư'!$I$1875</f>
        <v>9.5000000000000001E-2</v>
      </c>
      <c r="H1874" s="68">
        <f>'Máy thi công'!$N$306</f>
        <v>288447</v>
      </c>
      <c r="I1874" s="37">
        <v>1</v>
      </c>
      <c r="J1874" s="166">
        <f>ROUND(G1874*H1874*I1874,0)</f>
        <v>27402</v>
      </c>
    </row>
    <row r="1875" spans="1:10" x14ac:dyDescent="0.25">
      <c r="A1875" s="65">
        <f>'Công trình'!$A$248</f>
        <v>198</v>
      </c>
      <c r="B1875" s="14" t="str">
        <f>'Công trình'!$B$248</f>
        <v>AK.41124</v>
      </c>
      <c r="C1875" s="94"/>
      <c r="D1875" s="31"/>
      <c r="E1875" s="14" t="str">
        <f>'Công trình'!$C$248</f>
        <v>Vữa lót M75-3cm</v>
      </c>
      <c r="F1875" s="46" t="str">
        <f>'Công trình'!$D$248</f>
        <v>m2</v>
      </c>
      <c r="G1875" s="94"/>
      <c r="H1875" s="54"/>
      <c r="I1875" s="98"/>
      <c r="J1875" s="54"/>
    </row>
    <row r="1876" spans="1:10" x14ac:dyDescent="0.25">
      <c r="A1876" s="56"/>
      <c r="B1876" s="23"/>
      <c r="C1876" s="88"/>
      <c r="D1876" s="23"/>
      <c r="E1876" s="23" t="s">
        <v>479</v>
      </c>
      <c r="F1876" s="56"/>
      <c r="G1876" s="88"/>
      <c r="H1876" s="48"/>
      <c r="I1876" s="90"/>
      <c r="J1876" s="48">
        <f>ROUND(SUM(J1877:J1879),0)</f>
        <v>28745</v>
      </c>
    </row>
    <row r="1877" spans="1:10" x14ac:dyDescent="0.25">
      <c r="A1877" s="168"/>
      <c r="B1877" s="144"/>
      <c r="C1877" s="34">
        <v>397</v>
      </c>
      <c r="D1877" s="144" t="str">
        <f>'Vật liệu'!$B$721</f>
        <v>V00761</v>
      </c>
      <c r="E1877" s="144" t="str">
        <f>" - " &amp; 'Vật liệu'!$D$721</f>
        <v xml:space="preserve"> - Xi măng PC40</v>
      </c>
      <c r="F1877" s="168" t="str">
        <f>'Vật liệu'!$E$721</f>
        <v>kg</v>
      </c>
      <c r="G1877" s="34">
        <f>'Hao phí vật tư'!$G$1878</f>
        <v>7.9457000000000004</v>
      </c>
      <c r="H1877" s="68">
        <f>'Vật liệu'!$W$721</f>
        <v>1513</v>
      </c>
      <c r="I1877" s="37">
        <v>1</v>
      </c>
      <c r="J1877" s="166">
        <f>ROUND(G1877*H1877*I1877,0)</f>
        <v>12022</v>
      </c>
    </row>
    <row r="1878" spans="1:10" x14ac:dyDescent="0.25">
      <c r="A1878" s="168"/>
      <c r="B1878" s="144"/>
      <c r="C1878" s="34">
        <v>125</v>
      </c>
      <c r="D1878" s="144" t="str">
        <f>'Vật liệu'!$B$54</f>
        <v>V00112</v>
      </c>
      <c r="E1878" s="144" t="str">
        <f>" - " &amp; 'Vật liệu'!$D$54</f>
        <v xml:space="preserve"> - Cát vàng</v>
      </c>
      <c r="F1878" s="168" t="str">
        <f>'Vật liệu'!$E$54</f>
        <v>m3</v>
      </c>
      <c r="G1878" s="34">
        <f>'Hao phí vật tư'!$G$1879</f>
        <v>3.9600000000000003E-2</v>
      </c>
      <c r="H1878" s="68">
        <f>'Vật liệu'!$W$54</f>
        <v>420000</v>
      </c>
      <c r="I1878" s="37">
        <v>1</v>
      </c>
      <c r="J1878" s="166">
        <f>ROUND(G1878*H1878*I1878,0)</f>
        <v>16632</v>
      </c>
    </row>
    <row r="1879" spans="1:10" x14ac:dyDescent="0.25">
      <c r="A1879" s="168"/>
      <c r="B1879" s="144"/>
      <c r="C1879" s="34">
        <v>148</v>
      </c>
      <c r="D1879" s="144" t="str">
        <f>'Vật liệu'!$B$353</f>
        <v>V00494</v>
      </c>
      <c r="E1879" s="144" t="str">
        <f>" - " &amp; 'Vật liệu'!$D$353</f>
        <v xml:space="preserve"> - Nước</v>
      </c>
      <c r="F1879" s="168" t="str">
        <f>'Vật liệu'!$E$353</f>
        <v>lít</v>
      </c>
      <c r="G1879" s="34">
        <f>'Hao phí vật tư'!$G$1880</f>
        <v>9.1</v>
      </c>
      <c r="H1879" s="68">
        <f>'Vật liệu'!$W$353</f>
        <v>10</v>
      </c>
      <c r="I1879" s="37">
        <v>1</v>
      </c>
      <c r="J1879" s="166">
        <f>ROUND(G1879*H1879*I1879,0)</f>
        <v>91</v>
      </c>
    </row>
    <row r="1880" spans="1:10" x14ac:dyDescent="0.25">
      <c r="A1880" s="56"/>
      <c r="B1880" s="23"/>
      <c r="C1880" s="88"/>
      <c r="D1880" s="23"/>
      <c r="E1880" s="23" t="s">
        <v>202</v>
      </c>
      <c r="F1880" s="56"/>
      <c r="G1880" s="88"/>
      <c r="H1880" s="48"/>
      <c r="I1880" s="90"/>
      <c r="J1880" s="48">
        <f>ROUND(SUM(J1881:J1881),0)</f>
        <v>24431</v>
      </c>
    </row>
    <row r="1881" spans="1:10" x14ac:dyDescent="0.25">
      <c r="A1881" s="168"/>
      <c r="B1881" s="144"/>
      <c r="C1881" s="34">
        <v>550</v>
      </c>
      <c r="D1881" s="144" t="str">
        <f>'Nhân công'!$B$130</f>
        <v>N0011</v>
      </c>
      <c r="E1881" s="144" t="s">
        <v>671</v>
      </c>
      <c r="F1881" s="168" t="str">
        <f>'Nhân công'!$G$130</f>
        <v>công</v>
      </c>
      <c r="G1881" s="34">
        <f>'Hao phí vật tư'!$H$1882</f>
        <v>0.106</v>
      </c>
      <c r="H1881" s="68">
        <f>'Nhân công'!$M$130</f>
        <v>230481</v>
      </c>
      <c r="I1881" s="37">
        <v>1</v>
      </c>
      <c r="J1881" s="166">
        <f>ROUND(G1881*H1881*I1881,0)</f>
        <v>24431</v>
      </c>
    </row>
    <row r="1882" spans="1:10" x14ac:dyDescent="0.25">
      <c r="A1882" s="56"/>
      <c r="B1882" s="23"/>
      <c r="C1882" s="88"/>
      <c r="D1882" s="23"/>
      <c r="E1882" s="23" t="s">
        <v>378</v>
      </c>
      <c r="F1882" s="56"/>
      <c r="G1882" s="88"/>
      <c r="H1882" s="48"/>
      <c r="I1882" s="90"/>
      <c r="J1882" s="48">
        <f>ROUND(SUM(J1883:J1883),0)</f>
        <v>932</v>
      </c>
    </row>
    <row r="1883" spans="1:10" x14ac:dyDescent="0.25">
      <c r="A1883" s="168"/>
      <c r="B1883" s="144"/>
      <c r="C1883" s="34">
        <v>745</v>
      </c>
      <c r="D1883" s="144" t="str">
        <f>'Máy thi công'!$B$341</f>
        <v>M9558</v>
      </c>
      <c r="E1883" s="144" t="str">
        <f>" - " &amp; 'Máy thi công'!$D$341</f>
        <v xml:space="preserve"> - Máy trộn vữa - dung tích: 80 lít</v>
      </c>
      <c r="F1883" s="168" t="str">
        <f>'Máy thi công'!$E$341</f>
        <v>ca</v>
      </c>
      <c r="G1883" s="34">
        <f>'Hao phí vật tư'!$I$1884</f>
        <v>4.0000000000000001E-3</v>
      </c>
      <c r="H1883" s="68">
        <f>'Máy thi công'!$N$341</f>
        <v>232983</v>
      </c>
      <c r="I1883" s="37">
        <v>1</v>
      </c>
      <c r="J1883" s="166">
        <f>ROUND(G1883*H1883*I1883,0)</f>
        <v>932</v>
      </c>
    </row>
    <row r="1884" spans="1:10" ht="28.5" x14ac:dyDescent="0.25">
      <c r="A1884" s="65">
        <f>'Công trình'!$A$249</f>
        <v>199</v>
      </c>
      <c r="B1884" s="14" t="str">
        <f>'Công trình'!$B$249</f>
        <v>AF.82111</v>
      </c>
      <c r="C1884" s="94"/>
      <c r="D1884" s="31"/>
      <c r="E1884" s="14" t="str">
        <f>'Công trình'!$C$249</f>
        <v>Sản xuất, lắp dựng tháo dỡ ván khuôn thép, cây chống gỗ dầm, giằng, chiều cao &lt;=16m</v>
      </c>
      <c r="F1884" s="46" t="str">
        <f>'Công trình'!$D$249</f>
        <v>100m2</v>
      </c>
      <c r="G1884" s="94"/>
      <c r="H1884" s="54"/>
      <c r="I1884" s="98"/>
      <c r="J1884" s="54"/>
    </row>
    <row r="1885" spans="1:10" x14ac:dyDescent="0.25">
      <c r="A1885" s="56"/>
      <c r="B1885" s="23"/>
      <c r="C1885" s="88"/>
      <c r="D1885" s="23"/>
      <c r="E1885" s="23" t="s">
        <v>479</v>
      </c>
      <c r="F1885" s="56"/>
      <c r="G1885" s="88"/>
      <c r="H1885" s="48"/>
      <c r="I1885" s="90"/>
      <c r="J1885" s="48">
        <f>ROUND(SUM(J1886:J1890),0)</f>
        <v>3284877</v>
      </c>
    </row>
    <row r="1886" spans="1:10" x14ac:dyDescent="0.25">
      <c r="A1886" s="168"/>
      <c r="B1886" s="144"/>
      <c r="C1886" s="34">
        <v>154</v>
      </c>
      <c r="D1886" s="144" t="str">
        <f>'Vật liệu'!$B$450</f>
        <v>V00515</v>
      </c>
      <c r="E1886" s="144" t="str">
        <f>" - " &amp; 'Vật liệu'!$D$450</f>
        <v xml:space="preserve"> - Que hàn</v>
      </c>
      <c r="F1886" s="168" t="str">
        <f>'Vật liệu'!$E$450</f>
        <v>kg</v>
      </c>
      <c r="G1886" s="34">
        <f>'Hao phí vật tư'!$G$1887</f>
        <v>5.6</v>
      </c>
      <c r="H1886" s="68">
        <f>'Vật liệu'!$W$450</f>
        <v>19091</v>
      </c>
      <c r="I1886" s="37">
        <v>1</v>
      </c>
      <c r="J1886" s="166">
        <f>ROUND(G1886*H1886*I1886,0)</f>
        <v>106910</v>
      </c>
    </row>
    <row r="1887" spans="1:10" x14ac:dyDescent="0.25">
      <c r="A1887" s="168"/>
      <c r="B1887" s="144"/>
      <c r="C1887" s="34">
        <v>140</v>
      </c>
      <c r="D1887" s="144" t="str">
        <f>'Vật liệu'!$B$294</f>
        <v>V00390</v>
      </c>
      <c r="E1887" s="144" t="str">
        <f>" - " &amp; 'Vật liệu'!$D$294</f>
        <v xml:space="preserve"> - Gỗ chống</v>
      </c>
      <c r="F1887" s="168" t="str">
        <f>'Vật liệu'!$E$294</f>
        <v>m3</v>
      </c>
      <c r="G1887" s="34">
        <f>'Hao phí vật tư'!$G$1888</f>
        <v>0.496</v>
      </c>
      <c r="H1887" s="68">
        <f>'Vật liệu'!$W$294</f>
        <v>3272727</v>
      </c>
      <c r="I1887" s="37">
        <v>1</v>
      </c>
      <c r="J1887" s="166">
        <f>ROUND(G1887*H1887*I1887,0)</f>
        <v>1623273</v>
      </c>
    </row>
    <row r="1888" spans="1:10" x14ac:dyDescent="0.25">
      <c r="A1888" s="168"/>
      <c r="B1888" s="144"/>
      <c r="C1888" s="34">
        <v>166</v>
      </c>
      <c r="D1888" s="144" t="str">
        <f>'Vật liệu'!$B$606</f>
        <v>V00671</v>
      </c>
      <c r="E1888" s="144" t="str">
        <f>" - " &amp; 'Vật liệu'!$D$606</f>
        <v xml:space="preserve"> - Thép tấm</v>
      </c>
      <c r="F1888" s="168" t="str">
        <f>'Vật liệu'!$E$606</f>
        <v>kg</v>
      </c>
      <c r="G1888" s="34">
        <f>'Hao phí vật tư'!$G$1889</f>
        <v>51.81</v>
      </c>
      <c r="H1888" s="68">
        <f>'Vật liệu'!$W$606</f>
        <v>12574</v>
      </c>
      <c r="I1888" s="37">
        <v>1</v>
      </c>
      <c r="J1888" s="166">
        <f>ROUND(G1888*H1888*I1888,0)</f>
        <v>651459</v>
      </c>
    </row>
    <row r="1889" spans="1:10" x14ac:dyDescent="0.25">
      <c r="A1889" s="168"/>
      <c r="B1889" s="144"/>
      <c r="C1889" s="34">
        <v>160</v>
      </c>
      <c r="D1889" s="144" t="str">
        <f>'Vật liệu'!$B$556</f>
        <v>V00641</v>
      </c>
      <c r="E1889" s="144" t="str">
        <f>" - " &amp; 'Vật liệu'!$D$556</f>
        <v xml:space="preserve"> - Thép hình</v>
      </c>
      <c r="F1889" s="168" t="str">
        <f>'Vật liệu'!$E$556</f>
        <v>kg</v>
      </c>
      <c r="G1889" s="34">
        <f>'Hao phí vật tư'!$G$1890</f>
        <v>48.84</v>
      </c>
      <c r="H1889" s="68">
        <f>'Vật liệu'!$W$556</f>
        <v>15291</v>
      </c>
      <c r="I1889" s="37">
        <v>1</v>
      </c>
      <c r="J1889" s="166">
        <f>ROUND(G1889*H1889*I1889,0)</f>
        <v>746812</v>
      </c>
    </row>
    <row r="1890" spans="1:10" x14ac:dyDescent="0.25">
      <c r="A1890" s="168"/>
      <c r="B1890" s="144"/>
      <c r="C1890" s="34">
        <v>304</v>
      </c>
      <c r="D1890" s="144" t="str">
        <f>'Vật liệu'!$B$766</f>
        <v>V00750</v>
      </c>
      <c r="E1890" s="144" t="str">
        <f>" - " &amp; 'Vật liệu'!$D$766</f>
        <v xml:space="preserve"> - Vật liệu khác</v>
      </c>
      <c r="F1890" s="168" t="str">
        <f>'Vật liệu'!$E$766</f>
        <v>%</v>
      </c>
      <c r="G1890" s="34">
        <f>'Hao phí vật tư'!$G$1891</f>
        <v>5</v>
      </c>
      <c r="H1890" s="166">
        <f>'Vật liệu'!$W$766</f>
        <v>0</v>
      </c>
      <c r="I1890" s="37">
        <v>1</v>
      </c>
      <c r="J1890" s="166">
        <f>ROUND((J1886+J1887+J1888+J1889)*G1890*I1890/100,0)</f>
        <v>156423</v>
      </c>
    </row>
    <row r="1891" spans="1:10" x14ac:dyDescent="0.25">
      <c r="A1891" s="56"/>
      <c r="B1891" s="23"/>
      <c r="C1891" s="88"/>
      <c r="D1891" s="23"/>
      <c r="E1891" s="23" t="s">
        <v>202</v>
      </c>
      <c r="F1891" s="56"/>
      <c r="G1891" s="88"/>
      <c r="H1891" s="48"/>
      <c r="I1891" s="90"/>
      <c r="J1891" s="48">
        <f>ROUND(SUM(J1892:J1892),0)</f>
        <v>8822813</v>
      </c>
    </row>
    <row r="1892" spans="1:10" x14ac:dyDescent="0.25">
      <c r="A1892" s="168"/>
      <c r="B1892" s="144"/>
      <c r="C1892" s="34">
        <v>550</v>
      </c>
      <c r="D1892" s="144" t="str">
        <f>'Nhân công'!$B$130</f>
        <v>N0011</v>
      </c>
      <c r="E1892" s="144" t="s">
        <v>671</v>
      </c>
      <c r="F1892" s="168" t="str">
        <f>'Nhân công'!$G$130</f>
        <v>công</v>
      </c>
      <c r="G1892" s="34">
        <f>'Hao phí vật tư'!$H$1893</f>
        <v>38.28</v>
      </c>
      <c r="H1892" s="68">
        <f>'Nhân công'!$M$130</f>
        <v>230481</v>
      </c>
      <c r="I1892" s="37">
        <v>1</v>
      </c>
      <c r="J1892" s="166">
        <f>ROUND(G1892*H1892*I1892,0)</f>
        <v>8822813</v>
      </c>
    </row>
    <row r="1893" spans="1:10" x14ac:dyDescent="0.25">
      <c r="A1893" s="56"/>
      <c r="B1893" s="23"/>
      <c r="C1893" s="88"/>
      <c r="D1893" s="23"/>
      <c r="E1893" s="23" t="s">
        <v>378</v>
      </c>
      <c r="F1893" s="56"/>
      <c r="G1893" s="88"/>
      <c r="H1893" s="48"/>
      <c r="I1893" s="90"/>
      <c r="J1893" s="48">
        <f>ROUND(SUM(J1894:J1896),0)</f>
        <v>517171</v>
      </c>
    </row>
    <row r="1894" spans="1:10" x14ac:dyDescent="0.25">
      <c r="A1894" s="168"/>
      <c r="B1894" s="144"/>
      <c r="C1894" s="34">
        <v>746</v>
      </c>
      <c r="D1894" s="144" t="str">
        <f>'Máy thi công'!$B$358</f>
        <v>M9560</v>
      </c>
      <c r="E1894" s="144" t="str">
        <f>" - " &amp; 'Máy thi công'!$D$358</f>
        <v xml:space="preserve"> - Máy vận thăng - sức nâng: 0,8 t - H nâng 80 m</v>
      </c>
      <c r="F1894" s="168" t="str">
        <f>'Máy thi công'!$E$358</f>
        <v>ca</v>
      </c>
      <c r="G1894" s="34">
        <f>'Hao phí vật tư'!$I$1895</f>
        <v>0</v>
      </c>
      <c r="H1894" s="68">
        <f>'Máy thi công'!$N$358</f>
        <v>378219</v>
      </c>
      <c r="I1894" s="37">
        <v>1</v>
      </c>
      <c r="J1894" s="166">
        <f>ROUND(G1894*H1894*I1894,0)</f>
        <v>0</v>
      </c>
    </row>
    <row r="1895" spans="1:10" x14ac:dyDescent="0.25">
      <c r="A1895" s="168"/>
      <c r="B1895" s="144"/>
      <c r="C1895" s="34">
        <v>714</v>
      </c>
      <c r="D1895" s="144" t="str">
        <f>'Máy thi công'!$B$6</f>
        <v>M9438</v>
      </c>
      <c r="E1895" s="144" t="str">
        <f>" - " &amp; 'Máy thi công'!$D$6</f>
        <v xml:space="preserve"> - Biến thế hàn xoay chiều - công suất: 23 kW</v>
      </c>
      <c r="F1895" s="168" t="str">
        <f>'Máy thi công'!$E$6</f>
        <v>ca</v>
      </c>
      <c r="G1895" s="34">
        <f>'Hao phí vật tư'!$I$1896</f>
        <v>1.5</v>
      </c>
      <c r="H1895" s="68">
        <f>'Máy thi công'!$N$6</f>
        <v>338020</v>
      </c>
      <c r="I1895" s="37">
        <v>1</v>
      </c>
      <c r="J1895" s="166">
        <f>ROUND(G1895*H1895*I1895,0)</f>
        <v>507030</v>
      </c>
    </row>
    <row r="1896" spans="1:10" x14ac:dyDescent="0.25">
      <c r="A1896" s="168"/>
      <c r="B1896" s="144"/>
      <c r="C1896" s="34">
        <v>644</v>
      </c>
      <c r="D1896" s="144" t="str">
        <f>'Máy thi công'!$B$398</f>
        <v>M0111</v>
      </c>
      <c r="E1896" s="144" t="str">
        <f>" - " &amp; 'Máy thi công'!$D$398</f>
        <v xml:space="preserve"> - Máy khác</v>
      </c>
      <c r="F1896" s="168" t="str">
        <f>'Máy thi công'!$E$398</f>
        <v>%</v>
      </c>
      <c r="G1896" s="34">
        <f>'Hao phí vật tư'!$I$1897</f>
        <v>2</v>
      </c>
      <c r="H1896" s="166">
        <f>'Máy thi công'!$N$398</f>
        <v>0</v>
      </c>
      <c r="I1896" s="37">
        <v>1</v>
      </c>
      <c r="J1896" s="166">
        <f>ROUND((J1894+J1895)*G1896*I1896/100,0)</f>
        <v>10141</v>
      </c>
    </row>
    <row r="1897" spans="1:10" ht="28.5" x14ac:dyDescent="0.25">
      <c r="A1897" s="65">
        <f>'Công trình'!$A$250</f>
        <v>200</v>
      </c>
      <c r="B1897" s="14" t="str">
        <f>'Công trình'!$B$250</f>
        <v>AG.11413</v>
      </c>
      <c r="C1897" s="94"/>
      <c r="D1897" s="31"/>
      <c r="E1897" s="14" t="str">
        <f>'Công trình'!$C$250</f>
        <v>Sản xuất bê tông lục giác, đá 1x2, vữa BT mác 200</v>
      </c>
      <c r="F1897" s="46" t="str">
        <f>'Công trình'!$D$250</f>
        <v>m3</v>
      </c>
      <c r="G1897" s="94"/>
      <c r="H1897" s="54"/>
      <c r="I1897" s="98"/>
      <c r="J1897" s="54"/>
    </row>
    <row r="1898" spans="1:10" x14ac:dyDescent="0.25">
      <c r="A1898" s="56"/>
      <c r="B1898" s="23"/>
      <c r="C1898" s="88"/>
      <c r="D1898" s="23"/>
      <c r="E1898" s="23" t="s">
        <v>479</v>
      </c>
      <c r="F1898" s="56"/>
      <c r="G1898" s="88"/>
      <c r="H1898" s="48"/>
      <c r="I1898" s="90"/>
      <c r="J1898" s="48">
        <f>ROUND(SUM(J1899:J1903),0)</f>
        <v>974811</v>
      </c>
    </row>
    <row r="1899" spans="1:10" x14ac:dyDescent="0.25">
      <c r="A1899" s="168"/>
      <c r="B1899" s="144"/>
      <c r="C1899" s="34">
        <v>397</v>
      </c>
      <c r="D1899" s="144" t="str">
        <f>'Vật liệu'!$B$721</f>
        <v>V00761</v>
      </c>
      <c r="E1899" s="144" t="str">
        <f>" - " &amp; 'Vật liệu'!$D$721</f>
        <v xml:space="preserve"> - Xi măng PC40</v>
      </c>
      <c r="F1899" s="168" t="str">
        <f>'Vật liệu'!$E$721</f>
        <v>kg</v>
      </c>
      <c r="G1899" s="34">
        <f>'Hao phí vật tư'!$G$1900</f>
        <v>285.21499999999997</v>
      </c>
      <c r="H1899" s="68">
        <f>'Vật liệu'!$W$721</f>
        <v>1513</v>
      </c>
      <c r="I1899" s="37">
        <v>1</v>
      </c>
      <c r="J1899" s="166">
        <f>ROUND(G1899*H1899*I1899,0)</f>
        <v>431530</v>
      </c>
    </row>
    <row r="1900" spans="1:10" x14ac:dyDescent="0.25">
      <c r="A1900" s="168"/>
      <c r="B1900" s="144"/>
      <c r="C1900" s="34">
        <v>125</v>
      </c>
      <c r="D1900" s="144" t="str">
        <f>'Vật liệu'!$B$54</f>
        <v>V00112</v>
      </c>
      <c r="E1900" s="144" t="str">
        <f>" - " &amp; 'Vật liệu'!$D$54</f>
        <v xml:space="preserve"> - Cát vàng</v>
      </c>
      <c r="F1900" s="168" t="str">
        <f>'Vật liệu'!$E$54</f>
        <v>m3</v>
      </c>
      <c r="G1900" s="34">
        <f>'Hao phí vật tư'!$G$1901</f>
        <v>0.50039999999999996</v>
      </c>
      <c r="H1900" s="68">
        <f>'Vật liệu'!$W$54</f>
        <v>420000</v>
      </c>
      <c r="I1900" s="37">
        <v>1</v>
      </c>
      <c r="J1900" s="166">
        <f>ROUND(G1900*H1900*I1900,0)</f>
        <v>210168</v>
      </c>
    </row>
    <row r="1901" spans="1:10" x14ac:dyDescent="0.25">
      <c r="A1901" s="168"/>
      <c r="B1901" s="144"/>
      <c r="C1901" s="34">
        <v>416</v>
      </c>
      <c r="D1901" s="144" t="str">
        <f>'Vật liệu'!$B$142</f>
        <v>V05207</v>
      </c>
      <c r="E1901" s="144" t="str">
        <f>" - " &amp; 'Vật liệu'!$D$142</f>
        <v xml:space="preserve"> - Đá 1x2</v>
      </c>
      <c r="F1901" s="168" t="str">
        <f>'Vật liệu'!$E$142</f>
        <v>m3</v>
      </c>
      <c r="G1901" s="34">
        <f>'Hao phí vật tư'!$G$1902</f>
        <v>0.90439999999999998</v>
      </c>
      <c r="H1901" s="68">
        <f>'Vật liệu'!$W$142</f>
        <v>360886</v>
      </c>
      <c r="I1901" s="37">
        <v>1</v>
      </c>
      <c r="J1901" s="166">
        <f>ROUND(G1901*H1901*I1901,0)</f>
        <v>326385</v>
      </c>
    </row>
    <row r="1902" spans="1:10" x14ac:dyDescent="0.25">
      <c r="A1902" s="168"/>
      <c r="B1902" s="144"/>
      <c r="C1902" s="34">
        <v>148</v>
      </c>
      <c r="D1902" s="144" t="str">
        <f>'Vật liệu'!$B$353</f>
        <v>V00494</v>
      </c>
      <c r="E1902" s="144" t="str">
        <f>" - " &amp; 'Vật liệu'!$D$353</f>
        <v xml:space="preserve"> - Nước</v>
      </c>
      <c r="F1902" s="168" t="str">
        <f>'Vật liệu'!$E$353</f>
        <v>lít</v>
      </c>
      <c r="G1902" s="34">
        <f>'Hao phí vật tư'!$G$1903</f>
        <v>187.77500000000001</v>
      </c>
      <c r="H1902" s="68">
        <f>'Vật liệu'!$W$353</f>
        <v>10</v>
      </c>
      <c r="I1902" s="37">
        <v>1</v>
      </c>
      <c r="J1902" s="166">
        <f>ROUND(G1902*H1902*I1902,0)</f>
        <v>1878</v>
      </c>
    </row>
    <row r="1903" spans="1:10" x14ac:dyDescent="0.25">
      <c r="A1903" s="168"/>
      <c r="B1903" s="144"/>
      <c r="C1903" s="34">
        <v>305</v>
      </c>
      <c r="D1903" s="144" t="str">
        <f>'Vật liệu'!$B$766</f>
        <v>V00750</v>
      </c>
      <c r="E1903" s="144" t="str">
        <f>" - " &amp; 'Vật liệu'!$D$766</f>
        <v xml:space="preserve"> - Vật liệu khác</v>
      </c>
      <c r="F1903" s="168" t="str">
        <f>'Vật liệu'!$E$766</f>
        <v>%</v>
      </c>
      <c r="G1903" s="34">
        <f>'Hao phí vật tư'!$G$1904</f>
        <v>0.5</v>
      </c>
      <c r="H1903" s="166">
        <f>'Vật liệu'!$W$766</f>
        <v>0</v>
      </c>
      <c r="I1903" s="37">
        <v>1</v>
      </c>
      <c r="J1903" s="166">
        <f>ROUND((J1899+J1900+J1901+J1902)*G1903*I1903/100,0)</f>
        <v>4850</v>
      </c>
    </row>
    <row r="1904" spans="1:10" x14ac:dyDescent="0.25">
      <c r="A1904" s="56"/>
      <c r="B1904" s="23"/>
      <c r="C1904" s="88"/>
      <c r="D1904" s="23"/>
      <c r="E1904" s="23" t="s">
        <v>202</v>
      </c>
      <c r="F1904" s="56"/>
      <c r="G1904" s="88"/>
      <c r="H1904" s="48"/>
      <c r="I1904" s="90"/>
      <c r="J1904" s="48">
        <f>ROUND(SUM(J1905:J1905),0)</f>
        <v>501744</v>
      </c>
    </row>
    <row r="1905" spans="1:10" x14ac:dyDescent="0.25">
      <c r="A1905" s="168"/>
      <c r="B1905" s="144"/>
      <c r="C1905" s="34">
        <v>545</v>
      </c>
      <c r="D1905" s="144" t="str">
        <f>'Nhân công'!$B$6</f>
        <v>N0006</v>
      </c>
      <c r="E1905" s="144" t="s">
        <v>256</v>
      </c>
      <c r="F1905" s="168" t="str">
        <f>'Nhân công'!$G$6</f>
        <v>công</v>
      </c>
      <c r="G1905" s="34">
        <f>'Hao phí vật tư'!$H$1906</f>
        <v>2.57</v>
      </c>
      <c r="H1905" s="68">
        <f>'Nhân công'!$M$6</f>
        <v>195231</v>
      </c>
      <c r="I1905" s="37">
        <v>1</v>
      </c>
      <c r="J1905" s="166">
        <f>ROUND(G1905*H1905*I1905,0)</f>
        <v>501744</v>
      </c>
    </row>
    <row r="1906" spans="1:10" x14ac:dyDescent="0.25">
      <c r="A1906" s="56"/>
      <c r="B1906" s="23"/>
      <c r="C1906" s="88"/>
      <c r="D1906" s="23"/>
      <c r="E1906" s="23" t="s">
        <v>378</v>
      </c>
      <c r="F1906" s="56"/>
      <c r="G1906" s="88"/>
      <c r="H1906" s="48"/>
      <c r="I1906" s="90"/>
      <c r="J1906" s="48">
        <f>ROUND(SUM(J1907:J1907),0)</f>
        <v>27402</v>
      </c>
    </row>
    <row r="1907" spans="1:10" x14ac:dyDescent="0.25">
      <c r="A1907" s="168"/>
      <c r="B1907" s="144"/>
      <c r="C1907" s="34">
        <v>744</v>
      </c>
      <c r="D1907" s="144" t="str">
        <f>'Máy thi công'!$B$306</f>
        <v>M9555</v>
      </c>
      <c r="E1907" s="144" t="str">
        <f>" - " &amp; 'Máy thi công'!$D$306</f>
        <v xml:space="preserve"> - Máy trộn bê tông - dung tích: 250 lít</v>
      </c>
      <c r="F1907" s="168" t="str">
        <f>'Máy thi công'!$E$306</f>
        <v>ca</v>
      </c>
      <c r="G1907" s="34">
        <f>'Hao phí vật tư'!$I$1908</f>
        <v>9.5000000000000001E-2</v>
      </c>
      <c r="H1907" s="68">
        <f>'Máy thi công'!$N$306</f>
        <v>288447</v>
      </c>
      <c r="I1907" s="37">
        <v>1</v>
      </c>
      <c r="J1907" s="166">
        <f>ROUND(G1907*H1907*I1907,0)</f>
        <v>27402</v>
      </c>
    </row>
    <row r="1908" spans="1:10" ht="28.5" x14ac:dyDescent="0.25">
      <c r="A1908" s="65">
        <f>'Công trình'!$A$251</f>
        <v>201</v>
      </c>
      <c r="B1908" s="14" t="str">
        <f>'Công trình'!$B$251</f>
        <v>AG.32511</v>
      </c>
      <c r="C1908" s="94"/>
      <c r="D1908" s="31"/>
      <c r="E1908" s="14" t="str">
        <f>'Công trình'!$C$251</f>
        <v>Sản xuất, lắp dựng, tháo dỡ ván khuôn thép bê tông đúc sẵn nắp đan, tấm chớp</v>
      </c>
      <c r="F1908" s="46" t="str">
        <f>'Công trình'!$D$251</f>
        <v>100m2</v>
      </c>
      <c r="G1908" s="94"/>
      <c r="H1908" s="54"/>
      <c r="I1908" s="98"/>
      <c r="J1908" s="54"/>
    </row>
    <row r="1909" spans="1:10" x14ac:dyDescent="0.25">
      <c r="A1909" s="56"/>
      <c r="B1909" s="23"/>
      <c r="C1909" s="88"/>
      <c r="D1909" s="23"/>
      <c r="E1909" s="23" t="s">
        <v>479</v>
      </c>
      <c r="F1909" s="56"/>
      <c r="G1909" s="88"/>
      <c r="H1909" s="48"/>
      <c r="I1909" s="90"/>
      <c r="J1909" s="48">
        <f>ROUND(SUM(J1910:J1913),0)</f>
        <v>547752</v>
      </c>
    </row>
    <row r="1910" spans="1:10" x14ac:dyDescent="0.25">
      <c r="A1910" s="168"/>
      <c r="B1910" s="144"/>
      <c r="C1910" s="34">
        <v>154</v>
      </c>
      <c r="D1910" s="144" t="str">
        <f>'Vật liệu'!$B$450</f>
        <v>V00515</v>
      </c>
      <c r="E1910" s="144" t="str">
        <f>" - " &amp; 'Vật liệu'!$D$450</f>
        <v xml:space="preserve"> - Que hàn</v>
      </c>
      <c r="F1910" s="168" t="str">
        <f>'Vật liệu'!$E$450</f>
        <v>kg</v>
      </c>
      <c r="G1910" s="34">
        <f>'Hao phí vật tư'!$G$1911</f>
        <v>1.2</v>
      </c>
      <c r="H1910" s="68">
        <f>'Vật liệu'!$W$450</f>
        <v>19091</v>
      </c>
      <c r="I1910" s="37">
        <v>1</v>
      </c>
      <c r="J1910" s="166">
        <f>ROUND(G1910*H1910*I1910,0)</f>
        <v>22909</v>
      </c>
    </row>
    <row r="1911" spans="1:10" x14ac:dyDescent="0.25">
      <c r="A1911" s="168"/>
      <c r="B1911" s="144"/>
      <c r="C1911" s="34">
        <v>166</v>
      </c>
      <c r="D1911" s="144" t="str">
        <f>'Vật liệu'!$B$606</f>
        <v>V00671</v>
      </c>
      <c r="E1911" s="144" t="str">
        <f>" - " &amp; 'Vật liệu'!$D$606</f>
        <v xml:space="preserve"> - Thép tấm</v>
      </c>
      <c r="F1911" s="168" t="str">
        <f>'Vật liệu'!$E$606</f>
        <v>kg</v>
      </c>
      <c r="G1911" s="34">
        <f>'Hao phí vật tư'!$G$1912</f>
        <v>23.03</v>
      </c>
      <c r="H1911" s="68">
        <f>'Vật liệu'!$W$606</f>
        <v>12574</v>
      </c>
      <c r="I1911" s="37">
        <v>1</v>
      </c>
      <c r="J1911" s="166">
        <f>ROUND(G1911*H1911*I1911,0)</f>
        <v>289579</v>
      </c>
    </row>
    <row r="1912" spans="1:10" x14ac:dyDescent="0.25">
      <c r="A1912" s="168"/>
      <c r="B1912" s="144"/>
      <c r="C1912" s="34">
        <v>160</v>
      </c>
      <c r="D1912" s="144" t="str">
        <f>'Vật liệu'!$B$556</f>
        <v>V00641</v>
      </c>
      <c r="E1912" s="144" t="str">
        <f>" - " &amp; 'Vật liệu'!$D$556</f>
        <v xml:space="preserve"> - Thép hình</v>
      </c>
      <c r="F1912" s="168" t="str">
        <f>'Vật liệu'!$E$556</f>
        <v>kg</v>
      </c>
      <c r="G1912" s="34">
        <f>'Hao phí vật tư'!$G$1913</f>
        <v>13.68</v>
      </c>
      <c r="H1912" s="68">
        <f>'Vật liệu'!$W$556</f>
        <v>15291</v>
      </c>
      <c r="I1912" s="37">
        <v>1</v>
      </c>
      <c r="J1912" s="166">
        <f>ROUND(G1912*H1912*I1912,0)</f>
        <v>209181</v>
      </c>
    </row>
    <row r="1913" spans="1:10" x14ac:dyDescent="0.25">
      <c r="A1913" s="168"/>
      <c r="B1913" s="144"/>
      <c r="C1913" s="34">
        <v>388</v>
      </c>
      <c r="D1913" s="144" t="str">
        <f>'Vật liệu'!$B$766</f>
        <v>V00750</v>
      </c>
      <c r="E1913" s="144" t="str">
        <f>" - " &amp; 'Vật liệu'!$D$766</f>
        <v xml:space="preserve"> - Vật liệu khác</v>
      </c>
      <c r="F1913" s="168" t="str">
        <f>'Vật liệu'!$E$766</f>
        <v>%</v>
      </c>
      <c r="G1913" s="34">
        <f>'Hao phí vật tư'!$G$1914</f>
        <v>5</v>
      </c>
      <c r="H1913" s="166">
        <f>'Vật liệu'!$W$766</f>
        <v>0</v>
      </c>
      <c r="I1913" s="37">
        <v>1</v>
      </c>
      <c r="J1913" s="166">
        <f>ROUND((J1910+J1911+J1912)*G1913*I1913/100,0)</f>
        <v>26083</v>
      </c>
    </row>
    <row r="1914" spans="1:10" x14ac:dyDescent="0.25">
      <c r="A1914" s="56"/>
      <c r="B1914" s="23"/>
      <c r="C1914" s="88"/>
      <c r="D1914" s="23"/>
      <c r="E1914" s="23" t="s">
        <v>202</v>
      </c>
      <c r="F1914" s="56"/>
      <c r="G1914" s="88"/>
      <c r="H1914" s="48"/>
      <c r="I1914" s="90"/>
      <c r="J1914" s="48">
        <f>ROUND(SUM(J1915:J1915),0)</f>
        <v>4908459</v>
      </c>
    </row>
    <row r="1915" spans="1:10" x14ac:dyDescent="0.25">
      <c r="A1915" s="168"/>
      <c r="B1915" s="144"/>
      <c r="C1915" s="34">
        <v>546</v>
      </c>
      <c r="D1915" s="144" t="str">
        <f>'Nhân công'!$B$45</f>
        <v>N0009</v>
      </c>
      <c r="E1915" s="144" t="s">
        <v>1052</v>
      </c>
      <c r="F1915" s="168" t="str">
        <f>'Nhân công'!$G$45</f>
        <v>công</v>
      </c>
      <c r="G1915" s="34">
        <f>'Hao phí vật tư'!$H$1916</f>
        <v>23.06</v>
      </c>
      <c r="H1915" s="68">
        <f>'Nhân công'!$M$45</f>
        <v>212856</v>
      </c>
      <c r="I1915" s="37">
        <v>1</v>
      </c>
      <c r="J1915" s="166">
        <f>ROUND(G1915*H1915*I1915,0)</f>
        <v>4908459</v>
      </c>
    </row>
    <row r="1916" spans="1:10" x14ac:dyDescent="0.25">
      <c r="A1916" s="56"/>
      <c r="B1916" s="23"/>
      <c r="C1916" s="88"/>
      <c r="D1916" s="23"/>
      <c r="E1916" s="23" t="s">
        <v>378</v>
      </c>
      <c r="F1916" s="56"/>
      <c r="G1916" s="88"/>
      <c r="H1916" s="48"/>
      <c r="I1916" s="90"/>
      <c r="J1916" s="48">
        <f>ROUND(SUM(J1917:J1918),0)</f>
        <v>159884</v>
      </c>
    </row>
    <row r="1917" spans="1:10" x14ac:dyDescent="0.25">
      <c r="A1917" s="168"/>
      <c r="B1917" s="144"/>
      <c r="C1917" s="34">
        <v>714</v>
      </c>
      <c r="D1917" s="144" t="str">
        <f>'Máy thi công'!$B$6</f>
        <v>M9438</v>
      </c>
      <c r="E1917" s="144" t="str">
        <f>" - " &amp; 'Máy thi công'!$D$6</f>
        <v xml:space="preserve"> - Biến thế hàn xoay chiều - công suất: 23 kW</v>
      </c>
      <c r="F1917" s="168" t="str">
        <f>'Máy thi công'!$E$6</f>
        <v>ca</v>
      </c>
      <c r="G1917" s="34">
        <f>'Hao phí vật tư'!$I$1918</f>
        <v>0.43</v>
      </c>
      <c r="H1917" s="68">
        <f>'Máy thi công'!$N$6</f>
        <v>338020</v>
      </c>
      <c r="I1917" s="37">
        <v>1</v>
      </c>
      <c r="J1917" s="166">
        <f>ROUND(G1917*H1917*I1917,0)</f>
        <v>145349</v>
      </c>
    </row>
    <row r="1918" spans="1:10" x14ac:dyDescent="0.25">
      <c r="A1918" s="168"/>
      <c r="B1918" s="144"/>
      <c r="C1918" s="34">
        <v>689</v>
      </c>
      <c r="D1918" s="144" t="str">
        <f>'Máy thi công'!$B$398</f>
        <v>M0111</v>
      </c>
      <c r="E1918" s="144" t="str">
        <f>" - " &amp; 'Máy thi công'!$D$398</f>
        <v xml:space="preserve"> - Máy khác</v>
      </c>
      <c r="F1918" s="168" t="str">
        <f>'Máy thi công'!$E$398</f>
        <v>%</v>
      </c>
      <c r="G1918" s="34">
        <f>'Hao phí vật tư'!$I$1919</f>
        <v>10</v>
      </c>
      <c r="H1918" s="166">
        <f>'Máy thi công'!$N$398</f>
        <v>0</v>
      </c>
      <c r="I1918" s="37">
        <v>1</v>
      </c>
      <c r="J1918" s="166">
        <f>ROUND((J1917)*G1918*I1918/100,0)</f>
        <v>14535</v>
      </c>
    </row>
    <row r="1919" spans="1:10" ht="28.5" x14ac:dyDescent="0.25">
      <c r="A1919" s="65">
        <f>'Công trình'!$A$252</f>
        <v>202</v>
      </c>
      <c r="B1919" s="14" t="str">
        <f>'Công trình'!$B$252</f>
        <v>AG.42111</v>
      </c>
      <c r="C1919" s="94"/>
      <c r="D1919" s="31"/>
      <c r="E1919" s="14" t="str">
        <f>'Công trình'!$C$252</f>
        <v>Lắp các loại cấu kiện BT đúc sẵn bằng thủ công trọng lượng &lt;=50kg, vữa XM mác 100</v>
      </c>
      <c r="F1919" s="46" t="str">
        <f>'Công trình'!$D$252</f>
        <v>cái</v>
      </c>
      <c r="G1919" s="94"/>
      <c r="H1919" s="54"/>
      <c r="I1919" s="98"/>
      <c r="J1919" s="54"/>
    </row>
    <row r="1920" spans="1:10" x14ac:dyDescent="0.25">
      <c r="A1920" s="56"/>
      <c r="B1920" s="23"/>
      <c r="C1920" s="88"/>
      <c r="D1920" s="23"/>
      <c r="E1920" s="23" t="s">
        <v>479</v>
      </c>
      <c r="F1920" s="56"/>
      <c r="G1920" s="88"/>
      <c r="H1920" s="48"/>
      <c r="I1920" s="90"/>
      <c r="J1920" s="48">
        <f>ROUND(SUM(J1921:J1924),0)</f>
        <v>3016</v>
      </c>
    </row>
    <row r="1921" spans="1:10" x14ac:dyDescent="0.25">
      <c r="A1921" s="168"/>
      <c r="B1921" s="144"/>
      <c r="C1921" s="34">
        <v>397</v>
      </c>
      <c r="D1921" s="144" t="str">
        <f>'Vật liệu'!$B$721</f>
        <v>V00761</v>
      </c>
      <c r="E1921" s="144" t="str">
        <f>" - " &amp; 'Vật liệu'!$D$721</f>
        <v xml:space="preserve"> - Xi măng PC40</v>
      </c>
      <c r="F1921" s="168" t="str">
        <f>'Vật liệu'!$E$721</f>
        <v>kg</v>
      </c>
      <c r="G1921" s="34">
        <f>'Hao phí vật tư'!$G$1922</f>
        <v>0.8911</v>
      </c>
      <c r="H1921" s="68">
        <f>'Vật liệu'!$W$721</f>
        <v>1513</v>
      </c>
      <c r="I1921" s="37">
        <v>1</v>
      </c>
      <c r="J1921" s="166">
        <f>ROUND(G1921*H1921*I1921,0)</f>
        <v>1348</v>
      </c>
    </row>
    <row r="1922" spans="1:10" x14ac:dyDescent="0.25">
      <c r="A1922" s="168"/>
      <c r="B1922" s="144"/>
      <c r="C1922" s="34">
        <v>125</v>
      </c>
      <c r="D1922" s="144" t="str">
        <f>'Vật liệu'!$B$54</f>
        <v>V00112</v>
      </c>
      <c r="E1922" s="144" t="str">
        <f>" - " &amp; 'Vật liệu'!$D$54</f>
        <v xml:space="preserve"> - Cát vàng</v>
      </c>
      <c r="F1922" s="168" t="str">
        <f>'Vật liệu'!$E$54</f>
        <v>m3</v>
      </c>
      <c r="G1922" s="34">
        <f>'Hao phí vật tư'!$G$1923</f>
        <v>3.3E-3</v>
      </c>
      <c r="H1922" s="68">
        <f>'Vật liệu'!$W$54</f>
        <v>420000</v>
      </c>
      <c r="I1922" s="37">
        <v>1</v>
      </c>
      <c r="J1922" s="166">
        <f>ROUND(G1922*H1922*I1922,0)</f>
        <v>1386</v>
      </c>
    </row>
    <row r="1923" spans="1:10" x14ac:dyDescent="0.25">
      <c r="A1923" s="168"/>
      <c r="B1923" s="144"/>
      <c r="C1923" s="34">
        <v>148</v>
      </c>
      <c r="D1923" s="144" t="str">
        <f>'Vật liệu'!$B$353</f>
        <v>V00494</v>
      </c>
      <c r="E1923" s="144" t="str">
        <f>" - " &amp; 'Vật liệu'!$D$353</f>
        <v xml:space="preserve"> - Nước</v>
      </c>
      <c r="F1923" s="168" t="str">
        <f>'Vật liệu'!$E$353</f>
        <v>lít</v>
      </c>
      <c r="G1923" s="34">
        <f>'Hao phí vật tư'!$G$1924</f>
        <v>0.78</v>
      </c>
      <c r="H1923" s="68">
        <f>'Vật liệu'!$W$353</f>
        <v>10</v>
      </c>
      <c r="I1923" s="37">
        <v>1</v>
      </c>
      <c r="J1923" s="166">
        <f>ROUND(G1923*H1923*I1923,0)</f>
        <v>8</v>
      </c>
    </row>
    <row r="1924" spans="1:10" x14ac:dyDescent="0.25">
      <c r="A1924" s="168"/>
      <c r="B1924" s="144"/>
      <c r="C1924" s="34">
        <v>348</v>
      </c>
      <c r="D1924" s="144" t="str">
        <f>'Vật liệu'!$B$766</f>
        <v>V00750</v>
      </c>
      <c r="E1924" s="144" t="str">
        <f>" - " &amp; 'Vật liệu'!$D$766</f>
        <v xml:space="preserve"> - Vật liệu khác</v>
      </c>
      <c r="F1924" s="168" t="str">
        <f>'Vật liệu'!$E$766</f>
        <v>%</v>
      </c>
      <c r="G1924" s="34">
        <f>'Hao phí vật tư'!$G$1925</f>
        <v>10</v>
      </c>
      <c r="H1924" s="166">
        <f>'Vật liệu'!$W$766</f>
        <v>0</v>
      </c>
      <c r="I1924" s="37">
        <v>1</v>
      </c>
      <c r="J1924" s="166">
        <f>ROUND((J1921+J1922+J1923)*G1924*I1924/100,0)</f>
        <v>274</v>
      </c>
    </row>
    <row r="1925" spans="1:10" x14ac:dyDescent="0.25">
      <c r="A1925" s="56"/>
      <c r="B1925" s="23"/>
      <c r="C1925" s="88"/>
      <c r="D1925" s="23"/>
      <c r="E1925" s="23" t="s">
        <v>202</v>
      </c>
      <c r="F1925" s="56"/>
      <c r="G1925" s="88"/>
      <c r="H1925" s="48"/>
      <c r="I1925" s="90"/>
      <c r="J1925" s="48">
        <f>ROUND(SUM(J1926:J1926),0)</f>
        <v>38775</v>
      </c>
    </row>
    <row r="1926" spans="1:10" x14ac:dyDescent="0.25">
      <c r="A1926" s="168"/>
      <c r="B1926" s="144"/>
      <c r="C1926" s="34">
        <v>555</v>
      </c>
      <c r="D1926" s="144" t="str">
        <f>'Nhân công'!$B$185</f>
        <v>N0020</v>
      </c>
      <c r="E1926" s="144" t="s">
        <v>625</v>
      </c>
      <c r="F1926" s="168" t="str">
        <f>'Nhân công'!$G$185</f>
        <v>công</v>
      </c>
      <c r="G1926" s="34">
        <f>'Hao phí vật tư'!$H$1927</f>
        <v>0.15</v>
      </c>
      <c r="H1926" s="68">
        <f>'Nhân công'!$M$185</f>
        <v>258500</v>
      </c>
      <c r="I1926" s="37">
        <v>1</v>
      </c>
      <c r="J1926" s="166">
        <f>ROUND(G1926*H1926*I1926,0)</f>
        <v>38775</v>
      </c>
    </row>
    <row r="1927" spans="1:10" x14ac:dyDescent="0.25">
      <c r="A1927" s="65">
        <f>'Công trình'!$A$253</f>
        <v>203</v>
      </c>
      <c r="B1927" s="14" t="str">
        <f>'Công trình'!$B$253</f>
        <v>AL.16122</v>
      </c>
      <c r="C1927" s="94"/>
      <c r="D1927" s="31"/>
      <c r="E1927" s="14" t="str">
        <f>'Công trình'!$C$253</f>
        <v>Rải vải địa kỹ thuật làm móng công trình</v>
      </c>
      <c r="F1927" s="46" t="str">
        <f>'Công trình'!$D$253</f>
        <v>100m2</v>
      </c>
      <c r="G1927" s="94"/>
      <c r="H1927" s="54"/>
      <c r="I1927" s="98"/>
      <c r="J1927" s="54"/>
    </row>
    <row r="1928" spans="1:10" x14ac:dyDescent="0.25">
      <c r="A1928" s="56"/>
      <c r="B1928" s="23"/>
      <c r="C1928" s="88"/>
      <c r="D1928" s="23"/>
      <c r="E1928" s="23" t="s">
        <v>479</v>
      </c>
      <c r="F1928" s="56"/>
      <c r="G1928" s="88"/>
      <c r="H1928" s="48"/>
      <c r="I1928" s="90"/>
      <c r="J1928" s="48">
        <f>ROUND(SUM(J1929:J1930),0)</f>
        <v>2592044</v>
      </c>
    </row>
    <row r="1929" spans="1:10" x14ac:dyDescent="0.25">
      <c r="A1929" s="168"/>
      <c r="B1929" s="144"/>
      <c r="C1929" s="34">
        <v>174</v>
      </c>
      <c r="D1929" s="144" t="str">
        <f>'Vật liệu'!$B$709</f>
        <v>V00749</v>
      </c>
      <c r="E1929" s="144" t="str">
        <f>" - " &amp; 'Vật liệu'!$D$709</f>
        <v xml:space="preserve"> - Vải địa kỹ thuật</v>
      </c>
      <c r="F1929" s="168" t="str">
        <f>'Vật liệu'!$E$709</f>
        <v>m2</v>
      </c>
      <c r="G1929" s="34">
        <f>'Hao phí vật tư'!$G$1930</f>
        <v>110</v>
      </c>
      <c r="H1929" s="68">
        <f>'Vật liệu'!$W$709</f>
        <v>23517</v>
      </c>
      <c r="I1929" s="37">
        <v>1</v>
      </c>
      <c r="J1929" s="166">
        <f>ROUND(G1929*H1929*I1929,0)</f>
        <v>2586870</v>
      </c>
    </row>
    <row r="1930" spans="1:10" x14ac:dyDescent="0.25">
      <c r="A1930" s="168"/>
      <c r="B1930" s="144"/>
      <c r="C1930" s="34">
        <v>307</v>
      </c>
      <c r="D1930" s="144" t="str">
        <f>'Vật liệu'!$B$766</f>
        <v>V00750</v>
      </c>
      <c r="E1930" s="144" t="str">
        <f>" - " &amp; 'Vật liệu'!$D$766</f>
        <v xml:space="preserve"> - Vật liệu khác</v>
      </c>
      <c r="F1930" s="168" t="str">
        <f>'Vật liệu'!$E$766</f>
        <v>%</v>
      </c>
      <c r="G1930" s="34">
        <f>'Hao phí vật tư'!$G$1931</f>
        <v>0.2</v>
      </c>
      <c r="H1930" s="166">
        <f>'Vật liệu'!$W$766</f>
        <v>0</v>
      </c>
      <c r="I1930" s="37">
        <v>1</v>
      </c>
      <c r="J1930" s="166">
        <f>ROUND((J1929)*G1930*I1930/100,0)</f>
        <v>5174</v>
      </c>
    </row>
    <row r="1931" spans="1:10" x14ac:dyDescent="0.25">
      <c r="A1931" s="56"/>
      <c r="B1931" s="23"/>
      <c r="C1931" s="88"/>
      <c r="D1931" s="23"/>
      <c r="E1931" s="23" t="s">
        <v>202</v>
      </c>
      <c r="F1931" s="56"/>
      <c r="G1931" s="88"/>
      <c r="H1931" s="48"/>
      <c r="I1931" s="90"/>
      <c r="J1931" s="48">
        <f>ROUND(SUM(J1932:J1932),0)</f>
        <v>258681</v>
      </c>
    </row>
    <row r="1932" spans="1:10" x14ac:dyDescent="0.25">
      <c r="A1932" s="168"/>
      <c r="B1932" s="144"/>
      <c r="C1932" s="34">
        <v>554</v>
      </c>
      <c r="D1932" s="144" t="str">
        <f>'Nhân công'!$B$103</f>
        <v>N0015</v>
      </c>
      <c r="E1932" s="144" t="s">
        <v>1014</v>
      </c>
      <c r="F1932" s="168" t="str">
        <f>'Nhân công'!$G$103</f>
        <v>công</v>
      </c>
      <c r="G1932" s="34">
        <f>'Hao phí vật tư'!$H$1933</f>
        <v>1.08</v>
      </c>
      <c r="H1932" s="68">
        <f>'Nhân công'!$M$103</f>
        <v>239519</v>
      </c>
      <c r="I1932" s="37">
        <v>1</v>
      </c>
      <c r="J1932" s="166">
        <f>ROUND(G1932*H1932*I1932,0)</f>
        <v>258681</v>
      </c>
    </row>
    <row r="1933" spans="1:10" ht="28.5" x14ac:dyDescent="0.25">
      <c r="A1933" s="65">
        <f>'Công trình'!$A$255</f>
        <v>204</v>
      </c>
      <c r="B1933" s="14" t="str">
        <f>'Công trình'!$B$255</f>
        <v>AF.14325</v>
      </c>
      <c r="C1933" s="94"/>
      <c r="D1933" s="31"/>
      <c r="E1933" s="14" t="str">
        <f>'Công trình'!$C$255</f>
        <v>Bê tông lan can, gờ chắn đá 1x2, vữa BT mác 300</v>
      </c>
      <c r="F1933" s="46" t="str">
        <f>'Công trình'!$D$255</f>
        <v>m3</v>
      </c>
      <c r="G1933" s="94"/>
      <c r="H1933" s="54"/>
      <c r="I1933" s="98"/>
      <c r="J1933" s="54"/>
    </row>
    <row r="1934" spans="1:10" x14ac:dyDescent="0.25">
      <c r="A1934" s="56"/>
      <c r="B1934" s="23"/>
      <c r="C1934" s="88"/>
      <c r="D1934" s="23"/>
      <c r="E1934" s="23" t="s">
        <v>479</v>
      </c>
      <c r="F1934" s="56"/>
      <c r="G1934" s="88"/>
      <c r="H1934" s="48"/>
      <c r="I1934" s="90"/>
      <c r="J1934" s="48">
        <f>ROUND(SUM(J1935:J1939),0)</f>
        <v>1145241</v>
      </c>
    </row>
    <row r="1935" spans="1:10" x14ac:dyDescent="0.25">
      <c r="A1935" s="168"/>
      <c r="B1935" s="144"/>
      <c r="C1935" s="34">
        <v>397</v>
      </c>
      <c r="D1935" s="144" t="str">
        <f>'Vật liệu'!$B$721</f>
        <v>V00761</v>
      </c>
      <c r="E1935" s="144" t="str">
        <f>" - " &amp; 'Vật liệu'!$D$721</f>
        <v xml:space="preserve"> - Xi măng PC40</v>
      </c>
      <c r="F1935" s="168" t="str">
        <f>'Vật liệu'!$E$721</f>
        <v>kg</v>
      </c>
      <c r="G1935" s="34">
        <f>'Hao phí vật tư'!$G$1936</f>
        <v>383.35</v>
      </c>
      <c r="H1935" s="68">
        <f>'Vật liệu'!$W$721</f>
        <v>1513</v>
      </c>
      <c r="I1935" s="37">
        <v>1</v>
      </c>
      <c r="J1935" s="166">
        <f>ROUND(G1935*H1935*I1935,0)</f>
        <v>580009</v>
      </c>
    </row>
    <row r="1936" spans="1:10" x14ac:dyDescent="0.25">
      <c r="A1936" s="168"/>
      <c r="B1936" s="144"/>
      <c r="C1936" s="34">
        <v>125</v>
      </c>
      <c r="D1936" s="144" t="str">
        <f>'Vật liệu'!$B$54</f>
        <v>V00112</v>
      </c>
      <c r="E1936" s="144" t="str">
        <f>" - " &amp; 'Vật liệu'!$D$54</f>
        <v xml:space="preserve"> - Cát vàng</v>
      </c>
      <c r="F1936" s="168" t="str">
        <f>'Vật liệu'!$E$54</f>
        <v>m3</v>
      </c>
      <c r="G1936" s="34">
        <f>'Hao phí vật tư'!$G$1937</f>
        <v>0.46839999999999998</v>
      </c>
      <c r="H1936" s="68">
        <f>'Vật liệu'!$W$54</f>
        <v>420000</v>
      </c>
      <c r="I1936" s="37">
        <v>1</v>
      </c>
      <c r="J1936" s="166">
        <f>ROUND(G1936*H1936*I1936,0)</f>
        <v>196728</v>
      </c>
    </row>
    <row r="1937" spans="1:10" x14ac:dyDescent="0.25">
      <c r="A1937" s="168"/>
      <c r="B1937" s="144"/>
      <c r="C1937" s="34">
        <v>416</v>
      </c>
      <c r="D1937" s="144" t="str">
        <f>'Vật liệu'!$B$142</f>
        <v>V05207</v>
      </c>
      <c r="E1937" s="144" t="str">
        <f>" - " &amp; 'Vật liệu'!$D$142</f>
        <v xml:space="preserve"> - Đá 1x2</v>
      </c>
      <c r="F1937" s="168" t="str">
        <f>'Vật liệu'!$E$142</f>
        <v>m3</v>
      </c>
      <c r="G1937" s="34">
        <f>'Hao phí vật tư'!$G$1938</f>
        <v>0.89380000000000004</v>
      </c>
      <c r="H1937" s="68">
        <f>'Vật liệu'!$W$142</f>
        <v>360886</v>
      </c>
      <c r="I1937" s="37">
        <v>1</v>
      </c>
      <c r="J1937" s="166">
        <f>ROUND(G1937*H1937*I1937,0)</f>
        <v>322560</v>
      </c>
    </row>
    <row r="1938" spans="1:10" x14ac:dyDescent="0.25">
      <c r="A1938" s="168"/>
      <c r="B1938" s="144"/>
      <c r="C1938" s="34">
        <v>148</v>
      </c>
      <c r="D1938" s="144" t="str">
        <f>'Vật liệu'!$B$353</f>
        <v>V00494</v>
      </c>
      <c r="E1938" s="144" t="str">
        <f>" - " &amp; 'Vật liệu'!$D$353</f>
        <v xml:space="preserve"> - Nước</v>
      </c>
      <c r="F1938" s="168" t="str">
        <f>'Vật liệu'!$E$353</f>
        <v>lít</v>
      </c>
      <c r="G1938" s="34">
        <f>'Hao phí vật tư'!$G$1939</f>
        <v>189.625</v>
      </c>
      <c r="H1938" s="68">
        <f>'Vật liệu'!$W$353</f>
        <v>10</v>
      </c>
      <c r="I1938" s="37">
        <v>1</v>
      </c>
      <c r="J1938" s="166">
        <f>ROUND(G1938*H1938*I1938,0)</f>
        <v>1896</v>
      </c>
    </row>
    <row r="1939" spans="1:10" x14ac:dyDescent="0.25">
      <c r="A1939" s="168"/>
      <c r="B1939" s="144"/>
      <c r="C1939" s="34">
        <v>321</v>
      </c>
      <c r="D1939" s="144" t="str">
        <f>'Vật liệu'!$B$766</f>
        <v>V00750</v>
      </c>
      <c r="E1939" s="144" t="str">
        <f>" - " &amp; 'Vật liệu'!$D$766</f>
        <v xml:space="preserve"> - Vật liệu khác</v>
      </c>
      <c r="F1939" s="168" t="str">
        <f>'Vật liệu'!$E$766</f>
        <v>%</v>
      </c>
      <c r="G1939" s="34">
        <f>'Hao phí vật tư'!$G$1940</f>
        <v>4</v>
      </c>
      <c r="H1939" s="166">
        <f>'Vật liệu'!$W$766</f>
        <v>0</v>
      </c>
      <c r="I1939" s="37">
        <v>1</v>
      </c>
      <c r="J1939" s="166">
        <f>ROUND((J1935+J1936+J1937+J1938)*G1939*I1939/100,0)</f>
        <v>44048</v>
      </c>
    </row>
    <row r="1940" spans="1:10" x14ac:dyDescent="0.25">
      <c r="A1940" s="56"/>
      <c r="B1940" s="23"/>
      <c r="C1940" s="88"/>
      <c r="D1940" s="23"/>
      <c r="E1940" s="23" t="s">
        <v>202</v>
      </c>
      <c r="F1940" s="56"/>
      <c r="G1940" s="88"/>
      <c r="H1940" s="48"/>
      <c r="I1940" s="90"/>
      <c r="J1940" s="48">
        <f>ROUND(SUM(J1941:J1941),0)</f>
        <v>957852</v>
      </c>
    </row>
    <row r="1941" spans="1:10" x14ac:dyDescent="0.25">
      <c r="A1941" s="168"/>
      <c r="B1941" s="144"/>
      <c r="C1941" s="34">
        <v>546</v>
      </c>
      <c r="D1941" s="144" t="str">
        <f>'Nhân công'!$B$45</f>
        <v>N0009</v>
      </c>
      <c r="E1941" s="144" t="s">
        <v>1052</v>
      </c>
      <c r="F1941" s="168" t="str">
        <f>'Nhân công'!$G$45</f>
        <v>công</v>
      </c>
      <c r="G1941" s="34">
        <f>'Hao phí vật tư'!$H$1942</f>
        <v>4.5</v>
      </c>
      <c r="H1941" s="68">
        <f>'Nhân công'!$M$45</f>
        <v>212856</v>
      </c>
      <c r="I1941" s="37">
        <v>1</v>
      </c>
      <c r="J1941" s="166">
        <f>ROUND(G1941*H1941*I1941,0)</f>
        <v>957852</v>
      </c>
    </row>
    <row r="1942" spans="1:10" x14ac:dyDescent="0.25">
      <c r="A1942" s="56"/>
      <c r="B1942" s="23"/>
      <c r="C1942" s="88"/>
      <c r="D1942" s="23"/>
      <c r="E1942" s="23" t="s">
        <v>378</v>
      </c>
      <c r="F1942" s="56"/>
      <c r="G1942" s="88"/>
      <c r="H1942" s="48"/>
      <c r="I1942" s="90"/>
      <c r="J1942" s="48">
        <f>ROUND(SUM(J1943:J1944),0)</f>
        <v>33315</v>
      </c>
    </row>
    <row r="1943" spans="1:10" x14ac:dyDescent="0.25">
      <c r="A1943" s="168"/>
      <c r="B1943" s="144"/>
      <c r="C1943" s="34">
        <v>744</v>
      </c>
      <c r="D1943" s="144" t="str">
        <f>'Máy thi công'!$B$306</f>
        <v>M9555</v>
      </c>
      <c r="E1943" s="144" t="str">
        <f>" - " &amp; 'Máy thi công'!$D$306</f>
        <v xml:space="preserve"> - Máy trộn bê tông - dung tích: 250 lít</v>
      </c>
      <c r="F1943" s="168" t="str">
        <f>'Máy thi công'!$E$306</f>
        <v>ca</v>
      </c>
      <c r="G1943" s="34">
        <f>'Hao phí vật tư'!$I$1944</f>
        <v>0.11</v>
      </c>
      <c r="H1943" s="68">
        <f>'Máy thi công'!$N$306</f>
        <v>288447</v>
      </c>
      <c r="I1943" s="37">
        <v>1</v>
      </c>
      <c r="J1943" s="166">
        <f>ROUND(G1943*H1943*I1943,0)</f>
        <v>31729</v>
      </c>
    </row>
    <row r="1944" spans="1:10" x14ac:dyDescent="0.25">
      <c r="A1944" s="168"/>
      <c r="B1944" s="144"/>
      <c r="C1944" s="34">
        <v>657</v>
      </c>
      <c r="D1944" s="144" t="str">
        <f>'Máy thi công'!$B$398</f>
        <v>M0111</v>
      </c>
      <c r="E1944" s="144" t="str">
        <f>" - " &amp; 'Máy thi công'!$D$398</f>
        <v xml:space="preserve"> - Máy khác</v>
      </c>
      <c r="F1944" s="168" t="str">
        <f>'Máy thi công'!$E$398</f>
        <v>%</v>
      </c>
      <c r="G1944" s="34">
        <f>'Hao phí vật tư'!$I$1945</f>
        <v>5</v>
      </c>
      <c r="H1944" s="166">
        <f>'Máy thi công'!$N$398</f>
        <v>0</v>
      </c>
      <c r="I1944" s="37">
        <v>1</v>
      </c>
      <c r="J1944" s="166">
        <f>ROUND((J1943)*G1944*I1944/100,0)</f>
        <v>1586</v>
      </c>
    </row>
    <row r="1945" spans="1:10" ht="28.5" x14ac:dyDescent="0.25">
      <c r="A1945" s="65">
        <f>'Công trình'!$A$256</f>
        <v>205</v>
      </c>
      <c r="B1945" s="14" t="str">
        <f>'Công trình'!$B$256</f>
        <v>AF.82111</v>
      </c>
      <c r="C1945" s="94"/>
      <c r="D1945" s="31"/>
      <c r="E1945" s="14" t="str">
        <f>'Công trình'!$C$256</f>
        <v>Sản xuất, lắp dựng tháo dỡ ván khuôn thép lan can</v>
      </c>
      <c r="F1945" s="46" t="str">
        <f>'Công trình'!$D$256</f>
        <v>100m2</v>
      </c>
      <c r="G1945" s="94"/>
      <c r="H1945" s="54"/>
      <c r="I1945" s="98"/>
      <c r="J1945" s="54"/>
    </row>
    <row r="1946" spans="1:10" x14ac:dyDescent="0.25">
      <c r="A1946" s="56"/>
      <c r="B1946" s="23"/>
      <c r="C1946" s="88"/>
      <c r="D1946" s="23"/>
      <c r="E1946" s="23" t="s">
        <v>479</v>
      </c>
      <c r="F1946" s="56"/>
      <c r="G1946" s="88"/>
      <c r="H1946" s="48"/>
      <c r="I1946" s="90"/>
      <c r="J1946" s="48">
        <f>ROUND(SUM(J1947:J1951),0)</f>
        <v>3284877</v>
      </c>
    </row>
    <row r="1947" spans="1:10" x14ac:dyDescent="0.25">
      <c r="A1947" s="168"/>
      <c r="B1947" s="144"/>
      <c r="C1947" s="34">
        <v>154</v>
      </c>
      <c r="D1947" s="144" t="str">
        <f>'Vật liệu'!$B$450</f>
        <v>V00515</v>
      </c>
      <c r="E1947" s="144" t="str">
        <f>" - " &amp; 'Vật liệu'!$D$450</f>
        <v xml:space="preserve"> - Que hàn</v>
      </c>
      <c r="F1947" s="168" t="str">
        <f>'Vật liệu'!$E$450</f>
        <v>kg</v>
      </c>
      <c r="G1947" s="34">
        <f>'Hao phí vật tư'!$G$1948</f>
        <v>5.6</v>
      </c>
      <c r="H1947" s="68">
        <f>'Vật liệu'!$W$450</f>
        <v>19091</v>
      </c>
      <c r="I1947" s="37">
        <v>1</v>
      </c>
      <c r="J1947" s="166">
        <f>ROUND(G1947*H1947*I1947,0)</f>
        <v>106910</v>
      </c>
    </row>
    <row r="1948" spans="1:10" x14ac:dyDescent="0.25">
      <c r="A1948" s="168"/>
      <c r="B1948" s="144"/>
      <c r="C1948" s="34">
        <v>140</v>
      </c>
      <c r="D1948" s="144" t="str">
        <f>'Vật liệu'!$B$294</f>
        <v>V00390</v>
      </c>
      <c r="E1948" s="144" t="str">
        <f>" - " &amp; 'Vật liệu'!$D$294</f>
        <v xml:space="preserve"> - Gỗ chống</v>
      </c>
      <c r="F1948" s="168" t="str">
        <f>'Vật liệu'!$E$294</f>
        <v>m3</v>
      </c>
      <c r="G1948" s="34">
        <f>'Hao phí vật tư'!$G$1949</f>
        <v>0.496</v>
      </c>
      <c r="H1948" s="68">
        <f>'Vật liệu'!$W$294</f>
        <v>3272727</v>
      </c>
      <c r="I1948" s="37">
        <v>1</v>
      </c>
      <c r="J1948" s="166">
        <f>ROUND(G1948*H1948*I1948,0)</f>
        <v>1623273</v>
      </c>
    </row>
    <row r="1949" spans="1:10" x14ac:dyDescent="0.25">
      <c r="A1949" s="168"/>
      <c r="B1949" s="144"/>
      <c r="C1949" s="34">
        <v>166</v>
      </c>
      <c r="D1949" s="144" t="str">
        <f>'Vật liệu'!$B$606</f>
        <v>V00671</v>
      </c>
      <c r="E1949" s="144" t="str">
        <f>" - " &amp; 'Vật liệu'!$D$606</f>
        <v xml:space="preserve"> - Thép tấm</v>
      </c>
      <c r="F1949" s="168" t="str">
        <f>'Vật liệu'!$E$606</f>
        <v>kg</v>
      </c>
      <c r="G1949" s="34">
        <f>'Hao phí vật tư'!$G$1950</f>
        <v>51.81</v>
      </c>
      <c r="H1949" s="68">
        <f>'Vật liệu'!$W$606</f>
        <v>12574</v>
      </c>
      <c r="I1949" s="37">
        <v>1</v>
      </c>
      <c r="J1949" s="166">
        <f>ROUND(G1949*H1949*I1949,0)</f>
        <v>651459</v>
      </c>
    </row>
    <row r="1950" spans="1:10" x14ac:dyDescent="0.25">
      <c r="A1950" s="168"/>
      <c r="B1950" s="144"/>
      <c r="C1950" s="34">
        <v>160</v>
      </c>
      <c r="D1950" s="144" t="str">
        <f>'Vật liệu'!$B$556</f>
        <v>V00641</v>
      </c>
      <c r="E1950" s="144" t="str">
        <f>" - " &amp; 'Vật liệu'!$D$556</f>
        <v xml:space="preserve"> - Thép hình</v>
      </c>
      <c r="F1950" s="168" t="str">
        <f>'Vật liệu'!$E$556</f>
        <v>kg</v>
      </c>
      <c r="G1950" s="34">
        <f>'Hao phí vật tư'!$G$1951</f>
        <v>48.84</v>
      </c>
      <c r="H1950" s="68">
        <f>'Vật liệu'!$W$556</f>
        <v>15291</v>
      </c>
      <c r="I1950" s="37">
        <v>1</v>
      </c>
      <c r="J1950" s="166">
        <f>ROUND(G1950*H1950*I1950,0)</f>
        <v>746812</v>
      </c>
    </row>
    <row r="1951" spans="1:10" x14ac:dyDescent="0.25">
      <c r="A1951" s="168"/>
      <c r="B1951" s="144"/>
      <c r="C1951" s="34">
        <v>322</v>
      </c>
      <c r="D1951" s="144" t="str">
        <f>'Vật liệu'!$B$766</f>
        <v>V00750</v>
      </c>
      <c r="E1951" s="144" t="str">
        <f>" - " &amp; 'Vật liệu'!$D$766</f>
        <v xml:space="preserve"> - Vật liệu khác</v>
      </c>
      <c r="F1951" s="168" t="str">
        <f>'Vật liệu'!$E$766</f>
        <v>%</v>
      </c>
      <c r="G1951" s="34">
        <f>'Hao phí vật tư'!$G$1952</f>
        <v>5</v>
      </c>
      <c r="H1951" s="166">
        <f>'Vật liệu'!$W$766</f>
        <v>0</v>
      </c>
      <c r="I1951" s="37">
        <v>1</v>
      </c>
      <c r="J1951" s="166">
        <f>ROUND((J1947+J1948+J1949+J1950)*G1951*I1951/100,0)</f>
        <v>156423</v>
      </c>
    </row>
    <row r="1952" spans="1:10" x14ac:dyDescent="0.25">
      <c r="A1952" s="56"/>
      <c r="B1952" s="23"/>
      <c r="C1952" s="88"/>
      <c r="D1952" s="23"/>
      <c r="E1952" s="23" t="s">
        <v>202</v>
      </c>
      <c r="F1952" s="56"/>
      <c r="G1952" s="88"/>
      <c r="H1952" s="48"/>
      <c r="I1952" s="90"/>
      <c r="J1952" s="48">
        <f>ROUND(SUM(J1953:J1953),0)</f>
        <v>8822813</v>
      </c>
    </row>
    <row r="1953" spans="1:10" x14ac:dyDescent="0.25">
      <c r="A1953" s="168"/>
      <c r="B1953" s="144"/>
      <c r="C1953" s="34">
        <v>550</v>
      </c>
      <c r="D1953" s="144" t="str">
        <f>'Nhân công'!$B$130</f>
        <v>N0011</v>
      </c>
      <c r="E1953" s="144" t="s">
        <v>671</v>
      </c>
      <c r="F1953" s="168" t="str">
        <f>'Nhân công'!$G$130</f>
        <v>công</v>
      </c>
      <c r="G1953" s="34">
        <f>'Hao phí vật tư'!$H$1954</f>
        <v>38.28</v>
      </c>
      <c r="H1953" s="68">
        <f>'Nhân công'!$M$130</f>
        <v>230481</v>
      </c>
      <c r="I1953" s="37">
        <v>1</v>
      </c>
      <c r="J1953" s="166">
        <f>ROUND(G1953*H1953*I1953,0)</f>
        <v>8822813</v>
      </c>
    </row>
    <row r="1954" spans="1:10" x14ac:dyDescent="0.25">
      <c r="A1954" s="56"/>
      <c r="B1954" s="23"/>
      <c r="C1954" s="88"/>
      <c r="D1954" s="23"/>
      <c r="E1954" s="23" t="s">
        <v>378</v>
      </c>
      <c r="F1954" s="56"/>
      <c r="G1954" s="88"/>
      <c r="H1954" s="48"/>
      <c r="I1954" s="90"/>
      <c r="J1954" s="48">
        <f>ROUND(SUM(J1955:J1957),0)</f>
        <v>517171</v>
      </c>
    </row>
    <row r="1955" spans="1:10" x14ac:dyDescent="0.25">
      <c r="A1955" s="168"/>
      <c r="B1955" s="144"/>
      <c r="C1955" s="34">
        <v>746</v>
      </c>
      <c r="D1955" s="144" t="str">
        <f>'Máy thi công'!$B$358</f>
        <v>M9560</v>
      </c>
      <c r="E1955" s="144" t="str">
        <f>" - " &amp; 'Máy thi công'!$D$358</f>
        <v xml:space="preserve"> - Máy vận thăng - sức nâng: 0,8 t - H nâng 80 m</v>
      </c>
      <c r="F1955" s="168" t="str">
        <f>'Máy thi công'!$E$358</f>
        <v>ca</v>
      </c>
      <c r="G1955" s="34">
        <f>'Hao phí vật tư'!$I$1956</f>
        <v>0</v>
      </c>
      <c r="H1955" s="68">
        <f>'Máy thi công'!$N$358</f>
        <v>378219</v>
      </c>
      <c r="I1955" s="37">
        <v>1</v>
      </c>
      <c r="J1955" s="166">
        <f>ROUND(G1955*H1955*I1955,0)</f>
        <v>0</v>
      </c>
    </row>
    <row r="1956" spans="1:10" x14ac:dyDescent="0.25">
      <c r="A1956" s="168"/>
      <c r="B1956" s="144"/>
      <c r="C1956" s="34">
        <v>714</v>
      </c>
      <c r="D1956" s="144" t="str">
        <f>'Máy thi công'!$B$6</f>
        <v>M9438</v>
      </c>
      <c r="E1956" s="144" t="str">
        <f>" - " &amp; 'Máy thi công'!$D$6</f>
        <v xml:space="preserve"> - Biến thế hàn xoay chiều - công suất: 23 kW</v>
      </c>
      <c r="F1956" s="168" t="str">
        <f>'Máy thi công'!$E$6</f>
        <v>ca</v>
      </c>
      <c r="G1956" s="34">
        <f>'Hao phí vật tư'!$I$1957</f>
        <v>1.5</v>
      </c>
      <c r="H1956" s="68">
        <f>'Máy thi công'!$N$6</f>
        <v>338020</v>
      </c>
      <c r="I1956" s="37">
        <v>1</v>
      </c>
      <c r="J1956" s="166">
        <f>ROUND(G1956*H1956*I1956,0)</f>
        <v>507030</v>
      </c>
    </row>
    <row r="1957" spans="1:10" x14ac:dyDescent="0.25">
      <c r="A1957" s="168"/>
      <c r="B1957" s="144"/>
      <c r="C1957" s="34">
        <v>658</v>
      </c>
      <c r="D1957" s="144" t="str">
        <f>'Máy thi công'!$B$398</f>
        <v>M0111</v>
      </c>
      <c r="E1957" s="144" t="str">
        <f>" - " &amp; 'Máy thi công'!$D$398</f>
        <v xml:space="preserve"> - Máy khác</v>
      </c>
      <c r="F1957" s="168" t="str">
        <f>'Máy thi công'!$E$398</f>
        <v>%</v>
      </c>
      <c r="G1957" s="34">
        <f>'Hao phí vật tư'!$I$1958</f>
        <v>2</v>
      </c>
      <c r="H1957" s="166">
        <f>'Máy thi công'!$N$398</f>
        <v>0</v>
      </c>
      <c r="I1957" s="37">
        <v>1</v>
      </c>
      <c r="J1957" s="166">
        <f>ROUND((J1955+J1956)*G1957*I1957/100,0)</f>
        <v>10141</v>
      </c>
    </row>
    <row r="1958" spans="1:10" ht="28.5" x14ac:dyDescent="0.25">
      <c r="A1958" s="65">
        <f>'Công trình'!$A$257</f>
        <v>206</v>
      </c>
      <c r="B1958" s="14" t="str">
        <f>'Công trình'!$B$257</f>
        <v>AF.61110</v>
      </c>
      <c r="C1958" s="94"/>
      <c r="D1958" s="31"/>
      <c r="E1958" s="14" t="str">
        <f>'Công trình'!$C$257</f>
        <v>Sản xuất, lắp dựng cốt thép đường kính &lt;=10mm</v>
      </c>
      <c r="F1958" s="46" t="str">
        <f>'Công trình'!$D$257</f>
        <v>tấn</v>
      </c>
      <c r="G1958" s="94"/>
      <c r="H1958" s="54"/>
      <c r="I1958" s="98"/>
      <c r="J1958" s="54"/>
    </row>
    <row r="1959" spans="1:10" x14ac:dyDescent="0.25">
      <c r="A1959" s="56"/>
      <c r="B1959" s="23"/>
      <c r="C1959" s="88"/>
      <c r="D1959" s="23"/>
      <c r="E1959" s="23" t="s">
        <v>479</v>
      </c>
      <c r="F1959" s="56"/>
      <c r="G1959" s="88"/>
      <c r="H1959" s="48"/>
      <c r="I1959" s="90"/>
      <c r="J1959" s="48">
        <f>ROUND(SUM(J1960:J1961),0)</f>
        <v>14603640</v>
      </c>
    </row>
    <row r="1960" spans="1:10" x14ac:dyDescent="0.25">
      <c r="A1960" s="168"/>
      <c r="B1960" s="144"/>
      <c r="C1960" s="34">
        <v>135</v>
      </c>
      <c r="D1960" s="144" t="str">
        <f>'Vật liệu'!$B$221</f>
        <v>V00226</v>
      </c>
      <c r="E1960" s="144" t="str">
        <f>" - " &amp; 'Vật liệu'!$D$221</f>
        <v xml:space="preserve"> - Dây thép</v>
      </c>
      <c r="F1960" s="168" t="str">
        <f>'Vật liệu'!$E$221</f>
        <v>kg</v>
      </c>
      <c r="G1960" s="34">
        <f>'Hao phí vật tư'!$G$1961</f>
        <v>21.42</v>
      </c>
      <c r="H1960" s="68">
        <f>'Vật liệu'!$W$221</f>
        <v>17500</v>
      </c>
      <c r="I1960" s="37">
        <v>1</v>
      </c>
      <c r="J1960" s="166">
        <f>ROUND(G1960*H1960*I1960,0)</f>
        <v>374850</v>
      </c>
    </row>
    <row r="1961" spans="1:10" x14ac:dyDescent="0.25">
      <c r="A1961" s="168"/>
      <c r="B1961" s="144"/>
      <c r="C1961" s="34">
        <v>484</v>
      </c>
      <c r="D1961" s="144" t="str">
        <f>'Vật liệu'!$B$650</f>
        <v>V48494</v>
      </c>
      <c r="E1961" s="144" t="str">
        <f>" - " &amp; 'Vật liệu'!$D$650</f>
        <v xml:space="preserve"> - Thép tròn đường kính &lt;=10 mm</v>
      </c>
      <c r="F1961" s="168" t="str">
        <f>'Vật liệu'!$E$650</f>
        <v>kg</v>
      </c>
      <c r="G1961" s="34">
        <f>'Hao phí vật tư'!$G$1962</f>
        <v>1005</v>
      </c>
      <c r="H1961" s="68">
        <f>'Vật liệu'!$W$650</f>
        <v>14158</v>
      </c>
      <c r="I1961" s="37">
        <v>1</v>
      </c>
      <c r="J1961" s="166">
        <f>ROUND(G1961*H1961*I1961,0)</f>
        <v>14228790</v>
      </c>
    </row>
    <row r="1962" spans="1:10" x14ac:dyDescent="0.25">
      <c r="A1962" s="56"/>
      <c r="B1962" s="23"/>
      <c r="C1962" s="88"/>
      <c r="D1962" s="23"/>
      <c r="E1962" s="23" t="s">
        <v>202</v>
      </c>
      <c r="F1962" s="56"/>
      <c r="G1962" s="88"/>
      <c r="H1962" s="48"/>
      <c r="I1962" s="90"/>
      <c r="J1962" s="48">
        <f>ROUND(SUM(J1963:J1963),0)</f>
        <v>2409530</v>
      </c>
    </row>
    <row r="1963" spans="1:10" x14ac:dyDescent="0.25">
      <c r="A1963" s="168"/>
      <c r="B1963" s="144"/>
      <c r="C1963" s="34">
        <v>546</v>
      </c>
      <c r="D1963" s="144" t="str">
        <f>'Nhân công'!$B$45</f>
        <v>N0009</v>
      </c>
      <c r="E1963" s="144" t="s">
        <v>1052</v>
      </c>
      <c r="F1963" s="168" t="str">
        <f>'Nhân công'!$G$45</f>
        <v>công</v>
      </c>
      <c r="G1963" s="34">
        <f>'Hao phí vật tư'!$H$1964</f>
        <v>11.32</v>
      </c>
      <c r="H1963" s="68">
        <f>'Nhân công'!$M$45</f>
        <v>212856</v>
      </c>
      <c r="I1963" s="37">
        <v>1</v>
      </c>
      <c r="J1963" s="166">
        <f>ROUND(G1963*H1963*I1963,0)</f>
        <v>2409530</v>
      </c>
    </row>
    <row r="1964" spans="1:10" x14ac:dyDescent="0.25">
      <c r="A1964" s="56"/>
      <c r="B1964" s="23"/>
      <c r="C1964" s="88"/>
      <c r="D1964" s="23"/>
      <c r="E1964" s="23" t="s">
        <v>378</v>
      </c>
      <c r="F1964" s="56"/>
      <c r="G1964" s="88"/>
      <c r="H1964" s="48"/>
      <c r="I1964" s="90"/>
      <c r="J1964" s="48">
        <f>ROUND(SUM(J1965:J1965),0)</f>
        <v>91218</v>
      </c>
    </row>
    <row r="1965" spans="1:10" x14ac:dyDescent="0.25">
      <c r="A1965" s="168"/>
      <c r="B1965" s="144"/>
      <c r="C1965" s="34">
        <v>737</v>
      </c>
      <c r="D1965" s="144" t="str">
        <f>'Máy thi công'!$B$184</f>
        <v>M9521</v>
      </c>
      <c r="E1965" s="144" t="str">
        <f>" - " &amp; 'Máy thi công'!$D$184</f>
        <v xml:space="preserve"> - Máy cắt uốn cốt thép - công suất: 5 kW</v>
      </c>
      <c r="F1965" s="168" t="str">
        <f>'Máy thi công'!$E$184</f>
        <v>ca</v>
      </c>
      <c r="G1965" s="34">
        <f>'Hao phí vật tư'!$I$1966</f>
        <v>0.4</v>
      </c>
      <c r="H1965" s="68">
        <f>'Máy thi công'!$N$184</f>
        <v>228044</v>
      </c>
      <c r="I1965" s="37">
        <v>1</v>
      </c>
      <c r="J1965" s="166">
        <f>ROUND(G1965*H1965*I1965,0)</f>
        <v>91218</v>
      </c>
    </row>
    <row r="1966" spans="1:10" ht="28.5" x14ac:dyDescent="0.25">
      <c r="A1966" s="65">
        <f>'Công trình'!$A$258</f>
        <v>207</v>
      </c>
      <c r="B1966" s="14" t="str">
        <f>'Công trình'!$B$258</f>
        <v>AF.61120</v>
      </c>
      <c r="C1966" s="94"/>
      <c r="D1966" s="31"/>
      <c r="E1966" s="14" t="str">
        <f>'Công trình'!$C$258</f>
        <v>Sản xuất, lắp dựng cốt thép đường kính &lt;=18mm</v>
      </c>
      <c r="F1966" s="46" t="str">
        <f>'Công trình'!$D$258</f>
        <v>tấn</v>
      </c>
      <c r="G1966" s="94"/>
      <c r="H1966" s="54"/>
      <c r="I1966" s="98"/>
      <c r="J1966" s="54"/>
    </row>
    <row r="1967" spans="1:10" x14ac:dyDescent="0.25">
      <c r="A1967" s="56"/>
      <c r="B1967" s="23"/>
      <c r="C1967" s="88"/>
      <c r="D1967" s="23"/>
      <c r="E1967" s="23" t="s">
        <v>479</v>
      </c>
      <c r="F1967" s="56"/>
      <c r="G1967" s="88"/>
      <c r="H1967" s="48"/>
      <c r="I1967" s="90"/>
      <c r="J1967" s="48">
        <f>ROUND(SUM(J1968:J1970),0)</f>
        <v>14677642</v>
      </c>
    </row>
    <row r="1968" spans="1:10" x14ac:dyDescent="0.25">
      <c r="A1968" s="168"/>
      <c r="B1968" s="144"/>
      <c r="C1968" s="34">
        <v>154</v>
      </c>
      <c r="D1968" s="144" t="str">
        <f>'Vật liệu'!$B$450</f>
        <v>V00515</v>
      </c>
      <c r="E1968" s="144" t="str">
        <f>" - " &amp; 'Vật liệu'!$D$450</f>
        <v xml:space="preserve"> - Que hàn</v>
      </c>
      <c r="F1968" s="168" t="str">
        <f>'Vật liệu'!$E$450</f>
        <v>kg</v>
      </c>
      <c r="G1968" s="34">
        <f>'Hao phí vật tư'!$G$1969</f>
        <v>4.6399999999999997</v>
      </c>
      <c r="H1968" s="68">
        <f>'Vật liệu'!$W$450</f>
        <v>19091</v>
      </c>
      <c r="I1968" s="37">
        <v>1</v>
      </c>
      <c r="J1968" s="166">
        <f>ROUND(G1968*H1968*I1968,0)</f>
        <v>88582</v>
      </c>
    </row>
    <row r="1969" spans="1:10" x14ac:dyDescent="0.25">
      <c r="A1969" s="168"/>
      <c r="B1969" s="144"/>
      <c r="C1969" s="34">
        <v>135</v>
      </c>
      <c r="D1969" s="144" t="str">
        <f>'Vật liệu'!$B$221</f>
        <v>V00226</v>
      </c>
      <c r="E1969" s="144" t="str">
        <f>" - " &amp; 'Vật liệu'!$D$221</f>
        <v xml:space="preserve"> - Dây thép</v>
      </c>
      <c r="F1969" s="168" t="str">
        <f>'Vật liệu'!$E$221</f>
        <v>kg</v>
      </c>
      <c r="G1969" s="34">
        <f>'Hao phí vật tư'!$G$1970</f>
        <v>14.28</v>
      </c>
      <c r="H1969" s="68">
        <f>'Vật liệu'!$W$221</f>
        <v>17500</v>
      </c>
      <c r="I1969" s="37">
        <v>1</v>
      </c>
      <c r="J1969" s="166">
        <f>ROUND(G1969*H1969*I1969,0)</f>
        <v>249900</v>
      </c>
    </row>
    <row r="1970" spans="1:10" x14ac:dyDescent="0.25">
      <c r="A1970" s="168"/>
      <c r="B1970" s="144"/>
      <c r="C1970" s="34">
        <v>485</v>
      </c>
      <c r="D1970" s="144" t="str">
        <f>'Vật liệu'!$B$665</f>
        <v>V48495</v>
      </c>
      <c r="E1970" s="144" t="str">
        <f>" - " &amp; 'Vật liệu'!$D$665</f>
        <v xml:space="preserve"> - Thép tròn đường kính &lt;=18mm</v>
      </c>
      <c r="F1970" s="168" t="str">
        <f>'Vật liệu'!$E$665</f>
        <v>kg</v>
      </c>
      <c r="G1970" s="34">
        <f>'Hao phí vật tư'!$G$1971</f>
        <v>1020</v>
      </c>
      <c r="H1970" s="68">
        <f>'Vật liệu'!$W$665</f>
        <v>14058</v>
      </c>
      <c r="I1970" s="37">
        <v>1</v>
      </c>
      <c r="J1970" s="166">
        <f>ROUND(G1970*H1970*I1970,0)</f>
        <v>14339160</v>
      </c>
    </row>
    <row r="1971" spans="1:10" x14ac:dyDescent="0.25">
      <c r="A1971" s="56"/>
      <c r="B1971" s="23"/>
      <c r="C1971" s="88"/>
      <c r="D1971" s="23"/>
      <c r="E1971" s="23" t="s">
        <v>202</v>
      </c>
      <c r="F1971" s="56"/>
      <c r="G1971" s="88"/>
      <c r="H1971" s="48"/>
      <c r="I1971" s="90"/>
      <c r="J1971" s="48">
        <f>ROUND(SUM(J1972:J1972),0)</f>
        <v>1775219</v>
      </c>
    </row>
    <row r="1972" spans="1:10" x14ac:dyDescent="0.25">
      <c r="A1972" s="168"/>
      <c r="B1972" s="144"/>
      <c r="C1972" s="34">
        <v>546</v>
      </c>
      <c r="D1972" s="144" t="str">
        <f>'Nhân công'!$B$45</f>
        <v>N0009</v>
      </c>
      <c r="E1972" s="144" t="s">
        <v>1052</v>
      </c>
      <c r="F1972" s="168" t="str">
        <f>'Nhân công'!$G$45</f>
        <v>công</v>
      </c>
      <c r="G1972" s="34">
        <f>'Hao phí vật tư'!$H$1973</f>
        <v>8.34</v>
      </c>
      <c r="H1972" s="68">
        <f>'Nhân công'!$M$45</f>
        <v>212856</v>
      </c>
      <c r="I1972" s="37">
        <v>1</v>
      </c>
      <c r="J1972" s="166">
        <f>ROUND(G1972*H1972*I1972,0)</f>
        <v>1775219</v>
      </c>
    </row>
    <row r="1973" spans="1:10" x14ac:dyDescent="0.25">
      <c r="A1973" s="56"/>
      <c r="B1973" s="23"/>
      <c r="C1973" s="88"/>
      <c r="D1973" s="23"/>
      <c r="E1973" s="23" t="s">
        <v>378</v>
      </c>
      <c r="F1973" s="56"/>
      <c r="G1973" s="88"/>
      <c r="H1973" s="48"/>
      <c r="I1973" s="90"/>
      <c r="J1973" s="48">
        <f>ROUND(SUM(J1974:J1975),0)</f>
        <v>451556</v>
      </c>
    </row>
    <row r="1974" spans="1:10" x14ac:dyDescent="0.25">
      <c r="A1974" s="168"/>
      <c r="B1974" s="144"/>
      <c r="C1974" s="34">
        <v>737</v>
      </c>
      <c r="D1974" s="144" t="str">
        <f>'Máy thi công'!$B$184</f>
        <v>M9521</v>
      </c>
      <c r="E1974" s="144" t="str">
        <f>" - " &amp; 'Máy thi công'!$D$184</f>
        <v xml:space="preserve"> - Máy cắt uốn cốt thép - công suất: 5 kW</v>
      </c>
      <c r="F1974" s="168" t="str">
        <f>'Máy thi công'!$E$184</f>
        <v>ca</v>
      </c>
      <c r="G1974" s="34">
        <f>'Hao phí vật tư'!$I$1975</f>
        <v>0.32</v>
      </c>
      <c r="H1974" s="68">
        <f>'Máy thi công'!$N$184</f>
        <v>228044</v>
      </c>
      <c r="I1974" s="37">
        <v>1</v>
      </c>
      <c r="J1974" s="166">
        <f>ROUND(G1974*H1974*I1974,0)</f>
        <v>72974</v>
      </c>
    </row>
    <row r="1975" spans="1:10" x14ac:dyDescent="0.25">
      <c r="A1975" s="168"/>
      <c r="B1975" s="144"/>
      <c r="C1975" s="34">
        <v>714</v>
      </c>
      <c r="D1975" s="144" t="str">
        <f>'Máy thi công'!$B$6</f>
        <v>M9438</v>
      </c>
      <c r="E1975" s="144" t="str">
        <f>" - " &amp; 'Máy thi công'!$D$6</f>
        <v xml:space="preserve"> - Biến thế hàn xoay chiều - công suất: 23 kW</v>
      </c>
      <c r="F1975" s="168" t="str">
        <f>'Máy thi công'!$E$6</f>
        <v>ca</v>
      </c>
      <c r="G1975" s="34">
        <f>'Hao phí vật tư'!$I$1976</f>
        <v>1.1200000000000001</v>
      </c>
      <c r="H1975" s="68">
        <f>'Máy thi công'!$N$6</f>
        <v>338020</v>
      </c>
      <c r="I1975" s="37">
        <v>1</v>
      </c>
      <c r="J1975" s="166">
        <f>ROUND(G1975*H1975*I1975,0)</f>
        <v>378582</v>
      </c>
    </row>
    <row r="1976" spans="1:10" ht="28.5" x14ac:dyDescent="0.25">
      <c r="A1976" s="65">
        <f>'Công trình'!$A$259</f>
        <v>208</v>
      </c>
      <c r="B1976" s="14" t="str">
        <f>'Công trình'!$B$259</f>
        <v>BB.14309</v>
      </c>
      <c r="C1976" s="94"/>
      <c r="D1976" s="31"/>
      <c r="E1976" s="14" t="str">
        <f>'Công trình'!$C$259</f>
        <v>Lắp đặt ống thép tráng kẽm, đoạn ống dài 8m, đk=110mm</v>
      </c>
      <c r="F1976" s="46" t="str">
        <f>'Công trình'!$D$259</f>
        <v>100m</v>
      </c>
      <c r="G1976" s="94"/>
      <c r="H1976" s="54"/>
      <c r="I1976" s="98"/>
      <c r="J1976" s="54"/>
    </row>
    <row r="1977" spans="1:10" x14ac:dyDescent="0.25">
      <c r="A1977" s="56"/>
      <c r="B1977" s="23"/>
      <c r="C1977" s="88"/>
      <c r="D1977" s="23"/>
      <c r="E1977" s="23" t="s">
        <v>479</v>
      </c>
      <c r="F1977" s="56"/>
      <c r="G1977" s="88"/>
      <c r="H1977" s="48"/>
      <c r="I1977" s="90"/>
      <c r="J1977" s="48">
        <f>ROUND(SUM(J1978:J1980),0)</f>
        <v>9269996</v>
      </c>
    </row>
    <row r="1978" spans="1:10" x14ac:dyDescent="0.25">
      <c r="A1978" s="168"/>
      <c r="B1978" s="144"/>
      <c r="C1978" s="34">
        <v>479</v>
      </c>
      <c r="D1978" s="144" t="str">
        <f>'Vật liệu'!$B$341</f>
        <v>V48368</v>
      </c>
      <c r="E1978" s="144" t="str">
        <f>" - " &amp; 'Vật liệu'!$D$341</f>
        <v xml:space="preserve"> - Măng sông thép tráng kẽm đường kính 110mm</v>
      </c>
      <c r="F1978" s="168" t="str">
        <f>'Vật liệu'!$E$341</f>
        <v>cái</v>
      </c>
      <c r="G1978" s="34">
        <f>'Hao phí vật tư'!$G$1979</f>
        <v>12</v>
      </c>
      <c r="H1978" s="68">
        <f>'Vật liệu'!$W$341</f>
        <v>96250</v>
      </c>
      <c r="I1978" s="37">
        <v>1</v>
      </c>
      <c r="J1978" s="166">
        <f>ROUND(G1978*H1978*I1978,0)</f>
        <v>1155000</v>
      </c>
    </row>
    <row r="1979" spans="1:10" x14ac:dyDescent="0.25">
      <c r="A1979" s="168"/>
      <c r="B1979" s="144"/>
      <c r="C1979" s="34">
        <v>511</v>
      </c>
      <c r="D1979" s="144" t="str">
        <f>'Vật liệu'!$B$432</f>
        <v>V49059</v>
      </c>
      <c r="E1979" s="144" t="str">
        <f>" - " &amp; 'Vật liệu'!$D$432</f>
        <v xml:space="preserve"> - Ống thép tráng kẽm đường kính 110mm</v>
      </c>
      <c r="F1979" s="168" t="str">
        <f>'Vật liệu'!$E$432</f>
        <v>m</v>
      </c>
      <c r="G1979" s="34">
        <f>'Hao phí vật tư'!$G$1980</f>
        <v>100.5</v>
      </c>
      <c r="H1979" s="68">
        <f>'Vật liệu'!$W$432</f>
        <v>80737</v>
      </c>
      <c r="I1979" s="37">
        <v>1</v>
      </c>
      <c r="J1979" s="166">
        <f>ROUND(G1979*H1979*I1979,0)</f>
        <v>8114069</v>
      </c>
    </row>
    <row r="1980" spans="1:10" x14ac:dyDescent="0.25">
      <c r="A1980" s="168"/>
      <c r="B1980" s="144"/>
      <c r="C1980" s="34">
        <v>323</v>
      </c>
      <c r="D1980" s="144" t="str">
        <f>'Vật liệu'!$B$766</f>
        <v>V00750</v>
      </c>
      <c r="E1980" s="144" t="str">
        <f>" - " &amp; 'Vật liệu'!$D$766</f>
        <v xml:space="preserve"> - Vật liệu khác</v>
      </c>
      <c r="F1980" s="168" t="str">
        <f>'Vật liệu'!$E$766</f>
        <v>%</v>
      </c>
      <c r="G1980" s="34">
        <f>'Hao phí vật tư'!$G$1981</f>
        <v>0.01</v>
      </c>
      <c r="H1980" s="166">
        <f>'Vật liệu'!$W$766</f>
        <v>0</v>
      </c>
      <c r="I1980" s="37">
        <v>1</v>
      </c>
      <c r="J1980" s="166">
        <f>ROUND((J1978+J1979)*G1980*I1980/100,0)</f>
        <v>927</v>
      </c>
    </row>
    <row r="1981" spans="1:10" x14ac:dyDescent="0.25">
      <c r="A1981" s="56"/>
      <c r="B1981" s="23"/>
      <c r="C1981" s="88"/>
      <c r="D1981" s="23"/>
      <c r="E1981" s="23" t="s">
        <v>202</v>
      </c>
      <c r="F1981" s="56"/>
      <c r="G1981" s="88"/>
      <c r="H1981" s="48"/>
      <c r="I1981" s="90"/>
      <c r="J1981" s="48">
        <f>ROUND(SUM(J1982:J1982),0)</f>
        <v>5267023</v>
      </c>
    </row>
    <row r="1982" spans="1:10" x14ac:dyDescent="0.25">
      <c r="A1982" s="168"/>
      <c r="B1982" s="144"/>
      <c r="C1982" s="34">
        <v>554</v>
      </c>
      <c r="D1982" s="144" t="str">
        <f>'Nhân công'!$B$103</f>
        <v>N0015</v>
      </c>
      <c r="E1982" s="144" t="s">
        <v>1014</v>
      </c>
      <c r="F1982" s="168" t="str">
        <f>'Nhân công'!$G$103</f>
        <v>công</v>
      </c>
      <c r="G1982" s="34">
        <f>'Hao phí vật tư'!$H$1983</f>
        <v>21.99</v>
      </c>
      <c r="H1982" s="68">
        <f>'Nhân công'!$M$103</f>
        <v>239519</v>
      </c>
      <c r="I1982" s="37">
        <v>1</v>
      </c>
      <c r="J1982" s="166">
        <f>ROUND(G1982*H1982*I1982,0)</f>
        <v>5267023</v>
      </c>
    </row>
    <row r="1983" spans="1:10" x14ac:dyDescent="0.25">
      <c r="A1983" s="65">
        <f>'Công trình'!$A$260</f>
        <v>209</v>
      </c>
      <c r="B1983" s="14" t="str">
        <f>'Công trình'!$B$260</f>
        <v>BB.26119</v>
      </c>
      <c r="C1983" s="94"/>
      <c r="D1983" s="31"/>
      <c r="E1983" s="14" t="str">
        <f>'Công trình'!$C$260</f>
        <v>Cút nối 90 độ thép mạ kẽm</v>
      </c>
      <c r="F1983" s="46" t="str">
        <f>'Công trình'!$D$260</f>
        <v>Cái</v>
      </c>
      <c r="G1983" s="94"/>
      <c r="H1983" s="54"/>
      <c r="I1983" s="98"/>
      <c r="J1983" s="54"/>
    </row>
    <row r="1984" spans="1:10" x14ac:dyDescent="0.25">
      <c r="A1984" s="56"/>
      <c r="B1984" s="23"/>
      <c r="C1984" s="88"/>
      <c r="D1984" s="23"/>
      <c r="E1984" s="23" t="s">
        <v>479</v>
      </c>
      <c r="F1984" s="56"/>
      <c r="G1984" s="88"/>
      <c r="H1984" s="48"/>
      <c r="I1984" s="90"/>
      <c r="J1984" s="48">
        <f>ROUND(SUM(J1985:J1986),0)</f>
        <v>61061</v>
      </c>
    </row>
    <row r="1985" spans="1:10" x14ac:dyDescent="0.25">
      <c r="A1985" s="168"/>
      <c r="B1985" s="144"/>
      <c r="C1985" s="34">
        <v>476</v>
      </c>
      <c r="D1985" s="144" t="str">
        <f>'Vật liệu'!$B$140</f>
        <v>V48171</v>
      </c>
      <c r="E1985" s="144" t="str">
        <f>" - " &amp; 'Vật liệu'!$D$140</f>
        <v xml:space="preserve"> - Cút tráng kẽm đường kính 89mm</v>
      </c>
      <c r="F1985" s="168" t="str">
        <f>'Vật liệu'!$E$140</f>
        <v>Cái</v>
      </c>
      <c r="G1985" s="34">
        <f>'Hao phí vật tư'!$G$1986</f>
        <v>1</v>
      </c>
      <c r="H1985" s="68">
        <f>'Vật liệu'!$W$140</f>
        <v>61000</v>
      </c>
      <c r="I1985" s="37">
        <v>1</v>
      </c>
      <c r="J1985" s="166">
        <f>ROUND(G1985*H1985*I1985,0)</f>
        <v>61000</v>
      </c>
    </row>
    <row r="1986" spans="1:10" x14ac:dyDescent="0.25">
      <c r="A1986" s="168"/>
      <c r="B1986" s="144"/>
      <c r="C1986" s="34">
        <v>324</v>
      </c>
      <c r="D1986" s="144" t="str">
        <f>'Vật liệu'!$B$766</f>
        <v>V00750</v>
      </c>
      <c r="E1986" s="144" t="str">
        <f>" - " &amp; 'Vật liệu'!$D$766</f>
        <v xml:space="preserve"> - Vật liệu khác</v>
      </c>
      <c r="F1986" s="168" t="str">
        <f>'Vật liệu'!$E$766</f>
        <v>%</v>
      </c>
      <c r="G1986" s="34">
        <f>'Hao phí vật tư'!$G$1987</f>
        <v>0.1</v>
      </c>
      <c r="H1986" s="166">
        <f>'Vật liệu'!$W$766</f>
        <v>0</v>
      </c>
      <c r="I1986" s="37">
        <v>1</v>
      </c>
      <c r="J1986" s="166">
        <f>ROUND((J1985)*G1986*I1986/100,0)</f>
        <v>61</v>
      </c>
    </row>
    <row r="1987" spans="1:10" x14ac:dyDescent="0.25">
      <c r="A1987" s="56"/>
      <c r="B1987" s="23"/>
      <c r="C1987" s="88"/>
      <c r="D1987" s="23"/>
      <c r="E1987" s="23" t="s">
        <v>202</v>
      </c>
      <c r="F1987" s="56"/>
      <c r="G1987" s="88"/>
      <c r="H1987" s="48"/>
      <c r="I1987" s="90"/>
      <c r="J1987" s="48">
        <f>ROUND(SUM(J1988:J1988),0)</f>
        <v>52694</v>
      </c>
    </row>
    <row r="1988" spans="1:10" x14ac:dyDescent="0.25">
      <c r="A1988" s="168"/>
      <c r="B1988" s="144"/>
      <c r="C1988" s="34">
        <v>554</v>
      </c>
      <c r="D1988" s="144" t="str">
        <f>'Nhân công'!$B$103</f>
        <v>N0015</v>
      </c>
      <c r="E1988" s="144" t="s">
        <v>1014</v>
      </c>
      <c r="F1988" s="168" t="str">
        <f>'Nhân công'!$G$103</f>
        <v>công</v>
      </c>
      <c r="G1988" s="34">
        <f>'Hao phí vật tư'!$H$1989</f>
        <v>0.22</v>
      </c>
      <c r="H1988" s="68">
        <f>'Nhân công'!$M$103</f>
        <v>239519</v>
      </c>
      <c r="I1988" s="37">
        <v>1</v>
      </c>
      <c r="J1988" s="166">
        <f>ROUND(G1988*H1988*I1988,0)</f>
        <v>52694</v>
      </c>
    </row>
    <row r="1989" spans="1:10" x14ac:dyDescent="0.25">
      <c r="A1989" s="65">
        <f>'Công trình'!$A$262</f>
        <v>210</v>
      </c>
      <c r="B1989" s="14" t="str">
        <f>'Công trình'!$B$262</f>
        <v>AI.21152</v>
      </c>
      <c r="C1989" s="94"/>
      <c r="D1989" s="31"/>
      <c r="E1989" s="14" t="str">
        <f>'Công trình'!$C$262</f>
        <v>Sản xuất kết cấu thép lan can cầu đường bộ</v>
      </c>
      <c r="F1989" s="46" t="str">
        <f>'Công trình'!$D$262</f>
        <v>tấn</v>
      </c>
      <c r="G1989" s="94"/>
      <c r="H1989" s="54"/>
      <c r="I1989" s="98"/>
      <c r="J1989" s="54"/>
    </row>
    <row r="1990" spans="1:10" x14ac:dyDescent="0.25">
      <c r="A1990" s="56"/>
      <c r="B1990" s="23"/>
      <c r="C1990" s="88"/>
      <c r="D1990" s="23"/>
      <c r="E1990" s="23" t="s">
        <v>479</v>
      </c>
      <c r="F1990" s="56"/>
      <c r="G1990" s="88"/>
      <c r="H1990" s="48"/>
      <c r="I1990" s="90"/>
      <c r="J1990" s="48">
        <f>ROUND(SUM(J1991:J1997),0)</f>
        <v>15491390</v>
      </c>
    </row>
    <row r="1991" spans="1:10" x14ac:dyDescent="0.25">
      <c r="A1991" s="168"/>
      <c r="B1991" s="144"/>
      <c r="C1991" s="34">
        <v>400</v>
      </c>
      <c r="D1991" s="144" t="str">
        <f>'Vật liệu'!$B$401</f>
        <v>V00770</v>
      </c>
      <c r="E1991" s="144" t="str">
        <f>" - " &amp; 'Vật liệu'!$D$401</f>
        <v xml:space="preserve"> - Ô xy</v>
      </c>
      <c r="F1991" s="168" t="str">
        <f>'Vật liệu'!$E$401</f>
        <v>Chai</v>
      </c>
      <c r="G1991" s="34">
        <f>'Hao phí vật tư'!$G$1992</f>
        <v>1.66</v>
      </c>
      <c r="H1991" s="68">
        <f>'Vật liệu'!$W$401</f>
        <v>72000</v>
      </c>
      <c r="I1991" s="37">
        <v>1</v>
      </c>
      <c r="J1991" s="166">
        <f t="shared" ref="J1991:J1996" si="15">ROUND(G1991*H1991*I1991,0)</f>
        <v>119520</v>
      </c>
    </row>
    <row r="1992" spans="1:10" x14ac:dyDescent="0.25">
      <c r="A1992" s="168"/>
      <c r="B1992" s="144"/>
      <c r="C1992" s="34">
        <v>421</v>
      </c>
      <c r="D1992" s="144" t="str">
        <f>'Vật liệu'!$B$8</f>
        <v>V05496</v>
      </c>
      <c r="E1992" s="144" t="str">
        <f>" - " &amp; 'Vật liệu'!$D$8</f>
        <v xml:space="preserve"> - Acêtylen</v>
      </c>
      <c r="F1992" s="168" t="str">
        <f>'Vật liệu'!$E$8</f>
        <v>chai</v>
      </c>
      <c r="G1992" s="34">
        <f>'Hao phí vật tư'!$G$1993</f>
        <v>0.55000000000000004</v>
      </c>
      <c r="H1992" s="68">
        <f>'Vật liệu'!$W$8</f>
        <v>100000</v>
      </c>
      <c r="I1992" s="37">
        <v>1</v>
      </c>
      <c r="J1992" s="166">
        <f t="shared" si="15"/>
        <v>55000</v>
      </c>
    </row>
    <row r="1993" spans="1:10" x14ac:dyDescent="0.25">
      <c r="A1993" s="168"/>
      <c r="B1993" s="144"/>
      <c r="C1993" s="34">
        <v>154</v>
      </c>
      <c r="D1993" s="144" t="str">
        <f>'Vật liệu'!$B$450</f>
        <v>V00515</v>
      </c>
      <c r="E1993" s="144" t="str">
        <f>" - " &amp; 'Vật liệu'!$D$450</f>
        <v xml:space="preserve"> - Que hàn</v>
      </c>
      <c r="F1993" s="168" t="str">
        <f>'Vật liệu'!$E$450</f>
        <v>kg</v>
      </c>
      <c r="G1993" s="34">
        <f>'Hao phí vật tư'!$G$1994</f>
        <v>4.5</v>
      </c>
      <c r="H1993" s="68">
        <f>'Vật liệu'!$W$450</f>
        <v>19091</v>
      </c>
      <c r="I1993" s="37">
        <v>1</v>
      </c>
      <c r="J1993" s="166">
        <f t="shared" si="15"/>
        <v>85910</v>
      </c>
    </row>
    <row r="1994" spans="1:10" x14ac:dyDescent="0.25">
      <c r="A1994" s="168"/>
      <c r="B1994" s="144"/>
      <c r="C1994" s="34">
        <v>160</v>
      </c>
      <c r="D1994" s="144" t="str">
        <f>'Vật liệu'!$B$556</f>
        <v>V00641</v>
      </c>
      <c r="E1994" s="144" t="str">
        <f>" - " &amp; 'Vật liệu'!$D$556</f>
        <v xml:space="preserve"> - Thép hình</v>
      </c>
      <c r="F1994" s="168" t="str">
        <f>'Vật liệu'!$E$556</f>
        <v>kg</v>
      </c>
      <c r="G1994" s="34">
        <f>'Hao phí vật tư'!$G$1995</f>
        <v>475</v>
      </c>
      <c r="H1994" s="68">
        <f>'Vật liệu'!$W$556</f>
        <v>15291</v>
      </c>
      <c r="I1994" s="37">
        <v>1</v>
      </c>
      <c r="J1994" s="166">
        <f t="shared" si="15"/>
        <v>7263225</v>
      </c>
    </row>
    <row r="1995" spans="1:10" x14ac:dyDescent="0.25">
      <c r="A1995" s="168"/>
      <c r="B1995" s="144"/>
      <c r="C1995" s="34">
        <v>169</v>
      </c>
      <c r="D1995" s="144" t="str">
        <f>'Vật liệu'!$B$604</f>
        <v>V00681</v>
      </c>
      <c r="E1995" s="144" t="str">
        <f>" - " &amp; 'Vật liệu'!$D$604</f>
        <v xml:space="preserve"> - Thép ống</v>
      </c>
      <c r="F1995" s="168" t="str">
        <f>'Vật liệu'!$E$604</f>
        <v>kg</v>
      </c>
      <c r="G1995" s="34">
        <f>'Hao phí vật tư'!$G$1996</f>
        <v>575</v>
      </c>
      <c r="H1995" s="68">
        <f>'Vật liệu'!$W$604</f>
        <v>12574</v>
      </c>
      <c r="I1995" s="37">
        <v>1</v>
      </c>
      <c r="J1995" s="166">
        <f t="shared" si="15"/>
        <v>7230050</v>
      </c>
    </row>
    <row r="1996" spans="1:10" x14ac:dyDescent="0.25">
      <c r="A1996" s="168"/>
      <c r="B1996" s="144"/>
      <c r="C1996" s="34">
        <v>122</v>
      </c>
      <c r="D1996" s="144" t="str">
        <f>'Vật liệu'!$B$20</f>
        <v>V00039</v>
      </c>
      <c r="E1996" s="144" t="str">
        <f>" - " &amp; 'Vật liệu'!$D$20</f>
        <v xml:space="preserve"> - Bu lông M20</v>
      </c>
      <c r="F1996" s="168" t="str">
        <f>'Vật liệu'!$E$20</f>
        <v>cái</v>
      </c>
      <c r="G1996" s="34">
        <f>'Hao phí vật tư'!$G$1997</f>
        <v>0</v>
      </c>
      <c r="H1996" s="68">
        <f>'Vật liệu'!$W$20</f>
        <v>10000</v>
      </c>
      <c r="I1996" s="37">
        <v>1</v>
      </c>
      <c r="J1996" s="166">
        <f t="shared" si="15"/>
        <v>0</v>
      </c>
    </row>
    <row r="1997" spans="1:10" x14ac:dyDescent="0.25">
      <c r="A1997" s="168"/>
      <c r="B1997" s="144"/>
      <c r="C1997" s="34">
        <v>389</v>
      </c>
      <c r="D1997" s="144" t="str">
        <f>'Vật liệu'!$B$766</f>
        <v>V00750</v>
      </c>
      <c r="E1997" s="144" t="str">
        <f>" - " &amp; 'Vật liệu'!$D$766</f>
        <v xml:space="preserve"> - Vật liệu khác</v>
      </c>
      <c r="F1997" s="168" t="str">
        <f>'Vật liệu'!$E$766</f>
        <v>%</v>
      </c>
      <c r="G1997" s="34">
        <f>'Hao phí vật tư'!$G$1998</f>
        <v>5</v>
      </c>
      <c r="H1997" s="166">
        <f>'Vật liệu'!$W$766</f>
        <v>0</v>
      </c>
      <c r="I1997" s="37">
        <v>1</v>
      </c>
      <c r="J1997" s="166">
        <f>ROUND((J1991+J1992+J1993+J1994+J1995+J1996)*G1997*I1997/100,0)</f>
        <v>737685</v>
      </c>
    </row>
    <row r="1998" spans="1:10" x14ac:dyDescent="0.25">
      <c r="A1998" s="56"/>
      <c r="B1998" s="23"/>
      <c r="C1998" s="88"/>
      <c r="D1998" s="23"/>
      <c r="E1998" s="23" t="s">
        <v>202</v>
      </c>
      <c r="F1998" s="56"/>
      <c r="G1998" s="88"/>
      <c r="H1998" s="48"/>
      <c r="I1998" s="90"/>
      <c r="J1998" s="48">
        <f>ROUND(SUM(J1999:J1999),0)</f>
        <v>5381431</v>
      </c>
    </row>
    <row r="1999" spans="1:10" x14ac:dyDescent="0.25">
      <c r="A1999" s="168"/>
      <c r="B1999" s="144"/>
      <c r="C1999" s="34">
        <v>552</v>
      </c>
      <c r="D1999" s="144" t="str">
        <f>'Nhân công'!$B$219</f>
        <v>N0012</v>
      </c>
      <c r="E1999" s="144" t="s">
        <v>494</v>
      </c>
      <c r="F1999" s="168" t="str">
        <f>'Nhân công'!$G$219</f>
        <v>công</v>
      </c>
      <c r="G1999" s="34">
        <f>'Hao phí vật tư'!$H$2000</f>
        <v>22.15</v>
      </c>
      <c r="H1999" s="68">
        <f>'Nhân công'!$M$219</f>
        <v>242954</v>
      </c>
      <c r="I1999" s="37">
        <v>1</v>
      </c>
      <c r="J1999" s="166">
        <f>ROUND(G1999*H1999*I1999,0)</f>
        <v>5381431</v>
      </c>
    </row>
    <row r="2000" spans="1:10" x14ac:dyDescent="0.25">
      <c r="A2000" s="56"/>
      <c r="B2000" s="23"/>
      <c r="C2000" s="88"/>
      <c r="D2000" s="23"/>
      <c r="E2000" s="23" t="s">
        <v>378</v>
      </c>
      <c r="F2000" s="56"/>
      <c r="G2000" s="88"/>
      <c r="H2000" s="48"/>
      <c r="I2000" s="90"/>
      <c r="J2000" s="48">
        <f>ROUND(SUM(J2001:J2004),0)</f>
        <v>1817722</v>
      </c>
    </row>
    <row r="2001" spans="1:10" x14ac:dyDescent="0.25">
      <c r="A2001" s="168"/>
      <c r="B2001" s="144"/>
      <c r="C2001" s="34">
        <v>714</v>
      </c>
      <c r="D2001" s="144" t="str">
        <f>'Máy thi công'!$B$6</f>
        <v>M9438</v>
      </c>
      <c r="E2001" s="144" t="str">
        <f>" - " &amp; 'Máy thi công'!$D$6</f>
        <v xml:space="preserve"> - Biến thế hàn xoay chiều - công suất: 23 kW</v>
      </c>
      <c r="F2001" s="168" t="str">
        <f>'Máy thi công'!$E$6</f>
        <v>ca</v>
      </c>
      <c r="G2001" s="34">
        <f>'Hao phí vật tư'!$I$2002</f>
        <v>1.5</v>
      </c>
      <c r="H2001" s="68">
        <f>'Máy thi công'!$N$6</f>
        <v>338020</v>
      </c>
      <c r="I2001" s="37">
        <v>1</v>
      </c>
      <c r="J2001" s="166">
        <f>ROUND(G2001*H2001*I2001,0)</f>
        <v>507030</v>
      </c>
    </row>
    <row r="2002" spans="1:10" x14ac:dyDescent="0.25">
      <c r="A2002" s="168"/>
      <c r="B2002" s="144"/>
      <c r="C2002" s="34">
        <v>702</v>
      </c>
      <c r="D2002" s="144" t="str">
        <f>'Máy thi công'!$B$281</f>
        <v>M112.1502</v>
      </c>
      <c r="E2002" s="144" t="str">
        <f>" - " &amp; 'Máy thi công'!$D$281</f>
        <v xml:space="preserve"> - Máy khoan đứng - công suất: 4,5 kW</v>
      </c>
      <c r="F2002" s="168" t="str">
        <f>'Máy thi công'!$E$281</f>
        <v>ca</v>
      </c>
      <c r="G2002" s="34">
        <f>'Hao phí vật tư'!$I$2003</f>
        <v>1.78</v>
      </c>
      <c r="H2002" s="68">
        <f>'Máy thi công'!$N$281</f>
        <v>268963</v>
      </c>
      <c r="I2002" s="37">
        <v>1</v>
      </c>
      <c r="J2002" s="166">
        <f>ROUND(G2002*H2002*I2002,0)</f>
        <v>478754</v>
      </c>
    </row>
    <row r="2003" spans="1:10" x14ac:dyDescent="0.25">
      <c r="A2003" s="168"/>
      <c r="B2003" s="144"/>
      <c r="C2003" s="34">
        <v>740</v>
      </c>
      <c r="D2003" s="144" t="str">
        <f>'Máy thi công'!$B$295</f>
        <v>M9537</v>
      </c>
      <c r="E2003" s="144" t="str">
        <f>" - " &amp; 'Máy thi công'!$D$295</f>
        <v xml:space="preserve"> - Máy nén khí, động cơ diezel - năng suất: 240 m3/h</v>
      </c>
      <c r="F2003" s="168" t="str">
        <f>'Máy thi công'!$E$295</f>
        <v>ca</v>
      </c>
      <c r="G2003" s="34">
        <f>'Hao phí vật tư'!$I$2004</f>
        <v>0.89</v>
      </c>
      <c r="H2003" s="68">
        <f>'Máy thi công'!$N$295</f>
        <v>914540</v>
      </c>
      <c r="I2003" s="37">
        <v>1</v>
      </c>
      <c r="J2003" s="166">
        <f>ROUND(G2003*H2003*I2003,0)</f>
        <v>813941</v>
      </c>
    </row>
    <row r="2004" spans="1:10" x14ac:dyDescent="0.25">
      <c r="A2004" s="168"/>
      <c r="B2004" s="144"/>
      <c r="C2004" s="34">
        <v>690</v>
      </c>
      <c r="D2004" s="144" t="str">
        <f>'Máy thi công'!$B$398</f>
        <v>M0111</v>
      </c>
      <c r="E2004" s="144" t="str">
        <f>" - " &amp; 'Máy thi công'!$D$398</f>
        <v xml:space="preserve"> - Máy khác</v>
      </c>
      <c r="F2004" s="168" t="str">
        <f>'Máy thi công'!$E$398</f>
        <v>%</v>
      </c>
      <c r="G2004" s="34">
        <f>'Hao phí vật tư'!$I$2005</f>
        <v>1</v>
      </c>
      <c r="H2004" s="166">
        <f>'Máy thi công'!$N$398</f>
        <v>0</v>
      </c>
      <c r="I2004" s="37">
        <v>1</v>
      </c>
      <c r="J2004" s="166">
        <f>ROUND((J2001+J2002+J2003)*G2004*I2004/100,0)</f>
        <v>17997</v>
      </c>
    </row>
    <row r="2005" spans="1:10" x14ac:dyDescent="0.25">
      <c r="A2005" s="65">
        <f>'Công trình'!$A$263</f>
        <v>211</v>
      </c>
      <c r="B2005" s="14" t="str">
        <f>'Công trình'!$B$263</f>
        <v>AI.63211</v>
      </c>
      <c r="C2005" s="94"/>
      <c r="D2005" s="31"/>
      <c r="E2005" s="14" t="str">
        <f>'Công trình'!$C$263</f>
        <v>Lắp dựng lan can sắt, vữa XM mác 75</v>
      </c>
      <c r="F2005" s="46" t="str">
        <f>'Công trình'!$D$263</f>
        <v>m2</v>
      </c>
      <c r="G2005" s="94"/>
      <c r="H2005" s="54"/>
      <c r="I2005" s="98"/>
      <c r="J2005" s="54"/>
    </row>
    <row r="2006" spans="1:10" x14ac:dyDescent="0.25">
      <c r="A2006" s="56"/>
      <c r="B2006" s="23"/>
      <c r="C2006" s="88"/>
      <c r="D2006" s="23"/>
      <c r="E2006" s="23" t="s">
        <v>479</v>
      </c>
      <c r="F2006" s="56"/>
      <c r="G2006" s="88"/>
      <c r="H2006" s="48"/>
      <c r="I2006" s="90"/>
      <c r="J2006" s="48">
        <f>ROUND(SUM(J2007:J2011),0)</f>
        <v>5859</v>
      </c>
    </row>
    <row r="2007" spans="1:10" x14ac:dyDescent="0.25">
      <c r="A2007" s="168"/>
      <c r="B2007" s="144"/>
      <c r="C2007" s="34">
        <v>154</v>
      </c>
      <c r="D2007" s="144" t="str">
        <f>'Vật liệu'!$B$450</f>
        <v>V00515</v>
      </c>
      <c r="E2007" s="144" t="str">
        <f>" - " &amp; 'Vật liệu'!$D$450</f>
        <v xml:space="preserve"> - Que hàn</v>
      </c>
      <c r="F2007" s="168" t="str">
        <f>'Vật liệu'!$E$450</f>
        <v>kg</v>
      </c>
      <c r="G2007" s="34">
        <f>'Hao phí vật tư'!$G$2008</f>
        <v>0.2</v>
      </c>
      <c r="H2007" s="68">
        <f>'Vật liệu'!$W$450</f>
        <v>19091</v>
      </c>
      <c r="I2007" s="37">
        <v>1</v>
      </c>
      <c r="J2007" s="166">
        <f>ROUND(G2007*H2007*I2007,0)</f>
        <v>3818</v>
      </c>
    </row>
    <row r="2008" spans="1:10" x14ac:dyDescent="0.25">
      <c r="A2008" s="168"/>
      <c r="B2008" s="144"/>
      <c r="C2008" s="34">
        <v>397</v>
      </c>
      <c r="D2008" s="144" t="str">
        <f>'Vật liệu'!$B$721</f>
        <v>V00761</v>
      </c>
      <c r="E2008" s="144" t="str">
        <f>" - " &amp; 'Vật liệu'!$D$721</f>
        <v xml:space="preserve"> - Xi măng PC40</v>
      </c>
      <c r="F2008" s="168" t="str">
        <f>'Vật liệu'!$E$721</f>
        <v>kg</v>
      </c>
      <c r="G2008" s="34">
        <f>'Hao phí vật tư'!$G$2009</f>
        <v>0.61760000000000004</v>
      </c>
      <c r="H2008" s="68">
        <f>'Vật liệu'!$W$721</f>
        <v>1513</v>
      </c>
      <c r="I2008" s="37">
        <v>1</v>
      </c>
      <c r="J2008" s="166">
        <f>ROUND(G2008*H2008*I2008,0)</f>
        <v>934</v>
      </c>
    </row>
    <row r="2009" spans="1:10" x14ac:dyDescent="0.25">
      <c r="A2009" s="168"/>
      <c r="B2009" s="144"/>
      <c r="C2009" s="34">
        <v>124</v>
      </c>
      <c r="D2009" s="144" t="str">
        <f>'Vật liệu'!$B$50</f>
        <v>V00108</v>
      </c>
      <c r="E2009" s="144" t="str">
        <f>" - " &amp; 'Vật liệu'!$D$50</f>
        <v xml:space="preserve"> - Cát mịn ML=1,5-2,0</v>
      </c>
      <c r="F2009" s="168" t="str">
        <f>'Vật liệu'!$E$50</f>
        <v>m3</v>
      </c>
      <c r="G2009" s="34">
        <f>'Hao phí vật tư'!$G$2010</f>
        <v>2.8E-3</v>
      </c>
      <c r="H2009" s="68">
        <f>'Vật liệu'!$W$50</f>
        <v>293182</v>
      </c>
      <c r="I2009" s="37">
        <v>1</v>
      </c>
      <c r="J2009" s="166">
        <f>ROUND(G2009*H2009*I2009,0)</f>
        <v>821</v>
      </c>
    </row>
    <row r="2010" spans="1:10" x14ac:dyDescent="0.25">
      <c r="A2010" s="168"/>
      <c r="B2010" s="144"/>
      <c r="C2010" s="34">
        <v>148</v>
      </c>
      <c r="D2010" s="144" t="str">
        <f>'Vật liệu'!$B$353</f>
        <v>V00494</v>
      </c>
      <c r="E2010" s="144" t="str">
        <f>" - " &amp; 'Vật liệu'!$D$353</f>
        <v xml:space="preserve"> - Nước</v>
      </c>
      <c r="F2010" s="168" t="str">
        <f>'Vật liệu'!$E$353</f>
        <v>lít</v>
      </c>
      <c r="G2010" s="34">
        <f>'Hao phí vật tư'!$G$2011</f>
        <v>0.65</v>
      </c>
      <c r="H2010" s="68">
        <f>'Vật liệu'!$W$353</f>
        <v>10</v>
      </c>
      <c r="I2010" s="37">
        <v>1</v>
      </c>
      <c r="J2010" s="166">
        <f>ROUND(G2010*H2010*I2010,0)</f>
        <v>7</v>
      </c>
    </row>
    <row r="2011" spans="1:10" x14ac:dyDescent="0.25">
      <c r="A2011" s="168"/>
      <c r="B2011" s="144"/>
      <c r="C2011" s="34">
        <v>326</v>
      </c>
      <c r="D2011" s="144" t="str">
        <f>'Vật liệu'!$B$766</f>
        <v>V00750</v>
      </c>
      <c r="E2011" s="144" t="str">
        <f>" - " &amp; 'Vật liệu'!$D$766</f>
        <v xml:space="preserve"> - Vật liệu khác</v>
      </c>
      <c r="F2011" s="168" t="str">
        <f>'Vật liệu'!$E$766</f>
        <v>%</v>
      </c>
      <c r="G2011" s="34">
        <f>'Hao phí vật tư'!$G$2012</f>
        <v>5</v>
      </c>
      <c r="H2011" s="166">
        <f>'Vật liệu'!$W$766</f>
        <v>0</v>
      </c>
      <c r="I2011" s="37">
        <v>1</v>
      </c>
      <c r="J2011" s="166">
        <f>ROUND((J2007+J2008+J2009+J2010)*G2011*I2011/100,0)</f>
        <v>279</v>
      </c>
    </row>
    <row r="2012" spans="1:10" x14ac:dyDescent="0.25">
      <c r="A2012" s="56"/>
      <c r="B2012" s="23"/>
      <c r="C2012" s="88"/>
      <c r="D2012" s="23"/>
      <c r="E2012" s="23" t="s">
        <v>202</v>
      </c>
      <c r="F2012" s="56"/>
      <c r="G2012" s="88"/>
      <c r="H2012" s="48"/>
      <c r="I2012" s="90"/>
      <c r="J2012" s="48">
        <f>ROUND(SUM(J2013:J2013),0)</f>
        <v>92192</v>
      </c>
    </row>
    <row r="2013" spans="1:10" x14ac:dyDescent="0.25">
      <c r="A2013" s="168"/>
      <c r="B2013" s="144"/>
      <c r="C2013" s="34">
        <v>550</v>
      </c>
      <c r="D2013" s="144" t="str">
        <f>'Nhân công'!$B$130</f>
        <v>N0011</v>
      </c>
      <c r="E2013" s="144" t="s">
        <v>671</v>
      </c>
      <c r="F2013" s="168" t="str">
        <f>'Nhân công'!$G$130</f>
        <v>công</v>
      </c>
      <c r="G2013" s="34">
        <f>'Hao phí vật tư'!$H$2014</f>
        <v>0.4</v>
      </c>
      <c r="H2013" s="68">
        <f>'Nhân công'!$M$130</f>
        <v>230481</v>
      </c>
      <c r="I2013" s="37">
        <v>1</v>
      </c>
      <c r="J2013" s="166">
        <f>ROUND(G2013*H2013*I2013,0)</f>
        <v>92192</v>
      </c>
    </row>
    <row r="2014" spans="1:10" x14ac:dyDescent="0.25">
      <c r="A2014" s="56"/>
      <c r="B2014" s="23"/>
      <c r="C2014" s="88"/>
      <c r="D2014" s="23"/>
      <c r="E2014" s="23" t="s">
        <v>378</v>
      </c>
      <c r="F2014" s="56"/>
      <c r="G2014" s="88"/>
      <c r="H2014" s="48"/>
      <c r="I2014" s="90"/>
      <c r="J2014" s="48">
        <f>ROUND(SUM(J2015:J2015),0)</f>
        <v>33802</v>
      </c>
    </row>
    <row r="2015" spans="1:10" x14ac:dyDescent="0.25">
      <c r="A2015" s="168"/>
      <c r="B2015" s="144"/>
      <c r="C2015" s="34">
        <v>714</v>
      </c>
      <c r="D2015" s="144" t="str">
        <f>'Máy thi công'!$B$6</f>
        <v>M9438</v>
      </c>
      <c r="E2015" s="144" t="str">
        <f>" - " &amp; 'Máy thi công'!$D$6</f>
        <v xml:space="preserve"> - Biến thế hàn xoay chiều - công suất: 23 kW</v>
      </c>
      <c r="F2015" s="168" t="str">
        <f>'Máy thi công'!$E$6</f>
        <v>ca</v>
      </c>
      <c r="G2015" s="34">
        <f>'Hao phí vật tư'!$I$2016</f>
        <v>0.1</v>
      </c>
      <c r="H2015" s="68">
        <f>'Máy thi công'!$N$6</f>
        <v>338020</v>
      </c>
      <c r="I2015" s="37">
        <v>1</v>
      </c>
      <c r="J2015" s="166">
        <f>ROUND(G2015*H2015*I2015,0)</f>
        <v>33802</v>
      </c>
    </row>
    <row r="2016" spans="1:10" x14ac:dyDescent="0.25">
      <c r="A2016" s="65">
        <f>'Công trình'!$A$264</f>
        <v>212</v>
      </c>
      <c r="B2016" s="14" t="str">
        <f>'Công trình'!$B$264</f>
        <v>TT</v>
      </c>
      <c r="C2016" s="94"/>
      <c r="D2016" s="31"/>
      <c r="E2016" s="14" t="str">
        <f>'Công trình'!$C$264</f>
        <v>Bu long các loại</v>
      </c>
      <c r="F2016" s="46" t="str">
        <f>'Công trình'!$D$264</f>
        <v>bộ</v>
      </c>
      <c r="G2016" s="94"/>
      <c r="H2016" s="54"/>
      <c r="I2016" s="98"/>
      <c r="J2016" s="54"/>
    </row>
    <row r="2017" spans="1:10" x14ac:dyDescent="0.25">
      <c r="A2017" s="56"/>
      <c r="B2017" s="23"/>
      <c r="C2017" s="88"/>
      <c r="D2017" s="23"/>
      <c r="E2017" s="23" t="s">
        <v>479</v>
      </c>
      <c r="F2017" s="56"/>
      <c r="G2017" s="88"/>
      <c r="H2017" s="48"/>
      <c r="I2017" s="90"/>
      <c r="J2017" s="48">
        <f>ROUND(SUM(J2018:J2018),0)</f>
        <v>10000</v>
      </c>
    </row>
    <row r="2018" spans="1:10" x14ac:dyDescent="0.25">
      <c r="A2018" s="168"/>
      <c r="B2018" s="144"/>
      <c r="C2018" s="34">
        <v>113</v>
      </c>
      <c r="D2018" s="144" t="str">
        <f>'Vật liệu'!$B$12</f>
        <v>V00014</v>
      </c>
      <c r="E2018" s="144" t="str">
        <f>" - " &amp; 'Vật liệu'!$D$12</f>
        <v xml:space="preserve"> - Bu lông các loại</v>
      </c>
      <c r="F2018" s="168" t="str">
        <f>'Vật liệu'!$E$12</f>
        <v>cái</v>
      </c>
      <c r="G2018" s="34">
        <f>'Hao phí vật tư'!$G$2019</f>
        <v>1</v>
      </c>
      <c r="H2018" s="68">
        <f>'Vật liệu'!$W$12</f>
        <v>10000</v>
      </c>
      <c r="I2018" s="37">
        <v>1</v>
      </c>
      <c r="J2018" s="166">
        <f>ROUND(G2018*H2018*I2018,0)</f>
        <v>10000</v>
      </c>
    </row>
    <row r="2019" spans="1:10" x14ac:dyDescent="0.25">
      <c r="A2019" s="65">
        <f>'Công trình'!$A$265</f>
        <v>213</v>
      </c>
      <c r="B2019" s="14" t="str">
        <f>'Công trình'!$B$265</f>
        <v>AK.41115</v>
      </c>
      <c r="C2019" s="94"/>
      <c r="D2019" s="31"/>
      <c r="E2019" s="14" t="str">
        <f>'Công trình'!$C$265</f>
        <v>Vữa xi măng M100</v>
      </c>
      <c r="F2019" s="46" t="str">
        <f>'Công trình'!$D$265</f>
        <v>m2</v>
      </c>
      <c r="G2019" s="94"/>
      <c r="H2019" s="54"/>
      <c r="I2019" s="98"/>
      <c r="J2019" s="54"/>
    </row>
    <row r="2020" spans="1:10" x14ac:dyDescent="0.25">
      <c r="A2020" s="56"/>
      <c r="B2020" s="23"/>
      <c r="C2020" s="88"/>
      <c r="D2020" s="23"/>
      <c r="E2020" s="23" t="s">
        <v>479</v>
      </c>
      <c r="F2020" s="56"/>
      <c r="G2020" s="88"/>
      <c r="H2020" s="48"/>
      <c r="I2020" s="90"/>
      <c r="J2020" s="48">
        <f>ROUND(SUM(J2021:J2023),0)</f>
        <v>22976</v>
      </c>
    </row>
    <row r="2021" spans="1:10" x14ac:dyDescent="0.25">
      <c r="A2021" s="168"/>
      <c r="B2021" s="144"/>
      <c r="C2021" s="34">
        <v>397</v>
      </c>
      <c r="D2021" s="144" t="str">
        <f>'Vật liệu'!$B$721</f>
        <v>V00761</v>
      </c>
      <c r="E2021" s="144" t="str">
        <f>" - " &amp; 'Vật liệu'!$D$721</f>
        <v xml:space="preserve"> - Xi măng PC40</v>
      </c>
      <c r="F2021" s="168" t="str">
        <f>'Vật liệu'!$E$721</f>
        <v>kg</v>
      </c>
      <c r="G2021" s="34">
        <f>'Hao phí vật tư'!$G$2022</f>
        <v>7.4255000000000004</v>
      </c>
      <c r="H2021" s="68">
        <f>'Vật liệu'!$W$721</f>
        <v>1513</v>
      </c>
      <c r="I2021" s="37">
        <v>1</v>
      </c>
      <c r="J2021" s="166">
        <f>ROUND(G2021*H2021*I2021,0)</f>
        <v>11235</v>
      </c>
    </row>
    <row r="2022" spans="1:10" x14ac:dyDescent="0.25">
      <c r="A2022" s="168"/>
      <c r="B2022" s="144"/>
      <c r="C2022" s="34">
        <v>125</v>
      </c>
      <c r="D2022" s="144" t="str">
        <f>'Vật liệu'!$B$54</f>
        <v>V00112</v>
      </c>
      <c r="E2022" s="144" t="str">
        <f>" - " &amp; 'Vật liệu'!$D$54</f>
        <v xml:space="preserve"> - Cát vàng</v>
      </c>
      <c r="F2022" s="168" t="str">
        <f>'Vật liệu'!$E$54</f>
        <v>m3</v>
      </c>
      <c r="G2022" s="34">
        <f>'Hao phí vật tư'!$G$2023</f>
        <v>2.7799999999999998E-2</v>
      </c>
      <c r="H2022" s="68">
        <f>'Vật liệu'!$W$54</f>
        <v>420000</v>
      </c>
      <c r="I2022" s="37">
        <v>1</v>
      </c>
      <c r="J2022" s="166">
        <f>ROUND(G2022*H2022*I2022,0)</f>
        <v>11676</v>
      </c>
    </row>
    <row r="2023" spans="1:10" x14ac:dyDescent="0.25">
      <c r="A2023" s="168"/>
      <c r="B2023" s="144"/>
      <c r="C2023" s="34">
        <v>148</v>
      </c>
      <c r="D2023" s="144" t="str">
        <f>'Vật liệu'!$B$353</f>
        <v>V00494</v>
      </c>
      <c r="E2023" s="144" t="str">
        <f>" - " &amp; 'Vật liệu'!$D$353</f>
        <v xml:space="preserve"> - Nước</v>
      </c>
      <c r="F2023" s="168" t="str">
        <f>'Vật liệu'!$E$353</f>
        <v>lít</v>
      </c>
      <c r="G2023" s="34">
        <f>'Hao phí vật tư'!$G$2024</f>
        <v>6.5</v>
      </c>
      <c r="H2023" s="68">
        <f>'Vật liệu'!$W$353</f>
        <v>10</v>
      </c>
      <c r="I2023" s="37">
        <v>1</v>
      </c>
      <c r="J2023" s="166">
        <f>ROUND(G2023*H2023*I2023,0)</f>
        <v>65</v>
      </c>
    </row>
    <row r="2024" spans="1:10" x14ac:dyDescent="0.25">
      <c r="A2024" s="56"/>
      <c r="B2024" s="23"/>
      <c r="C2024" s="88"/>
      <c r="D2024" s="23"/>
      <c r="E2024" s="23" t="s">
        <v>202</v>
      </c>
      <c r="F2024" s="56"/>
      <c r="G2024" s="88"/>
      <c r="H2024" s="48"/>
      <c r="I2024" s="90"/>
      <c r="J2024" s="48">
        <f>ROUND(SUM(J2025:J2025),0)</f>
        <v>15673</v>
      </c>
    </row>
    <row r="2025" spans="1:10" x14ac:dyDescent="0.25">
      <c r="A2025" s="168"/>
      <c r="B2025" s="144"/>
      <c r="C2025" s="34">
        <v>550</v>
      </c>
      <c r="D2025" s="144" t="str">
        <f>'Nhân công'!$B$130</f>
        <v>N0011</v>
      </c>
      <c r="E2025" s="144" t="s">
        <v>671</v>
      </c>
      <c r="F2025" s="168" t="str">
        <f>'Nhân công'!$G$130</f>
        <v>công</v>
      </c>
      <c r="G2025" s="34">
        <f>'Hao phí vật tư'!$H$2026</f>
        <v>6.8000000000000005E-2</v>
      </c>
      <c r="H2025" s="68">
        <f>'Nhân công'!$M$130</f>
        <v>230481</v>
      </c>
      <c r="I2025" s="37">
        <v>1</v>
      </c>
      <c r="J2025" s="166">
        <f>ROUND(G2025*H2025*I2025,0)</f>
        <v>15673</v>
      </c>
    </row>
    <row r="2026" spans="1:10" x14ac:dyDescent="0.25">
      <c r="A2026" s="56"/>
      <c r="B2026" s="23"/>
      <c r="C2026" s="88"/>
      <c r="D2026" s="23"/>
      <c r="E2026" s="23" t="s">
        <v>378</v>
      </c>
      <c r="F2026" s="56"/>
      <c r="G2026" s="88"/>
      <c r="H2026" s="48"/>
      <c r="I2026" s="90"/>
      <c r="J2026" s="48">
        <f>ROUND(SUM(J2027:J2027),0)</f>
        <v>699</v>
      </c>
    </row>
    <row r="2027" spans="1:10" x14ac:dyDescent="0.25">
      <c r="A2027" s="168"/>
      <c r="B2027" s="144"/>
      <c r="C2027" s="34">
        <v>745</v>
      </c>
      <c r="D2027" s="144" t="str">
        <f>'Máy thi công'!$B$341</f>
        <v>M9558</v>
      </c>
      <c r="E2027" s="144" t="str">
        <f>" - " &amp; 'Máy thi công'!$D$341</f>
        <v xml:space="preserve"> - Máy trộn vữa - dung tích: 80 lít</v>
      </c>
      <c r="F2027" s="168" t="str">
        <f>'Máy thi công'!$E$341</f>
        <v>ca</v>
      </c>
      <c r="G2027" s="34">
        <f>'Hao phí vật tư'!$I$2028</f>
        <v>3.0000000000000001E-3</v>
      </c>
      <c r="H2027" s="68">
        <f>'Máy thi công'!$N$341</f>
        <v>232983</v>
      </c>
      <c r="I2027" s="37">
        <v>1</v>
      </c>
      <c r="J2027" s="166">
        <f>ROUND(G2027*H2027*I2027,0)</f>
        <v>699</v>
      </c>
    </row>
    <row r="2028" spans="1:10" ht="28.5" x14ac:dyDescent="0.25">
      <c r="A2028" s="65">
        <f>'Công trình'!$A$267</f>
        <v>214</v>
      </c>
      <c r="B2028" s="14" t="str">
        <f>'Công trình'!$B$267</f>
        <v>AF.11212</v>
      </c>
      <c r="C2028" s="94"/>
      <c r="D2028" s="31"/>
      <c r="E2028" s="14" t="str">
        <f>'Công trình'!$C$267</f>
        <v>Bê tông móng rộng &lt;=250cm đá 1x2, vữa BT mác 150</v>
      </c>
      <c r="F2028" s="46" t="str">
        <f>'Công trình'!$D$267</f>
        <v>m3</v>
      </c>
      <c r="G2028" s="94"/>
      <c r="H2028" s="54"/>
      <c r="I2028" s="98"/>
      <c r="J2028" s="54"/>
    </row>
    <row r="2029" spans="1:10" x14ac:dyDescent="0.25">
      <c r="A2029" s="56"/>
      <c r="B2029" s="23"/>
      <c r="C2029" s="88"/>
      <c r="D2029" s="23"/>
      <c r="E2029" s="23" t="s">
        <v>479</v>
      </c>
      <c r="F2029" s="56"/>
      <c r="G2029" s="88"/>
      <c r="H2029" s="48"/>
      <c r="I2029" s="90"/>
      <c r="J2029" s="48">
        <f>ROUND(SUM(J2030:J2034),0)</f>
        <v>926019</v>
      </c>
    </row>
    <row r="2030" spans="1:10" x14ac:dyDescent="0.25">
      <c r="A2030" s="168"/>
      <c r="B2030" s="144"/>
      <c r="C2030" s="34">
        <v>397</v>
      </c>
      <c r="D2030" s="144" t="str">
        <f>'Vật liệu'!$B$721</f>
        <v>V00761</v>
      </c>
      <c r="E2030" s="144" t="str">
        <f>" - " &amp; 'Vật liệu'!$D$721</f>
        <v xml:space="preserve"> - Xi măng PC40</v>
      </c>
      <c r="F2030" s="168" t="str">
        <f>'Vật liệu'!$E$721</f>
        <v>kg</v>
      </c>
      <c r="G2030" s="34">
        <f>'Hao phí vật tư'!$G$2031</f>
        <v>238.82499999999999</v>
      </c>
      <c r="H2030" s="68">
        <f>'Vật liệu'!$W$721</f>
        <v>1513</v>
      </c>
      <c r="I2030" s="37">
        <v>1</v>
      </c>
      <c r="J2030" s="166">
        <f>ROUND(G2030*H2030*I2030,0)</f>
        <v>361342</v>
      </c>
    </row>
    <row r="2031" spans="1:10" x14ac:dyDescent="0.25">
      <c r="A2031" s="168"/>
      <c r="B2031" s="144"/>
      <c r="C2031" s="34">
        <v>125</v>
      </c>
      <c r="D2031" s="144" t="str">
        <f>'Vật liệu'!$B$54</f>
        <v>V00112</v>
      </c>
      <c r="E2031" s="144" t="str">
        <f>" - " &amp; 'Vật liệu'!$D$54</f>
        <v xml:space="preserve"> - Cát vàng</v>
      </c>
      <c r="F2031" s="168" t="str">
        <f>'Vật liệu'!$E$54</f>
        <v>m3</v>
      </c>
      <c r="G2031" s="34">
        <f>'Hao phí vật tư'!$G$2032</f>
        <v>0.52280000000000004</v>
      </c>
      <c r="H2031" s="68">
        <f>'Vật liệu'!$W$54</f>
        <v>420000</v>
      </c>
      <c r="I2031" s="37">
        <v>1</v>
      </c>
      <c r="J2031" s="166">
        <f>ROUND(G2031*H2031*I2031,0)</f>
        <v>219576</v>
      </c>
    </row>
    <row r="2032" spans="1:10" x14ac:dyDescent="0.25">
      <c r="A2032" s="168"/>
      <c r="B2032" s="144"/>
      <c r="C2032" s="34">
        <v>416</v>
      </c>
      <c r="D2032" s="144" t="str">
        <f>'Vật liệu'!$B$142</f>
        <v>V05207</v>
      </c>
      <c r="E2032" s="144" t="str">
        <f>" - " &amp; 'Vật liệu'!$D$142</f>
        <v xml:space="preserve"> - Đá 1x2</v>
      </c>
      <c r="F2032" s="168" t="str">
        <f>'Vật liệu'!$E$142</f>
        <v>m3</v>
      </c>
      <c r="G2032" s="34">
        <f>'Hao phí vật tư'!$G$2033</f>
        <v>0.92559999999999998</v>
      </c>
      <c r="H2032" s="68">
        <f>'Vật liệu'!$W$142</f>
        <v>360886</v>
      </c>
      <c r="I2032" s="37">
        <v>1</v>
      </c>
      <c r="J2032" s="166">
        <f>ROUND(G2032*H2032*I2032,0)</f>
        <v>334036</v>
      </c>
    </row>
    <row r="2033" spans="1:10" x14ac:dyDescent="0.25">
      <c r="A2033" s="168"/>
      <c r="B2033" s="144"/>
      <c r="C2033" s="34">
        <v>148</v>
      </c>
      <c r="D2033" s="144" t="str">
        <f>'Vật liệu'!$B$353</f>
        <v>V00494</v>
      </c>
      <c r="E2033" s="144" t="str">
        <f>" - " &amp; 'Vật liệu'!$D$353</f>
        <v xml:space="preserve"> - Nước</v>
      </c>
      <c r="F2033" s="168" t="str">
        <f>'Vật liệu'!$E$353</f>
        <v>lít</v>
      </c>
      <c r="G2033" s="34">
        <f>'Hao phí vật tư'!$G$2034</f>
        <v>189.625</v>
      </c>
      <c r="H2033" s="68">
        <f>'Vật liệu'!$W$353</f>
        <v>10</v>
      </c>
      <c r="I2033" s="37">
        <v>1</v>
      </c>
      <c r="J2033" s="166">
        <f>ROUND(G2033*H2033*I2033,0)</f>
        <v>1896</v>
      </c>
    </row>
    <row r="2034" spans="1:10" x14ac:dyDescent="0.25">
      <c r="A2034" s="168"/>
      <c r="B2034" s="144"/>
      <c r="C2034" s="34">
        <v>327</v>
      </c>
      <c r="D2034" s="144" t="str">
        <f>'Vật liệu'!$B$766</f>
        <v>V00750</v>
      </c>
      <c r="E2034" s="144" t="str">
        <f>" - " &amp; 'Vật liệu'!$D$766</f>
        <v xml:space="preserve"> - Vật liệu khác</v>
      </c>
      <c r="F2034" s="168" t="str">
        <f>'Vật liệu'!$E$766</f>
        <v>%</v>
      </c>
      <c r="G2034" s="34">
        <f>'Hao phí vật tư'!$G$2035</f>
        <v>1</v>
      </c>
      <c r="H2034" s="166">
        <f>'Vật liệu'!$W$766</f>
        <v>0</v>
      </c>
      <c r="I2034" s="37">
        <v>1</v>
      </c>
      <c r="J2034" s="166">
        <f>ROUND((J2030+J2031+J2032+J2033)*G2034*I2034/100,0)</f>
        <v>9169</v>
      </c>
    </row>
    <row r="2035" spans="1:10" x14ac:dyDescent="0.25">
      <c r="A2035" s="56"/>
      <c r="B2035" s="23"/>
      <c r="C2035" s="88"/>
      <c r="D2035" s="23"/>
      <c r="E2035" s="23" t="s">
        <v>202</v>
      </c>
      <c r="F2035" s="56"/>
      <c r="G2035" s="88"/>
      <c r="H2035" s="48"/>
      <c r="I2035" s="90"/>
      <c r="J2035" s="48">
        <f>ROUND(SUM(J2036:J2036),0)</f>
        <v>320179</v>
      </c>
    </row>
    <row r="2036" spans="1:10" x14ac:dyDescent="0.25">
      <c r="A2036" s="168"/>
      <c r="B2036" s="144"/>
      <c r="C2036" s="34">
        <v>545</v>
      </c>
      <c r="D2036" s="144" t="str">
        <f>'Nhân công'!$B$6</f>
        <v>N0006</v>
      </c>
      <c r="E2036" s="144" t="s">
        <v>256</v>
      </c>
      <c r="F2036" s="168" t="str">
        <f>'Nhân công'!$G$6</f>
        <v>công</v>
      </c>
      <c r="G2036" s="34">
        <f>'Hao phí vật tư'!$H$2037</f>
        <v>1.64</v>
      </c>
      <c r="H2036" s="68">
        <f>'Nhân công'!$M$6</f>
        <v>195231</v>
      </c>
      <c r="I2036" s="37">
        <v>1</v>
      </c>
      <c r="J2036" s="166">
        <f>ROUND(G2036*H2036*I2036,0)</f>
        <v>320179</v>
      </c>
    </row>
    <row r="2037" spans="1:10" x14ac:dyDescent="0.25">
      <c r="A2037" s="56"/>
      <c r="B2037" s="23"/>
      <c r="C2037" s="88"/>
      <c r="D2037" s="23"/>
      <c r="E2037" s="23" t="s">
        <v>378</v>
      </c>
      <c r="F2037" s="56"/>
      <c r="G2037" s="88"/>
      <c r="H2037" s="48"/>
      <c r="I2037" s="90"/>
      <c r="J2037" s="48">
        <f>ROUND(SUM(J2038:J2039),0)</f>
        <v>47495</v>
      </c>
    </row>
    <row r="2038" spans="1:10" x14ac:dyDescent="0.25">
      <c r="A2038" s="168"/>
      <c r="B2038" s="144"/>
      <c r="C2038" s="34">
        <v>750</v>
      </c>
      <c r="D2038" s="144" t="str">
        <f>'Máy thi công'!$B$232</f>
        <v>M9571</v>
      </c>
      <c r="E2038" s="144" t="str">
        <f>" - " &amp; 'Máy thi công'!$D$232</f>
        <v xml:space="preserve"> - Máy đầm bê tông, dầm dùi - công suất: 1,5 kW</v>
      </c>
      <c r="F2038" s="168" t="str">
        <f>'Máy thi công'!$E$232</f>
        <v>ca</v>
      </c>
      <c r="G2038" s="34">
        <f>'Hao phí vật tư'!$I$2039</f>
        <v>8.8999999999999996E-2</v>
      </c>
      <c r="H2038" s="68">
        <f>'Máy thi công'!$N$232</f>
        <v>225765</v>
      </c>
      <c r="I2038" s="37">
        <v>1</v>
      </c>
      <c r="J2038" s="166">
        <f>ROUND(G2038*H2038*I2038,0)</f>
        <v>20093</v>
      </c>
    </row>
    <row r="2039" spans="1:10" x14ac:dyDescent="0.25">
      <c r="A2039" s="168"/>
      <c r="B2039" s="144"/>
      <c r="C2039" s="34">
        <v>744</v>
      </c>
      <c r="D2039" s="144" t="str">
        <f>'Máy thi công'!$B$306</f>
        <v>M9555</v>
      </c>
      <c r="E2039" s="144" t="str">
        <f>" - " &amp; 'Máy thi công'!$D$306</f>
        <v xml:space="preserve"> - Máy trộn bê tông - dung tích: 250 lít</v>
      </c>
      <c r="F2039" s="168" t="str">
        <f>'Máy thi công'!$E$306</f>
        <v>ca</v>
      </c>
      <c r="G2039" s="34">
        <f>'Hao phí vật tư'!$I$2040</f>
        <v>9.5000000000000001E-2</v>
      </c>
      <c r="H2039" s="68">
        <f>'Máy thi công'!$N$306</f>
        <v>288447</v>
      </c>
      <c r="I2039" s="37">
        <v>1</v>
      </c>
      <c r="J2039" s="166">
        <f>ROUND(G2039*H2039*I2039,0)</f>
        <v>27402</v>
      </c>
    </row>
    <row r="2040" spans="1:10" x14ac:dyDescent="0.25">
      <c r="A2040" s="65">
        <f>'Công trình'!$A$268</f>
        <v>215</v>
      </c>
      <c r="B2040" s="14" t="str">
        <f>'Công trình'!$B$268</f>
        <v>BB.14211</v>
      </c>
      <c r="C2040" s="94"/>
      <c r="D2040" s="31"/>
      <c r="E2040" s="14" t="str">
        <f>'Công trình'!$C$268</f>
        <v>Ống thép Þ120 dày 2 mm</v>
      </c>
      <c r="F2040" s="46" t="str">
        <f>'Công trình'!$D$268</f>
        <v>100m</v>
      </c>
      <c r="G2040" s="94"/>
      <c r="H2040" s="54"/>
      <c r="I2040" s="98"/>
      <c r="J2040" s="54"/>
    </row>
    <row r="2041" spans="1:10" x14ac:dyDescent="0.25">
      <c r="A2041" s="56"/>
      <c r="B2041" s="23"/>
      <c r="C2041" s="88"/>
      <c r="D2041" s="23"/>
      <c r="E2041" s="23" t="s">
        <v>479</v>
      </c>
      <c r="F2041" s="56"/>
      <c r="G2041" s="88"/>
      <c r="H2041" s="48"/>
      <c r="I2041" s="90"/>
      <c r="J2041" s="48">
        <f>ROUND(SUM(J2042:J2044),0)</f>
        <v>8379635</v>
      </c>
    </row>
    <row r="2042" spans="1:10" x14ac:dyDescent="0.25">
      <c r="A2042" s="168"/>
      <c r="B2042" s="144"/>
      <c r="C2042" s="34">
        <v>412</v>
      </c>
      <c r="D2042" s="144" t="str">
        <f>'Vật liệu'!$B$529</f>
        <v>V02269</v>
      </c>
      <c r="E2042" s="144" t="str">
        <f>" - " &amp; 'Vật liệu'!$D$529</f>
        <v xml:space="preserve"> - Que hàn không rỉ</v>
      </c>
      <c r="F2042" s="168" t="str">
        <f>'Vật liệu'!$E$529</f>
        <v>kg</v>
      </c>
      <c r="G2042" s="34">
        <f>'Hao phí vật tư'!$G$2043</f>
        <v>1.82</v>
      </c>
      <c r="H2042" s="68">
        <f>'Vật liệu'!$W$529</f>
        <v>145455</v>
      </c>
      <c r="I2042" s="37">
        <v>1</v>
      </c>
      <c r="J2042" s="166">
        <f>ROUND(G2042*H2042*I2042,0)</f>
        <v>264728</v>
      </c>
    </row>
    <row r="2043" spans="1:10" x14ac:dyDescent="0.25">
      <c r="A2043" s="168"/>
      <c r="B2043" s="144"/>
      <c r="C2043" s="34">
        <v>508</v>
      </c>
      <c r="D2043" s="144" t="str">
        <f>'Vật liệu'!$B$430</f>
        <v>V49033</v>
      </c>
      <c r="E2043" s="144" t="str">
        <f>" - " &amp; 'Vật liệu'!$D$430</f>
        <v xml:space="preserve"> - Ống thép không rỉ đường kính 125mm</v>
      </c>
      <c r="F2043" s="168" t="str">
        <f>'Vật liệu'!$E$430</f>
        <v>m</v>
      </c>
      <c r="G2043" s="34">
        <f>'Hao phí vật tư'!$G$2044</f>
        <v>100.5</v>
      </c>
      <c r="H2043" s="68">
        <f>'Vật liệu'!$W$430</f>
        <v>80737</v>
      </c>
      <c r="I2043" s="37">
        <v>1</v>
      </c>
      <c r="J2043" s="166">
        <f>ROUND(G2043*H2043*I2043,0)</f>
        <v>8114069</v>
      </c>
    </row>
    <row r="2044" spans="1:10" x14ac:dyDescent="0.25">
      <c r="A2044" s="168"/>
      <c r="B2044" s="144"/>
      <c r="C2044" s="34">
        <v>329</v>
      </c>
      <c r="D2044" s="144" t="str">
        <f>'Vật liệu'!$B$766</f>
        <v>V00750</v>
      </c>
      <c r="E2044" s="144" t="str">
        <f>" - " &amp; 'Vật liệu'!$D$766</f>
        <v xml:space="preserve"> - Vật liệu khác</v>
      </c>
      <c r="F2044" s="168" t="str">
        <f>'Vật liệu'!$E$766</f>
        <v>%</v>
      </c>
      <c r="G2044" s="34">
        <f>'Hao phí vật tư'!$G$2045</f>
        <v>0.01</v>
      </c>
      <c r="H2044" s="166">
        <f>'Vật liệu'!$W$766</f>
        <v>0</v>
      </c>
      <c r="I2044" s="37">
        <v>1</v>
      </c>
      <c r="J2044" s="166">
        <f>ROUND((J2042+J2043)*G2044*I2044/100,0)</f>
        <v>838</v>
      </c>
    </row>
    <row r="2045" spans="1:10" x14ac:dyDescent="0.25">
      <c r="A2045" s="56"/>
      <c r="B2045" s="23"/>
      <c r="C2045" s="88"/>
      <c r="D2045" s="23"/>
      <c r="E2045" s="23" t="s">
        <v>202</v>
      </c>
      <c r="F2045" s="56"/>
      <c r="G2045" s="88"/>
      <c r="H2045" s="48"/>
      <c r="I2045" s="90"/>
      <c r="J2045" s="48">
        <f>ROUND(SUM(J2046:J2046),0)</f>
        <v>9405911</v>
      </c>
    </row>
    <row r="2046" spans="1:10" x14ac:dyDescent="0.25">
      <c r="A2046" s="168"/>
      <c r="B2046" s="144"/>
      <c r="C2046" s="34">
        <v>554</v>
      </c>
      <c r="D2046" s="144" t="str">
        <f>'Nhân công'!$B$103</f>
        <v>N0015</v>
      </c>
      <c r="E2046" s="144" t="s">
        <v>1014</v>
      </c>
      <c r="F2046" s="168" t="str">
        <f>'Nhân công'!$G$103</f>
        <v>công</v>
      </c>
      <c r="G2046" s="34">
        <f>'Hao phí vật tư'!$H$2047</f>
        <v>39.270000000000003</v>
      </c>
      <c r="H2046" s="68">
        <f>'Nhân công'!$M$103</f>
        <v>239519</v>
      </c>
      <c r="I2046" s="37">
        <v>1</v>
      </c>
      <c r="J2046" s="166">
        <f>ROUND(G2046*H2046*I2046,0)</f>
        <v>9405911</v>
      </c>
    </row>
    <row r="2047" spans="1:10" x14ac:dyDescent="0.25">
      <c r="A2047" s="56"/>
      <c r="B2047" s="23"/>
      <c r="C2047" s="88"/>
      <c r="D2047" s="23"/>
      <c r="E2047" s="23" t="s">
        <v>378</v>
      </c>
      <c r="F2047" s="56"/>
      <c r="G2047" s="88"/>
      <c r="H2047" s="48"/>
      <c r="I2047" s="90"/>
      <c r="J2047" s="48">
        <f>ROUND(SUM(J2048:J2049),0)</f>
        <v>195207</v>
      </c>
    </row>
    <row r="2048" spans="1:10" x14ac:dyDescent="0.25">
      <c r="A2048" s="168"/>
      <c r="B2048" s="144"/>
      <c r="C2048" s="34">
        <v>714</v>
      </c>
      <c r="D2048" s="144" t="str">
        <f>'Máy thi công'!$B$6</f>
        <v>M9438</v>
      </c>
      <c r="E2048" s="144" t="str">
        <f>" - " &amp; 'Máy thi công'!$D$6</f>
        <v xml:space="preserve"> - Biến thế hàn xoay chiều - công suất: 23 kW</v>
      </c>
      <c r="F2048" s="168" t="str">
        <f>'Máy thi công'!$E$6</f>
        <v>ca</v>
      </c>
      <c r="G2048" s="34">
        <f>'Hao phí vật tư'!$I$2049</f>
        <v>0.55000000000000004</v>
      </c>
      <c r="H2048" s="68">
        <f>'Máy thi công'!$N$6</f>
        <v>338020</v>
      </c>
      <c r="I2048" s="37">
        <v>1</v>
      </c>
      <c r="J2048" s="166">
        <f>ROUND(G2048*H2048*I2048,0)</f>
        <v>185911</v>
      </c>
    </row>
    <row r="2049" spans="1:10" x14ac:dyDescent="0.25">
      <c r="A2049" s="168"/>
      <c r="B2049" s="144"/>
      <c r="C2049" s="34">
        <v>661</v>
      </c>
      <c r="D2049" s="144" t="str">
        <f>'Máy thi công'!$B$398</f>
        <v>M0111</v>
      </c>
      <c r="E2049" s="144" t="str">
        <f>" - " &amp; 'Máy thi công'!$D$398</f>
        <v xml:space="preserve"> - Máy khác</v>
      </c>
      <c r="F2049" s="168" t="str">
        <f>'Máy thi công'!$E$398</f>
        <v>%</v>
      </c>
      <c r="G2049" s="34">
        <f>'Hao phí vật tư'!$I$2050</f>
        <v>5</v>
      </c>
      <c r="H2049" s="166">
        <f>'Máy thi công'!$N$398</f>
        <v>0</v>
      </c>
      <c r="I2049" s="37">
        <v>1</v>
      </c>
      <c r="J2049" s="166">
        <f>ROUND((J2048)*G2049*I2049/100,0)</f>
        <v>9296</v>
      </c>
    </row>
    <row r="2050" spans="1:10" x14ac:dyDescent="0.25">
      <c r="A2050" s="65">
        <f>'Công trình'!$A$269</f>
        <v>216</v>
      </c>
      <c r="B2050" s="14" t="str">
        <f>'Công trình'!$B$269</f>
        <v>AD.32411</v>
      </c>
      <c r="C2050" s="94"/>
      <c r="D2050" s="31"/>
      <c r="E2050" s="14" t="str">
        <f>'Công trình'!$C$269</f>
        <v>Biển báo (1.2 x 1.2)m</v>
      </c>
      <c r="F2050" s="46" t="str">
        <f>'Công trình'!$D$269</f>
        <v>cái</v>
      </c>
      <c r="G2050" s="94"/>
      <c r="H2050" s="54"/>
      <c r="I2050" s="98"/>
      <c r="J2050" s="54"/>
    </row>
    <row r="2051" spans="1:10" x14ac:dyDescent="0.25">
      <c r="A2051" s="56"/>
      <c r="B2051" s="23"/>
      <c r="C2051" s="88"/>
      <c r="D2051" s="23"/>
      <c r="E2051" s="23" t="s">
        <v>479</v>
      </c>
      <c r="F2051" s="56"/>
      <c r="G2051" s="88"/>
      <c r="H2051" s="48"/>
      <c r="I2051" s="90"/>
      <c r="J2051" s="48">
        <f>ROUND(SUM(J2052:J2057),0)</f>
        <v>186886</v>
      </c>
    </row>
    <row r="2052" spans="1:10" x14ac:dyDescent="0.25">
      <c r="A2052" s="168"/>
      <c r="B2052" s="144"/>
      <c r="C2052" s="34">
        <v>133</v>
      </c>
      <c r="D2052" s="144" t="str">
        <f>'Vật liệu'!$B$285</f>
        <v>V00215</v>
      </c>
      <c r="E2052" s="144" t="str">
        <f>" - " &amp; 'Vật liệu'!$D$285</f>
        <v xml:space="preserve"> - Dung môi PUV</v>
      </c>
      <c r="F2052" s="168" t="str">
        <f>'Vật liệu'!$E$285</f>
        <v>lít</v>
      </c>
      <c r="G2052" s="34">
        <f>'Hao phí vật tư'!$G$2053</f>
        <v>3.7999999999999999E-2</v>
      </c>
      <c r="H2052" s="68">
        <f>'Vật liệu'!$W$285</f>
        <v>60000</v>
      </c>
      <c r="I2052" s="37">
        <v>1</v>
      </c>
      <c r="J2052" s="166">
        <f>ROUND(G2052*H2052*I2052,0)</f>
        <v>2280</v>
      </c>
    </row>
    <row r="2053" spans="1:10" x14ac:dyDescent="0.25">
      <c r="A2053" s="168"/>
      <c r="B2053" s="144"/>
      <c r="C2053" s="34">
        <v>414</v>
      </c>
      <c r="D2053" s="144" t="str">
        <f>'Vật liệu'!$B$702</f>
        <v>V03174</v>
      </c>
      <c r="E2053" s="144" t="str">
        <f>" - " &amp; 'Vật liệu'!$D$702</f>
        <v xml:space="preserve"> - Tôn tráng kẽm</v>
      </c>
      <c r="F2053" s="168" t="str">
        <f>'Vật liệu'!$E$702</f>
        <v>kg</v>
      </c>
      <c r="G2053" s="34">
        <f>'Hao phí vật tư'!$G$2054</f>
        <v>3.8</v>
      </c>
      <c r="H2053" s="68">
        <f>'Vật liệu'!$W$702</f>
        <v>22880</v>
      </c>
      <c r="I2053" s="37">
        <v>1</v>
      </c>
      <c r="J2053" s="166">
        <f>ROUND(G2053*H2053*I2053,0)</f>
        <v>86944</v>
      </c>
    </row>
    <row r="2054" spans="1:10" x14ac:dyDescent="0.25">
      <c r="A2054" s="168"/>
      <c r="B2054" s="144"/>
      <c r="C2054" s="34">
        <v>146</v>
      </c>
      <c r="D2054" s="144" t="str">
        <f>'Vật liệu'!$B$337</f>
        <v>V00451</v>
      </c>
      <c r="E2054" s="144" t="str">
        <f>" - " &amp; 'Vật liệu'!$D$337</f>
        <v xml:space="preserve"> - Màng phản quang</v>
      </c>
      <c r="F2054" s="168" t="str">
        <f>'Vật liệu'!$E$337</f>
        <v>m2</v>
      </c>
      <c r="G2054" s="34">
        <f>'Hao phí vật tư'!$G$2055</f>
        <v>0.45100000000000001</v>
      </c>
      <c r="H2054" s="68">
        <f>'Vật liệu'!$W$337</f>
        <v>200000</v>
      </c>
      <c r="I2054" s="37">
        <v>1</v>
      </c>
      <c r="J2054" s="166">
        <f>ROUND(G2054*H2054*I2054,0)</f>
        <v>90200</v>
      </c>
    </row>
    <row r="2055" spans="1:10" x14ac:dyDescent="0.25">
      <c r="A2055" s="168"/>
      <c r="B2055" s="144"/>
      <c r="C2055" s="34">
        <v>147</v>
      </c>
      <c r="D2055" s="144" t="str">
        <f>'Vật liệu'!$B$349</f>
        <v>V00475</v>
      </c>
      <c r="E2055" s="144" t="str">
        <f>" - " &amp; 'Vật liệu'!$D$349</f>
        <v xml:space="preserve"> - Mực in cao cấp</v>
      </c>
      <c r="F2055" s="168" t="str">
        <f>'Vật liệu'!$E$349</f>
        <v>lít</v>
      </c>
      <c r="G2055" s="34">
        <f>'Hao phí vật tư'!$G$2056</f>
        <v>3.7999999999999999E-2</v>
      </c>
      <c r="H2055" s="68">
        <f>'Vật liệu'!$W$349</f>
        <v>100000</v>
      </c>
      <c r="I2055" s="37">
        <v>1</v>
      </c>
      <c r="J2055" s="166">
        <f>ROUND(G2055*H2055*I2055,0)</f>
        <v>3800</v>
      </c>
    </row>
    <row r="2056" spans="1:10" x14ac:dyDescent="0.25">
      <c r="A2056" s="168"/>
      <c r="B2056" s="144"/>
      <c r="C2056" s="34">
        <v>438</v>
      </c>
      <c r="D2056" s="144" t="str">
        <f>'Vật liệu'!$B$281</f>
        <v>V08331</v>
      </c>
      <c r="E2056" s="144" t="str">
        <f>" - " &amp; 'Vật liệu'!$D$281</f>
        <v xml:space="preserve"> - Dung môi PUH3519</v>
      </c>
      <c r="F2056" s="168" t="str">
        <f>'Vật liệu'!$E$281</f>
        <v>lít</v>
      </c>
      <c r="G2056" s="34">
        <f>'Hao phí vật tư'!$G$2057</f>
        <v>1.4999999999999999E-2</v>
      </c>
      <c r="H2056" s="68">
        <f>'Vật liệu'!$W$281</f>
        <v>60000</v>
      </c>
      <c r="I2056" s="37">
        <v>1</v>
      </c>
      <c r="J2056" s="166">
        <f>ROUND(G2056*H2056*I2056,0)</f>
        <v>900</v>
      </c>
    </row>
    <row r="2057" spans="1:10" x14ac:dyDescent="0.25">
      <c r="A2057" s="168"/>
      <c r="B2057" s="144"/>
      <c r="C2057" s="34">
        <v>330</v>
      </c>
      <c r="D2057" s="144" t="str">
        <f>'Vật liệu'!$B$766</f>
        <v>V00750</v>
      </c>
      <c r="E2057" s="144" t="str">
        <f>" - " &amp; 'Vật liệu'!$D$766</f>
        <v xml:space="preserve"> - Vật liệu khác</v>
      </c>
      <c r="F2057" s="168" t="str">
        <f>'Vật liệu'!$E$766</f>
        <v>%</v>
      </c>
      <c r="G2057" s="34">
        <f>'Hao phí vật tư'!$G$2058</f>
        <v>1.5</v>
      </c>
      <c r="H2057" s="166">
        <f>'Vật liệu'!$W$766</f>
        <v>0</v>
      </c>
      <c r="I2057" s="37">
        <v>1</v>
      </c>
      <c r="J2057" s="166">
        <f>ROUND((J2052+J2053+J2054+J2055+J2056)*G2057*I2057/100,0)</f>
        <v>2762</v>
      </c>
    </row>
    <row r="2058" spans="1:10" x14ac:dyDescent="0.25">
      <c r="A2058" s="56"/>
      <c r="B2058" s="23"/>
      <c r="C2058" s="88"/>
      <c r="D2058" s="23"/>
      <c r="E2058" s="23" t="s">
        <v>202</v>
      </c>
      <c r="F2058" s="56"/>
      <c r="G2058" s="88"/>
      <c r="H2058" s="48"/>
      <c r="I2058" s="90"/>
      <c r="J2058" s="48">
        <f>ROUND(SUM(J2059:J2059),0)</f>
        <v>338543</v>
      </c>
    </row>
    <row r="2059" spans="1:10" x14ac:dyDescent="0.25">
      <c r="A2059" s="168"/>
      <c r="B2059" s="144"/>
      <c r="C2059" s="34">
        <v>559</v>
      </c>
      <c r="D2059" s="144" t="str">
        <f>'Nhân công'!$B$126</f>
        <v>N0031</v>
      </c>
      <c r="E2059" s="144" t="s">
        <v>817</v>
      </c>
      <c r="F2059" s="168" t="str">
        <f>'Nhân công'!$G$126</f>
        <v>công</v>
      </c>
      <c r="G2059" s="34">
        <f>'Hao phí vật tư'!$H$2060</f>
        <v>1.37</v>
      </c>
      <c r="H2059" s="68">
        <f>'Nhân công'!$M$126</f>
        <v>247112</v>
      </c>
      <c r="I2059" s="37">
        <v>1</v>
      </c>
      <c r="J2059" s="166">
        <f>ROUND(G2059*H2059*I2059,0)</f>
        <v>338543</v>
      </c>
    </row>
    <row r="2060" spans="1:10" x14ac:dyDescent="0.25">
      <c r="A2060" s="56"/>
      <c r="B2060" s="23"/>
      <c r="C2060" s="88"/>
      <c r="D2060" s="23"/>
      <c r="E2060" s="23" t="s">
        <v>378</v>
      </c>
      <c r="F2060" s="56"/>
      <c r="G2060" s="88"/>
      <c r="H2060" s="48"/>
      <c r="I2060" s="90"/>
      <c r="J2060" s="48">
        <f>ROUND(SUM(J2061:J2061),0)</f>
        <v>17841</v>
      </c>
    </row>
    <row r="2061" spans="1:10" x14ac:dyDescent="0.25">
      <c r="A2061" s="168"/>
      <c r="B2061" s="144"/>
      <c r="C2061" s="34">
        <v>762</v>
      </c>
      <c r="D2061" s="144" t="str">
        <f>'Máy thi công'!$B$378</f>
        <v>M9649</v>
      </c>
      <c r="E2061" s="144" t="str">
        <f>" - " &amp; 'Máy thi công'!$D$378</f>
        <v xml:space="preserve"> - Ô tô vận tải thùng - trọng tải: 2,5 t</v>
      </c>
      <c r="F2061" s="168" t="str">
        <f>'Máy thi công'!$E$378</f>
        <v>ca</v>
      </c>
      <c r="G2061" s="34">
        <f>'Hao phí vật tư'!$I$2062</f>
        <v>2.5000000000000001E-2</v>
      </c>
      <c r="H2061" s="68">
        <f>'Máy thi công'!$N$378</f>
        <v>713638</v>
      </c>
      <c r="I2061" s="37">
        <v>1</v>
      </c>
      <c r="J2061" s="166">
        <f>ROUND(G2061*H2061*I2061,0)</f>
        <v>17841</v>
      </c>
    </row>
    <row r="2062" spans="1:10" x14ac:dyDescent="0.25">
      <c r="A2062" s="65">
        <f>'Công trình'!$A$270</f>
        <v>217</v>
      </c>
      <c r="B2062" s="14" t="str">
        <f>'Công trình'!$B$270</f>
        <v>TT</v>
      </c>
      <c r="C2062" s="94"/>
      <c r="D2062" s="31"/>
      <c r="E2062" s="14" t="str">
        <f>'Công trình'!$C$270</f>
        <v>Bu lông M14</v>
      </c>
      <c r="F2062" s="46" t="str">
        <f>'Công trình'!$D$270</f>
        <v>bộ</v>
      </c>
      <c r="G2062" s="94"/>
      <c r="H2062" s="54"/>
      <c r="I2062" s="98"/>
      <c r="J2062" s="54"/>
    </row>
    <row r="2063" spans="1:10" x14ac:dyDescent="0.25">
      <c r="A2063" s="56"/>
      <c r="B2063" s="23"/>
      <c r="C2063" s="88"/>
      <c r="D2063" s="23"/>
      <c r="E2063" s="23" t="s">
        <v>479</v>
      </c>
      <c r="F2063" s="56"/>
      <c r="G2063" s="88"/>
      <c r="H2063" s="48"/>
      <c r="I2063" s="90"/>
      <c r="J2063" s="48">
        <f>ROUND(SUM(J2064:J2064),0)</f>
        <v>7000</v>
      </c>
    </row>
    <row r="2064" spans="1:10" x14ac:dyDescent="0.25">
      <c r="A2064" s="168"/>
      <c r="B2064" s="144"/>
      <c r="C2064" s="34">
        <v>119</v>
      </c>
      <c r="D2064" s="144" t="str">
        <f>'Vật liệu'!$B$17</f>
        <v>V00025</v>
      </c>
      <c r="E2064" s="144" t="str">
        <f>" - " &amp; 'Vật liệu'!$D$17</f>
        <v xml:space="preserve"> - Bu lông M14</v>
      </c>
      <c r="F2064" s="168" t="str">
        <f>'Vật liệu'!$E$17</f>
        <v>cái</v>
      </c>
      <c r="G2064" s="34">
        <f>'Hao phí vật tư'!$G$2065</f>
        <v>1</v>
      </c>
      <c r="H2064" s="68">
        <f>'Vật liệu'!$W$17</f>
        <v>7000</v>
      </c>
      <c r="I2064" s="37">
        <v>1</v>
      </c>
      <c r="J2064" s="166">
        <f>ROUND(G2064*H2064*I2064,0)</f>
        <v>7000</v>
      </c>
    </row>
    <row r="2065" spans="1:10" ht="28.5" x14ac:dyDescent="0.25">
      <c r="A2065" s="65">
        <f>'Công trình'!$A$271</f>
        <v>218</v>
      </c>
      <c r="B2065" s="14" t="str">
        <f>'Công trình'!$B$271</f>
        <v>AC.11121</v>
      </c>
      <c r="C2065" s="94"/>
      <c r="D2065" s="31"/>
      <c r="E2065" s="14" t="str">
        <f>'Công trình'!$C$271</f>
        <v>Đóng cọc tràm chiều dài cọc ngập đất &gt;2,5m đất cấp I</v>
      </c>
      <c r="F2065" s="46" t="str">
        <f>'Công trình'!$D$271</f>
        <v>100m</v>
      </c>
      <c r="G2065" s="94"/>
      <c r="H2065" s="54"/>
      <c r="I2065" s="98"/>
      <c r="J2065" s="54"/>
    </row>
    <row r="2066" spans="1:10" x14ac:dyDescent="0.25">
      <c r="A2066" s="56"/>
      <c r="B2066" s="23"/>
      <c r="C2066" s="88"/>
      <c r="D2066" s="23"/>
      <c r="E2066" s="23" t="s">
        <v>479</v>
      </c>
      <c r="F2066" s="56"/>
      <c r="G2066" s="88"/>
      <c r="H2066" s="48"/>
      <c r="I2066" s="90"/>
      <c r="J2066" s="48">
        <f>ROUND(SUM(J2067:J2070),0)</f>
        <v>767494</v>
      </c>
    </row>
    <row r="2067" spans="1:10" x14ac:dyDescent="0.25">
      <c r="A2067" s="168"/>
      <c r="B2067" s="144"/>
      <c r="C2067" s="34">
        <v>142</v>
      </c>
      <c r="D2067" s="144" t="str">
        <f>'Vật liệu'!$B$307</f>
        <v>V00402</v>
      </c>
      <c r="E2067" s="144" t="str">
        <f>" - " &amp; 'Vật liệu'!$D$307</f>
        <v xml:space="preserve"> - Gỗ ván</v>
      </c>
      <c r="F2067" s="168" t="str">
        <f>'Vật liệu'!$E$307</f>
        <v>m3</v>
      </c>
      <c r="G2067" s="34">
        <f>'Hao phí vật tư'!$G$2068</f>
        <v>0.01</v>
      </c>
      <c r="H2067" s="68">
        <f>'Vật liệu'!$W$307</f>
        <v>3272727</v>
      </c>
      <c r="I2067" s="37">
        <v>1</v>
      </c>
      <c r="J2067" s="166">
        <f>ROUND(G2067*H2067*I2067,0)</f>
        <v>32727</v>
      </c>
    </row>
    <row r="2068" spans="1:10" x14ac:dyDescent="0.25">
      <c r="A2068" s="168"/>
      <c r="B2068" s="144"/>
      <c r="C2068" s="34">
        <v>466</v>
      </c>
      <c r="D2068" s="144" t="str">
        <f>'Vật liệu'!$B$124</f>
        <v>V32325</v>
      </c>
      <c r="E2068" s="144" t="str">
        <f>" - " &amp; 'Vật liệu'!$D$124</f>
        <v xml:space="preserve"> - Cọc tràm</v>
      </c>
      <c r="F2068" s="168" t="str">
        <f>'Vật liệu'!$E$124</f>
        <v>m</v>
      </c>
      <c r="G2068" s="34">
        <f>'Hao phí vật tư'!$G$2069</f>
        <v>105</v>
      </c>
      <c r="H2068" s="68">
        <f>'Vật liệu'!$W$124</f>
        <v>6364</v>
      </c>
      <c r="I2068" s="37">
        <v>1</v>
      </c>
      <c r="J2068" s="166">
        <f>ROUND(G2068*H2068*I2068,0)</f>
        <v>668220</v>
      </c>
    </row>
    <row r="2069" spans="1:10" x14ac:dyDescent="0.25">
      <c r="A2069" s="168"/>
      <c r="B2069" s="144"/>
      <c r="C2069" s="34">
        <v>129</v>
      </c>
      <c r="D2069" s="144" t="str">
        <f>'Vật liệu'!$B$101</f>
        <v>V00116</v>
      </c>
      <c r="E2069" s="144" t="str">
        <f>" - " &amp; 'Vật liệu'!$D$101</f>
        <v xml:space="preserve"> - Cây chống</v>
      </c>
      <c r="F2069" s="168" t="str">
        <f>'Vật liệu'!$E$101</f>
        <v>cây</v>
      </c>
      <c r="G2069" s="34">
        <f>'Hao phí vật tư'!$G$2070</f>
        <v>1.65</v>
      </c>
      <c r="H2069" s="68">
        <f>'Vật liệu'!$W$101</f>
        <v>18182</v>
      </c>
      <c r="I2069" s="37">
        <v>1</v>
      </c>
      <c r="J2069" s="166">
        <f>ROUND(G2069*H2069*I2069,0)</f>
        <v>30000</v>
      </c>
    </row>
    <row r="2070" spans="1:10" x14ac:dyDescent="0.25">
      <c r="A2070" s="168"/>
      <c r="B2070" s="144"/>
      <c r="C2070" s="34">
        <v>331</v>
      </c>
      <c r="D2070" s="144" t="str">
        <f>'Vật liệu'!$B$766</f>
        <v>V00750</v>
      </c>
      <c r="E2070" s="144" t="str">
        <f>" - " &amp; 'Vật liệu'!$D$766</f>
        <v xml:space="preserve"> - Vật liệu khác</v>
      </c>
      <c r="F2070" s="168" t="str">
        <f>'Vật liệu'!$E$766</f>
        <v>%</v>
      </c>
      <c r="G2070" s="34">
        <f>'Hao phí vật tư'!$G$2071</f>
        <v>5</v>
      </c>
      <c r="H2070" s="166">
        <f>'Vật liệu'!$W$766</f>
        <v>0</v>
      </c>
      <c r="I2070" s="37">
        <v>1</v>
      </c>
      <c r="J2070" s="166">
        <f>ROUND((J2067+J2068+J2069)*G2070*I2070/100,0)</f>
        <v>36547</v>
      </c>
    </row>
    <row r="2071" spans="1:10" x14ac:dyDescent="0.25">
      <c r="A2071" s="56"/>
      <c r="B2071" s="23"/>
      <c r="C2071" s="88"/>
      <c r="D2071" s="23"/>
      <c r="E2071" s="23" t="s">
        <v>202</v>
      </c>
      <c r="F2071" s="56"/>
      <c r="G2071" s="88"/>
      <c r="H2071" s="48"/>
      <c r="I2071" s="90"/>
      <c r="J2071" s="48">
        <f>ROUND(SUM(J2072:J2072),0)</f>
        <v>605983</v>
      </c>
    </row>
    <row r="2072" spans="1:10" x14ac:dyDescent="0.25">
      <c r="A2072" s="168"/>
      <c r="B2072" s="144"/>
      <c r="C2072" s="34">
        <v>554</v>
      </c>
      <c r="D2072" s="144" t="str">
        <f>'Nhân công'!$B$103</f>
        <v>N0015</v>
      </c>
      <c r="E2072" s="144" t="s">
        <v>1014</v>
      </c>
      <c r="F2072" s="168" t="str">
        <f>'Nhân công'!$G$103</f>
        <v>công</v>
      </c>
      <c r="G2072" s="34">
        <f>'Hao phí vật tư'!$H$2073</f>
        <v>2.5299999999999998</v>
      </c>
      <c r="H2072" s="68">
        <f>'Nhân công'!$M$103</f>
        <v>239519</v>
      </c>
      <c r="I2072" s="37">
        <v>1</v>
      </c>
      <c r="J2072" s="166">
        <f>ROUND(G2072*H2072*I2072,0)</f>
        <v>605983</v>
      </c>
    </row>
    <row r="2073" spans="1:10" ht="28.5" x14ac:dyDescent="0.25">
      <c r="A2073" s="65">
        <f>'Công trình'!$A$272</f>
        <v>219</v>
      </c>
      <c r="B2073" s="14" t="str">
        <f>'Công trình'!$B$272</f>
        <v>AB.11412</v>
      </c>
      <c r="C2073" s="94"/>
      <c r="D2073" s="31"/>
      <c r="E2073" s="14" t="str">
        <f>'Công trình'!$C$272</f>
        <v>Đào móng cột trụ, hố kiểm tra, rộng &lt;=1m,sâu &lt;=1m, đất cấp II</v>
      </c>
      <c r="F2073" s="46" t="str">
        <f>'Công trình'!$D$272</f>
        <v>m3</v>
      </c>
      <c r="G2073" s="94"/>
      <c r="H2073" s="54"/>
      <c r="I2073" s="98"/>
      <c r="J2073" s="54"/>
    </row>
    <row r="2074" spans="1:10" x14ac:dyDescent="0.25">
      <c r="A2074" s="56"/>
      <c r="B2074" s="23"/>
      <c r="C2074" s="88"/>
      <c r="D2074" s="23"/>
      <c r="E2074" s="23" t="s">
        <v>202</v>
      </c>
      <c r="F2074" s="56"/>
      <c r="G2074" s="88"/>
      <c r="H2074" s="48"/>
      <c r="I2074" s="90"/>
      <c r="J2074" s="48">
        <f>ROUND(SUM(J2075:J2075),0)</f>
        <v>232325</v>
      </c>
    </row>
    <row r="2075" spans="1:10" x14ac:dyDescent="0.25">
      <c r="A2075" s="168"/>
      <c r="B2075" s="144"/>
      <c r="C2075" s="34">
        <v>545</v>
      </c>
      <c r="D2075" s="144" t="str">
        <f>'Nhân công'!$B$6</f>
        <v>N0006</v>
      </c>
      <c r="E2075" s="144" t="s">
        <v>256</v>
      </c>
      <c r="F2075" s="168" t="str">
        <f>'Nhân công'!$G$6</f>
        <v>công</v>
      </c>
      <c r="G2075" s="34">
        <f>'Hao phí vật tư'!$H$2076</f>
        <v>1.19</v>
      </c>
      <c r="H2075" s="68">
        <f>'Nhân công'!$M$6</f>
        <v>195231</v>
      </c>
      <c r="I2075" s="37">
        <v>1</v>
      </c>
      <c r="J2075" s="166">
        <f>ROUND(G2075*H2075*I2075,0)</f>
        <v>232325</v>
      </c>
    </row>
    <row r="2076" spans="1:10" ht="28.5" x14ac:dyDescent="0.25">
      <c r="A2076" s="65">
        <f>'Công trình'!$A$273</f>
        <v>220</v>
      </c>
      <c r="B2076" s="14" t="str">
        <f>'Công trình'!$B$273</f>
        <v>TH.01.05.20</v>
      </c>
      <c r="C2076" s="94"/>
      <c r="D2076" s="31"/>
      <c r="E2076" s="14" t="str">
        <f>'Công trình'!$C$273</f>
        <v>Đèn tín hiệu thông thuyền</v>
      </c>
      <c r="F2076" s="46" t="str">
        <f>'Công trình'!$D$273</f>
        <v>1 Bộ</v>
      </c>
      <c r="G2076" s="94"/>
      <c r="H2076" s="54"/>
      <c r="I2076" s="98"/>
      <c r="J2076" s="54"/>
    </row>
    <row r="2077" spans="1:10" x14ac:dyDescent="0.25">
      <c r="A2077" s="56"/>
      <c r="B2077" s="23"/>
      <c r="C2077" s="88"/>
      <c r="D2077" s="23"/>
      <c r="E2077" s="23" t="s">
        <v>479</v>
      </c>
      <c r="F2077" s="56"/>
      <c r="G2077" s="88"/>
      <c r="H2077" s="48"/>
      <c r="I2077" s="90"/>
      <c r="J2077" s="48">
        <f>ROUND(SUM(J2078:J2078),0)</f>
        <v>50000</v>
      </c>
    </row>
    <row r="2078" spans="1:10" x14ac:dyDescent="0.25">
      <c r="A2078" s="168"/>
      <c r="B2078" s="144"/>
      <c r="C2078" s="34">
        <v>519</v>
      </c>
      <c r="D2078" s="144" t="str">
        <f>'Vật liệu'!$B$345</f>
        <v>V76886</v>
      </c>
      <c r="E2078" s="144" t="str">
        <f>" - " &amp; 'Vật liệu'!$D$345</f>
        <v xml:space="preserve"> - Mặt đèn tín hiệu giao thông Ø100</v>
      </c>
      <c r="F2078" s="168" t="str">
        <f>'Vật liệu'!$E$345</f>
        <v>bộ</v>
      </c>
      <c r="G2078" s="34">
        <f>'Hao phí vật tư'!$G$2079</f>
        <v>1</v>
      </c>
      <c r="H2078" s="68">
        <f>'Vật liệu'!$W$345</f>
        <v>50000</v>
      </c>
      <c r="I2078" s="37">
        <v>1</v>
      </c>
      <c r="J2078" s="166">
        <f>ROUND(G2078*H2078*I2078,0)</f>
        <v>50000</v>
      </c>
    </row>
    <row r="2079" spans="1:10" x14ac:dyDescent="0.25">
      <c r="A2079" s="56"/>
      <c r="B2079" s="23"/>
      <c r="C2079" s="88"/>
      <c r="D2079" s="23"/>
      <c r="E2079" s="23" t="s">
        <v>202</v>
      </c>
      <c r="F2079" s="56"/>
      <c r="G2079" s="88"/>
      <c r="H2079" s="48"/>
      <c r="I2079" s="90"/>
      <c r="J2079" s="48">
        <f>ROUND(SUM(J2080:J2080),0)</f>
        <v>90349</v>
      </c>
    </row>
    <row r="2080" spans="1:10" x14ac:dyDescent="0.25">
      <c r="A2080" s="168"/>
      <c r="B2080" s="144"/>
      <c r="C2080" s="34">
        <v>551</v>
      </c>
      <c r="D2080" s="144" t="str">
        <f>'Nhân công'!$B$183</f>
        <v>N0011</v>
      </c>
      <c r="E2080" s="144" t="s">
        <v>671</v>
      </c>
      <c r="F2080" s="168" t="str">
        <f>'Nhân công'!$G$183</f>
        <v>Công</v>
      </c>
      <c r="G2080" s="34">
        <f>'Hao phí vật tư'!$H$2081</f>
        <v>0.39200000000000002</v>
      </c>
      <c r="H2080" s="68">
        <f>'Nhân công'!$M$183</f>
        <v>230481</v>
      </c>
      <c r="I2080" s="37">
        <v>1</v>
      </c>
      <c r="J2080" s="166">
        <f>ROUND(G2080*H2080*I2080,0)</f>
        <v>90349</v>
      </c>
    </row>
    <row r="2081" spans="1:10" x14ac:dyDescent="0.25">
      <c r="A2081" s="56"/>
      <c r="B2081" s="23"/>
      <c r="C2081" s="88"/>
      <c r="D2081" s="23"/>
      <c r="E2081" s="23" t="s">
        <v>378</v>
      </c>
      <c r="F2081" s="56"/>
      <c r="G2081" s="88"/>
      <c r="H2081" s="48"/>
      <c r="I2081" s="90"/>
      <c r="J2081" s="48">
        <f>ROUND(SUM(J2082:J2082),0)</f>
        <v>139115</v>
      </c>
    </row>
    <row r="2082" spans="1:10" x14ac:dyDescent="0.25">
      <c r="A2082" s="168"/>
      <c r="B2082" s="144"/>
      <c r="C2082" s="34">
        <v>708</v>
      </c>
      <c r="D2082" s="144" t="str">
        <f>'Máy thi công'!$B$396</f>
        <v>M4250</v>
      </c>
      <c r="E2082" s="144" t="str">
        <f>" - " &amp; 'Máy thi công'!$D$396</f>
        <v xml:space="preserve"> - Xe thang chiều dài thang: tới 9m</v>
      </c>
      <c r="F2082" s="168" t="str">
        <f>'Máy thi công'!$E$396</f>
        <v>ca</v>
      </c>
      <c r="G2082" s="34">
        <f>'Hao phí vật tư'!$I$2083</f>
        <v>7.8E-2</v>
      </c>
      <c r="H2082" s="68">
        <f>'Máy thi công'!$N$396</f>
        <v>1783529</v>
      </c>
      <c r="I2082" s="37">
        <v>1</v>
      </c>
      <c r="J2082" s="166">
        <f>ROUND(G2082*H2082*I2082,0)</f>
        <v>139115</v>
      </c>
    </row>
    <row r="2083" spans="1:10" x14ac:dyDescent="0.25">
      <c r="A2083" s="65">
        <f>'Công trình'!$A$275</f>
        <v>221</v>
      </c>
      <c r="B2083" s="14" t="str">
        <f>'Công trình'!$B$275</f>
        <v>AD.34130</v>
      </c>
      <c r="C2083" s="94"/>
      <c r="D2083" s="31"/>
      <c r="E2083" s="14" t="str">
        <f>'Công trình'!$C$275</f>
        <v>Lắp đặt dải phân cách bằng tôn lượn sóng</v>
      </c>
      <c r="F2083" s="46" t="str">
        <f>'Công trình'!$D$275</f>
        <v>m</v>
      </c>
      <c r="G2083" s="94"/>
      <c r="H2083" s="54"/>
      <c r="I2083" s="98"/>
      <c r="J2083" s="54"/>
    </row>
    <row r="2084" spans="1:10" x14ac:dyDescent="0.25">
      <c r="A2084" s="56"/>
      <c r="B2084" s="23"/>
      <c r="C2084" s="88"/>
      <c r="D2084" s="23"/>
      <c r="E2084" s="23" t="s">
        <v>479</v>
      </c>
      <c r="F2084" s="56"/>
      <c r="G2084" s="88"/>
      <c r="H2084" s="48"/>
      <c r="I2084" s="90"/>
      <c r="J2084" s="48">
        <f>ROUND(SUM(J2085:J2088),0)</f>
        <v>64128</v>
      </c>
    </row>
    <row r="2085" spans="1:10" x14ac:dyDescent="0.25">
      <c r="A2085" s="168"/>
      <c r="B2085" s="144"/>
      <c r="C2085" s="34">
        <v>114</v>
      </c>
      <c r="D2085" s="144" t="str">
        <f>'Vật liệu'!$B$15</f>
        <v>V00014</v>
      </c>
      <c r="E2085" s="144" t="str">
        <f>" - " &amp; 'Vật liệu'!$D$15</f>
        <v xml:space="preserve"> - Bu lông các loại</v>
      </c>
      <c r="F2085" s="168" t="str">
        <f>'Vật liệu'!$E$15</f>
        <v>cái</v>
      </c>
      <c r="G2085" s="34">
        <f>'Hao phí vật tư'!$G$2086</f>
        <v>0.4</v>
      </c>
      <c r="H2085" s="68">
        <f>'Vật liệu'!$W$15</f>
        <v>5000</v>
      </c>
      <c r="I2085" s="37">
        <v>1</v>
      </c>
      <c r="J2085" s="166">
        <f>ROUND(G2085*H2085*I2085,0)</f>
        <v>2000</v>
      </c>
    </row>
    <row r="2086" spans="1:10" x14ac:dyDescent="0.25">
      <c r="A2086" s="168"/>
      <c r="B2086" s="144"/>
      <c r="C2086" s="34">
        <v>469</v>
      </c>
      <c r="D2086" s="144" t="str">
        <f>'Vật liệu'!$B$700</f>
        <v>V32329</v>
      </c>
      <c r="E2086" s="144" t="str">
        <f>" - " &amp; 'Vật liệu'!$D$700</f>
        <v xml:space="preserve"> - Tôn lượn sóng dày 3mm</v>
      </c>
      <c r="F2086" s="168" t="str">
        <f>'Vật liệu'!$E$700</f>
        <v>m</v>
      </c>
      <c r="G2086" s="34">
        <f>'Hao phí vật tư'!$G$2087</f>
        <v>1</v>
      </c>
      <c r="H2086" s="68">
        <f>'Vật liệu'!$W$700</f>
        <v>53180</v>
      </c>
      <c r="I2086" s="37">
        <v>1</v>
      </c>
      <c r="J2086" s="166">
        <f>ROUND(G2086*H2086*I2086,0)</f>
        <v>53180</v>
      </c>
    </row>
    <row r="2087" spans="1:10" x14ac:dyDescent="0.25">
      <c r="A2087" s="168"/>
      <c r="B2087" s="144"/>
      <c r="C2087" s="34">
        <v>170</v>
      </c>
      <c r="D2087" s="144" t="str">
        <f>'Vật liệu'!$B$707</f>
        <v>V00688</v>
      </c>
      <c r="E2087" s="144" t="str">
        <f>" - " &amp; 'Vật liệu'!$D$707</f>
        <v xml:space="preserve"> - Trụ đỡ tôn lượn sóng</v>
      </c>
      <c r="F2087" s="168" t="str">
        <f>'Vật liệu'!$E$707</f>
        <v>cái</v>
      </c>
      <c r="G2087" s="34">
        <f>'Hao phí vật tư'!$G$2088</f>
        <v>0.2</v>
      </c>
      <c r="H2087" s="68">
        <f>'Vật liệu'!$W$707</f>
        <v>40000</v>
      </c>
      <c r="I2087" s="37">
        <v>1</v>
      </c>
      <c r="J2087" s="166">
        <f>ROUND(G2087*H2087*I2087,0)</f>
        <v>8000</v>
      </c>
    </row>
    <row r="2088" spans="1:10" x14ac:dyDescent="0.25">
      <c r="A2088" s="168"/>
      <c r="B2088" s="144"/>
      <c r="C2088" s="34">
        <v>332</v>
      </c>
      <c r="D2088" s="144" t="str">
        <f>'Vật liệu'!$B$766</f>
        <v>V00750</v>
      </c>
      <c r="E2088" s="144" t="str">
        <f>" - " &amp; 'Vật liệu'!$D$766</f>
        <v xml:space="preserve"> - Vật liệu khác</v>
      </c>
      <c r="F2088" s="168" t="str">
        <f>'Vật liệu'!$E$766</f>
        <v>%</v>
      </c>
      <c r="G2088" s="34">
        <f>'Hao phí vật tư'!$G$2089</f>
        <v>1.5</v>
      </c>
      <c r="H2088" s="166">
        <f>'Vật liệu'!$W$766</f>
        <v>0</v>
      </c>
      <c r="I2088" s="37">
        <v>1</v>
      </c>
      <c r="J2088" s="166">
        <f>ROUND((J2085+J2086+J2087)*G2088*I2088/100,0)</f>
        <v>948</v>
      </c>
    </row>
    <row r="2089" spans="1:10" x14ac:dyDescent="0.25">
      <c r="A2089" s="56"/>
      <c r="B2089" s="23"/>
      <c r="C2089" s="88"/>
      <c r="D2089" s="23"/>
      <c r="E2089" s="23" t="s">
        <v>202</v>
      </c>
      <c r="F2089" s="56"/>
      <c r="G2089" s="88"/>
      <c r="H2089" s="48"/>
      <c r="I2089" s="90"/>
      <c r="J2089" s="48">
        <f>ROUND(SUM(J2090:J2090),0)</f>
        <v>16803</v>
      </c>
    </row>
    <row r="2090" spans="1:10" x14ac:dyDescent="0.25">
      <c r="A2090" s="168"/>
      <c r="B2090" s="144"/>
      <c r="C2090" s="34">
        <v>555</v>
      </c>
      <c r="D2090" s="144" t="str">
        <f>'Nhân công'!$B$185</f>
        <v>N0020</v>
      </c>
      <c r="E2090" s="144" t="s">
        <v>625</v>
      </c>
      <c r="F2090" s="168" t="str">
        <f>'Nhân công'!$G$185</f>
        <v>công</v>
      </c>
      <c r="G2090" s="34">
        <f>'Hao phí vật tư'!$H$2091</f>
        <v>6.5000000000000002E-2</v>
      </c>
      <c r="H2090" s="68">
        <f>'Nhân công'!$M$185</f>
        <v>258500</v>
      </c>
      <c r="I2090" s="37">
        <v>1</v>
      </c>
      <c r="J2090" s="166">
        <f>ROUND(G2090*H2090*I2090,0)</f>
        <v>16803</v>
      </c>
    </row>
    <row r="2091" spans="1:10" x14ac:dyDescent="0.25">
      <c r="A2091" s="65">
        <f>'Công trình'!$A$276</f>
        <v>222</v>
      </c>
      <c r="B2091" s="14" t="str">
        <f>'Công trình'!$B$276</f>
        <v>TT</v>
      </c>
      <c r="C2091" s="94"/>
      <c r="D2091" s="31"/>
      <c r="E2091" s="14" t="str">
        <f>'Công trình'!$C$276</f>
        <v>Thép ống mã kẽm Ø90</v>
      </c>
      <c r="F2091" s="46" t="str">
        <f>'Công trình'!$D$276</f>
        <v>m</v>
      </c>
      <c r="G2091" s="94"/>
      <c r="H2091" s="54"/>
      <c r="I2091" s="98"/>
      <c r="J2091" s="54"/>
    </row>
    <row r="2092" spans="1:10" x14ac:dyDescent="0.25">
      <c r="A2092" s="56"/>
      <c r="B2092" s="23"/>
      <c r="C2092" s="88"/>
      <c r="D2092" s="23"/>
      <c r="E2092" s="23" t="s">
        <v>479</v>
      </c>
      <c r="F2092" s="56"/>
      <c r="G2092" s="88"/>
      <c r="H2092" s="48"/>
      <c r="I2092" s="90"/>
      <c r="J2092" s="48">
        <f>ROUND(SUM(J2093:J2093),0)</f>
        <v>48788</v>
      </c>
    </row>
    <row r="2093" spans="1:10" x14ac:dyDescent="0.25">
      <c r="A2093" s="168"/>
      <c r="B2093" s="144"/>
      <c r="C2093" s="34">
        <v>494</v>
      </c>
      <c r="D2093" s="144" t="str">
        <f>'Vật liệu'!$B$427</f>
        <v>V49002</v>
      </c>
      <c r="E2093" s="144" t="str">
        <f>" - " &amp; 'Vật liệu'!$D$427</f>
        <v xml:space="preserve"> - Ống sắt tráng kẽm fi 89</v>
      </c>
      <c r="F2093" s="168" t="str">
        <f>'Vật liệu'!$E$427</f>
        <v>m</v>
      </c>
      <c r="G2093" s="34">
        <f>'Hao phí vật tư'!$G$2094</f>
        <v>1</v>
      </c>
      <c r="H2093" s="68">
        <f>'Vật liệu'!$W$427</f>
        <v>48788</v>
      </c>
      <c r="I2093" s="37">
        <v>1</v>
      </c>
      <c r="J2093" s="166">
        <f>ROUND(G2093*H2093*I2093,0)</f>
        <v>48788</v>
      </c>
    </row>
    <row r="2094" spans="1:10" x14ac:dyDescent="0.25">
      <c r="A2094" s="65">
        <f>'Công trình'!$A$277</f>
        <v>223</v>
      </c>
      <c r="B2094" s="14" t="str">
        <f>'Công trình'!$B$277</f>
        <v>TT</v>
      </c>
      <c r="C2094" s="94"/>
      <c r="D2094" s="31"/>
      <c r="E2094" s="14" t="str">
        <f>'Công trình'!$C$277</f>
        <v>Phần đầu</v>
      </c>
      <c r="F2094" s="46" t="str">
        <f>'Công trình'!$D$277</f>
        <v>m</v>
      </c>
      <c r="G2094" s="94"/>
      <c r="H2094" s="54"/>
      <c r="I2094" s="98"/>
      <c r="J2094" s="54"/>
    </row>
    <row r="2095" spans="1:10" x14ac:dyDescent="0.25">
      <c r="A2095" s="56"/>
      <c r="B2095" s="23"/>
      <c r="C2095" s="88"/>
      <c r="D2095" s="23"/>
      <c r="E2095" s="23" t="s">
        <v>479</v>
      </c>
      <c r="F2095" s="56"/>
      <c r="G2095" s="88"/>
      <c r="H2095" s="48"/>
      <c r="I2095" s="90"/>
      <c r="J2095" s="48">
        <f>ROUND(SUM(J2096:J2096),0)</f>
        <v>35000</v>
      </c>
    </row>
    <row r="2096" spans="1:10" x14ac:dyDescent="0.25">
      <c r="A2096" s="168"/>
      <c r="B2096" s="144"/>
      <c r="C2096" s="34">
        <v>503</v>
      </c>
      <c r="D2096" s="144" t="str">
        <f>'Vật liệu'!$B$442</f>
        <v>V49002d</v>
      </c>
      <c r="E2096" s="144" t="str">
        <f>" - " &amp; 'Vật liệu'!$D$442</f>
        <v xml:space="preserve"> - Phần đầu</v>
      </c>
      <c r="F2096" s="168" t="str">
        <f>'Vật liệu'!$E$442</f>
        <v>m</v>
      </c>
      <c r="G2096" s="34">
        <f>'Hao phí vật tư'!$G$2097</f>
        <v>1</v>
      </c>
      <c r="H2096" s="68">
        <f>'Vật liệu'!$W$442</f>
        <v>35000</v>
      </c>
      <c r="I2096" s="37">
        <v>1</v>
      </c>
      <c r="J2096" s="166">
        <f>ROUND(G2096*H2096*I2096,0)</f>
        <v>35000</v>
      </c>
    </row>
    <row r="2097" spans="1:10" x14ac:dyDescent="0.25">
      <c r="A2097" s="65">
        <f>'Công trình'!$A$278</f>
        <v>224</v>
      </c>
      <c r="B2097" s="14" t="str">
        <f>'Công trình'!$B$278</f>
        <v>TT</v>
      </c>
      <c r="C2097" s="94"/>
      <c r="D2097" s="31"/>
      <c r="E2097" s="14" t="str">
        <f>'Công trình'!$C$278</f>
        <v>Cột U(160x160x5x1750)mm</v>
      </c>
      <c r="F2097" s="46" t="str">
        <f>'Công trình'!$D$278</f>
        <v>cái</v>
      </c>
      <c r="G2097" s="94"/>
      <c r="H2097" s="54"/>
      <c r="I2097" s="98"/>
      <c r="J2097" s="54"/>
    </row>
    <row r="2098" spans="1:10" x14ac:dyDescent="0.25">
      <c r="A2098" s="56"/>
      <c r="B2098" s="23"/>
      <c r="C2098" s="88"/>
      <c r="D2098" s="23"/>
      <c r="E2098" s="23" t="s">
        <v>479</v>
      </c>
      <c r="F2098" s="56"/>
      <c r="G2098" s="88"/>
      <c r="H2098" s="48"/>
      <c r="I2098" s="90"/>
      <c r="J2098" s="48">
        <f>ROUND(SUM(J2099:J2099),0)</f>
        <v>1080378</v>
      </c>
    </row>
    <row r="2099" spans="1:10" x14ac:dyDescent="0.25">
      <c r="A2099" s="168"/>
      <c r="B2099" s="144"/>
      <c r="C2099" s="34">
        <v>499</v>
      </c>
      <c r="D2099" s="144" t="str">
        <f>'Vật liệu'!$B$130</f>
        <v>V49002c</v>
      </c>
      <c r="E2099" s="144" t="str">
        <f>" - " &amp; 'Vật liệu'!$D$130</f>
        <v xml:space="preserve"> - Cột U(160x160x5x1750)mm</v>
      </c>
      <c r="F2099" s="168" t="str">
        <f>'Vật liệu'!$E$130</f>
        <v>cái</v>
      </c>
      <c r="G2099" s="34">
        <f>'Hao phí vật tư'!$G$2100</f>
        <v>1</v>
      </c>
      <c r="H2099" s="68">
        <f>'Vật liệu'!$W$130</f>
        <v>1080378</v>
      </c>
      <c r="I2099" s="37">
        <v>1</v>
      </c>
      <c r="J2099" s="166">
        <f>ROUND(G2099*H2099*I2099,0)</f>
        <v>1080378</v>
      </c>
    </row>
    <row r="2100" spans="1:10" x14ac:dyDescent="0.25">
      <c r="A2100" s="65">
        <f>'Công trình'!$A$279</f>
        <v>225</v>
      </c>
      <c r="B2100" s="14" t="str">
        <f>'Công trình'!$B$279</f>
        <v>TT</v>
      </c>
      <c r="C2100" s="94"/>
      <c r="D2100" s="31"/>
      <c r="E2100" s="14" t="str">
        <f>'Công trình'!$C$279</f>
        <v>Thép ống mã kẽm Ø90</v>
      </c>
      <c r="F2100" s="46" t="str">
        <f>'Công trình'!$D$279</f>
        <v>m</v>
      </c>
      <c r="G2100" s="94"/>
      <c r="H2100" s="54"/>
      <c r="I2100" s="98"/>
      <c r="J2100" s="54"/>
    </row>
    <row r="2101" spans="1:10" x14ac:dyDescent="0.25">
      <c r="A2101" s="56"/>
      <c r="B2101" s="23"/>
      <c r="C2101" s="88"/>
      <c r="D2101" s="23"/>
      <c r="E2101" s="23" t="s">
        <v>479</v>
      </c>
      <c r="F2101" s="56"/>
      <c r="G2101" s="88"/>
      <c r="H2101" s="48"/>
      <c r="I2101" s="90"/>
      <c r="J2101" s="48">
        <f>ROUND(SUM(J2102:J2102),0)</f>
        <v>48788</v>
      </c>
    </row>
    <row r="2102" spans="1:10" x14ac:dyDescent="0.25">
      <c r="A2102" s="168"/>
      <c r="B2102" s="144"/>
      <c r="C2102" s="34">
        <v>494</v>
      </c>
      <c r="D2102" s="144" t="str">
        <f>'Vật liệu'!$B$427</f>
        <v>V49002</v>
      </c>
      <c r="E2102" s="144" t="str">
        <f>" - " &amp; 'Vật liệu'!$D$427</f>
        <v xml:space="preserve"> - Ống sắt tráng kẽm fi 89</v>
      </c>
      <c r="F2102" s="168" t="str">
        <f>'Vật liệu'!$E$427</f>
        <v>m</v>
      </c>
      <c r="G2102" s="34">
        <f>'Hao phí vật tư'!$G$2103</f>
        <v>1</v>
      </c>
      <c r="H2102" s="68">
        <f>'Vật liệu'!$W$427</f>
        <v>48788</v>
      </c>
      <c r="I2102" s="37">
        <v>1</v>
      </c>
      <c r="J2102" s="166">
        <f>ROUND(G2102*H2102*I2102,0)</f>
        <v>48788</v>
      </c>
    </row>
    <row r="2103" spans="1:10" x14ac:dyDescent="0.25">
      <c r="A2103" s="65">
        <f>'Công trình'!$A$280</f>
        <v>226</v>
      </c>
      <c r="B2103" s="14" t="str">
        <f>'Công trình'!$B$280</f>
        <v>TT</v>
      </c>
      <c r="C2103" s="94"/>
      <c r="D2103" s="31"/>
      <c r="E2103" s="14" t="str">
        <f>'Công trình'!$C$280</f>
        <v>Đệm U(160x160x5x310)mm</v>
      </c>
      <c r="F2103" s="46" t="str">
        <f>'Công trình'!$D$280</f>
        <v>cái</v>
      </c>
      <c r="G2103" s="94"/>
      <c r="H2103" s="54"/>
      <c r="I2103" s="98"/>
      <c r="J2103" s="54"/>
    </row>
    <row r="2104" spans="1:10" x14ac:dyDescent="0.25">
      <c r="A2104" s="56"/>
      <c r="B2104" s="23"/>
      <c r="C2104" s="88"/>
      <c r="D2104" s="23"/>
      <c r="E2104" s="23" t="s">
        <v>479</v>
      </c>
      <c r="F2104" s="56"/>
      <c r="G2104" s="88"/>
      <c r="H2104" s="48"/>
      <c r="I2104" s="90"/>
      <c r="J2104" s="48">
        <f>ROUND(SUM(J2105:J2105),0)</f>
        <v>174000</v>
      </c>
    </row>
    <row r="2105" spans="1:10" x14ac:dyDescent="0.25">
      <c r="A2105" s="168"/>
      <c r="B2105" s="144"/>
      <c r="C2105" s="34">
        <v>507</v>
      </c>
      <c r="D2105" s="144" t="str">
        <f>'Vật liệu'!$B$266</f>
        <v>V49002de</v>
      </c>
      <c r="E2105" s="144" t="str">
        <f>" - " &amp; 'Vật liệu'!$D$266</f>
        <v xml:space="preserve"> - Đệm U(160x160x5x310)mm</v>
      </c>
      <c r="F2105" s="168" t="str">
        <f>'Vật liệu'!$E$266</f>
        <v>cái</v>
      </c>
      <c r="G2105" s="34">
        <f>'Hao phí vật tư'!$G$2106</f>
        <v>1</v>
      </c>
      <c r="H2105" s="68">
        <f>'Vật liệu'!$W$266</f>
        <v>174000</v>
      </c>
      <c r="I2105" s="37">
        <v>1</v>
      </c>
      <c r="J2105" s="166">
        <f>ROUND(G2105*H2105*I2105,0)</f>
        <v>174000</v>
      </c>
    </row>
    <row r="2106" spans="1:10" x14ac:dyDescent="0.25">
      <c r="A2106" s="65">
        <f>'Công trình'!$A$281</f>
        <v>227</v>
      </c>
      <c r="B2106" s="14" t="str">
        <f>'Công trình'!$B$281</f>
        <v>TT</v>
      </c>
      <c r="C2106" s="94"/>
      <c r="D2106" s="31"/>
      <c r="E2106" s="14" t="str">
        <f>'Công trình'!$C$281</f>
        <v>Bu long các loại</v>
      </c>
      <c r="F2106" s="46" t="str">
        <f>'Công trình'!$D$281</f>
        <v>bộ</v>
      </c>
      <c r="G2106" s="94"/>
      <c r="H2106" s="54"/>
      <c r="I2106" s="98"/>
      <c r="J2106" s="54"/>
    </row>
    <row r="2107" spans="1:10" x14ac:dyDescent="0.25">
      <c r="A2107" s="56"/>
      <c r="B2107" s="23"/>
      <c r="C2107" s="88"/>
      <c r="D2107" s="23"/>
      <c r="E2107" s="23" t="s">
        <v>479</v>
      </c>
      <c r="F2107" s="56"/>
      <c r="G2107" s="88"/>
      <c r="H2107" s="48"/>
      <c r="I2107" s="90"/>
      <c r="J2107" s="48">
        <f>ROUND(SUM(J2108:J2108),0)</f>
        <v>10000</v>
      </c>
    </row>
    <row r="2108" spans="1:10" x14ac:dyDescent="0.25">
      <c r="A2108" s="168"/>
      <c r="B2108" s="144"/>
      <c r="C2108" s="34">
        <v>113</v>
      </c>
      <c r="D2108" s="144" t="str">
        <f>'Vật liệu'!$B$12</f>
        <v>V00014</v>
      </c>
      <c r="E2108" s="144" t="str">
        <f>" - " &amp; 'Vật liệu'!$D$12</f>
        <v xml:space="preserve"> - Bu lông các loại</v>
      </c>
      <c r="F2108" s="168" t="str">
        <f>'Vật liệu'!$E$12</f>
        <v>cái</v>
      </c>
      <c r="G2108" s="34">
        <f>'Hao phí vật tư'!$G$2109</f>
        <v>1</v>
      </c>
      <c r="H2108" s="68">
        <f>'Vật liệu'!$W$12</f>
        <v>10000</v>
      </c>
      <c r="I2108" s="37">
        <v>1</v>
      </c>
      <c r="J2108" s="166">
        <f>ROUND(G2108*H2108*I2108,0)</f>
        <v>10000</v>
      </c>
    </row>
    <row r="2109" spans="1:10" x14ac:dyDescent="0.25">
      <c r="A2109" s="65">
        <f>'Công trình'!$A$282</f>
        <v>228</v>
      </c>
      <c r="B2109" s="14" t="str">
        <f>'Công trình'!$B$282</f>
        <v>TT</v>
      </c>
      <c r="C2109" s="94"/>
      <c r="D2109" s="31"/>
      <c r="E2109" s="14" t="str">
        <f>'Công trình'!$C$282</f>
        <v>Tiêu phản quang</v>
      </c>
      <c r="F2109" s="46" t="str">
        <f>'Công trình'!$D$282</f>
        <v>cái</v>
      </c>
      <c r="G2109" s="94"/>
      <c r="H2109" s="54"/>
      <c r="I2109" s="98"/>
      <c r="J2109" s="54"/>
    </row>
    <row r="2110" spans="1:10" x14ac:dyDescent="0.25">
      <c r="A2110" s="56"/>
      <c r="B2110" s="23"/>
      <c r="C2110" s="88"/>
      <c r="D2110" s="23"/>
      <c r="E2110" s="23" t="s">
        <v>479</v>
      </c>
      <c r="F2110" s="56"/>
      <c r="G2110" s="88"/>
      <c r="H2110" s="48"/>
      <c r="I2110" s="90"/>
      <c r="J2110" s="48">
        <f>ROUND(SUM(J2111:J2111),0)</f>
        <v>12000</v>
      </c>
    </row>
    <row r="2111" spans="1:10" x14ac:dyDescent="0.25">
      <c r="A2111" s="168"/>
      <c r="B2111" s="144"/>
      <c r="C2111" s="34">
        <v>118</v>
      </c>
      <c r="D2111" s="144" t="str">
        <f>'Vật liệu'!$B$698</f>
        <v>V00014pq</v>
      </c>
      <c r="E2111" s="144" t="str">
        <f>" - " &amp; 'Vật liệu'!$D$698</f>
        <v xml:space="preserve"> - Tiêu phản quang</v>
      </c>
      <c r="F2111" s="168" t="str">
        <f>'Vật liệu'!$E$698</f>
        <v>cái</v>
      </c>
      <c r="G2111" s="34">
        <f>'Hao phí vật tư'!$G$2112</f>
        <v>1</v>
      </c>
      <c r="H2111" s="68">
        <f>'Vật liệu'!$W$698</f>
        <v>12000</v>
      </c>
      <c r="I2111" s="37">
        <v>1</v>
      </c>
      <c r="J2111" s="166">
        <f>ROUND(G2111*H2111*I2111,0)</f>
        <v>12000</v>
      </c>
    </row>
    <row r="2112" spans="1:10" x14ac:dyDescent="0.25">
      <c r="A2112" s="65">
        <f>'Công trình'!$A$283</f>
        <v>229</v>
      </c>
      <c r="B2112" s="14" t="str">
        <f>'Công trình'!$B$283</f>
        <v>AK.90122</v>
      </c>
      <c r="C2112" s="94"/>
      <c r="D2112" s="31"/>
      <c r="E2112" s="14" t="str">
        <f>'Công trình'!$C$283</f>
        <v>Sơn trắng đỏ</v>
      </c>
      <c r="F2112" s="46" t="str">
        <f>'Công trình'!$D$283</f>
        <v>m2</v>
      </c>
      <c r="G2112" s="94"/>
      <c r="H2112" s="54"/>
      <c r="I2112" s="98"/>
      <c r="J2112" s="54"/>
    </row>
    <row r="2113" spans="1:10" x14ac:dyDescent="0.25">
      <c r="A2113" s="56"/>
      <c r="B2113" s="23"/>
      <c r="C2113" s="88"/>
      <c r="D2113" s="23"/>
      <c r="E2113" s="23" t="s">
        <v>479</v>
      </c>
      <c r="F2113" s="56"/>
      <c r="G2113" s="88"/>
      <c r="H2113" s="48"/>
      <c r="I2113" s="90"/>
      <c r="J2113" s="48">
        <f>ROUND(SUM(J2114:J2116),0)</f>
        <v>16676</v>
      </c>
    </row>
    <row r="2114" spans="1:10" x14ac:dyDescent="0.25">
      <c r="A2114" s="168"/>
      <c r="B2114" s="144"/>
      <c r="C2114" s="34">
        <v>518</v>
      </c>
      <c r="D2114" s="144" t="str">
        <f>'Vật liệu'!$B$541</f>
        <v>V74456</v>
      </c>
      <c r="E2114" s="144" t="str">
        <f>" - " &amp; 'Vật liệu'!$D$541</f>
        <v xml:space="preserve"> - Sơn phủ Joton Jony nội thất</v>
      </c>
      <c r="F2114" s="168" t="str">
        <f>'Vật liệu'!$E$541</f>
        <v>lít</v>
      </c>
      <c r="G2114" s="34">
        <f>'Hao phí vật tư'!$G$2115</f>
        <v>0.27</v>
      </c>
      <c r="H2114" s="68">
        <f>'Vật liệu'!$W$541</f>
        <v>22545</v>
      </c>
      <c r="I2114" s="37">
        <v>1</v>
      </c>
      <c r="J2114" s="166">
        <f>ROUND(G2114*H2114*I2114,0)</f>
        <v>6087</v>
      </c>
    </row>
    <row r="2115" spans="1:10" x14ac:dyDescent="0.25">
      <c r="A2115" s="168"/>
      <c r="B2115" s="144"/>
      <c r="C2115" s="34">
        <v>517</v>
      </c>
      <c r="D2115" s="144" t="str">
        <f>'Vật liệu'!$B$537</f>
        <v>V74434</v>
      </c>
      <c r="E2115" s="144" t="str">
        <f>" - " &amp; 'Vật liệu'!$D$537</f>
        <v xml:space="preserve"> - Sơn lót Joton Altin nội thất</v>
      </c>
      <c r="F2115" s="168" t="str">
        <f>'Vật liệu'!$E$537</f>
        <v>lít</v>
      </c>
      <c r="G2115" s="34">
        <f>'Hao phí vật tư'!$G$2116</f>
        <v>0.16400000000000001</v>
      </c>
      <c r="H2115" s="68">
        <f>'Vật liệu'!$W$537</f>
        <v>63564</v>
      </c>
      <c r="I2115" s="37">
        <v>1</v>
      </c>
      <c r="J2115" s="166">
        <f>ROUND(G2115*H2115*I2115,0)</f>
        <v>10424</v>
      </c>
    </row>
    <row r="2116" spans="1:10" x14ac:dyDescent="0.25">
      <c r="A2116" s="168"/>
      <c r="B2116" s="144"/>
      <c r="C2116" s="34">
        <v>333</v>
      </c>
      <c r="D2116" s="144" t="str">
        <f>'Vật liệu'!$B$766</f>
        <v>V00750</v>
      </c>
      <c r="E2116" s="144" t="str">
        <f>" - " &amp; 'Vật liệu'!$D$766</f>
        <v xml:space="preserve"> - Vật liệu khác</v>
      </c>
      <c r="F2116" s="168" t="str">
        <f>'Vật liệu'!$E$766</f>
        <v>%</v>
      </c>
      <c r="G2116" s="34">
        <f>'Hao phí vật tư'!$G$2117</f>
        <v>1</v>
      </c>
      <c r="H2116" s="166">
        <f>'Vật liệu'!$W$766</f>
        <v>0</v>
      </c>
      <c r="I2116" s="37">
        <v>1</v>
      </c>
      <c r="J2116" s="166">
        <f>ROUND((J2114+J2115)*G2116*I2116/100,0)</f>
        <v>165</v>
      </c>
    </row>
    <row r="2117" spans="1:10" x14ac:dyDescent="0.25">
      <c r="A2117" s="56"/>
      <c r="B2117" s="23"/>
      <c r="C2117" s="88"/>
      <c r="D2117" s="23"/>
      <c r="E2117" s="23" t="s">
        <v>202</v>
      </c>
      <c r="F2117" s="56"/>
      <c r="G2117" s="88"/>
      <c r="H2117" s="48"/>
      <c r="I2117" s="90"/>
      <c r="J2117" s="48">
        <f>ROUND(SUM(J2118:J2118),0)</f>
        <v>14048</v>
      </c>
    </row>
    <row r="2118" spans="1:10" x14ac:dyDescent="0.25">
      <c r="A2118" s="168"/>
      <c r="B2118" s="144"/>
      <c r="C2118" s="34">
        <v>546</v>
      </c>
      <c r="D2118" s="144" t="str">
        <f>'Nhân công'!$B$45</f>
        <v>N0009</v>
      </c>
      <c r="E2118" s="144" t="s">
        <v>1052</v>
      </c>
      <c r="F2118" s="168" t="str">
        <f>'Nhân công'!$G$45</f>
        <v>công</v>
      </c>
      <c r="G2118" s="34">
        <f>'Hao phí vật tư'!$H$2119</f>
        <v>6.6000000000000003E-2</v>
      </c>
      <c r="H2118" s="68">
        <f>'Nhân công'!$M$45</f>
        <v>212856</v>
      </c>
      <c r="I2118" s="37">
        <v>1</v>
      </c>
      <c r="J2118" s="166">
        <f>ROUND(G2118*H2118*I2118,0)</f>
        <v>14048</v>
      </c>
    </row>
    <row r="2119" spans="1:10" ht="28.5" x14ac:dyDescent="0.25">
      <c r="A2119" s="65">
        <f>'Công trình'!$A$284</f>
        <v>230</v>
      </c>
      <c r="B2119" s="14" t="str">
        <f>'Công trình'!$B$284</f>
        <v>AF.11213</v>
      </c>
      <c r="C2119" s="94"/>
      <c r="D2119" s="31"/>
      <c r="E2119" s="14" t="str">
        <f>'Công trình'!$C$284</f>
        <v>Bê tông móng rộng &lt;=250cm đá 1x2, vữa BT mác 200</v>
      </c>
      <c r="F2119" s="46" t="str">
        <f>'Công trình'!$D$284</f>
        <v>m3</v>
      </c>
      <c r="G2119" s="94"/>
      <c r="H2119" s="54"/>
      <c r="I2119" s="98"/>
      <c r="J2119" s="54"/>
    </row>
    <row r="2120" spans="1:10" x14ac:dyDescent="0.25">
      <c r="A2120" s="56"/>
      <c r="B2120" s="23"/>
      <c r="C2120" s="88"/>
      <c r="D2120" s="23"/>
      <c r="E2120" s="23" t="s">
        <v>479</v>
      </c>
      <c r="F2120" s="56"/>
      <c r="G2120" s="88"/>
      <c r="H2120" s="48"/>
      <c r="I2120" s="90"/>
      <c r="J2120" s="48">
        <f>ROUND(SUM(J2121:J2125),0)</f>
        <v>989296</v>
      </c>
    </row>
    <row r="2121" spans="1:10" x14ac:dyDescent="0.25">
      <c r="A2121" s="168"/>
      <c r="B2121" s="144"/>
      <c r="C2121" s="34">
        <v>397</v>
      </c>
      <c r="D2121" s="144" t="str">
        <f>'Vật liệu'!$B$721</f>
        <v>V00761</v>
      </c>
      <c r="E2121" s="144" t="str">
        <f>" - " &amp; 'Vật liệu'!$D$721</f>
        <v xml:space="preserve"> - Xi măng PC40</v>
      </c>
      <c r="F2121" s="168" t="str">
        <f>'Vật liệu'!$E$721</f>
        <v>kg</v>
      </c>
      <c r="G2121" s="34">
        <f>'Hao phí vật tư'!$G$2122</f>
        <v>288.02499999999998</v>
      </c>
      <c r="H2121" s="68">
        <f>'Vật liệu'!$W$721</f>
        <v>1513</v>
      </c>
      <c r="I2121" s="37">
        <v>1</v>
      </c>
      <c r="J2121" s="166">
        <f>ROUND(G2121*H2121*I2121,0)</f>
        <v>435782</v>
      </c>
    </row>
    <row r="2122" spans="1:10" x14ac:dyDescent="0.25">
      <c r="A2122" s="168"/>
      <c r="B2122" s="144"/>
      <c r="C2122" s="34">
        <v>125</v>
      </c>
      <c r="D2122" s="144" t="str">
        <f>'Vật liệu'!$B$54</f>
        <v>V00112</v>
      </c>
      <c r="E2122" s="144" t="str">
        <f>" - " &amp; 'Vật liệu'!$D$54</f>
        <v xml:space="preserve"> - Cát vàng</v>
      </c>
      <c r="F2122" s="168" t="str">
        <f>'Vật liệu'!$E$54</f>
        <v>m3</v>
      </c>
      <c r="G2122" s="34">
        <f>'Hao phí vật tư'!$G$2123</f>
        <v>0.50529999999999997</v>
      </c>
      <c r="H2122" s="68">
        <f>'Vật liệu'!$W$54</f>
        <v>420000</v>
      </c>
      <c r="I2122" s="37">
        <v>1</v>
      </c>
      <c r="J2122" s="166">
        <f>ROUND(G2122*H2122*I2122,0)</f>
        <v>212226</v>
      </c>
    </row>
    <row r="2123" spans="1:10" x14ac:dyDescent="0.25">
      <c r="A2123" s="168"/>
      <c r="B2123" s="144"/>
      <c r="C2123" s="34">
        <v>416</v>
      </c>
      <c r="D2123" s="144" t="str">
        <f>'Vật liệu'!$B$142</f>
        <v>V05207</v>
      </c>
      <c r="E2123" s="144" t="str">
        <f>" - " &amp; 'Vật liệu'!$D$142</f>
        <v xml:space="preserve"> - Đá 1x2</v>
      </c>
      <c r="F2123" s="168" t="str">
        <f>'Vật liệu'!$E$142</f>
        <v>m3</v>
      </c>
      <c r="G2123" s="34">
        <f>'Hao phí vật tư'!$G$2124</f>
        <v>0.9133</v>
      </c>
      <c r="H2123" s="68">
        <f>'Vật liệu'!$W$142</f>
        <v>360886</v>
      </c>
      <c r="I2123" s="37">
        <v>1</v>
      </c>
      <c r="J2123" s="166">
        <f>ROUND(G2123*H2123*I2123,0)</f>
        <v>329597</v>
      </c>
    </row>
    <row r="2124" spans="1:10" x14ac:dyDescent="0.25">
      <c r="A2124" s="168"/>
      <c r="B2124" s="144"/>
      <c r="C2124" s="34">
        <v>148</v>
      </c>
      <c r="D2124" s="144" t="str">
        <f>'Vật liệu'!$B$353</f>
        <v>V00494</v>
      </c>
      <c r="E2124" s="144" t="str">
        <f>" - " &amp; 'Vật liệu'!$D$353</f>
        <v xml:space="preserve"> - Nước</v>
      </c>
      <c r="F2124" s="168" t="str">
        <f>'Vật liệu'!$E$353</f>
        <v>lít</v>
      </c>
      <c r="G2124" s="34">
        <f>'Hao phí vật tư'!$G$2125</f>
        <v>189.625</v>
      </c>
      <c r="H2124" s="68">
        <f>'Vật liệu'!$W$353</f>
        <v>10</v>
      </c>
      <c r="I2124" s="37">
        <v>1</v>
      </c>
      <c r="J2124" s="166">
        <f>ROUND(G2124*H2124*I2124,0)</f>
        <v>1896</v>
      </c>
    </row>
    <row r="2125" spans="1:10" x14ac:dyDescent="0.25">
      <c r="A2125" s="168"/>
      <c r="B2125" s="144"/>
      <c r="C2125" s="34">
        <v>335</v>
      </c>
      <c r="D2125" s="144" t="str">
        <f>'Vật liệu'!$B$766</f>
        <v>V00750</v>
      </c>
      <c r="E2125" s="144" t="str">
        <f>" - " &amp; 'Vật liệu'!$D$766</f>
        <v xml:space="preserve"> - Vật liệu khác</v>
      </c>
      <c r="F2125" s="168" t="str">
        <f>'Vật liệu'!$E$766</f>
        <v>%</v>
      </c>
      <c r="G2125" s="34">
        <f>'Hao phí vật tư'!$G$2126</f>
        <v>1</v>
      </c>
      <c r="H2125" s="166">
        <f>'Vật liệu'!$W$766</f>
        <v>0</v>
      </c>
      <c r="I2125" s="37">
        <v>1</v>
      </c>
      <c r="J2125" s="166">
        <f>ROUND((J2121+J2122+J2123+J2124)*G2125*I2125/100,0)</f>
        <v>9795</v>
      </c>
    </row>
    <row r="2126" spans="1:10" x14ac:dyDescent="0.25">
      <c r="A2126" s="56"/>
      <c r="B2126" s="23"/>
      <c r="C2126" s="88"/>
      <c r="D2126" s="23"/>
      <c r="E2126" s="23" t="s">
        <v>202</v>
      </c>
      <c r="F2126" s="56"/>
      <c r="G2126" s="88"/>
      <c r="H2126" s="48"/>
      <c r="I2126" s="90"/>
      <c r="J2126" s="48">
        <f>ROUND(SUM(J2127:J2127),0)</f>
        <v>320179</v>
      </c>
    </row>
    <row r="2127" spans="1:10" x14ac:dyDescent="0.25">
      <c r="A2127" s="168"/>
      <c r="B2127" s="144"/>
      <c r="C2127" s="34">
        <v>545</v>
      </c>
      <c r="D2127" s="144" t="str">
        <f>'Nhân công'!$B$6</f>
        <v>N0006</v>
      </c>
      <c r="E2127" s="144" t="s">
        <v>256</v>
      </c>
      <c r="F2127" s="168" t="str">
        <f>'Nhân công'!$G$6</f>
        <v>công</v>
      </c>
      <c r="G2127" s="34">
        <f>'Hao phí vật tư'!$H$2128</f>
        <v>1.64</v>
      </c>
      <c r="H2127" s="68">
        <f>'Nhân công'!$M$6</f>
        <v>195231</v>
      </c>
      <c r="I2127" s="37">
        <v>1</v>
      </c>
      <c r="J2127" s="166">
        <f>ROUND(G2127*H2127*I2127,0)</f>
        <v>320179</v>
      </c>
    </row>
    <row r="2128" spans="1:10" x14ac:dyDescent="0.25">
      <c r="A2128" s="56"/>
      <c r="B2128" s="23"/>
      <c r="C2128" s="88"/>
      <c r="D2128" s="23"/>
      <c r="E2128" s="23" t="s">
        <v>378</v>
      </c>
      <c r="F2128" s="56"/>
      <c r="G2128" s="88"/>
      <c r="H2128" s="48"/>
      <c r="I2128" s="90"/>
      <c r="J2128" s="48">
        <f>ROUND(SUM(J2129:J2130),0)</f>
        <v>47495</v>
      </c>
    </row>
    <row r="2129" spans="1:10" x14ac:dyDescent="0.25">
      <c r="A2129" s="168"/>
      <c r="B2129" s="144"/>
      <c r="C2129" s="34">
        <v>750</v>
      </c>
      <c r="D2129" s="144" t="str">
        <f>'Máy thi công'!$B$232</f>
        <v>M9571</v>
      </c>
      <c r="E2129" s="144" t="str">
        <f>" - " &amp; 'Máy thi công'!$D$232</f>
        <v xml:space="preserve"> - Máy đầm bê tông, dầm dùi - công suất: 1,5 kW</v>
      </c>
      <c r="F2129" s="168" t="str">
        <f>'Máy thi công'!$E$232</f>
        <v>ca</v>
      </c>
      <c r="G2129" s="34">
        <f>'Hao phí vật tư'!$I$2130</f>
        <v>8.8999999999999996E-2</v>
      </c>
      <c r="H2129" s="68">
        <f>'Máy thi công'!$N$232</f>
        <v>225765</v>
      </c>
      <c r="I2129" s="37">
        <v>1</v>
      </c>
      <c r="J2129" s="166">
        <f>ROUND(G2129*H2129*I2129,0)</f>
        <v>20093</v>
      </c>
    </row>
    <row r="2130" spans="1:10" x14ac:dyDescent="0.25">
      <c r="A2130" s="168"/>
      <c r="B2130" s="144"/>
      <c r="C2130" s="34">
        <v>744</v>
      </c>
      <c r="D2130" s="144" t="str">
        <f>'Máy thi công'!$B$306</f>
        <v>M9555</v>
      </c>
      <c r="E2130" s="144" t="str">
        <f>" - " &amp; 'Máy thi công'!$D$306</f>
        <v xml:space="preserve"> - Máy trộn bê tông - dung tích: 250 lít</v>
      </c>
      <c r="F2130" s="168" t="str">
        <f>'Máy thi công'!$E$306</f>
        <v>ca</v>
      </c>
      <c r="G2130" s="34">
        <f>'Hao phí vật tư'!$I$2131</f>
        <v>9.5000000000000001E-2</v>
      </c>
      <c r="H2130" s="68">
        <f>'Máy thi công'!$N$306</f>
        <v>288447</v>
      </c>
      <c r="I2130" s="37">
        <v>1</v>
      </c>
      <c r="J2130" s="166">
        <f>ROUND(G2130*H2130*I2130,0)</f>
        <v>27402</v>
      </c>
    </row>
    <row r="2131" spans="1:10" ht="28.5" x14ac:dyDescent="0.25">
      <c r="A2131" s="65">
        <f>'Công trình'!$A$285</f>
        <v>231</v>
      </c>
      <c r="B2131" s="14" t="str">
        <f>'Công trình'!$B$285</f>
        <v>AF.11212</v>
      </c>
      <c r="C2131" s="94"/>
      <c r="D2131" s="31"/>
      <c r="E2131" s="14" t="str">
        <f>'Công trình'!$C$285</f>
        <v>Bê tông móng rộng &lt;=250cm đá 1x2, vữa BT mác 150</v>
      </c>
      <c r="F2131" s="46" t="str">
        <f>'Công trình'!$D$285</f>
        <v>m3</v>
      </c>
      <c r="G2131" s="94"/>
      <c r="H2131" s="54"/>
      <c r="I2131" s="98"/>
      <c r="J2131" s="54"/>
    </row>
    <row r="2132" spans="1:10" x14ac:dyDescent="0.25">
      <c r="A2132" s="56"/>
      <c r="B2132" s="23"/>
      <c r="C2132" s="88"/>
      <c r="D2132" s="23"/>
      <c r="E2132" s="23" t="s">
        <v>479</v>
      </c>
      <c r="F2132" s="56"/>
      <c r="G2132" s="88"/>
      <c r="H2132" s="48"/>
      <c r="I2132" s="90"/>
      <c r="J2132" s="48">
        <f>ROUND(SUM(J2133:J2137),0)</f>
        <v>926019</v>
      </c>
    </row>
    <row r="2133" spans="1:10" x14ac:dyDescent="0.25">
      <c r="A2133" s="168"/>
      <c r="B2133" s="144"/>
      <c r="C2133" s="34">
        <v>397</v>
      </c>
      <c r="D2133" s="144" t="str">
        <f>'Vật liệu'!$B$721</f>
        <v>V00761</v>
      </c>
      <c r="E2133" s="144" t="str">
        <f>" - " &amp; 'Vật liệu'!$D$721</f>
        <v xml:space="preserve"> - Xi măng PC40</v>
      </c>
      <c r="F2133" s="168" t="str">
        <f>'Vật liệu'!$E$721</f>
        <v>kg</v>
      </c>
      <c r="G2133" s="34">
        <f>'Hao phí vật tư'!$G$2134</f>
        <v>238.82499999999999</v>
      </c>
      <c r="H2133" s="68">
        <f>'Vật liệu'!$W$721</f>
        <v>1513</v>
      </c>
      <c r="I2133" s="37">
        <v>1</v>
      </c>
      <c r="J2133" s="166">
        <f>ROUND(G2133*H2133*I2133,0)</f>
        <v>361342</v>
      </c>
    </row>
    <row r="2134" spans="1:10" x14ac:dyDescent="0.25">
      <c r="A2134" s="168"/>
      <c r="B2134" s="144"/>
      <c r="C2134" s="34">
        <v>125</v>
      </c>
      <c r="D2134" s="144" t="str">
        <f>'Vật liệu'!$B$54</f>
        <v>V00112</v>
      </c>
      <c r="E2134" s="144" t="str">
        <f>" - " &amp; 'Vật liệu'!$D$54</f>
        <v xml:space="preserve"> - Cát vàng</v>
      </c>
      <c r="F2134" s="168" t="str">
        <f>'Vật liệu'!$E$54</f>
        <v>m3</v>
      </c>
      <c r="G2134" s="34">
        <f>'Hao phí vật tư'!$G$2135</f>
        <v>0.52280000000000004</v>
      </c>
      <c r="H2134" s="68">
        <f>'Vật liệu'!$W$54</f>
        <v>420000</v>
      </c>
      <c r="I2134" s="37">
        <v>1</v>
      </c>
      <c r="J2134" s="166">
        <f>ROUND(G2134*H2134*I2134,0)</f>
        <v>219576</v>
      </c>
    </row>
    <row r="2135" spans="1:10" x14ac:dyDescent="0.25">
      <c r="A2135" s="168"/>
      <c r="B2135" s="144"/>
      <c r="C2135" s="34">
        <v>416</v>
      </c>
      <c r="D2135" s="144" t="str">
        <f>'Vật liệu'!$B$142</f>
        <v>V05207</v>
      </c>
      <c r="E2135" s="144" t="str">
        <f>" - " &amp; 'Vật liệu'!$D$142</f>
        <v xml:space="preserve"> - Đá 1x2</v>
      </c>
      <c r="F2135" s="168" t="str">
        <f>'Vật liệu'!$E$142</f>
        <v>m3</v>
      </c>
      <c r="G2135" s="34">
        <f>'Hao phí vật tư'!$G$2136</f>
        <v>0.92559999999999998</v>
      </c>
      <c r="H2135" s="68">
        <f>'Vật liệu'!$W$142</f>
        <v>360886</v>
      </c>
      <c r="I2135" s="37">
        <v>1</v>
      </c>
      <c r="J2135" s="166">
        <f>ROUND(G2135*H2135*I2135,0)</f>
        <v>334036</v>
      </c>
    </row>
    <row r="2136" spans="1:10" x14ac:dyDescent="0.25">
      <c r="A2136" s="168"/>
      <c r="B2136" s="144"/>
      <c r="C2136" s="34">
        <v>148</v>
      </c>
      <c r="D2136" s="144" t="str">
        <f>'Vật liệu'!$B$353</f>
        <v>V00494</v>
      </c>
      <c r="E2136" s="144" t="str">
        <f>" - " &amp; 'Vật liệu'!$D$353</f>
        <v xml:space="preserve"> - Nước</v>
      </c>
      <c r="F2136" s="168" t="str">
        <f>'Vật liệu'!$E$353</f>
        <v>lít</v>
      </c>
      <c r="G2136" s="34">
        <f>'Hao phí vật tư'!$G$2137</f>
        <v>189.625</v>
      </c>
      <c r="H2136" s="68">
        <f>'Vật liệu'!$W$353</f>
        <v>10</v>
      </c>
      <c r="I2136" s="37">
        <v>1</v>
      </c>
      <c r="J2136" s="166">
        <f>ROUND(G2136*H2136*I2136,0)</f>
        <v>1896</v>
      </c>
    </row>
    <row r="2137" spans="1:10" x14ac:dyDescent="0.25">
      <c r="A2137" s="168"/>
      <c r="B2137" s="144"/>
      <c r="C2137" s="34">
        <v>336</v>
      </c>
      <c r="D2137" s="144" t="str">
        <f>'Vật liệu'!$B$766</f>
        <v>V00750</v>
      </c>
      <c r="E2137" s="144" t="str">
        <f>" - " &amp; 'Vật liệu'!$D$766</f>
        <v xml:space="preserve"> - Vật liệu khác</v>
      </c>
      <c r="F2137" s="168" t="str">
        <f>'Vật liệu'!$E$766</f>
        <v>%</v>
      </c>
      <c r="G2137" s="34">
        <f>'Hao phí vật tư'!$G$2138</f>
        <v>1</v>
      </c>
      <c r="H2137" s="166">
        <f>'Vật liệu'!$W$766</f>
        <v>0</v>
      </c>
      <c r="I2137" s="37">
        <v>1</v>
      </c>
      <c r="J2137" s="166">
        <f>ROUND((J2133+J2134+J2135+J2136)*G2137*I2137/100,0)</f>
        <v>9169</v>
      </c>
    </row>
    <row r="2138" spans="1:10" x14ac:dyDescent="0.25">
      <c r="A2138" s="56"/>
      <c r="B2138" s="23"/>
      <c r="C2138" s="88"/>
      <c r="D2138" s="23"/>
      <c r="E2138" s="23" t="s">
        <v>202</v>
      </c>
      <c r="F2138" s="56"/>
      <c r="G2138" s="88"/>
      <c r="H2138" s="48"/>
      <c r="I2138" s="90"/>
      <c r="J2138" s="48">
        <f>ROUND(SUM(J2139:J2139),0)</f>
        <v>320179</v>
      </c>
    </row>
    <row r="2139" spans="1:10" x14ac:dyDescent="0.25">
      <c r="A2139" s="168"/>
      <c r="B2139" s="144"/>
      <c r="C2139" s="34">
        <v>545</v>
      </c>
      <c r="D2139" s="144" t="str">
        <f>'Nhân công'!$B$6</f>
        <v>N0006</v>
      </c>
      <c r="E2139" s="144" t="s">
        <v>256</v>
      </c>
      <c r="F2139" s="168" t="str">
        <f>'Nhân công'!$G$6</f>
        <v>công</v>
      </c>
      <c r="G2139" s="34">
        <f>'Hao phí vật tư'!$H$2140</f>
        <v>1.64</v>
      </c>
      <c r="H2139" s="68">
        <f>'Nhân công'!$M$6</f>
        <v>195231</v>
      </c>
      <c r="I2139" s="37">
        <v>1</v>
      </c>
      <c r="J2139" s="166">
        <f>ROUND(G2139*H2139*I2139,0)</f>
        <v>320179</v>
      </c>
    </row>
    <row r="2140" spans="1:10" x14ac:dyDescent="0.25">
      <c r="A2140" s="56"/>
      <c r="B2140" s="23"/>
      <c r="C2140" s="88"/>
      <c r="D2140" s="23"/>
      <c r="E2140" s="23" t="s">
        <v>378</v>
      </c>
      <c r="F2140" s="56"/>
      <c r="G2140" s="88"/>
      <c r="H2140" s="48"/>
      <c r="I2140" s="90"/>
      <c r="J2140" s="48">
        <f>ROUND(SUM(J2141:J2142),0)</f>
        <v>47495</v>
      </c>
    </row>
    <row r="2141" spans="1:10" x14ac:dyDescent="0.25">
      <c r="A2141" s="168"/>
      <c r="B2141" s="144"/>
      <c r="C2141" s="34">
        <v>750</v>
      </c>
      <c r="D2141" s="144" t="str">
        <f>'Máy thi công'!$B$232</f>
        <v>M9571</v>
      </c>
      <c r="E2141" s="144" t="str">
        <f>" - " &amp; 'Máy thi công'!$D$232</f>
        <v xml:space="preserve"> - Máy đầm bê tông, dầm dùi - công suất: 1,5 kW</v>
      </c>
      <c r="F2141" s="168" t="str">
        <f>'Máy thi công'!$E$232</f>
        <v>ca</v>
      </c>
      <c r="G2141" s="34">
        <f>'Hao phí vật tư'!$I$2142</f>
        <v>8.8999999999999996E-2</v>
      </c>
      <c r="H2141" s="68">
        <f>'Máy thi công'!$N$232</f>
        <v>225765</v>
      </c>
      <c r="I2141" s="37">
        <v>1</v>
      </c>
      <c r="J2141" s="166">
        <f>ROUND(G2141*H2141*I2141,0)</f>
        <v>20093</v>
      </c>
    </row>
    <row r="2142" spans="1:10" x14ac:dyDescent="0.25">
      <c r="A2142" s="168"/>
      <c r="B2142" s="144"/>
      <c r="C2142" s="34">
        <v>744</v>
      </c>
      <c r="D2142" s="144" t="str">
        <f>'Máy thi công'!$B$306</f>
        <v>M9555</v>
      </c>
      <c r="E2142" s="144" t="str">
        <f>" - " &amp; 'Máy thi công'!$D$306</f>
        <v xml:space="preserve"> - Máy trộn bê tông - dung tích: 250 lít</v>
      </c>
      <c r="F2142" s="168" t="str">
        <f>'Máy thi công'!$E$306</f>
        <v>ca</v>
      </c>
      <c r="G2142" s="34">
        <f>'Hao phí vật tư'!$I$2143</f>
        <v>9.5000000000000001E-2</v>
      </c>
      <c r="H2142" s="68">
        <f>'Máy thi công'!$N$306</f>
        <v>288447</v>
      </c>
      <c r="I2142" s="37">
        <v>1</v>
      </c>
      <c r="J2142" s="166">
        <f>ROUND(G2142*H2142*I2142,0)</f>
        <v>27402</v>
      </c>
    </row>
    <row r="2143" spans="1:10" x14ac:dyDescent="0.25">
      <c r="A2143" s="65">
        <f>'Công trình'!$A$286</f>
        <v>232</v>
      </c>
      <c r="B2143" s="14" t="str">
        <f>'Công trình'!$B$286</f>
        <v>AK.41124</v>
      </c>
      <c r="C2143" s="94"/>
      <c r="D2143" s="31"/>
      <c r="E2143" s="14" t="str">
        <f>'Công trình'!$C$286</f>
        <v>Vữa lót M75 dày 3cm</v>
      </c>
      <c r="F2143" s="46" t="str">
        <f>'Công trình'!$D$286</f>
        <v>m2</v>
      </c>
      <c r="G2143" s="94"/>
      <c r="H2143" s="54"/>
      <c r="I2143" s="98"/>
      <c r="J2143" s="54"/>
    </row>
    <row r="2144" spans="1:10" x14ac:dyDescent="0.25">
      <c r="A2144" s="56"/>
      <c r="B2144" s="23"/>
      <c r="C2144" s="88"/>
      <c r="D2144" s="23"/>
      <c r="E2144" s="23" t="s">
        <v>479</v>
      </c>
      <c r="F2144" s="56"/>
      <c r="G2144" s="88"/>
      <c r="H2144" s="48"/>
      <c r="I2144" s="90"/>
      <c r="J2144" s="48">
        <f>ROUND(SUM(J2145:J2147),0)</f>
        <v>28745</v>
      </c>
    </row>
    <row r="2145" spans="1:10" x14ac:dyDescent="0.25">
      <c r="A2145" s="168"/>
      <c r="B2145" s="144"/>
      <c r="C2145" s="34">
        <v>397</v>
      </c>
      <c r="D2145" s="144" t="str">
        <f>'Vật liệu'!$B$721</f>
        <v>V00761</v>
      </c>
      <c r="E2145" s="144" t="str">
        <f>" - " &amp; 'Vật liệu'!$D$721</f>
        <v xml:space="preserve"> - Xi măng PC40</v>
      </c>
      <c r="F2145" s="168" t="str">
        <f>'Vật liệu'!$E$721</f>
        <v>kg</v>
      </c>
      <c r="G2145" s="34">
        <f>'Hao phí vật tư'!$G$2146</f>
        <v>7.9457000000000004</v>
      </c>
      <c r="H2145" s="68">
        <f>'Vật liệu'!$W$721</f>
        <v>1513</v>
      </c>
      <c r="I2145" s="37">
        <v>1</v>
      </c>
      <c r="J2145" s="166">
        <f>ROUND(G2145*H2145*I2145,0)</f>
        <v>12022</v>
      </c>
    </row>
    <row r="2146" spans="1:10" x14ac:dyDescent="0.25">
      <c r="A2146" s="168"/>
      <c r="B2146" s="144"/>
      <c r="C2146" s="34">
        <v>125</v>
      </c>
      <c r="D2146" s="144" t="str">
        <f>'Vật liệu'!$B$54</f>
        <v>V00112</v>
      </c>
      <c r="E2146" s="144" t="str">
        <f>" - " &amp; 'Vật liệu'!$D$54</f>
        <v xml:space="preserve"> - Cát vàng</v>
      </c>
      <c r="F2146" s="168" t="str">
        <f>'Vật liệu'!$E$54</f>
        <v>m3</v>
      </c>
      <c r="G2146" s="34">
        <f>'Hao phí vật tư'!$G$2147</f>
        <v>3.9600000000000003E-2</v>
      </c>
      <c r="H2146" s="68">
        <f>'Vật liệu'!$W$54</f>
        <v>420000</v>
      </c>
      <c r="I2146" s="37">
        <v>1</v>
      </c>
      <c r="J2146" s="166">
        <f>ROUND(G2146*H2146*I2146,0)</f>
        <v>16632</v>
      </c>
    </row>
    <row r="2147" spans="1:10" x14ac:dyDescent="0.25">
      <c r="A2147" s="168"/>
      <c r="B2147" s="144"/>
      <c r="C2147" s="34">
        <v>148</v>
      </c>
      <c r="D2147" s="144" t="str">
        <f>'Vật liệu'!$B$353</f>
        <v>V00494</v>
      </c>
      <c r="E2147" s="144" t="str">
        <f>" - " &amp; 'Vật liệu'!$D$353</f>
        <v xml:space="preserve"> - Nước</v>
      </c>
      <c r="F2147" s="168" t="str">
        <f>'Vật liệu'!$E$353</f>
        <v>lít</v>
      </c>
      <c r="G2147" s="34">
        <f>'Hao phí vật tư'!$G$2148</f>
        <v>9.1</v>
      </c>
      <c r="H2147" s="68">
        <f>'Vật liệu'!$W$353</f>
        <v>10</v>
      </c>
      <c r="I2147" s="37">
        <v>1</v>
      </c>
      <c r="J2147" s="166">
        <f>ROUND(G2147*H2147*I2147,0)</f>
        <v>91</v>
      </c>
    </row>
    <row r="2148" spans="1:10" x14ac:dyDescent="0.25">
      <c r="A2148" s="56"/>
      <c r="B2148" s="23"/>
      <c r="C2148" s="88"/>
      <c r="D2148" s="23"/>
      <c r="E2148" s="23" t="s">
        <v>202</v>
      </c>
      <c r="F2148" s="56"/>
      <c r="G2148" s="88"/>
      <c r="H2148" s="48"/>
      <c r="I2148" s="90"/>
      <c r="J2148" s="48">
        <f>ROUND(SUM(J2149:J2149),0)</f>
        <v>24431</v>
      </c>
    </row>
    <row r="2149" spans="1:10" x14ac:dyDescent="0.25">
      <c r="A2149" s="168"/>
      <c r="B2149" s="144"/>
      <c r="C2149" s="34">
        <v>550</v>
      </c>
      <c r="D2149" s="144" t="str">
        <f>'Nhân công'!$B$130</f>
        <v>N0011</v>
      </c>
      <c r="E2149" s="144" t="s">
        <v>671</v>
      </c>
      <c r="F2149" s="168" t="str">
        <f>'Nhân công'!$G$130</f>
        <v>công</v>
      </c>
      <c r="G2149" s="34">
        <f>'Hao phí vật tư'!$H$2150</f>
        <v>0.106</v>
      </c>
      <c r="H2149" s="68">
        <f>'Nhân công'!$M$130</f>
        <v>230481</v>
      </c>
      <c r="I2149" s="37">
        <v>1</v>
      </c>
      <c r="J2149" s="166">
        <f>ROUND(G2149*H2149*I2149,0)</f>
        <v>24431</v>
      </c>
    </row>
    <row r="2150" spans="1:10" x14ac:dyDescent="0.25">
      <c r="A2150" s="56"/>
      <c r="B2150" s="23"/>
      <c r="C2150" s="88"/>
      <c r="D2150" s="23"/>
      <c r="E2150" s="23" t="s">
        <v>378</v>
      </c>
      <c r="F2150" s="56"/>
      <c r="G2150" s="88"/>
      <c r="H2150" s="48"/>
      <c r="I2150" s="90"/>
      <c r="J2150" s="48">
        <f>ROUND(SUM(J2151:J2151),0)</f>
        <v>932</v>
      </c>
    </row>
    <row r="2151" spans="1:10" x14ac:dyDescent="0.25">
      <c r="A2151" s="168"/>
      <c r="B2151" s="144"/>
      <c r="C2151" s="34">
        <v>745</v>
      </c>
      <c r="D2151" s="144" t="str">
        <f>'Máy thi công'!$B$341</f>
        <v>M9558</v>
      </c>
      <c r="E2151" s="144" t="str">
        <f>" - " &amp; 'Máy thi công'!$D$341</f>
        <v xml:space="preserve"> - Máy trộn vữa - dung tích: 80 lít</v>
      </c>
      <c r="F2151" s="168" t="str">
        <f>'Máy thi công'!$E$341</f>
        <v>ca</v>
      </c>
      <c r="G2151" s="34">
        <f>'Hao phí vật tư'!$I$2152</f>
        <v>4.0000000000000001E-3</v>
      </c>
      <c r="H2151" s="68">
        <f>'Máy thi công'!$N$341</f>
        <v>232983</v>
      </c>
      <c r="I2151" s="37">
        <v>1</v>
      </c>
      <c r="J2151" s="166">
        <f>ROUND(G2151*H2151*I2151,0)</f>
        <v>932</v>
      </c>
    </row>
    <row r="2152" spans="1:10" x14ac:dyDescent="0.25">
      <c r="A2152" s="65">
        <f>'Công trình'!$A$287</f>
        <v>233</v>
      </c>
      <c r="B2152" s="14" t="str">
        <f>'Công trình'!$B$287</f>
        <v>AF.82511</v>
      </c>
      <c r="C2152" s="94"/>
      <c r="D2152" s="31"/>
      <c r="E2152" s="14" t="str">
        <f>'Công trình'!$C$287</f>
        <v>Ván khuôn móng</v>
      </c>
      <c r="F2152" s="46" t="str">
        <f>'Công trình'!$D$287</f>
        <v>100m2</v>
      </c>
      <c r="G2152" s="94"/>
      <c r="H2152" s="54"/>
      <c r="I2152" s="98"/>
      <c r="J2152" s="54"/>
    </row>
    <row r="2153" spans="1:10" x14ac:dyDescent="0.25">
      <c r="A2153" s="56"/>
      <c r="B2153" s="23"/>
      <c r="C2153" s="88"/>
      <c r="D2153" s="23"/>
      <c r="E2153" s="23" t="s">
        <v>479</v>
      </c>
      <c r="F2153" s="56"/>
      <c r="G2153" s="88"/>
      <c r="H2153" s="48"/>
      <c r="I2153" s="90"/>
      <c r="J2153" s="48">
        <f>ROUND(SUM(J2154:J2156),0)</f>
        <v>1255185</v>
      </c>
    </row>
    <row r="2154" spans="1:10" x14ac:dyDescent="0.25">
      <c r="A2154" s="168"/>
      <c r="B2154" s="144"/>
      <c r="C2154" s="34">
        <v>160</v>
      </c>
      <c r="D2154" s="144" t="str">
        <f>'Vật liệu'!$B$556</f>
        <v>V00641</v>
      </c>
      <c r="E2154" s="144" t="str">
        <f>" - " &amp; 'Vật liệu'!$D$556</f>
        <v xml:space="preserve"> - Thép hình</v>
      </c>
      <c r="F2154" s="168" t="str">
        <f>'Vật liệu'!$E$556</f>
        <v>kg</v>
      </c>
      <c r="G2154" s="34">
        <f>'Hao phí vật tư'!$G$2155</f>
        <v>32.020000000000003</v>
      </c>
      <c r="H2154" s="68">
        <f>'Vật liệu'!$W$556</f>
        <v>15291</v>
      </c>
      <c r="I2154" s="37">
        <v>1</v>
      </c>
      <c r="J2154" s="166">
        <f>ROUND(G2154*H2154*I2154,0)</f>
        <v>489618</v>
      </c>
    </row>
    <row r="2155" spans="1:10" x14ac:dyDescent="0.25">
      <c r="A2155" s="168"/>
      <c r="B2155" s="144"/>
      <c r="C2155" s="34">
        <v>166</v>
      </c>
      <c r="D2155" s="144" t="str">
        <f>'Vật liệu'!$B$606</f>
        <v>V00671</v>
      </c>
      <c r="E2155" s="144" t="str">
        <f>" - " &amp; 'Vật liệu'!$D$606</f>
        <v xml:space="preserve"> - Thép tấm</v>
      </c>
      <c r="F2155" s="168" t="str">
        <f>'Vật liệu'!$E$606</f>
        <v>kg</v>
      </c>
      <c r="G2155" s="34">
        <f>'Hao phí vật tư'!$G$2156</f>
        <v>51.81</v>
      </c>
      <c r="H2155" s="68">
        <f>'Vật liệu'!$W$606</f>
        <v>12574</v>
      </c>
      <c r="I2155" s="37">
        <v>1</v>
      </c>
      <c r="J2155" s="166">
        <f>ROUND(G2155*H2155*I2155,0)</f>
        <v>651459</v>
      </c>
    </row>
    <row r="2156" spans="1:10" x14ac:dyDescent="0.25">
      <c r="A2156" s="168"/>
      <c r="B2156" s="144"/>
      <c r="C2156" s="34">
        <v>337</v>
      </c>
      <c r="D2156" s="144" t="str">
        <f>'Vật liệu'!$B$766</f>
        <v>V00750</v>
      </c>
      <c r="E2156" s="144" t="str">
        <f>" - " &amp; 'Vật liệu'!$D$766</f>
        <v xml:space="preserve"> - Vật liệu khác</v>
      </c>
      <c r="F2156" s="168" t="str">
        <f>'Vật liệu'!$E$766</f>
        <v>%</v>
      </c>
      <c r="G2156" s="34">
        <f>'Hao phí vật tư'!$G$2157</f>
        <v>10</v>
      </c>
      <c r="H2156" s="166">
        <f>'Vật liệu'!$W$766</f>
        <v>0</v>
      </c>
      <c r="I2156" s="37">
        <v>1</v>
      </c>
      <c r="J2156" s="166">
        <f>ROUND((J2154+J2155)*G2156*I2156/100,0)</f>
        <v>114108</v>
      </c>
    </row>
    <row r="2157" spans="1:10" x14ac:dyDescent="0.25">
      <c r="A2157" s="56"/>
      <c r="B2157" s="23"/>
      <c r="C2157" s="88"/>
      <c r="D2157" s="23"/>
      <c r="E2157" s="23" t="s">
        <v>202</v>
      </c>
      <c r="F2157" s="56"/>
      <c r="G2157" s="88"/>
      <c r="H2157" s="48"/>
      <c r="I2157" s="90"/>
      <c r="J2157" s="48">
        <f>ROUND(SUM(J2158:J2158),0)</f>
        <v>2823392</v>
      </c>
    </row>
    <row r="2158" spans="1:10" x14ac:dyDescent="0.25">
      <c r="A2158" s="168"/>
      <c r="B2158" s="144"/>
      <c r="C2158" s="34">
        <v>550</v>
      </c>
      <c r="D2158" s="144" t="str">
        <f>'Nhân công'!$B$130</f>
        <v>N0011</v>
      </c>
      <c r="E2158" s="144" t="s">
        <v>671</v>
      </c>
      <c r="F2158" s="168" t="str">
        <f>'Nhân công'!$G$130</f>
        <v>công</v>
      </c>
      <c r="G2158" s="34">
        <f>'Hao phí vật tư'!$H$2159</f>
        <v>12.25</v>
      </c>
      <c r="H2158" s="68">
        <f>'Nhân công'!$M$130</f>
        <v>230481</v>
      </c>
      <c r="I2158" s="37">
        <v>1</v>
      </c>
      <c r="J2158" s="166">
        <f>ROUND(G2158*H2158*I2158,0)</f>
        <v>2823392</v>
      </c>
    </row>
    <row r="2159" spans="1:10" x14ac:dyDescent="0.25">
      <c r="A2159" s="65">
        <f>'Công trình'!$A$289</f>
        <v>234</v>
      </c>
      <c r="B2159" s="14" t="str">
        <f>'Công trình'!$B$289</f>
        <v>BB.14306</v>
      </c>
      <c r="C2159" s="94"/>
      <c r="D2159" s="31"/>
      <c r="E2159" s="14" t="str">
        <f>'Công trình'!$C$289</f>
        <v>Ống thép D80mm, dày 2.9mm, mạ kẽm</v>
      </c>
      <c r="F2159" s="46" t="str">
        <f>'Công trình'!$D$289</f>
        <v>100m</v>
      </c>
      <c r="G2159" s="94"/>
      <c r="H2159" s="54"/>
      <c r="I2159" s="98"/>
      <c r="J2159" s="54"/>
    </row>
    <row r="2160" spans="1:10" x14ac:dyDescent="0.25">
      <c r="A2160" s="56"/>
      <c r="B2160" s="23"/>
      <c r="C2160" s="88"/>
      <c r="D2160" s="23"/>
      <c r="E2160" s="23" t="s">
        <v>479</v>
      </c>
      <c r="F2160" s="56"/>
      <c r="G2160" s="88"/>
      <c r="H2160" s="48"/>
      <c r="I2160" s="90"/>
      <c r="J2160" s="48">
        <f>ROUND(SUM(J2161:J2163),0)</f>
        <v>3785015</v>
      </c>
    </row>
    <row r="2161" spans="1:10" x14ac:dyDescent="0.25">
      <c r="A2161" s="168"/>
      <c r="B2161" s="144"/>
      <c r="C2161" s="34">
        <v>481</v>
      </c>
      <c r="D2161" s="144" t="str">
        <f>'Vật liệu'!$B$343</f>
        <v>V48379</v>
      </c>
      <c r="E2161" s="144" t="str">
        <f>" - " &amp; 'Vật liệu'!$D$343</f>
        <v xml:space="preserve"> - Măng sông thép tráng kẽm đường kính 80mm</v>
      </c>
      <c r="F2161" s="168" t="str">
        <f>'Vật liệu'!$E$343</f>
        <v>cái</v>
      </c>
      <c r="G2161" s="34">
        <f>'Hao phí vật tư'!$G$2162</f>
        <v>12</v>
      </c>
      <c r="H2161" s="68">
        <f>'Vật liệu'!$W$343</f>
        <v>45100</v>
      </c>
      <c r="I2161" s="37">
        <v>1</v>
      </c>
      <c r="J2161" s="166">
        <f>ROUND(G2161*H2161*I2161,0)</f>
        <v>541200</v>
      </c>
    </row>
    <row r="2162" spans="1:10" x14ac:dyDescent="0.25">
      <c r="A2162" s="168"/>
      <c r="B2162" s="144"/>
      <c r="C2162" s="34">
        <v>513</v>
      </c>
      <c r="D2162" s="144" t="str">
        <f>'Vật liệu'!$B$434</f>
        <v>V49067</v>
      </c>
      <c r="E2162" s="144" t="str">
        <f>" - " &amp; 'Vật liệu'!$D$434</f>
        <v xml:space="preserve"> - Ống thép tráng kẽm đường kính 80mm</v>
      </c>
      <c r="F2162" s="168" t="str">
        <f>'Vật liệu'!$E$434</f>
        <v>m</v>
      </c>
      <c r="G2162" s="34">
        <f>'Hao phí vật tư'!$G$2163</f>
        <v>100.5</v>
      </c>
      <c r="H2162" s="68">
        <f>'Vật liệu'!$W$434</f>
        <v>32273</v>
      </c>
      <c r="I2162" s="37">
        <v>1</v>
      </c>
      <c r="J2162" s="166">
        <f>ROUND(G2162*H2162*I2162,0)</f>
        <v>3243437</v>
      </c>
    </row>
    <row r="2163" spans="1:10" x14ac:dyDescent="0.25">
      <c r="A2163" s="168"/>
      <c r="B2163" s="144"/>
      <c r="C2163" s="34">
        <v>340</v>
      </c>
      <c r="D2163" s="144" t="str">
        <f>'Vật liệu'!$B$766</f>
        <v>V00750</v>
      </c>
      <c r="E2163" s="144" t="str">
        <f>" - " &amp; 'Vật liệu'!$D$766</f>
        <v xml:space="preserve"> - Vật liệu khác</v>
      </c>
      <c r="F2163" s="168" t="str">
        <f>'Vật liệu'!$E$766</f>
        <v>%</v>
      </c>
      <c r="G2163" s="34">
        <f>'Hao phí vật tư'!$G$2164</f>
        <v>0.01</v>
      </c>
      <c r="H2163" s="166">
        <f>'Vật liệu'!$W$766</f>
        <v>0</v>
      </c>
      <c r="I2163" s="37">
        <v>1</v>
      </c>
      <c r="J2163" s="166">
        <f>ROUND((J2161+J2162)*G2163*I2163/100,0)</f>
        <v>378</v>
      </c>
    </row>
    <row r="2164" spans="1:10" x14ac:dyDescent="0.25">
      <c r="A2164" s="56"/>
      <c r="B2164" s="23"/>
      <c r="C2164" s="88"/>
      <c r="D2164" s="23"/>
      <c r="E2164" s="23" t="s">
        <v>202</v>
      </c>
      <c r="F2164" s="56"/>
      <c r="G2164" s="88"/>
      <c r="H2164" s="48"/>
      <c r="I2164" s="90"/>
      <c r="J2164" s="48">
        <f>ROUND(SUM(J2165:J2165),0)</f>
        <v>4531699</v>
      </c>
    </row>
    <row r="2165" spans="1:10" x14ac:dyDescent="0.25">
      <c r="A2165" s="168"/>
      <c r="B2165" s="144"/>
      <c r="C2165" s="34">
        <v>554</v>
      </c>
      <c r="D2165" s="144" t="str">
        <f>'Nhân công'!$B$103</f>
        <v>N0015</v>
      </c>
      <c r="E2165" s="144" t="s">
        <v>1014</v>
      </c>
      <c r="F2165" s="168" t="str">
        <f>'Nhân công'!$G$103</f>
        <v>công</v>
      </c>
      <c r="G2165" s="34">
        <f>'Hao phí vật tư'!$H$2166</f>
        <v>18.920000000000002</v>
      </c>
      <c r="H2165" s="68">
        <f>'Nhân công'!$M$103</f>
        <v>239519</v>
      </c>
      <c r="I2165" s="37">
        <v>1</v>
      </c>
      <c r="J2165" s="166">
        <f>ROUND(G2165*H2165*I2165,0)</f>
        <v>4531699</v>
      </c>
    </row>
    <row r="2166" spans="1:10" ht="28.5" x14ac:dyDescent="0.25">
      <c r="A2166" s="65">
        <f>'Công trình'!$A$290</f>
        <v>235</v>
      </c>
      <c r="B2166" s="14" t="str">
        <f>'Công trình'!$B$290</f>
        <v>AD.32421</v>
      </c>
      <c r="C2166" s="94"/>
      <c r="D2166" s="31"/>
      <c r="E2166" s="14" t="str">
        <f>'Công trình'!$C$290</f>
        <v>Biển báo bằng tôn hình tròn D70cm, dày 1.2mm, sơn phản quang (Biển 115)</v>
      </c>
      <c r="F2166" s="46" t="str">
        <f>'Công trình'!$D$290</f>
        <v>cái</v>
      </c>
      <c r="G2166" s="94"/>
      <c r="H2166" s="54"/>
      <c r="I2166" s="98"/>
      <c r="J2166" s="54"/>
    </row>
    <row r="2167" spans="1:10" x14ac:dyDescent="0.25">
      <c r="A2167" s="56"/>
      <c r="B2167" s="23"/>
      <c r="C2167" s="88"/>
      <c r="D2167" s="23"/>
      <c r="E2167" s="23" t="s">
        <v>479</v>
      </c>
      <c r="F2167" s="56"/>
      <c r="G2167" s="88"/>
      <c r="H2167" s="48"/>
      <c r="I2167" s="90"/>
      <c r="J2167" s="48">
        <f>ROUND(SUM(J2168:J2173),0)</f>
        <v>243245</v>
      </c>
    </row>
    <row r="2168" spans="1:10" x14ac:dyDescent="0.25">
      <c r="A2168" s="168"/>
      <c r="B2168" s="144"/>
      <c r="C2168" s="34">
        <v>133</v>
      </c>
      <c r="D2168" s="144" t="str">
        <f>'Vật liệu'!$B$285</f>
        <v>V00215</v>
      </c>
      <c r="E2168" s="144" t="str">
        <f>" - " &amp; 'Vật liệu'!$D$285</f>
        <v xml:space="preserve"> - Dung môi PUV</v>
      </c>
      <c r="F2168" s="168" t="str">
        <f>'Vật liệu'!$E$285</f>
        <v>lít</v>
      </c>
      <c r="G2168" s="34">
        <f>'Hao phí vật tư'!$G$2169</f>
        <v>0.04</v>
      </c>
      <c r="H2168" s="68">
        <f>'Vật liệu'!$W$285</f>
        <v>60000</v>
      </c>
      <c r="I2168" s="37">
        <v>1</v>
      </c>
      <c r="J2168" s="166">
        <f>ROUND(G2168*H2168*I2168,0)</f>
        <v>2400</v>
      </c>
    </row>
    <row r="2169" spans="1:10" x14ac:dyDescent="0.25">
      <c r="A2169" s="168"/>
      <c r="B2169" s="144"/>
      <c r="C2169" s="34">
        <v>414</v>
      </c>
      <c r="D2169" s="144" t="str">
        <f>'Vật liệu'!$B$702</f>
        <v>V03174</v>
      </c>
      <c r="E2169" s="144" t="str">
        <f>" - " &amp; 'Vật liệu'!$D$702</f>
        <v xml:space="preserve"> - Tôn tráng kẽm</v>
      </c>
      <c r="F2169" s="168" t="str">
        <f>'Vật liệu'!$E$702</f>
        <v>kg</v>
      </c>
      <c r="G2169" s="34">
        <f>'Hao phí vật tư'!$G$2170</f>
        <v>5.17</v>
      </c>
      <c r="H2169" s="68">
        <f>'Vật liệu'!$W$702</f>
        <v>22880</v>
      </c>
      <c r="I2169" s="37">
        <v>1</v>
      </c>
      <c r="J2169" s="166">
        <f>ROUND(G2169*H2169*I2169,0)</f>
        <v>118290</v>
      </c>
    </row>
    <row r="2170" spans="1:10" x14ac:dyDescent="0.25">
      <c r="A2170" s="168"/>
      <c r="B2170" s="144"/>
      <c r="C2170" s="34">
        <v>146</v>
      </c>
      <c r="D2170" s="144" t="str">
        <f>'Vật liệu'!$B$337</f>
        <v>V00451</v>
      </c>
      <c r="E2170" s="144" t="str">
        <f>" - " &amp; 'Vật liệu'!$D$337</f>
        <v xml:space="preserve"> - Màng phản quang</v>
      </c>
      <c r="F2170" s="168" t="str">
        <f>'Vật liệu'!$E$337</f>
        <v>m2</v>
      </c>
      <c r="G2170" s="34">
        <f>'Hao phí vật tư'!$G$2171</f>
        <v>0.56999999999999995</v>
      </c>
      <c r="H2170" s="68">
        <f>'Vật liệu'!$W$337</f>
        <v>200000</v>
      </c>
      <c r="I2170" s="37">
        <v>1</v>
      </c>
      <c r="J2170" s="166">
        <f>ROUND(G2170*H2170*I2170,0)</f>
        <v>114000</v>
      </c>
    </row>
    <row r="2171" spans="1:10" x14ac:dyDescent="0.25">
      <c r="A2171" s="168"/>
      <c r="B2171" s="144"/>
      <c r="C2171" s="34">
        <v>147</v>
      </c>
      <c r="D2171" s="144" t="str">
        <f>'Vật liệu'!$B$349</f>
        <v>V00475</v>
      </c>
      <c r="E2171" s="144" t="str">
        <f>" - " &amp; 'Vật liệu'!$D$349</f>
        <v xml:space="preserve"> - Mực in cao cấp</v>
      </c>
      <c r="F2171" s="168" t="str">
        <f>'Vật liệu'!$E$349</f>
        <v>lít</v>
      </c>
      <c r="G2171" s="34">
        <f>'Hao phí vật tư'!$G$2172</f>
        <v>0.04</v>
      </c>
      <c r="H2171" s="68">
        <f>'Vật liệu'!$W$349</f>
        <v>100000</v>
      </c>
      <c r="I2171" s="37">
        <v>1</v>
      </c>
      <c r="J2171" s="166">
        <f>ROUND(G2171*H2171*I2171,0)</f>
        <v>4000</v>
      </c>
    </row>
    <row r="2172" spans="1:10" x14ac:dyDescent="0.25">
      <c r="A2172" s="168"/>
      <c r="B2172" s="144"/>
      <c r="C2172" s="34">
        <v>438</v>
      </c>
      <c r="D2172" s="144" t="str">
        <f>'Vật liệu'!$B$281</f>
        <v>V08331</v>
      </c>
      <c r="E2172" s="144" t="str">
        <f>" - " &amp; 'Vật liệu'!$D$281</f>
        <v xml:space="preserve"> - Dung môi PUH3519</v>
      </c>
      <c r="F2172" s="168" t="str">
        <f>'Vật liệu'!$E$281</f>
        <v>lít</v>
      </c>
      <c r="G2172" s="34">
        <f>'Hao phí vật tư'!$G$2173</f>
        <v>1.6E-2</v>
      </c>
      <c r="H2172" s="68">
        <f>'Vật liệu'!$W$281</f>
        <v>60000</v>
      </c>
      <c r="I2172" s="37">
        <v>1</v>
      </c>
      <c r="J2172" s="166">
        <f>ROUND(G2172*H2172*I2172,0)</f>
        <v>960</v>
      </c>
    </row>
    <row r="2173" spans="1:10" x14ac:dyDescent="0.25">
      <c r="A2173" s="168"/>
      <c r="B2173" s="144"/>
      <c r="C2173" s="34">
        <v>342</v>
      </c>
      <c r="D2173" s="144" t="str">
        <f>'Vật liệu'!$B$766</f>
        <v>V00750</v>
      </c>
      <c r="E2173" s="144" t="str">
        <f>" - " &amp; 'Vật liệu'!$D$766</f>
        <v xml:space="preserve"> - Vật liệu khác</v>
      </c>
      <c r="F2173" s="168" t="str">
        <f>'Vật liệu'!$E$766</f>
        <v>%</v>
      </c>
      <c r="G2173" s="34">
        <f>'Hao phí vật tư'!$G$2174</f>
        <v>1.5</v>
      </c>
      <c r="H2173" s="166">
        <f>'Vật liệu'!$W$766</f>
        <v>0</v>
      </c>
      <c r="I2173" s="37">
        <v>1</v>
      </c>
      <c r="J2173" s="166">
        <f>ROUND((J2168+J2169+J2170+J2171+J2172)*G2173*I2173/100,0)</f>
        <v>3595</v>
      </c>
    </row>
    <row r="2174" spans="1:10" x14ac:dyDescent="0.25">
      <c r="A2174" s="56"/>
      <c r="B2174" s="23"/>
      <c r="C2174" s="88"/>
      <c r="D2174" s="23"/>
      <c r="E2174" s="23" t="s">
        <v>202</v>
      </c>
      <c r="F2174" s="56"/>
      <c r="G2174" s="88"/>
      <c r="H2174" s="48"/>
      <c r="I2174" s="90"/>
      <c r="J2174" s="48">
        <f>ROUND(SUM(J2175:J2175),0)</f>
        <v>355841</v>
      </c>
    </row>
    <row r="2175" spans="1:10" x14ac:dyDescent="0.25">
      <c r="A2175" s="168"/>
      <c r="B2175" s="144"/>
      <c r="C2175" s="34">
        <v>559</v>
      </c>
      <c r="D2175" s="144" t="str">
        <f>'Nhân công'!$B$126</f>
        <v>N0031</v>
      </c>
      <c r="E2175" s="144" t="s">
        <v>817</v>
      </c>
      <c r="F2175" s="168" t="str">
        <f>'Nhân công'!$G$126</f>
        <v>công</v>
      </c>
      <c r="G2175" s="34">
        <f>'Hao phí vật tư'!$H$2176</f>
        <v>1.44</v>
      </c>
      <c r="H2175" s="68">
        <f>'Nhân công'!$M$126</f>
        <v>247112</v>
      </c>
      <c r="I2175" s="37">
        <v>1</v>
      </c>
      <c r="J2175" s="166">
        <f>ROUND(G2175*H2175*I2175,0)</f>
        <v>355841</v>
      </c>
    </row>
    <row r="2176" spans="1:10" x14ac:dyDescent="0.25">
      <c r="A2176" s="56"/>
      <c r="B2176" s="23"/>
      <c r="C2176" s="88"/>
      <c r="D2176" s="23"/>
      <c r="E2176" s="23" t="s">
        <v>378</v>
      </c>
      <c r="F2176" s="56"/>
      <c r="G2176" s="88"/>
      <c r="H2176" s="48"/>
      <c r="I2176" s="90"/>
      <c r="J2176" s="48">
        <f>ROUND(SUM(J2177:J2177),0)</f>
        <v>17841</v>
      </c>
    </row>
    <row r="2177" spans="1:10" x14ac:dyDescent="0.25">
      <c r="A2177" s="168"/>
      <c r="B2177" s="144"/>
      <c r="C2177" s="34">
        <v>762</v>
      </c>
      <c r="D2177" s="144" t="str">
        <f>'Máy thi công'!$B$378</f>
        <v>M9649</v>
      </c>
      <c r="E2177" s="144" t="str">
        <f>" - " &amp; 'Máy thi công'!$D$378</f>
        <v xml:space="preserve"> - Ô tô vận tải thùng - trọng tải: 2,5 t</v>
      </c>
      <c r="F2177" s="168" t="str">
        <f>'Máy thi công'!$E$378</f>
        <v>ca</v>
      </c>
      <c r="G2177" s="34">
        <f>'Hao phí vật tư'!$I$2178</f>
        <v>2.5000000000000001E-2</v>
      </c>
      <c r="H2177" s="68">
        <f>'Máy thi công'!$N$378</f>
        <v>713638</v>
      </c>
      <c r="I2177" s="37">
        <v>1</v>
      </c>
      <c r="J2177" s="166">
        <f>ROUND(G2177*H2177*I2177,0)</f>
        <v>17841</v>
      </c>
    </row>
    <row r="2178" spans="1:10" x14ac:dyDescent="0.25">
      <c r="A2178" s="65">
        <f>'Công trình'!$A$291</f>
        <v>236</v>
      </c>
      <c r="B2178" s="14" t="str">
        <f>'Công trình'!$B$291</f>
        <v>AD.32441</v>
      </c>
      <c r="C2178" s="94"/>
      <c r="D2178" s="31"/>
      <c r="E2178" s="14" t="str">
        <f>'Công trình'!$C$291</f>
        <v>Biển hình chữ nhật (40x60) (biển 439)</v>
      </c>
      <c r="F2178" s="46" t="str">
        <f>'Công trình'!$D$291</f>
        <v>cái</v>
      </c>
      <c r="G2178" s="94"/>
      <c r="H2178" s="54"/>
      <c r="I2178" s="98"/>
      <c r="J2178" s="54"/>
    </row>
    <row r="2179" spans="1:10" x14ac:dyDescent="0.25">
      <c r="A2179" s="56"/>
      <c r="B2179" s="23"/>
      <c r="C2179" s="88"/>
      <c r="D2179" s="23"/>
      <c r="E2179" s="23" t="s">
        <v>479</v>
      </c>
      <c r="F2179" s="56"/>
      <c r="G2179" s="88"/>
      <c r="H2179" s="48"/>
      <c r="I2179" s="90"/>
      <c r="J2179" s="48">
        <f>ROUND(SUM(J2180:J2185),0)</f>
        <v>76805</v>
      </c>
    </row>
    <row r="2180" spans="1:10" x14ac:dyDescent="0.25">
      <c r="A2180" s="168"/>
      <c r="B2180" s="144"/>
      <c r="C2180" s="34">
        <v>133</v>
      </c>
      <c r="D2180" s="144" t="str">
        <f>'Vật liệu'!$B$285</f>
        <v>V00215</v>
      </c>
      <c r="E2180" s="144" t="str">
        <f>" - " &amp; 'Vật liệu'!$D$285</f>
        <v xml:space="preserve"> - Dung môi PUV</v>
      </c>
      <c r="F2180" s="168" t="str">
        <f>'Vật liệu'!$E$285</f>
        <v>lít</v>
      </c>
      <c r="G2180" s="34">
        <f>'Hao phí vật tư'!$G$2181</f>
        <v>1.6E-2</v>
      </c>
      <c r="H2180" s="68">
        <f>'Vật liệu'!$W$285</f>
        <v>60000</v>
      </c>
      <c r="I2180" s="37">
        <v>1</v>
      </c>
      <c r="J2180" s="166">
        <f>ROUND(G2180*H2180*I2180,0)</f>
        <v>960</v>
      </c>
    </row>
    <row r="2181" spans="1:10" x14ac:dyDescent="0.25">
      <c r="A2181" s="168"/>
      <c r="B2181" s="144"/>
      <c r="C2181" s="34">
        <v>414</v>
      </c>
      <c r="D2181" s="144" t="str">
        <f>'Vật liệu'!$B$702</f>
        <v>V03174</v>
      </c>
      <c r="E2181" s="144" t="str">
        <f>" - " &amp; 'Vật liệu'!$D$702</f>
        <v xml:space="preserve"> - Tôn tráng kẽm</v>
      </c>
      <c r="F2181" s="168" t="str">
        <f>'Vật liệu'!$E$702</f>
        <v>kg</v>
      </c>
      <c r="G2181" s="34">
        <f>'Hao phí vật tư'!$G$2182</f>
        <v>1.58</v>
      </c>
      <c r="H2181" s="68">
        <f>'Vật liệu'!$W$702</f>
        <v>22880</v>
      </c>
      <c r="I2181" s="37">
        <v>1</v>
      </c>
      <c r="J2181" s="166">
        <f>ROUND(G2181*H2181*I2181,0)</f>
        <v>36150</v>
      </c>
    </row>
    <row r="2182" spans="1:10" x14ac:dyDescent="0.25">
      <c r="A2182" s="168"/>
      <c r="B2182" s="144"/>
      <c r="C2182" s="34">
        <v>146</v>
      </c>
      <c r="D2182" s="144" t="str">
        <f>'Vật liệu'!$B$337</f>
        <v>V00451</v>
      </c>
      <c r="E2182" s="144" t="str">
        <f>" - " &amp; 'Vật liệu'!$D$337</f>
        <v xml:space="preserve"> - Màng phản quang</v>
      </c>
      <c r="F2182" s="168" t="str">
        <f>'Vật liệu'!$E$337</f>
        <v>m2</v>
      </c>
      <c r="G2182" s="34">
        <f>'Hao phí vật tư'!$G$2183</f>
        <v>0.183</v>
      </c>
      <c r="H2182" s="68">
        <f>'Vật liệu'!$W$337</f>
        <v>200000</v>
      </c>
      <c r="I2182" s="37">
        <v>1</v>
      </c>
      <c r="J2182" s="166">
        <f>ROUND(G2182*H2182*I2182,0)</f>
        <v>36600</v>
      </c>
    </row>
    <row r="2183" spans="1:10" x14ac:dyDescent="0.25">
      <c r="A2183" s="168"/>
      <c r="B2183" s="144"/>
      <c r="C2183" s="34">
        <v>147</v>
      </c>
      <c r="D2183" s="144" t="str">
        <f>'Vật liệu'!$B$349</f>
        <v>V00475</v>
      </c>
      <c r="E2183" s="144" t="str">
        <f>" - " &amp; 'Vật liệu'!$D$349</f>
        <v xml:space="preserve"> - Mực in cao cấp</v>
      </c>
      <c r="F2183" s="168" t="str">
        <f>'Vật liệu'!$E$349</f>
        <v>lít</v>
      </c>
      <c r="G2183" s="34">
        <f>'Hao phí vật tư'!$G$2184</f>
        <v>1.6E-2</v>
      </c>
      <c r="H2183" s="68">
        <f>'Vật liệu'!$W$349</f>
        <v>100000</v>
      </c>
      <c r="I2183" s="37">
        <v>1</v>
      </c>
      <c r="J2183" s="166">
        <f>ROUND(G2183*H2183*I2183,0)</f>
        <v>1600</v>
      </c>
    </row>
    <row r="2184" spans="1:10" x14ac:dyDescent="0.25">
      <c r="A2184" s="168"/>
      <c r="B2184" s="144"/>
      <c r="C2184" s="34">
        <v>438</v>
      </c>
      <c r="D2184" s="144" t="str">
        <f>'Vật liệu'!$B$281</f>
        <v>V08331</v>
      </c>
      <c r="E2184" s="144" t="str">
        <f>" - " &amp; 'Vật liệu'!$D$281</f>
        <v xml:space="preserve"> - Dung môi PUH3519</v>
      </c>
      <c r="F2184" s="168" t="str">
        <f>'Vật liệu'!$E$281</f>
        <v>lít</v>
      </c>
      <c r="G2184" s="34">
        <f>'Hao phí vật tư'!$G$2185</f>
        <v>6.0000000000000001E-3</v>
      </c>
      <c r="H2184" s="68">
        <f>'Vật liệu'!$W$281</f>
        <v>60000</v>
      </c>
      <c r="I2184" s="37">
        <v>1</v>
      </c>
      <c r="J2184" s="166">
        <f>ROUND(G2184*H2184*I2184,0)</f>
        <v>360</v>
      </c>
    </row>
    <row r="2185" spans="1:10" x14ac:dyDescent="0.25">
      <c r="A2185" s="168"/>
      <c r="B2185" s="144"/>
      <c r="C2185" s="34">
        <v>343</v>
      </c>
      <c r="D2185" s="144" t="str">
        <f>'Vật liệu'!$B$766</f>
        <v>V00750</v>
      </c>
      <c r="E2185" s="144" t="str">
        <f>" - " &amp; 'Vật liệu'!$D$766</f>
        <v xml:space="preserve"> - Vật liệu khác</v>
      </c>
      <c r="F2185" s="168" t="str">
        <f>'Vật liệu'!$E$766</f>
        <v>%</v>
      </c>
      <c r="G2185" s="34">
        <f>'Hao phí vật tư'!$G$2186</f>
        <v>1.5</v>
      </c>
      <c r="H2185" s="166">
        <f>'Vật liệu'!$W$766</f>
        <v>0</v>
      </c>
      <c r="I2185" s="37">
        <v>1</v>
      </c>
      <c r="J2185" s="166">
        <f>ROUND((J2180+J2181+J2182+J2183+J2184)*G2185*I2185/100,0)</f>
        <v>1135</v>
      </c>
    </row>
    <row r="2186" spans="1:10" x14ac:dyDescent="0.25">
      <c r="A2186" s="56"/>
      <c r="B2186" s="23"/>
      <c r="C2186" s="88"/>
      <c r="D2186" s="23"/>
      <c r="E2186" s="23" t="s">
        <v>202</v>
      </c>
      <c r="F2186" s="56"/>
      <c r="G2186" s="88"/>
      <c r="H2186" s="48"/>
      <c r="I2186" s="90"/>
      <c r="J2186" s="48">
        <f>ROUND(SUM(J2187:J2187),0)</f>
        <v>229814</v>
      </c>
    </row>
    <row r="2187" spans="1:10" x14ac:dyDescent="0.25">
      <c r="A2187" s="168"/>
      <c r="B2187" s="144"/>
      <c r="C2187" s="34">
        <v>559</v>
      </c>
      <c r="D2187" s="144" t="str">
        <f>'Nhân công'!$B$126</f>
        <v>N0031</v>
      </c>
      <c r="E2187" s="144" t="s">
        <v>817</v>
      </c>
      <c r="F2187" s="168" t="str">
        <f>'Nhân công'!$G$126</f>
        <v>công</v>
      </c>
      <c r="G2187" s="34">
        <f>'Hao phí vật tư'!$H$2188</f>
        <v>0.93</v>
      </c>
      <c r="H2187" s="68">
        <f>'Nhân công'!$M$126</f>
        <v>247112</v>
      </c>
      <c r="I2187" s="37">
        <v>1</v>
      </c>
      <c r="J2187" s="166">
        <f>ROUND(G2187*H2187*I2187,0)</f>
        <v>229814</v>
      </c>
    </row>
    <row r="2188" spans="1:10" x14ac:dyDescent="0.25">
      <c r="A2188" s="56"/>
      <c r="B2188" s="23"/>
      <c r="C2188" s="88"/>
      <c r="D2188" s="23"/>
      <c r="E2188" s="23" t="s">
        <v>378</v>
      </c>
      <c r="F2188" s="56"/>
      <c r="G2188" s="88"/>
      <c r="H2188" s="48"/>
      <c r="I2188" s="90"/>
      <c r="J2188" s="48">
        <f>ROUND(SUM(J2189:J2189),0)</f>
        <v>17841</v>
      </c>
    </row>
    <row r="2189" spans="1:10" x14ac:dyDescent="0.25">
      <c r="A2189" s="168"/>
      <c r="B2189" s="144"/>
      <c r="C2189" s="34">
        <v>762</v>
      </c>
      <c r="D2189" s="144" t="str">
        <f>'Máy thi công'!$B$378</f>
        <v>M9649</v>
      </c>
      <c r="E2189" s="144" t="str">
        <f>" - " &amp; 'Máy thi công'!$D$378</f>
        <v xml:space="preserve"> - Ô tô vận tải thùng - trọng tải: 2,5 t</v>
      </c>
      <c r="F2189" s="168" t="str">
        <f>'Máy thi công'!$E$378</f>
        <v>ca</v>
      </c>
      <c r="G2189" s="34">
        <f>'Hao phí vật tư'!$I$2190</f>
        <v>2.5000000000000001E-2</v>
      </c>
      <c r="H2189" s="68">
        <f>'Máy thi công'!$N$378</f>
        <v>713638</v>
      </c>
      <c r="I2189" s="37">
        <v>1</v>
      </c>
      <c r="J2189" s="166">
        <f>ROUND(G2189*H2189*I2189,0)</f>
        <v>17841</v>
      </c>
    </row>
    <row r="2190" spans="1:10" x14ac:dyDescent="0.25">
      <c r="A2190" s="65">
        <f>'Công trình'!$A$292</f>
        <v>237</v>
      </c>
      <c r="B2190" s="14" t="str">
        <f>'Công trình'!$B$292</f>
        <v>AK.90122</v>
      </c>
      <c r="C2190" s="94"/>
      <c r="D2190" s="31"/>
      <c r="E2190" s="14" t="str">
        <f>'Công trình'!$C$292</f>
        <v>Sơn trắng đỏ</v>
      </c>
      <c r="F2190" s="46" t="str">
        <f>'Công trình'!$D$292</f>
        <v>m2</v>
      </c>
      <c r="G2190" s="94"/>
      <c r="H2190" s="54"/>
      <c r="I2190" s="98"/>
      <c r="J2190" s="54"/>
    </row>
    <row r="2191" spans="1:10" x14ac:dyDescent="0.25">
      <c r="A2191" s="56"/>
      <c r="B2191" s="23"/>
      <c r="C2191" s="88"/>
      <c r="D2191" s="23"/>
      <c r="E2191" s="23" t="s">
        <v>479</v>
      </c>
      <c r="F2191" s="56"/>
      <c r="G2191" s="88"/>
      <c r="H2191" s="48"/>
      <c r="I2191" s="90"/>
      <c r="J2191" s="48">
        <f>ROUND(SUM(J2192:J2194),0)</f>
        <v>16676</v>
      </c>
    </row>
    <row r="2192" spans="1:10" x14ac:dyDescent="0.25">
      <c r="A2192" s="168"/>
      <c r="B2192" s="144"/>
      <c r="C2192" s="34">
        <v>518</v>
      </c>
      <c r="D2192" s="144" t="str">
        <f>'Vật liệu'!$B$541</f>
        <v>V74456</v>
      </c>
      <c r="E2192" s="144" t="str">
        <f>" - " &amp; 'Vật liệu'!$D$541</f>
        <v xml:space="preserve"> - Sơn phủ Joton Jony nội thất</v>
      </c>
      <c r="F2192" s="168" t="str">
        <f>'Vật liệu'!$E$541</f>
        <v>lít</v>
      </c>
      <c r="G2192" s="34">
        <f>'Hao phí vật tư'!$G$2193</f>
        <v>0.27</v>
      </c>
      <c r="H2192" s="68">
        <f>'Vật liệu'!$W$541</f>
        <v>22545</v>
      </c>
      <c r="I2192" s="37">
        <v>1</v>
      </c>
      <c r="J2192" s="166">
        <f>ROUND(G2192*H2192*I2192,0)</f>
        <v>6087</v>
      </c>
    </row>
    <row r="2193" spans="1:10" x14ac:dyDescent="0.25">
      <c r="A2193" s="168"/>
      <c r="B2193" s="144"/>
      <c r="C2193" s="34">
        <v>517</v>
      </c>
      <c r="D2193" s="144" t="str">
        <f>'Vật liệu'!$B$537</f>
        <v>V74434</v>
      </c>
      <c r="E2193" s="144" t="str">
        <f>" - " &amp; 'Vật liệu'!$D$537</f>
        <v xml:space="preserve"> - Sơn lót Joton Altin nội thất</v>
      </c>
      <c r="F2193" s="168" t="str">
        <f>'Vật liệu'!$E$537</f>
        <v>lít</v>
      </c>
      <c r="G2193" s="34">
        <f>'Hao phí vật tư'!$G$2194</f>
        <v>0.16400000000000001</v>
      </c>
      <c r="H2193" s="68">
        <f>'Vật liệu'!$W$537</f>
        <v>63564</v>
      </c>
      <c r="I2193" s="37">
        <v>1</v>
      </c>
      <c r="J2193" s="166">
        <f>ROUND(G2193*H2193*I2193,0)</f>
        <v>10424</v>
      </c>
    </row>
    <row r="2194" spans="1:10" x14ac:dyDescent="0.25">
      <c r="A2194" s="168"/>
      <c r="B2194" s="144"/>
      <c r="C2194" s="34">
        <v>345</v>
      </c>
      <c r="D2194" s="144" t="str">
        <f>'Vật liệu'!$B$766</f>
        <v>V00750</v>
      </c>
      <c r="E2194" s="144" t="str">
        <f>" - " &amp; 'Vật liệu'!$D$766</f>
        <v xml:space="preserve"> - Vật liệu khác</v>
      </c>
      <c r="F2194" s="168" t="str">
        <f>'Vật liệu'!$E$766</f>
        <v>%</v>
      </c>
      <c r="G2194" s="34">
        <f>'Hao phí vật tư'!$G$2195</f>
        <v>1</v>
      </c>
      <c r="H2194" s="166">
        <f>'Vật liệu'!$W$766</f>
        <v>0</v>
      </c>
      <c r="I2194" s="37">
        <v>1</v>
      </c>
      <c r="J2194" s="166">
        <f>ROUND((J2192+J2193)*G2194*I2194/100,0)</f>
        <v>165</v>
      </c>
    </row>
    <row r="2195" spans="1:10" x14ac:dyDescent="0.25">
      <c r="A2195" s="56"/>
      <c r="B2195" s="23"/>
      <c r="C2195" s="88"/>
      <c r="D2195" s="23"/>
      <c r="E2195" s="23" t="s">
        <v>202</v>
      </c>
      <c r="F2195" s="56"/>
      <c r="G2195" s="88"/>
      <c r="H2195" s="48"/>
      <c r="I2195" s="90"/>
      <c r="J2195" s="48">
        <f>ROUND(SUM(J2196:J2196),0)</f>
        <v>14048</v>
      </c>
    </row>
    <row r="2196" spans="1:10" x14ac:dyDescent="0.25">
      <c r="A2196" s="168"/>
      <c r="B2196" s="144"/>
      <c r="C2196" s="34">
        <v>546</v>
      </c>
      <c r="D2196" s="144" t="str">
        <f>'Nhân công'!$B$45</f>
        <v>N0009</v>
      </c>
      <c r="E2196" s="144" t="s">
        <v>1052</v>
      </c>
      <c r="F2196" s="168" t="str">
        <f>'Nhân công'!$G$45</f>
        <v>công</v>
      </c>
      <c r="G2196" s="34">
        <f>'Hao phí vật tư'!$H$2197</f>
        <v>6.6000000000000003E-2</v>
      </c>
      <c r="H2196" s="68">
        <f>'Nhân công'!$M$45</f>
        <v>212856</v>
      </c>
      <c r="I2196" s="37">
        <v>1</v>
      </c>
      <c r="J2196" s="166">
        <f>ROUND(G2196*H2196*I2196,0)</f>
        <v>14048</v>
      </c>
    </row>
    <row r="2197" spans="1:10" x14ac:dyDescent="0.25">
      <c r="A2197" s="65">
        <f>'Công trình'!$A$293</f>
        <v>238</v>
      </c>
      <c r="B2197" s="14" t="str">
        <f>'Công trình'!$B$293</f>
        <v>TT</v>
      </c>
      <c r="C2197" s="94"/>
      <c r="D2197" s="31"/>
      <c r="E2197" s="14" t="str">
        <f>'Công trình'!$C$293</f>
        <v>Chụp nhựa chắn nước</v>
      </c>
      <c r="F2197" s="46" t="str">
        <f>'Công trình'!$D$293</f>
        <v>cái</v>
      </c>
      <c r="G2197" s="94"/>
      <c r="H2197" s="54"/>
      <c r="I2197" s="98"/>
      <c r="J2197" s="54"/>
    </row>
    <row r="2198" spans="1:10" x14ac:dyDescent="0.25">
      <c r="A2198" s="56"/>
      <c r="B2198" s="23"/>
      <c r="C2198" s="88"/>
      <c r="D2198" s="23"/>
      <c r="E2198" s="23" t="s">
        <v>479</v>
      </c>
      <c r="F2198" s="56"/>
      <c r="G2198" s="88"/>
      <c r="H2198" s="48"/>
      <c r="I2198" s="90"/>
      <c r="J2198" s="48">
        <f>ROUND(SUM(J2199:J2199),0)</f>
        <v>12000</v>
      </c>
    </row>
    <row r="2199" spans="1:10" x14ac:dyDescent="0.25">
      <c r="A2199" s="168"/>
      <c r="B2199" s="144"/>
      <c r="C2199" s="34">
        <v>524</v>
      </c>
      <c r="D2199" s="144" t="str">
        <f>'Vật liệu'!$B$107</f>
        <v>cn</v>
      </c>
      <c r="E2199" s="144" t="str">
        <f>" - " &amp; 'Vật liệu'!$D$107</f>
        <v xml:space="preserve"> - Chụp nhựa chắn nước</v>
      </c>
      <c r="F2199" s="168" t="str">
        <f>'Vật liệu'!$E$107</f>
        <v>cái</v>
      </c>
      <c r="G2199" s="34">
        <f>'Hao phí vật tư'!$G$2200</f>
        <v>1</v>
      </c>
      <c r="H2199" s="68">
        <f>'Vật liệu'!$W$107</f>
        <v>12000</v>
      </c>
      <c r="I2199" s="37">
        <v>1</v>
      </c>
      <c r="J2199" s="166">
        <f>ROUND(G2199*H2199*I2199,0)</f>
        <v>12000</v>
      </c>
    </row>
    <row r="2200" spans="1:10" x14ac:dyDescent="0.25">
      <c r="A2200" s="65">
        <f>'Công trình'!$A$294</f>
        <v>239</v>
      </c>
      <c r="B2200" s="14" t="str">
        <f>'Công trình'!$B$294</f>
        <v>TT</v>
      </c>
      <c r="C2200" s="94"/>
      <c r="D2200" s="31"/>
      <c r="E2200" s="14" t="str">
        <f>'Công trình'!$C$294</f>
        <v>Bu lông M14</v>
      </c>
      <c r="F2200" s="46" t="str">
        <f>'Công trình'!$D$294</f>
        <v>bộ</v>
      </c>
      <c r="G2200" s="94"/>
      <c r="H2200" s="54"/>
      <c r="I2200" s="98"/>
      <c r="J2200" s="54"/>
    </row>
    <row r="2201" spans="1:10" x14ac:dyDescent="0.25">
      <c r="A2201" s="56"/>
      <c r="B2201" s="23"/>
      <c r="C2201" s="88"/>
      <c r="D2201" s="23"/>
      <c r="E2201" s="23" t="s">
        <v>479</v>
      </c>
      <c r="F2201" s="56"/>
      <c r="G2201" s="88"/>
      <c r="H2201" s="48"/>
      <c r="I2201" s="90"/>
      <c r="J2201" s="48">
        <f>ROUND(SUM(J2202:J2202),0)</f>
        <v>7000</v>
      </c>
    </row>
    <row r="2202" spans="1:10" x14ac:dyDescent="0.25">
      <c r="A2202" s="168"/>
      <c r="B2202" s="144"/>
      <c r="C2202" s="34">
        <v>119</v>
      </c>
      <c r="D2202" s="144" t="str">
        <f>'Vật liệu'!$B$17</f>
        <v>V00025</v>
      </c>
      <c r="E2202" s="144" t="str">
        <f>" - " &amp; 'Vật liệu'!$D$17</f>
        <v xml:space="preserve"> - Bu lông M14</v>
      </c>
      <c r="F2202" s="168" t="str">
        <f>'Vật liệu'!$E$17</f>
        <v>cái</v>
      </c>
      <c r="G2202" s="34">
        <f>'Hao phí vật tư'!$G$2203</f>
        <v>1</v>
      </c>
      <c r="H2202" s="68">
        <f>'Vật liệu'!$W$17</f>
        <v>7000</v>
      </c>
      <c r="I2202" s="37">
        <v>1</v>
      </c>
      <c r="J2202" s="166">
        <f>ROUND(G2202*H2202*I2202,0)</f>
        <v>7000</v>
      </c>
    </row>
    <row r="2203" spans="1:10" ht="28.5" x14ac:dyDescent="0.25">
      <c r="A2203" s="65">
        <f>'Công trình'!$A$295</f>
        <v>240</v>
      </c>
      <c r="B2203" s="14" t="str">
        <f>'Công trình'!$B$295</f>
        <v>AF.11213</v>
      </c>
      <c r="C2203" s="94"/>
      <c r="D2203" s="31"/>
      <c r="E2203" s="14" t="str">
        <f>'Công trình'!$C$295</f>
        <v>Bê tông móng rộng &lt;=250cm đá 1x2, vữa BT mác 200</v>
      </c>
      <c r="F2203" s="46" t="str">
        <f>'Công trình'!$D$295</f>
        <v>m3</v>
      </c>
      <c r="G2203" s="94"/>
      <c r="H2203" s="54"/>
      <c r="I2203" s="98"/>
      <c r="J2203" s="54"/>
    </row>
    <row r="2204" spans="1:10" x14ac:dyDescent="0.25">
      <c r="A2204" s="56"/>
      <c r="B2204" s="23"/>
      <c r="C2204" s="88"/>
      <c r="D2204" s="23"/>
      <c r="E2204" s="23" t="s">
        <v>479</v>
      </c>
      <c r="F2204" s="56"/>
      <c r="G2204" s="88"/>
      <c r="H2204" s="48"/>
      <c r="I2204" s="90"/>
      <c r="J2204" s="48">
        <f>ROUND(SUM(J2205:J2209),0)</f>
        <v>989296</v>
      </c>
    </row>
    <row r="2205" spans="1:10" x14ac:dyDescent="0.25">
      <c r="A2205" s="168"/>
      <c r="B2205" s="144"/>
      <c r="C2205" s="34">
        <v>397</v>
      </c>
      <c r="D2205" s="144" t="str">
        <f>'Vật liệu'!$B$721</f>
        <v>V00761</v>
      </c>
      <c r="E2205" s="144" t="str">
        <f>" - " &amp; 'Vật liệu'!$D$721</f>
        <v xml:space="preserve"> - Xi măng PC40</v>
      </c>
      <c r="F2205" s="168" t="str">
        <f>'Vật liệu'!$E$721</f>
        <v>kg</v>
      </c>
      <c r="G2205" s="34">
        <f>'Hao phí vật tư'!$G$2206</f>
        <v>288.02499999999998</v>
      </c>
      <c r="H2205" s="68">
        <f>'Vật liệu'!$W$721</f>
        <v>1513</v>
      </c>
      <c r="I2205" s="37">
        <v>1</v>
      </c>
      <c r="J2205" s="166">
        <f>ROUND(G2205*H2205*I2205,0)</f>
        <v>435782</v>
      </c>
    </row>
    <row r="2206" spans="1:10" x14ac:dyDescent="0.25">
      <c r="A2206" s="168"/>
      <c r="B2206" s="144"/>
      <c r="C2206" s="34">
        <v>125</v>
      </c>
      <c r="D2206" s="144" t="str">
        <f>'Vật liệu'!$B$54</f>
        <v>V00112</v>
      </c>
      <c r="E2206" s="144" t="str">
        <f>" - " &amp; 'Vật liệu'!$D$54</f>
        <v xml:space="preserve"> - Cát vàng</v>
      </c>
      <c r="F2206" s="168" t="str">
        <f>'Vật liệu'!$E$54</f>
        <v>m3</v>
      </c>
      <c r="G2206" s="34">
        <f>'Hao phí vật tư'!$G$2207</f>
        <v>0.50529999999999997</v>
      </c>
      <c r="H2206" s="68">
        <f>'Vật liệu'!$W$54</f>
        <v>420000</v>
      </c>
      <c r="I2206" s="37">
        <v>1</v>
      </c>
      <c r="J2206" s="166">
        <f>ROUND(G2206*H2206*I2206,0)</f>
        <v>212226</v>
      </c>
    </row>
    <row r="2207" spans="1:10" x14ac:dyDescent="0.25">
      <c r="A2207" s="168"/>
      <c r="B2207" s="144"/>
      <c r="C2207" s="34">
        <v>416</v>
      </c>
      <c r="D2207" s="144" t="str">
        <f>'Vật liệu'!$B$142</f>
        <v>V05207</v>
      </c>
      <c r="E2207" s="144" t="str">
        <f>" - " &amp; 'Vật liệu'!$D$142</f>
        <v xml:space="preserve"> - Đá 1x2</v>
      </c>
      <c r="F2207" s="168" t="str">
        <f>'Vật liệu'!$E$142</f>
        <v>m3</v>
      </c>
      <c r="G2207" s="34">
        <f>'Hao phí vật tư'!$G$2208</f>
        <v>0.9133</v>
      </c>
      <c r="H2207" s="68">
        <f>'Vật liệu'!$W$142</f>
        <v>360886</v>
      </c>
      <c r="I2207" s="37">
        <v>1</v>
      </c>
      <c r="J2207" s="166">
        <f>ROUND(G2207*H2207*I2207,0)</f>
        <v>329597</v>
      </c>
    </row>
    <row r="2208" spans="1:10" x14ac:dyDescent="0.25">
      <c r="A2208" s="168"/>
      <c r="B2208" s="144"/>
      <c r="C2208" s="34">
        <v>148</v>
      </c>
      <c r="D2208" s="144" t="str">
        <f>'Vật liệu'!$B$353</f>
        <v>V00494</v>
      </c>
      <c r="E2208" s="144" t="str">
        <f>" - " &amp; 'Vật liệu'!$D$353</f>
        <v xml:space="preserve"> - Nước</v>
      </c>
      <c r="F2208" s="168" t="str">
        <f>'Vật liệu'!$E$353</f>
        <v>lít</v>
      </c>
      <c r="G2208" s="34">
        <f>'Hao phí vật tư'!$G$2209</f>
        <v>189.625</v>
      </c>
      <c r="H2208" s="68">
        <f>'Vật liệu'!$W$353</f>
        <v>10</v>
      </c>
      <c r="I2208" s="37">
        <v>1</v>
      </c>
      <c r="J2208" s="166">
        <f>ROUND(G2208*H2208*I2208,0)</f>
        <v>1896</v>
      </c>
    </row>
    <row r="2209" spans="1:10" x14ac:dyDescent="0.25">
      <c r="A2209" s="168"/>
      <c r="B2209" s="144"/>
      <c r="C2209" s="34">
        <v>349</v>
      </c>
      <c r="D2209" s="144" t="str">
        <f>'Vật liệu'!$B$766</f>
        <v>V00750</v>
      </c>
      <c r="E2209" s="144" t="str">
        <f>" - " &amp; 'Vật liệu'!$D$766</f>
        <v xml:space="preserve"> - Vật liệu khác</v>
      </c>
      <c r="F2209" s="168" t="str">
        <f>'Vật liệu'!$E$766</f>
        <v>%</v>
      </c>
      <c r="G2209" s="34">
        <f>'Hao phí vật tư'!$G$2210</f>
        <v>1</v>
      </c>
      <c r="H2209" s="166">
        <f>'Vật liệu'!$W$766</f>
        <v>0</v>
      </c>
      <c r="I2209" s="37">
        <v>1</v>
      </c>
      <c r="J2209" s="166">
        <f>ROUND((J2205+J2206+J2207+J2208)*G2209*I2209/100,0)</f>
        <v>9795</v>
      </c>
    </row>
    <row r="2210" spans="1:10" x14ac:dyDescent="0.25">
      <c r="A2210" s="56"/>
      <c r="B2210" s="23"/>
      <c r="C2210" s="88"/>
      <c r="D2210" s="23"/>
      <c r="E2210" s="23" t="s">
        <v>202</v>
      </c>
      <c r="F2210" s="56"/>
      <c r="G2210" s="88"/>
      <c r="H2210" s="48"/>
      <c r="I2210" s="90"/>
      <c r="J2210" s="48">
        <f>ROUND(SUM(J2211:J2211),0)</f>
        <v>320179</v>
      </c>
    </row>
    <row r="2211" spans="1:10" x14ac:dyDescent="0.25">
      <c r="A2211" s="168"/>
      <c r="B2211" s="144"/>
      <c r="C2211" s="34">
        <v>545</v>
      </c>
      <c r="D2211" s="144" t="str">
        <f>'Nhân công'!$B$6</f>
        <v>N0006</v>
      </c>
      <c r="E2211" s="144" t="s">
        <v>256</v>
      </c>
      <c r="F2211" s="168" t="str">
        <f>'Nhân công'!$G$6</f>
        <v>công</v>
      </c>
      <c r="G2211" s="34">
        <f>'Hao phí vật tư'!$H$2212</f>
        <v>1.64</v>
      </c>
      <c r="H2211" s="68">
        <f>'Nhân công'!$M$6</f>
        <v>195231</v>
      </c>
      <c r="I2211" s="37">
        <v>1</v>
      </c>
      <c r="J2211" s="166">
        <f>ROUND(G2211*H2211*I2211,0)</f>
        <v>320179</v>
      </c>
    </row>
    <row r="2212" spans="1:10" x14ac:dyDescent="0.25">
      <c r="A2212" s="56"/>
      <c r="B2212" s="23"/>
      <c r="C2212" s="88"/>
      <c r="D2212" s="23"/>
      <c r="E2212" s="23" t="s">
        <v>378</v>
      </c>
      <c r="F2212" s="56"/>
      <c r="G2212" s="88"/>
      <c r="H2212" s="48"/>
      <c r="I2212" s="90"/>
      <c r="J2212" s="48">
        <f>ROUND(SUM(J2213:J2214),0)</f>
        <v>47495</v>
      </c>
    </row>
    <row r="2213" spans="1:10" x14ac:dyDescent="0.25">
      <c r="A2213" s="168"/>
      <c r="B2213" s="144"/>
      <c r="C2213" s="34">
        <v>750</v>
      </c>
      <c r="D2213" s="144" t="str">
        <f>'Máy thi công'!$B$232</f>
        <v>M9571</v>
      </c>
      <c r="E2213" s="144" t="str">
        <f>" - " &amp; 'Máy thi công'!$D$232</f>
        <v xml:space="preserve"> - Máy đầm bê tông, dầm dùi - công suất: 1,5 kW</v>
      </c>
      <c r="F2213" s="168" t="str">
        <f>'Máy thi công'!$E$232</f>
        <v>ca</v>
      </c>
      <c r="G2213" s="34">
        <f>'Hao phí vật tư'!$I$2214</f>
        <v>8.8999999999999996E-2</v>
      </c>
      <c r="H2213" s="68">
        <f>'Máy thi công'!$N$232</f>
        <v>225765</v>
      </c>
      <c r="I2213" s="37">
        <v>1</v>
      </c>
      <c r="J2213" s="166">
        <f>ROUND(G2213*H2213*I2213,0)</f>
        <v>20093</v>
      </c>
    </row>
    <row r="2214" spans="1:10" x14ac:dyDescent="0.25">
      <c r="A2214" s="168"/>
      <c r="B2214" s="144"/>
      <c r="C2214" s="34">
        <v>744</v>
      </c>
      <c r="D2214" s="144" t="str">
        <f>'Máy thi công'!$B$306</f>
        <v>M9555</v>
      </c>
      <c r="E2214" s="144" t="str">
        <f>" - " &amp; 'Máy thi công'!$D$306</f>
        <v xml:space="preserve"> - Máy trộn bê tông - dung tích: 250 lít</v>
      </c>
      <c r="F2214" s="168" t="str">
        <f>'Máy thi công'!$E$306</f>
        <v>ca</v>
      </c>
      <c r="G2214" s="34">
        <f>'Hao phí vật tư'!$I$2215</f>
        <v>9.5000000000000001E-2</v>
      </c>
      <c r="H2214" s="68">
        <f>'Máy thi công'!$N$306</f>
        <v>288447</v>
      </c>
      <c r="I2214" s="37">
        <v>1</v>
      </c>
      <c r="J2214" s="166">
        <f>ROUND(G2214*H2214*I2214,0)</f>
        <v>27402</v>
      </c>
    </row>
    <row r="2215" spans="1:10" ht="28.5" x14ac:dyDescent="0.25">
      <c r="A2215" s="65">
        <f>'Công trình'!$A$296</f>
        <v>241</v>
      </c>
      <c r="B2215" s="14" t="str">
        <f>'Công trình'!$B$296</f>
        <v>AF.11212</v>
      </c>
      <c r="C2215" s="94"/>
      <c r="D2215" s="31"/>
      <c r="E2215" s="14" t="str">
        <f>'Công trình'!$C$296</f>
        <v>Bê tông móng rộng &lt;=250cm đá 1x2, vữa BT mác 150</v>
      </c>
      <c r="F2215" s="46" t="str">
        <f>'Công trình'!$D$296</f>
        <v>m3</v>
      </c>
      <c r="G2215" s="94"/>
      <c r="H2215" s="54"/>
      <c r="I2215" s="98"/>
      <c r="J2215" s="54"/>
    </row>
    <row r="2216" spans="1:10" x14ac:dyDescent="0.25">
      <c r="A2216" s="56"/>
      <c r="B2216" s="23"/>
      <c r="C2216" s="88"/>
      <c r="D2216" s="23"/>
      <c r="E2216" s="23" t="s">
        <v>479</v>
      </c>
      <c r="F2216" s="56"/>
      <c r="G2216" s="88"/>
      <c r="H2216" s="48"/>
      <c r="I2216" s="90"/>
      <c r="J2216" s="48">
        <f>ROUND(SUM(J2217:J2221),0)</f>
        <v>926019</v>
      </c>
    </row>
    <row r="2217" spans="1:10" x14ac:dyDescent="0.25">
      <c r="A2217" s="168"/>
      <c r="B2217" s="144"/>
      <c r="C2217" s="34">
        <v>397</v>
      </c>
      <c r="D2217" s="144" t="str">
        <f>'Vật liệu'!$B$721</f>
        <v>V00761</v>
      </c>
      <c r="E2217" s="144" t="str">
        <f>" - " &amp; 'Vật liệu'!$D$721</f>
        <v xml:space="preserve"> - Xi măng PC40</v>
      </c>
      <c r="F2217" s="168" t="str">
        <f>'Vật liệu'!$E$721</f>
        <v>kg</v>
      </c>
      <c r="G2217" s="34">
        <f>'Hao phí vật tư'!$G$2218</f>
        <v>238.82499999999999</v>
      </c>
      <c r="H2217" s="68">
        <f>'Vật liệu'!$W$721</f>
        <v>1513</v>
      </c>
      <c r="I2217" s="37">
        <v>1</v>
      </c>
      <c r="J2217" s="166">
        <f>ROUND(G2217*H2217*I2217,0)</f>
        <v>361342</v>
      </c>
    </row>
    <row r="2218" spans="1:10" x14ac:dyDescent="0.25">
      <c r="A2218" s="168"/>
      <c r="B2218" s="144"/>
      <c r="C2218" s="34">
        <v>125</v>
      </c>
      <c r="D2218" s="144" t="str">
        <f>'Vật liệu'!$B$54</f>
        <v>V00112</v>
      </c>
      <c r="E2218" s="144" t="str">
        <f>" - " &amp; 'Vật liệu'!$D$54</f>
        <v xml:space="preserve"> - Cát vàng</v>
      </c>
      <c r="F2218" s="168" t="str">
        <f>'Vật liệu'!$E$54</f>
        <v>m3</v>
      </c>
      <c r="G2218" s="34">
        <f>'Hao phí vật tư'!$G$2219</f>
        <v>0.52280000000000004</v>
      </c>
      <c r="H2218" s="68">
        <f>'Vật liệu'!$W$54</f>
        <v>420000</v>
      </c>
      <c r="I2218" s="37">
        <v>1</v>
      </c>
      <c r="J2218" s="166">
        <f>ROUND(G2218*H2218*I2218,0)</f>
        <v>219576</v>
      </c>
    </row>
    <row r="2219" spans="1:10" x14ac:dyDescent="0.25">
      <c r="A2219" s="168"/>
      <c r="B2219" s="144"/>
      <c r="C2219" s="34">
        <v>416</v>
      </c>
      <c r="D2219" s="144" t="str">
        <f>'Vật liệu'!$B$142</f>
        <v>V05207</v>
      </c>
      <c r="E2219" s="144" t="str">
        <f>" - " &amp; 'Vật liệu'!$D$142</f>
        <v xml:space="preserve"> - Đá 1x2</v>
      </c>
      <c r="F2219" s="168" t="str">
        <f>'Vật liệu'!$E$142</f>
        <v>m3</v>
      </c>
      <c r="G2219" s="34">
        <f>'Hao phí vật tư'!$G$2220</f>
        <v>0.92559999999999998</v>
      </c>
      <c r="H2219" s="68">
        <f>'Vật liệu'!$W$142</f>
        <v>360886</v>
      </c>
      <c r="I2219" s="37">
        <v>1</v>
      </c>
      <c r="J2219" s="166">
        <f>ROUND(G2219*H2219*I2219,0)</f>
        <v>334036</v>
      </c>
    </row>
    <row r="2220" spans="1:10" x14ac:dyDescent="0.25">
      <c r="A2220" s="168"/>
      <c r="B2220" s="144"/>
      <c r="C2220" s="34">
        <v>148</v>
      </c>
      <c r="D2220" s="144" t="str">
        <f>'Vật liệu'!$B$353</f>
        <v>V00494</v>
      </c>
      <c r="E2220" s="144" t="str">
        <f>" - " &amp; 'Vật liệu'!$D$353</f>
        <v xml:space="preserve"> - Nước</v>
      </c>
      <c r="F2220" s="168" t="str">
        <f>'Vật liệu'!$E$353</f>
        <v>lít</v>
      </c>
      <c r="G2220" s="34">
        <f>'Hao phí vật tư'!$G$2221</f>
        <v>189.625</v>
      </c>
      <c r="H2220" s="68">
        <f>'Vật liệu'!$W$353</f>
        <v>10</v>
      </c>
      <c r="I2220" s="37">
        <v>1</v>
      </c>
      <c r="J2220" s="166">
        <f>ROUND(G2220*H2220*I2220,0)</f>
        <v>1896</v>
      </c>
    </row>
    <row r="2221" spans="1:10" x14ac:dyDescent="0.25">
      <c r="A2221" s="168"/>
      <c r="B2221" s="144"/>
      <c r="C2221" s="34">
        <v>350</v>
      </c>
      <c r="D2221" s="144" t="str">
        <f>'Vật liệu'!$B$766</f>
        <v>V00750</v>
      </c>
      <c r="E2221" s="144" t="str">
        <f>" - " &amp; 'Vật liệu'!$D$766</f>
        <v xml:space="preserve"> - Vật liệu khác</v>
      </c>
      <c r="F2221" s="168" t="str">
        <f>'Vật liệu'!$E$766</f>
        <v>%</v>
      </c>
      <c r="G2221" s="34">
        <f>'Hao phí vật tư'!$G$2222</f>
        <v>1</v>
      </c>
      <c r="H2221" s="166">
        <f>'Vật liệu'!$W$766</f>
        <v>0</v>
      </c>
      <c r="I2221" s="37">
        <v>1</v>
      </c>
      <c r="J2221" s="166">
        <f>ROUND((J2217+J2218+J2219+J2220)*G2221*I2221/100,0)</f>
        <v>9169</v>
      </c>
    </row>
    <row r="2222" spans="1:10" x14ac:dyDescent="0.25">
      <c r="A2222" s="56"/>
      <c r="B2222" s="23"/>
      <c r="C2222" s="88"/>
      <c r="D2222" s="23"/>
      <c r="E2222" s="23" t="s">
        <v>202</v>
      </c>
      <c r="F2222" s="56"/>
      <c r="G2222" s="88"/>
      <c r="H2222" s="48"/>
      <c r="I2222" s="90"/>
      <c r="J2222" s="48">
        <f>ROUND(SUM(J2223:J2223),0)</f>
        <v>320179</v>
      </c>
    </row>
    <row r="2223" spans="1:10" x14ac:dyDescent="0.25">
      <c r="A2223" s="168"/>
      <c r="B2223" s="144"/>
      <c r="C2223" s="34">
        <v>545</v>
      </c>
      <c r="D2223" s="144" t="str">
        <f>'Nhân công'!$B$6</f>
        <v>N0006</v>
      </c>
      <c r="E2223" s="144" t="s">
        <v>256</v>
      </c>
      <c r="F2223" s="168" t="str">
        <f>'Nhân công'!$G$6</f>
        <v>công</v>
      </c>
      <c r="G2223" s="34">
        <f>'Hao phí vật tư'!$H$2224</f>
        <v>1.64</v>
      </c>
      <c r="H2223" s="68">
        <f>'Nhân công'!$M$6</f>
        <v>195231</v>
      </c>
      <c r="I2223" s="37">
        <v>1</v>
      </c>
      <c r="J2223" s="166">
        <f>ROUND(G2223*H2223*I2223,0)</f>
        <v>320179</v>
      </c>
    </row>
    <row r="2224" spans="1:10" x14ac:dyDescent="0.25">
      <c r="A2224" s="56"/>
      <c r="B2224" s="23"/>
      <c r="C2224" s="88"/>
      <c r="D2224" s="23"/>
      <c r="E2224" s="23" t="s">
        <v>378</v>
      </c>
      <c r="F2224" s="56"/>
      <c r="G2224" s="88"/>
      <c r="H2224" s="48"/>
      <c r="I2224" s="90"/>
      <c r="J2224" s="48">
        <f>ROUND(SUM(J2225:J2226),0)</f>
        <v>47495</v>
      </c>
    </row>
    <row r="2225" spans="1:10" x14ac:dyDescent="0.25">
      <c r="A2225" s="168"/>
      <c r="B2225" s="144"/>
      <c r="C2225" s="34">
        <v>750</v>
      </c>
      <c r="D2225" s="144" t="str">
        <f>'Máy thi công'!$B$232</f>
        <v>M9571</v>
      </c>
      <c r="E2225" s="144" t="str">
        <f>" - " &amp; 'Máy thi công'!$D$232</f>
        <v xml:space="preserve"> - Máy đầm bê tông, dầm dùi - công suất: 1,5 kW</v>
      </c>
      <c r="F2225" s="168" t="str">
        <f>'Máy thi công'!$E$232</f>
        <v>ca</v>
      </c>
      <c r="G2225" s="34">
        <f>'Hao phí vật tư'!$I$2226</f>
        <v>8.8999999999999996E-2</v>
      </c>
      <c r="H2225" s="68">
        <f>'Máy thi công'!$N$232</f>
        <v>225765</v>
      </c>
      <c r="I2225" s="37">
        <v>1</v>
      </c>
      <c r="J2225" s="166">
        <f>ROUND(G2225*H2225*I2225,0)</f>
        <v>20093</v>
      </c>
    </row>
    <row r="2226" spans="1:10" x14ac:dyDescent="0.25">
      <c r="A2226" s="168"/>
      <c r="B2226" s="144"/>
      <c r="C2226" s="34">
        <v>744</v>
      </c>
      <c r="D2226" s="144" t="str">
        <f>'Máy thi công'!$B$306</f>
        <v>M9555</v>
      </c>
      <c r="E2226" s="144" t="str">
        <f>" - " &amp; 'Máy thi công'!$D$306</f>
        <v xml:space="preserve"> - Máy trộn bê tông - dung tích: 250 lít</v>
      </c>
      <c r="F2226" s="168" t="str">
        <f>'Máy thi công'!$E$306</f>
        <v>ca</v>
      </c>
      <c r="G2226" s="34">
        <f>'Hao phí vật tư'!$I$2227</f>
        <v>9.5000000000000001E-2</v>
      </c>
      <c r="H2226" s="68">
        <f>'Máy thi công'!$N$306</f>
        <v>288447</v>
      </c>
      <c r="I2226" s="37">
        <v>1</v>
      </c>
      <c r="J2226" s="166">
        <f>ROUND(G2226*H2226*I2226,0)</f>
        <v>27402</v>
      </c>
    </row>
    <row r="2227" spans="1:10" ht="28.5" x14ac:dyDescent="0.25">
      <c r="A2227" s="65">
        <f>'Công trình'!$A$297</f>
        <v>242</v>
      </c>
      <c r="B2227" s="14" t="str">
        <f>'Công trình'!$B$297</f>
        <v>AB.11412</v>
      </c>
      <c r="C2227" s="94"/>
      <c r="D2227" s="31"/>
      <c r="E2227" s="14" t="str">
        <f>'Công trình'!$C$297</f>
        <v>Đào móng cột trụ, hố kiểm tra, rộng &lt;=1m,sâu &lt;=1m, đất cấp II</v>
      </c>
      <c r="F2227" s="46" t="str">
        <f>'Công trình'!$D$297</f>
        <v>m3</v>
      </c>
      <c r="G2227" s="94"/>
      <c r="H2227" s="54"/>
      <c r="I2227" s="98"/>
      <c r="J2227" s="54"/>
    </row>
    <row r="2228" spans="1:10" x14ac:dyDescent="0.25">
      <c r="A2228" s="56"/>
      <c r="B2228" s="23"/>
      <c r="C2228" s="88"/>
      <c r="D2228" s="23"/>
      <c r="E2228" s="23" t="s">
        <v>202</v>
      </c>
      <c r="F2228" s="56"/>
      <c r="G2228" s="88"/>
      <c r="H2228" s="48"/>
      <c r="I2228" s="90"/>
      <c r="J2228" s="48">
        <f>ROUND(SUM(J2229:J2229),0)</f>
        <v>232325</v>
      </c>
    </row>
    <row r="2229" spans="1:10" x14ac:dyDescent="0.25">
      <c r="A2229" s="168"/>
      <c r="B2229" s="144"/>
      <c r="C2229" s="34">
        <v>545</v>
      </c>
      <c r="D2229" s="144" t="str">
        <f>'Nhân công'!$B$6</f>
        <v>N0006</v>
      </c>
      <c r="E2229" s="144" t="s">
        <v>256</v>
      </c>
      <c r="F2229" s="168" t="str">
        <f>'Nhân công'!$G$6</f>
        <v>công</v>
      </c>
      <c r="G2229" s="34">
        <f>'Hao phí vật tư'!$H$2230</f>
        <v>1.19</v>
      </c>
      <c r="H2229" s="68">
        <f>'Nhân công'!$M$6</f>
        <v>195231</v>
      </c>
      <c r="I2229" s="37">
        <v>1</v>
      </c>
      <c r="J2229" s="166">
        <f>ROUND(G2229*H2229*I2229,0)</f>
        <v>232325</v>
      </c>
    </row>
    <row r="2230" spans="1:10" x14ac:dyDescent="0.25">
      <c r="A2230" s="65">
        <f>'Công trình'!$A$298</f>
        <v>243</v>
      </c>
      <c r="B2230" s="14" t="str">
        <f>'Công trình'!$B$298</f>
        <v>AF.82511</v>
      </c>
      <c r="C2230" s="94"/>
      <c r="D2230" s="31"/>
      <c r="E2230" s="14" t="str">
        <f>'Công trình'!$C$298</f>
        <v>Ván khuôn móng</v>
      </c>
      <c r="F2230" s="46" t="str">
        <f>'Công trình'!$D$298</f>
        <v>100m2</v>
      </c>
      <c r="G2230" s="94"/>
      <c r="H2230" s="54"/>
      <c r="I2230" s="98"/>
      <c r="J2230" s="54"/>
    </row>
    <row r="2231" spans="1:10" x14ac:dyDescent="0.25">
      <c r="A2231" s="56"/>
      <c r="B2231" s="23"/>
      <c r="C2231" s="88"/>
      <c r="D2231" s="23"/>
      <c r="E2231" s="23" t="s">
        <v>479</v>
      </c>
      <c r="F2231" s="56"/>
      <c r="G2231" s="88"/>
      <c r="H2231" s="48"/>
      <c r="I2231" s="90"/>
      <c r="J2231" s="48">
        <f>ROUND(SUM(J2232:J2234),0)</f>
        <v>1255185</v>
      </c>
    </row>
    <row r="2232" spans="1:10" x14ac:dyDescent="0.25">
      <c r="A2232" s="168"/>
      <c r="B2232" s="144"/>
      <c r="C2232" s="34">
        <v>160</v>
      </c>
      <c r="D2232" s="144" t="str">
        <f>'Vật liệu'!$B$556</f>
        <v>V00641</v>
      </c>
      <c r="E2232" s="144" t="str">
        <f>" - " &amp; 'Vật liệu'!$D$556</f>
        <v xml:space="preserve"> - Thép hình</v>
      </c>
      <c r="F2232" s="168" t="str">
        <f>'Vật liệu'!$E$556</f>
        <v>kg</v>
      </c>
      <c r="G2232" s="34">
        <f>'Hao phí vật tư'!$G$2233</f>
        <v>32.020000000000003</v>
      </c>
      <c r="H2232" s="68">
        <f>'Vật liệu'!$W$556</f>
        <v>15291</v>
      </c>
      <c r="I2232" s="37">
        <v>1</v>
      </c>
      <c r="J2232" s="166">
        <f>ROUND(G2232*H2232*I2232,0)</f>
        <v>489618</v>
      </c>
    </row>
    <row r="2233" spans="1:10" x14ac:dyDescent="0.25">
      <c r="A2233" s="168"/>
      <c r="B2233" s="144"/>
      <c r="C2233" s="34">
        <v>166</v>
      </c>
      <c r="D2233" s="144" t="str">
        <f>'Vật liệu'!$B$606</f>
        <v>V00671</v>
      </c>
      <c r="E2233" s="144" t="str">
        <f>" - " &amp; 'Vật liệu'!$D$606</f>
        <v xml:space="preserve"> - Thép tấm</v>
      </c>
      <c r="F2233" s="168" t="str">
        <f>'Vật liệu'!$E$606</f>
        <v>kg</v>
      </c>
      <c r="G2233" s="34">
        <f>'Hao phí vật tư'!$G$2234</f>
        <v>51.81</v>
      </c>
      <c r="H2233" s="68">
        <f>'Vật liệu'!$W$606</f>
        <v>12574</v>
      </c>
      <c r="I2233" s="37">
        <v>1</v>
      </c>
      <c r="J2233" s="166">
        <f>ROUND(G2233*H2233*I2233,0)</f>
        <v>651459</v>
      </c>
    </row>
    <row r="2234" spans="1:10" x14ac:dyDescent="0.25">
      <c r="A2234" s="168"/>
      <c r="B2234" s="144"/>
      <c r="C2234" s="34">
        <v>351</v>
      </c>
      <c r="D2234" s="144" t="str">
        <f>'Vật liệu'!$B$766</f>
        <v>V00750</v>
      </c>
      <c r="E2234" s="144" t="str">
        <f>" - " &amp; 'Vật liệu'!$D$766</f>
        <v xml:space="preserve"> - Vật liệu khác</v>
      </c>
      <c r="F2234" s="168" t="str">
        <f>'Vật liệu'!$E$766</f>
        <v>%</v>
      </c>
      <c r="G2234" s="34">
        <f>'Hao phí vật tư'!$G$2235</f>
        <v>10</v>
      </c>
      <c r="H2234" s="166">
        <f>'Vật liệu'!$W$766</f>
        <v>0</v>
      </c>
      <c r="I2234" s="37">
        <v>1</v>
      </c>
      <c r="J2234" s="166">
        <f>ROUND((J2232+J2233)*G2234*I2234/100,0)</f>
        <v>114108</v>
      </c>
    </row>
    <row r="2235" spans="1:10" x14ac:dyDescent="0.25">
      <c r="A2235" s="56"/>
      <c r="B2235" s="23"/>
      <c r="C2235" s="88"/>
      <c r="D2235" s="23"/>
      <c r="E2235" s="23" t="s">
        <v>202</v>
      </c>
      <c r="F2235" s="56"/>
      <c r="G2235" s="88"/>
      <c r="H2235" s="48"/>
      <c r="I2235" s="90"/>
      <c r="J2235" s="48">
        <f>ROUND(SUM(J2236:J2236),0)</f>
        <v>2823392</v>
      </c>
    </row>
    <row r="2236" spans="1:10" x14ac:dyDescent="0.25">
      <c r="A2236" s="168"/>
      <c r="B2236" s="144"/>
      <c r="C2236" s="34">
        <v>550</v>
      </c>
      <c r="D2236" s="144" t="str">
        <f>'Nhân công'!$B$130</f>
        <v>N0011</v>
      </c>
      <c r="E2236" s="144" t="s">
        <v>671</v>
      </c>
      <c r="F2236" s="168" t="str">
        <f>'Nhân công'!$G$130</f>
        <v>công</v>
      </c>
      <c r="G2236" s="34">
        <f>'Hao phí vật tư'!$H$2237</f>
        <v>12.25</v>
      </c>
      <c r="H2236" s="68">
        <f>'Nhân công'!$M$130</f>
        <v>230481</v>
      </c>
      <c r="I2236" s="37">
        <v>1</v>
      </c>
      <c r="J2236" s="166">
        <f>ROUND(G2236*H2236*I2236,0)</f>
        <v>2823392</v>
      </c>
    </row>
    <row r="2237" spans="1:10" ht="28.5" x14ac:dyDescent="0.25">
      <c r="A2237" s="65">
        <f>'Công trình'!$A$300</f>
        <v>244</v>
      </c>
      <c r="B2237" s="14" t="str">
        <f>'Công trình'!$B$300</f>
        <v>AG.11113</v>
      </c>
      <c r="C2237" s="94"/>
      <c r="D2237" s="31"/>
      <c r="E2237" s="14" t="str">
        <f>'Công trình'!$C$300</f>
        <v>Sản xuất bê tông cọc, cột đúc sẵn đá 1x2, vữa BT mác 200</v>
      </c>
      <c r="F2237" s="46" t="str">
        <f>'Công trình'!$D$300</f>
        <v>m3</v>
      </c>
      <c r="G2237" s="94"/>
      <c r="H2237" s="54"/>
      <c r="I2237" s="98"/>
      <c r="J2237" s="54"/>
    </row>
    <row r="2238" spans="1:10" x14ac:dyDescent="0.25">
      <c r="A2238" s="56"/>
      <c r="B2238" s="23"/>
      <c r="C2238" s="88"/>
      <c r="D2238" s="23"/>
      <c r="E2238" s="23" t="s">
        <v>479</v>
      </c>
      <c r="F2238" s="56"/>
      <c r="G2238" s="88"/>
      <c r="H2238" s="48"/>
      <c r="I2238" s="90"/>
      <c r="J2238" s="48">
        <f>ROUND(SUM(J2239:J2243),0)</f>
        <v>974811</v>
      </c>
    </row>
    <row r="2239" spans="1:10" x14ac:dyDescent="0.25">
      <c r="A2239" s="168"/>
      <c r="B2239" s="144"/>
      <c r="C2239" s="34">
        <v>397</v>
      </c>
      <c r="D2239" s="144" t="str">
        <f>'Vật liệu'!$B$721</f>
        <v>V00761</v>
      </c>
      <c r="E2239" s="144" t="str">
        <f>" - " &amp; 'Vật liệu'!$D$721</f>
        <v xml:space="preserve"> - Xi măng PC40</v>
      </c>
      <c r="F2239" s="168" t="str">
        <f>'Vật liệu'!$E$721</f>
        <v>kg</v>
      </c>
      <c r="G2239" s="34">
        <f>'Hao phí vật tư'!$G$2240</f>
        <v>285.21499999999997</v>
      </c>
      <c r="H2239" s="68">
        <f>'Vật liệu'!$W$721</f>
        <v>1513</v>
      </c>
      <c r="I2239" s="37">
        <v>1</v>
      </c>
      <c r="J2239" s="166">
        <f>ROUND(G2239*H2239*I2239,0)</f>
        <v>431530</v>
      </c>
    </row>
    <row r="2240" spans="1:10" x14ac:dyDescent="0.25">
      <c r="A2240" s="168"/>
      <c r="B2240" s="144"/>
      <c r="C2240" s="34">
        <v>125</v>
      </c>
      <c r="D2240" s="144" t="str">
        <f>'Vật liệu'!$B$54</f>
        <v>V00112</v>
      </c>
      <c r="E2240" s="144" t="str">
        <f>" - " &amp; 'Vật liệu'!$D$54</f>
        <v xml:space="preserve"> - Cát vàng</v>
      </c>
      <c r="F2240" s="168" t="str">
        <f>'Vật liệu'!$E$54</f>
        <v>m3</v>
      </c>
      <c r="G2240" s="34">
        <f>'Hao phí vật tư'!$G$2241</f>
        <v>0.50039999999999996</v>
      </c>
      <c r="H2240" s="68">
        <f>'Vật liệu'!$W$54</f>
        <v>420000</v>
      </c>
      <c r="I2240" s="37">
        <v>1</v>
      </c>
      <c r="J2240" s="166">
        <f>ROUND(G2240*H2240*I2240,0)</f>
        <v>210168</v>
      </c>
    </row>
    <row r="2241" spans="1:10" x14ac:dyDescent="0.25">
      <c r="A2241" s="168"/>
      <c r="B2241" s="144"/>
      <c r="C2241" s="34">
        <v>416</v>
      </c>
      <c r="D2241" s="144" t="str">
        <f>'Vật liệu'!$B$142</f>
        <v>V05207</v>
      </c>
      <c r="E2241" s="144" t="str">
        <f>" - " &amp; 'Vật liệu'!$D$142</f>
        <v xml:space="preserve"> - Đá 1x2</v>
      </c>
      <c r="F2241" s="168" t="str">
        <f>'Vật liệu'!$E$142</f>
        <v>m3</v>
      </c>
      <c r="G2241" s="34">
        <f>'Hao phí vật tư'!$G$2242</f>
        <v>0.90439999999999998</v>
      </c>
      <c r="H2241" s="68">
        <f>'Vật liệu'!$W$142</f>
        <v>360886</v>
      </c>
      <c r="I2241" s="37">
        <v>1</v>
      </c>
      <c r="J2241" s="166">
        <f>ROUND(G2241*H2241*I2241,0)</f>
        <v>326385</v>
      </c>
    </row>
    <row r="2242" spans="1:10" x14ac:dyDescent="0.25">
      <c r="A2242" s="168"/>
      <c r="B2242" s="144"/>
      <c r="C2242" s="34">
        <v>148</v>
      </c>
      <c r="D2242" s="144" t="str">
        <f>'Vật liệu'!$B$353</f>
        <v>V00494</v>
      </c>
      <c r="E2242" s="144" t="str">
        <f>" - " &amp; 'Vật liệu'!$D$353</f>
        <v xml:space="preserve"> - Nước</v>
      </c>
      <c r="F2242" s="168" t="str">
        <f>'Vật liệu'!$E$353</f>
        <v>lít</v>
      </c>
      <c r="G2242" s="34">
        <f>'Hao phí vật tư'!$G$2243</f>
        <v>187.77500000000001</v>
      </c>
      <c r="H2242" s="68">
        <f>'Vật liệu'!$W$353</f>
        <v>10</v>
      </c>
      <c r="I2242" s="37">
        <v>1</v>
      </c>
      <c r="J2242" s="166">
        <f>ROUND(G2242*H2242*I2242,0)</f>
        <v>1878</v>
      </c>
    </row>
    <row r="2243" spans="1:10" x14ac:dyDescent="0.25">
      <c r="A2243" s="168"/>
      <c r="B2243" s="144"/>
      <c r="C2243" s="34">
        <v>352</v>
      </c>
      <c r="D2243" s="144" t="str">
        <f>'Vật liệu'!$B$766</f>
        <v>V00750</v>
      </c>
      <c r="E2243" s="144" t="str">
        <f>" - " &amp; 'Vật liệu'!$D$766</f>
        <v xml:space="preserve"> - Vật liệu khác</v>
      </c>
      <c r="F2243" s="168" t="str">
        <f>'Vật liệu'!$E$766</f>
        <v>%</v>
      </c>
      <c r="G2243" s="34">
        <f>'Hao phí vật tư'!$G$2244</f>
        <v>0.5</v>
      </c>
      <c r="H2243" s="166">
        <f>'Vật liệu'!$W$766</f>
        <v>0</v>
      </c>
      <c r="I2243" s="37">
        <v>1</v>
      </c>
      <c r="J2243" s="166">
        <f>ROUND((J2239+J2240+J2241+J2242)*G2243*I2243/100,0)</f>
        <v>4850</v>
      </c>
    </row>
    <row r="2244" spans="1:10" x14ac:dyDescent="0.25">
      <c r="A2244" s="56"/>
      <c r="B2244" s="23"/>
      <c r="C2244" s="88"/>
      <c r="D2244" s="23"/>
      <c r="E2244" s="23" t="s">
        <v>202</v>
      </c>
      <c r="F2244" s="56"/>
      <c r="G2244" s="88"/>
      <c r="H2244" s="48"/>
      <c r="I2244" s="90"/>
      <c r="J2244" s="48">
        <f>ROUND(SUM(J2245:J2245),0)</f>
        <v>357273</v>
      </c>
    </row>
    <row r="2245" spans="1:10" x14ac:dyDescent="0.25">
      <c r="A2245" s="168"/>
      <c r="B2245" s="144"/>
      <c r="C2245" s="34">
        <v>545</v>
      </c>
      <c r="D2245" s="144" t="str">
        <f>'Nhân công'!$B$6</f>
        <v>N0006</v>
      </c>
      <c r="E2245" s="144" t="s">
        <v>256</v>
      </c>
      <c r="F2245" s="168" t="str">
        <f>'Nhân công'!$G$6</f>
        <v>công</v>
      </c>
      <c r="G2245" s="34">
        <f>'Hao phí vật tư'!$H$2246</f>
        <v>1.83</v>
      </c>
      <c r="H2245" s="68">
        <f>'Nhân công'!$M$6</f>
        <v>195231</v>
      </c>
      <c r="I2245" s="37">
        <v>1</v>
      </c>
      <c r="J2245" s="166">
        <f>ROUND(G2245*H2245*I2245,0)</f>
        <v>357273</v>
      </c>
    </row>
    <row r="2246" spans="1:10" x14ac:dyDescent="0.25">
      <c r="A2246" s="56"/>
      <c r="B2246" s="23"/>
      <c r="C2246" s="88"/>
      <c r="D2246" s="23"/>
      <c r="E2246" s="23" t="s">
        <v>378</v>
      </c>
      <c r="F2246" s="56"/>
      <c r="G2246" s="88"/>
      <c r="H2246" s="48"/>
      <c r="I2246" s="90"/>
      <c r="J2246" s="48">
        <f>ROUND(SUM(J2247:J2249),0)</f>
        <v>74844</v>
      </c>
    </row>
    <row r="2247" spans="1:10" x14ac:dyDescent="0.25">
      <c r="A2247" s="168"/>
      <c r="B2247" s="144"/>
      <c r="C2247" s="34">
        <v>750</v>
      </c>
      <c r="D2247" s="144" t="str">
        <f>'Máy thi công'!$B$232</f>
        <v>M9571</v>
      </c>
      <c r="E2247" s="144" t="str">
        <f>" - " &amp; 'Máy thi công'!$D$232</f>
        <v xml:space="preserve"> - Máy đầm bê tông, dầm dùi - công suất: 1,5 kW</v>
      </c>
      <c r="F2247" s="168" t="str">
        <f>'Máy thi công'!$E$232</f>
        <v>ca</v>
      </c>
      <c r="G2247" s="34">
        <f>'Hao phí vật tư'!$I$2248</f>
        <v>0.18</v>
      </c>
      <c r="H2247" s="68">
        <f>'Máy thi công'!$N$232</f>
        <v>225765</v>
      </c>
      <c r="I2247" s="37">
        <v>1</v>
      </c>
      <c r="J2247" s="166">
        <f>ROUND(G2247*H2247*I2247,0)</f>
        <v>40638</v>
      </c>
    </row>
    <row r="2248" spans="1:10" x14ac:dyDescent="0.25">
      <c r="A2248" s="168"/>
      <c r="B2248" s="144"/>
      <c r="C2248" s="34">
        <v>744</v>
      </c>
      <c r="D2248" s="144" t="str">
        <f>'Máy thi công'!$B$306</f>
        <v>M9555</v>
      </c>
      <c r="E2248" s="144" t="str">
        <f>" - " &amp; 'Máy thi công'!$D$306</f>
        <v xml:space="preserve"> - Máy trộn bê tông - dung tích: 250 lít</v>
      </c>
      <c r="F2248" s="168" t="str">
        <f>'Máy thi công'!$E$306</f>
        <v>ca</v>
      </c>
      <c r="G2248" s="34">
        <f>'Hao phí vật tư'!$I$2249</f>
        <v>9.5000000000000001E-2</v>
      </c>
      <c r="H2248" s="68">
        <f>'Máy thi công'!$N$306</f>
        <v>288447</v>
      </c>
      <c r="I2248" s="37">
        <v>1</v>
      </c>
      <c r="J2248" s="166">
        <f>ROUND(G2248*H2248*I2248,0)</f>
        <v>27402</v>
      </c>
    </row>
    <row r="2249" spans="1:10" x14ac:dyDescent="0.25">
      <c r="A2249" s="168"/>
      <c r="B2249" s="144"/>
      <c r="C2249" s="34">
        <v>665</v>
      </c>
      <c r="D2249" s="144" t="str">
        <f>'Máy thi công'!$B$398</f>
        <v>M0111</v>
      </c>
      <c r="E2249" s="144" t="str">
        <f>" - " &amp; 'Máy thi công'!$D$398</f>
        <v xml:space="preserve"> - Máy khác</v>
      </c>
      <c r="F2249" s="168" t="str">
        <f>'Máy thi công'!$E$398</f>
        <v>%</v>
      </c>
      <c r="G2249" s="34">
        <f>'Hao phí vật tư'!$I$2250</f>
        <v>10</v>
      </c>
      <c r="H2249" s="166">
        <f>'Máy thi công'!$N$398</f>
        <v>0</v>
      </c>
      <c r="I2249" s="37">
        <v>1</v>
      </c>
      <c r="J2249" s="166">
        <f>ROUND((J2247+J2248)*G2249*I2249/100,0)</f>
        <v>6804</v>
      </c>
    </row>
    <row r="2250" spans="1:10" ht="28.5" x14ac:dyDescent="0.25">
      <c r="A2250" s="65">
        <f>'Công trình'!$A$301</f>
        <v>245</v>
      </c>
      <c r="B2250" s="14" t="str">
        <f>'Công trình'!$B$301</f>
        <v>AF.11212</v>
      </c>
      <c r="C2250" s="94"/>
      <c r="D2250" s="31"/>
      <c r="E2250" s="14" t="str">
        <f>'Công trình'!$C$301</f>
        <v>Bê tông móng rộng &lt;=250cm đá 1x2, vữa BT mác 150</v>
      </c>
      <c r="F2250" s="46" t="str">
        <f>'Công trình'!$D$301</f>
        <v>m3</v>
      </c>
      <c r="G2250" s="94"/>
      <c r="H2250" s="54"/>
      <c r="I2250" s="98"/>
      <c r="J2250" s="54"/>
    </row>
    <row r="2251" spans="1:10" x14ac:dyDescent="0.25">
      <c r="A2251" s="56"/>
      <c r="B2251" s="23"/>
      <c r="C2251" s="88"/>
      <c r="D2251" s="23"/>
      <c r="E2251" s="23" t="s">
        <v>479</v>
      </c>
      <c r="F2251" s="56"/>
      <c r="G2251" s="88"/>
      <c r="H2251" s="48"/>
      <c r="I2251" s="90"/>
      <c r="J2251" s="48">
        <f>ROUND(SUM(J2252:J2256),0)</f>
        <v>926019</v>
      </c>
    </row>
    <row r="2252" spans="1:10" x14ac:dyDescent="0.25">
      <c r="A2252" s="168"/>
      <c r="B2252" s="144"/>
      <c r="C2252" s="34">
        <v>397</v>
      </c>
      <c r="D2252" s="144" t="str">
        <f>'Vật liệu'!$B$721</f>
        <v>V00761</v>
      </c>
      <c r="E2252" s="144" t="str">
        <f>" - " &amp; 'Vật liệu'!$D$721</f>
        <v xml:space="preserve"> - Xi măng PC40</v>
      </c>
      <c r="F2252" s="168" t="str">
        <f>'Vật liệu'!$E$721</f>
        <v>kg</v>
      </c>
      <c r="G2252" s="34">
        <f>'Hao phí vật tư'!$G$2253</f>
        <v>238.82499999999999</v>
      </c>
      <c r="H2252" s="68">
        <f>'Vật liệu'!$W$721</f>
        <v>1513</v>
      </c>
      <c r="I2252" s="37">
        <v>1</v>
      </c>
      <c r="J2252" s="166">
        <f>ROUND(G2252*H2252*I2252,0)</f>
        <v>361342</v>
      </c>
    </row>
    <row r="2253" spans="1:10" x14ac:dyDescent="0.25">
      <c r="A2253" s="168"/>
      <c r="B2253" s="144"/>
      <c r="C2253" s="34">
        <v>125</v>
      </c>
      <c r="D2253" s="144" t="str">
        <f>'Vật liệu'!$B$54</f>
        <v>V00112</v>
      </c>
      <c r="E2253" s="144" t="str">
        <f>" - " &amp; 'Vật liệu'!$D$54</f>
        <v xml:space="preserve"> - Cát vàng</v>
      </c>
      <c r="F2253" s="168" t="str">
        <f>'Vật liệu'!$E$54</f>
        <v>m3</v>
      </c>
      <c r="G2253" s="34">
        <f>'Hao phí vật tư'!$G$2254</f>
        <v>0.52280000000000004</v>
      </c>
      <c r="H2253" s="68">
        <f>'Vật liệu'!$W$54</f>
        <v>420000</v>
      </c>
      <c r="I2253" s="37">
        <v>1</v>
      </c>
      <c r="J2253" s="166">
        <f>ROUND(G2253*H2253*I2253,0)</f>
        <v>219576</v>
      </c>
    </row>
    <row r="2254" spans="1:10" x14ac:dyDescent="0.25">
      <c r="A2254" s="168"/>
      <c r="B2254" s="144"/>
      <c r="C2254" s="34">
        <v>416</v>
      </c>
      <c r="D2254" s="144" t="str">
        <f>'Vật liệu'!$B$142</f>
        <v>V05207</v>
      </c>
      <c r="E2254" s="144" t="str">
        <f>" - " &amp; 'Vật liệu'!$D$142</f>
        <v xml:space="preserve"> - Đá 1x2</v>
      </c>
      <c r="F2254" s="168" t="str">
        <f>'Vật liệu'!$E$142</f>
        <v>m3</v>
      </c>
      <c r="G2254" s="34">
        <f>'Hao phí vật tư'!$G$2255</f>
        <v>0.92559999999999998</v>
      </c>
      <c r="H2254" s="68">
        <f>'Vật liệu'!$W$142</f>
        <v>360886</v>
      </c>
      <c r="I2254" s="37">
        <v>1</v>
      </c>
      <c r="J2254" s="166">
        <f>ROUND(G2254*H2254*I2254,0)</f>
        <v>334036</v>
      </c>
    </row>
    <row r="2255" spans="1:10" x14ac:dyDescent="0.25">
      <c r="A2255" s="168"/>
      <c r="B2255" s="144"/>
      <c r="C2255" s="34">
        <v>148</v>
      </c>
      <c r="D2255" s="144" t="str">
        <f>'Vật liệu'!$B$353</f>
        <v>V00494</v>
      </c>
      <c r="E2255" s="144" t="str">
        <f>" - " &amp; 'Vật liệu'!$D$353</f>
        <v xml:space="preserve"> - Nước</v>
      </c>
      <c r="F2255" s="168" t="str">
        <f>'Vật liệu'!$E$353</f>
        <v>lít</v>
      </c>
      <c r="G2255" s="34">
        <f>'Hao phí vật tư'!$G$2256</f>
        <v>189.625</v>
      </c>
      <c r="H2255" s="68">
        <f>'Vật liệu'!$W$353</f>
        <v>10</v>
      </c>
      <c r="I2255" s="37">
        <v>1</v>
      </c>
      <c r="J2255" s="166">
        <f>ROUND(G2255*H2255*I2255,0)</f>
        <v>1896</v>
      </c>
    </row>
    <row r="2256" spans="1:10" x14ac:dyDescent="0.25">
      <c r="A2256" s="168"/>
      <c r="B2256" s="144"/>
      <c r="C2256" s="34">
        <v>353</v>
      </c>
      <c r="D2256" s="144" t="str">
        <f>'Vật liệu'!$B$766</f>
        <v>V00750</v>
      </c>
      <c r="E2256" s="144" t="str">
        <f>" - " &amp; 'Vật liệu'!$D$766</f>
        <v xml:space="preserve"> - Vật liệu khác</v>
      </c>
      <c r="F2256" s="168" t="str">
        <f>'Vật liệu'!$E$766</f>
        <v>%</v>
      </c>
      <c r="G2256" s="34">
        <f>'Hao phí vật tư'!$G$2257</f>
        <v>1</v>
      </c>
      <c r="H2256" s="166">
        <f>'Vật liệu'!$W$766</f>
        <v>0</v>
      </c>
      <c r="I2256" s="37">
        <v>1</v>
      </c>
      <c r="J2256" s="166">
        <f>ROUND((J2252+J2253+J2254+J2255)*G2256*I2256/100,0)</f>
        <v>9169</v>
      </c>
    </row>
    <row r="2257" spans="1:10" x14ac:dyDescent="0.25">
      <c r="A2257" s="56"/>
      <c r="B2257" s="23"/>
      <c r="C2257" s="88"/>
      <c r="D2257" s="23"/>
      <c r="E2257" s="23" t="s">
        <v>202</v>
      </c>
      <c r="F2257" s="56"/>
      <c r="G2257" s="88"/>
      <c r="H2257" s="48"/>
      <c r="I2257" s="90"/>
      <c r="J2257" s="48">
        <f>ROUND(SUM(J2258:J2258),0)</f>
        <v>320179</v>
      </c>
    </row>
    <row r="2258" spans="1:10" x14ac:dyDescent="0.25">
      <c r="A2258" s="168"/>
      <c r="B2258" s="144"/>
      <c r="C2258" s="34">
        <v>545</v>
      </c>
      <c r="D2258" s="144" t="str">
        <f>'Nhân công'!$B$6</f>
        <v>N0006</v>
      </c>
      <c r="E2258" s="144" t="s">
        <v>256</v>
      </c>
      <c r="F2258" s="168" t="str">
        <f>'Nhân công'!$G$6</f>
        <v>công</v>
      </c>
      <c r="G2258" s="34">
        <f>'Hao phí vật tư'!$H$2259</f>
        <v>1.64</v>
      </c>
      <c r="H2258" s="68">
        <f>'Nhân công'!$M$6</f>
        <v>195231</v>
      </c>
      <c r="I2258" s="37">
        <v>1</v>
      </c>
      <c r="J2258" s="166">
        <f>ROUND(G2258*H2258*I2258,0)</f>
        <v>320179</v>
      </c>
    </row>
    <row r="2259" spans="1:10" x14ac:dyDescent="0.25">
      <c r="A2259" s="56"/>
      <c r="B2259" s="23"/>
      <c r="C2259" s="88"/>
      <c r="D2259" s="23"/>
      <c r="E2259" s="23" t="s">
        <v>378</v>
      </c>
      <c r="F2259" s="56"/>
      <c r="G2259" s="88"/>
      <c r="H2259" s="48"/>
      <c r="I2259" s="90"/>
      <c r="J2259" s="48">
        <f>ROUND(SUM(J2260:J2261),0)</f>
        <v>47495</v>
      </c>
    </row>
    <row r="2260" spans="1:10" x14ac:dyDescent="0.25">
      <c r="A2260" s="168"/>
      <c r="B2260" s="144"/>
      <c r="C2260" s="34">
        <v>750</v>
      </c>
      <c r="D2260" s="144" t="str">
        <f>'Máy thi công'!$B$232</f>
        <v>M9571</v>
      </c>
      <c r="E2260" s="144" t="str">
        <f>" - " &amp; 'Máy thi công'!$D$232</f>
        <v xml:space="preserve"> - Máy đầm bê tông, dầm dùi - công suất: 1,5 kW</v>
      </c>
      <c r="F2260" s="168" t="str">
        <f>'Máy thi công'!$E$232</f>
        <v>ca</v>
      </c>
      <c r="G2260" s="34">
        <f>'Hao phí vật tư'!$I$2261</f>
        <v>8.8999999999999996E-2</v>
      </c>
      <c r="H2260" s="68">
        <f>'Máy thi công'!$N$232</f>
        <v>225765</v>
      </c>
      <c r="I2260" s="37">
        <v>1</v>
      </c>
      <c r="J2260" s="166">
        <f>ROUND(G2260*H2260*I2260,0)</f>
        <v>20093</v>
      </c>
    </row>
    <row r="2261" spans="1:10" x14ac:dyDescent="0.25">
      <c r="A2261" s="168"/>
      <c r="B2261" s="144"/>
      <c r="C2261" s="34">
        <v>744</v>
      </c>
      <c r="D2261" s="144" t="str">
        <f>'Máy thi công'!$B$306</f>
        <v>M9555</v>
      </c>
      <c r="E2261" s="144" t="str">
        <f>" - " &amp; 'Máy thi công'!$D$306</f>
        <v xml:space="preserve"> - Máy trộn bê tông - dung tích: 250 lít</v>
      </c>
      <c r="F2261" s="168" t="str">
        <f>'Máy thi công'!$E$306</f>
        <v>ca</v>
      </c>
      <c r="G2261" s="34">
        <f>'Hao phí vật tư'!$I$2262</f>
        <v>9.5000000000000001E-2</v>
      </c>
      <c r="H2261" s="68">
        <f>'Máy thi công'!$N$306</f>
        <v>288447</v>
      </c>
      <c r="I2261" s="37">
        <v>1</v>
      </c>
      <c r="J2261" s="166">
        <f>ROUND(G2261*H2261*I2261,0)</f>
        <v>27402</v>
      </c>
    </row>
    <row r="2262" spans="1:10" ht="28.5" x14ac:dyDescent="0.25">
      <c r="A2262" s="65">
        <f>'Công trình'!$A$302</f>
        <v>246</v>
      </c>
      <c r="B2262" s="14" t="str">
        <f>'Công trình'!$B$302</f>
        <v>AF.61110</v>
      </c>
      <c r="C2262" s="94"/>
      <c r="D2262" s="31"/>
      <c r="E2262" s="14" t="str">
        <f>'Công trình'!$C$302</f>
        <v>Sản xuất, lắp dựng cốt thép móng đường kính &lt;=10mm</v>
      </c>
      <c r="F2262" s="46" t="str">
        <f>'Công trình'!$D$302</f>
        <v>tấn</v>
      </c>
      <c r="G2262" s="94"/>
      <c r="H2262" s="54"/>
      <c r="I2262" s="98"/>
      <c r="J2262" s="54"/>
    </row>
    <row r="2263" spans="1:10" x14ac:dyDescent="0.25">
      <c r="A2263" s="56"/>
      <c r="B2263" s="23"/>
      <c r="C2263" s="88"/>
      <c r="D2263" s="23"/>
      <c r="E2263" s="23" t="s">
        <v>479</v>
      </c>
      <c r="F2263" s="56"/>
      <c r="G2263" s="88"/>
      <c r="H2263" s="48"/>
      <c r="I2263" s="90"/>
      <c r="J2263" s="48">
        <f>ROUND(SUM(J2264:J2265),0)</f>
        <v>14603640</v>
      </c>
    </row>
    <row r="2264" spans="1:10" x14ac:dyDescent="0.25">
      <c r="A2264" s="168"/>
      <c r="B2264" s="144"/>
      <c r="C2264" s="34">
        <v>135</v>
      </c>
      <c r="D2264" s="144" t="str">
        <f>'Vật liệu'!$B$221</f>
        <v>V00226</v>
      </c>
      <c r="E2264" s="144" t="str">
        <f>" - " &amp; 'Vật liệu'!$D$221</f>
        <v xml:space="preserve"> - Dây thép</v>
      </c>
      <c r="F2264" s="168" t="str">
        <f>'Vật liệu'!$E$221</f>
        <v>kg</v>
      </c>
      <c r="G2264" s="34">
        <f>'Hao phí vật tư'!$G$2265</f>
        <v>21.42</v>
      </c>
      <c r="H2264" s="68">
        <f>'Vật liệu'!$W$221</f>
        <v>17500</v>
      </c>
      <c r="I2264" s="37">
        <v>1</v>
      </c>
      <c r="J2264" s="166">
        <f>ROUND(G2264*H2264*I2264,0)</f>
        <v>374850</v>
      </c>
    </row>
    <row r="2265" spans="1:10" x14ac:dyDescent="0.25">
      <c r="A2265" s="168"/>
      <c r="B2265" s="144"/>
      <c r="C2265" s="34">
        <v>484</v>
      </c>
      <c r="D2265" s="144" t="str">
        <f>'Vật liệu'!$B$650</f>
        <v>V48494</v>
      </c>
      <c r="E2265" s="144" t="str">
        <f>" - " &amp; 'Vật liệu'!$D$650</f>
        <v xml:space="preserve"> - Thép tròn đường kính &lt;=10 mm</v>
      </c>
      <c r="F2265" s="168" t="str">
        <f>'Vật liệu'!$E$650</f>
        <v>kg</v>
      </c>
      <c r="G2265" s="34">
        <f>'Hao phí vật tư'!$G$2266</f>
        <v>1005</v>
      </c>
      <c r="H2265" s="68">
        <f>'Vật liệu'!$W$650</f>
        <v>14158</v>
      </c>
      <c r="I2265" s="37">
        <v>1</v>
      </c>
      <c r="J2265" s="166">
        <f>ROUND(G2265*H2265*I2265,0)</f>
        <v>14228790</v>
      </c>
    </row>
    <row r="2266" spans="1:10" x14ac:dyDescent="0.25">
      <c r="A2266" s="56"/>
      <c r="B2266" s="23"/>
      <c r="C2266" s="88"/>
      <c r="D2266" s="23"/>
      <c r="E2266" s="23" t="s">
        <v>202</v>
      </c>
      <c r="F2266" s="56"/>
      <c r="G2266" s="88"/>
      <c r="H2266" s="48"/>
      <c r="I2266" s="90"/>
      <c r="J2266" s="48">
        <f>ROUND(SUM(J2267:J2267),0)</f>
        <v>2409530</v>
      </c>
    </row>
    <row r="2267" spans="1:10" x14ac:dyDescent="0.25">
      <c r="A2267" s="168"/>
      <c r="B2267" s="144"/>
      <c r="C2267" s="34">
        <v>546</v>
      </c>
      <c r="D2267" s="144" t="str">
        <f>'Nhân công'!$B$45</f>
        <v>N0009</v>
      </c>
      <c r="E2267" s="144" t="s">
        <v>1052</v>
      </c>
      <c r="F2267" s="168" t="str">
        <f>'Nhân công'!$G$45</f>
        <v>công</v>
      </c>
      <c r="G2267" s="34">
        <f>'Hao phí vật tư'!$H$2268</f>
        <v>11.32</v>
      </c>
      <c r="H2267" s="68">
        <f>'Nhân công'!$M$45</f>
        <v>212856</v>
      </c>
      <c r="I2267" s="37">
        <v>1</v>
      </c>
      <c r="J2267" s="166">
        <f>ROUND(G2267*H2267*I2267,0)</f>
        <v>2409530</v>
      </c>
    </row>
    <row r="2268" spans="1:10" x14ac:dyDescent="0.25">
      <c r="A2268" s="56"/>
      <c r="B2268" s="23"/>
      <c r="C2268" s="88"/>
      <c r="D2268" s="23"/>
      <c r="E2268" s="23" t="s">
        <v>378</v>
      </c>
      <c r="F2268" s="56"/>
      <c r="G2268" s="88"/>
      <c r="H2268" s="48"/>
      <c r="I2268" s="90"/>
      <c r="J2268" s="48">
        <f>ROUND(SUM(J2269:J2269),0)</f>
        <v>91218</v>
      </c>
    </row>
    <row r="2269" spans="1:10" x14ac:dyDescent="0.25">
      <c r="A2269" s="168"/>
      <c r="B2269" s="144"/>
      <c r="C2269" s="34">
        <v>737</v>
      </c>
      <c r="D2269" s="144" t="str">
        <f>'Máy thi công'!$B$184</f>
        <v>M9521</v>
      </c>
      <c r="E2269" s="144" t="str">
        <f>" - " &amp; 'Máy thi công'!$D$184</f>
        <v xml:space="preserve"> - Máy cắt uốn cốt thép - công suất: 5 kW</v>
      </c>
      <c r="F2269" s="168" t="str">
        <f>'Máy thi công'!$E$184</f>
        <v>ca</v>
      </c>
      <c r="G2269" s="34">
        <f>'Hao phí vật tư'!$I$2270</f>
        <v>0.4</v>
      </c>
      <c r="H2269" s="68">
        <f>'Máy thi công'!$N$184</f>
        <v>228044</v>
      </c>
      <c r="I2269" s="37">
        <v>1</v>
      </c>
      <c r="J2269" s="166">
        <f>ROUND(G2269*H2269*I2269,0)</f>
        <v>91218</v>
      </c>
    </row>
    <row r="2270" spans="1:10" ht="28.5" x14ac:dyDescent="0.25">
      <c r="A2270" s="65">
        <f>'Công trình'!$A$303</f>
        <v>247</v>
      </c>
      <c r="B2270" s="14" t="str">
        <f>'Công trình'!$B$303</f>
        <v>AG.42111</v>
      </c>
      <c r="C2270" s="94"/>
      <c r="D2270" s="31"/>
      <c r="E2270" s="14" t="str">
        <f>'Công trình'!$C$303</f>
        <v>Lắp các loại cấu kiện BT đúc sẵn bằng thủ công trọng lượng &lt;=50kg, vữa XM mác 100</v>
      </c>
      <c r="F2270" s="46" t="str">
        <f>'Công trình'!$D$303</f>
        <v>cái</v>
      </c>
      <c r="G2270" s="94"/>
      <c r="H2270" s="54"/>
      <c r="I2270" s="98"/>
      <c r="J2270" s="54"/>
    </row>
    <row r="2271" spans="1:10" x14ac:dyDescent="0.25">
      <c r="A2271" s="56"/>
      <c r="B2271" s="23"/>
      <c r="C2271" s="88"/>
      <c r="D2271" s="23"/>
      <c r="E2271" s="23" t="s">
        <v>479</v>
      </c>
      <c r="F2271" s="56"/>
      <c r="G2271" s="88"/>
      <c r="H2271" s="48"/>
      <c r="I2271" s="90"/>
      <c r="J2271" s="48">
        <f>ROUND(SUM(J2272:J2275),0)</f>
        <v>3016</v>
      </c>
    </row>
    <row r="2272" spans="1:10" x14ac:dyDescent="0.25">
      <c r="A2272" s="168"/>
      <c r="B2272" s="144"/>
      <c r="C2272" s="34">
        <v>397</v>
      </c>
      <c r="D2272" s="144" t="str">
        <f>'Vật liệu'!$B$721</f>
        <v>V00761</v>
      </c>
      <c r="E2272" s="144" t="str">
        <f>" - " &amp; 'Vật liệu'!$D$721</f>
        <v xml:space="preserve"> - Xi măng PC40</v>
      </c>
      <c r="F2272" s="168" t="str">
        <f>'Vật liệu'!$E$721</f>
        <v>kg</v>
      </c>
      <c r="G2272" s="34">
        <f>'Hao phí vật tư'!$G$2273</f>
        <v>0.8911</v>
      </c>
      <c r="H2272" s="68">
        <f>'Vật liệu'!$W$721</f>
        <v>1513</v>
      </c>
      <c r="I2272" s="37">
        <v>1</v>
      </c>
      <c r="J2272" s="166">
        <f>ROUND(G2272*H2272*I2272,0)</f>
        <v>1348</v>
      </c>
    </row>
    <row r="2273" spans="1:10" x14ac:dyDescent="0.25">
      <c r="A2273" s="168"/>
      <c r="B2273" s="144"/>
      <c r="C2273" s="34">
        <v>125</v>
      </c>
      <c r="D2273" s="144" t="str">
        <f>'Vật liệu'!$B$54</f>
        <v>V00112</v>
      </c>
      <c r="E2273" s="144" t="str">
        <f>" - " &amp; 'Vật liệu'!$D$54</f>
        <v xml:space="preserve"> - Cát vàng</v>
      </c>
      <c r="F2273" s="168" t="str">
        <f>'Vật liệu'!$E$54</f>
        <v>m3</v>
      </c>
      <c r="G2273" s="34">
        <f>'Hao phí vật tư'!$G$2274</f>
        <v>3.3E-3</v>
      </c>
      <c r="H2273" s="68">
        <f>'Vật liệu'!$W$54</f>
        <v>420000</v>
      </c>
      <c r="I2273" s="37">
        <v>1</v>
      </c>
      <c r="J2273" s="166">
        <f>ROUND(G2273*H2273*I2273,0)</f>
        <v>1386</v>
      </c>
    </row>
    <row r="2274" spans="1:10" x14ac:dyDescent="0.25">
      <c r="A2274" s="168"/>
      <c r="B2274" s="144"/>
      <c r="C2274" s="34">
        <v>148</v>
      </c>
      <c r="D2274" s="144" t="str">
        <f>'Vật liệu'!$B$353</f>
        <v>V00494</v>
      </c>
      <c r="E2274" s="144" t="str">
        <f>" - " &amp; 'Vật liệu'!$D$353</f>
        <v xml:space="preserve"> - Nước</v>
      </c>
      <c r="F2274" s="168" t="str">
        <f>'Vật liệu'!$E$353</f>
        <v>lít</v>
      </c>
      <c r="G2274" s="34">
        <f>'Hao phí vật tư'!$G$2275</f>
        <v>0.78</v>
      </c>
      <c r="H2274" s="68">
        <f>'Vật liệu'!$W$353</f>
        <v>10</v>
      </c>
      <c r="I2274" s="37">
        <v>1</v>
      </c>
      <c r="J2274" s="166">
        <f>ROUND(G2274*H2274*I2274,0)</f>
        <v>8</v>
      </c>
    </row>
    <row r="2275" spans="1:10" x14ac:dyDescent="0.25">
      <c r="A2275" s="168"/>
      <c r="B2275" s="144"/>
      <c r="C2275" s="34">
        <v>356</v>
      </c>
      <c r="D2275" s="144" t="str">
        <f>'Vật liệu'!$B$766</f>
        <v>V00750</v>
      </c>
      <c r="E2275" s="144" t="str">
        <f>" - " &amp; 'Vật liệu'!$D$766</f>
        <v xml:space="preserve"> - Vật liệu khác</v>
      </c>
      <c r="F2275" s="168" t="str">
        <f>'Vật liệu'!$E$766</f>
        <v>%</v>
      </c>
      <c r="G2275" s="34">
        <f>'Hao phí vật tư'!$G$2276</f>
        <v>10</v>
      </c>
      <c r="H2275" s="166">
        <f>'Vật liệu'!$W$766</f>
        <v>0</v>
      </c>
      <c r="I2275" s="37">
        <v>1</v>
      </c>
      <c r="J2275" s="166">
        <f>ROUND((J2272+J2273+J2274)*G2275*I2275/100,0)</f>
        <v>274</v>
      </c>
    </row>
    <row r="2276" spans="1:10" x14ac:dyDescent="0.25">
      <c r="A2276" s="56"/>
      <c r="B2276" s="23"/>
      <c r="C2276" s="88"/>
      <c r="D2276" s="23"/>
      <c r="E2276" s="23" t="s">
        <v>202</v>
      </c>
      <c r="F2276" s="56"/>
      <c r="G2276" s="88"/>
      <c r="H2276" s="48"/>
      <c r="I2276" s="90"/>
      <c r="J2276" s="48">
        <f>ROUND(SUM(J2277:J2277),0)</f>
        <v>38775</v>
      </c>
    </row>
    <row r="2277" spans="1:10" x14ac:dyDescent="0.25">
      <c r="A2277" s="168"/>
      <c r="B2277" s="144"/>
      <c r="C2277" s="34">
        <v>555</v>
      </c>
      <c r="D2277" s="144" t="str">
        <f>'Nhân công'!$B$185</f>
        <v>N0020</v>
      </c>
      <c r="E2277" s="144" t="s">
        <v>625</v>
      </c>
      <c r="F2277" s="168" t="str">
        <f>'Nhân công'!$G$185</f>
        <v>công</v>
      </c>
      <c r="G2277" s="34">
        <f>'Hao phí vật tư'!$H$2278</f>
        <v>0.15</v>
      </c>
      <c r="H2277" s="68">
        <f>'Nhân công'!$M$185</f>
        <v>258500</v>
      </c>
      <c r="I2277" s="37">
        <v>1</v>
      </c>
      <c r="J2277" s="166">
        <f>ROUND(G2277*H2277*I2277,0)</f>
        <v>38775</v>
      </c>
    </row>
    <row r="2278" spans="1:10" x14ac:dyDescent="0.25">
      <c r="A2278" s="65">
        <f>'Công trình'!$A$304</f>
        <v>248</v>
      </c>
      <c r="B2278" s="14" t="str">
        <f>'Công trình'!$B$304</f>
        <v>AK.90122</v>
      </c>
      <c r="C2278" s="94"/>
      <c r="D2278" s="31"/>
      <c r="E2278" s="14" t="str">
        <f>'Công trình'!$C$304</f>
        <v>Sơn trắng đỏ</v>
      </c>
      <c r="F2278" s="46" t="str">
        <f>'Công trình'!$D$304</f>
        <v>m2</v>
      </c>
      <c r="G2278" s="94"/>
      <c r="H2278" s="54"/>
      <c r="I2278" s="98"/>
      <c r="J2278" s="54"/>
    </row>
    <row r="2279" spans="1:10" x14ac:dyDescent="0.25">
      <c r="A2279" s="56"/>
      <c r="B2279" s="23"/>
      <c r="C2279" s="88"/>
      <c r="D2279" s="23"/>
      <c r="E2279" s="23" t="s">
        <v>479</v>
      </c>
      <c r="F2279" s="56"/>
      <c r="G2279" s="88"/>
      <c r="H2279" s="48"/>
      <c r="I2279" s="90"/>
      <c r="J2279" s="48">
        <f>ROUND(SUM(J2280:J2282),0)</f>
        <v>16676</v>
      </c>
    </row>
    <row r="2280" spans="1:10" x14ac:dyDescent="0.25">
      <c r="A2280" s="168"/>
      <c r="B2280" s="144"/>
      <c r="C2280" s="34">
        <v>518</v>
      </c>
      <c r="D2280" s="144" t="str">
        <f>'Vật liệu'!$B$541</f>
        <v>V74456</v>
      </c>
      <c r="E2280" s="144" t="str">
        <f>" - " &amp; 'Vật liệu'!$D$541</f>
        <v xml:space="preserve"> - Sơn phủ Joton Jony nội thất</v>
      </c>
      <c r="F2280" s="168" t="str">
        <f>'Vật liệu'!$E$541</f>
        <v>lít</v>
      </c>
      <c r="G2280" s="34">
        <f>'Hao phí vật tư'!$G$2281</f>
        <v>0.27</v>
      </c>
      <c r="H2280" s="68">
        <f>'Vật liệu'!$W$541</f>
        <v>22545</v>
      </c>
      <c r="I2280" s="37">
        <v>1</v>
      </c>
      <c r="J2280" s="166">
        <f>ROUND(G2280*H2280*I2280,0)</f>
        <v>6087</v>
      </c>
    </row>
    <row r="2281" spans="1:10" x14ac:dyDescent="0.25">
      <c r="A2281" s="168"/>
      <c r="B2281" s="144"/>
      <c r="C2281" s="34">
        <v>517</v>
      </c>
      <c r="D2281" s="144" t="str">
        <f>'Vật liệu'!$B$537</f>
        <v>V74434</v>
      </c>
      <c r="E2281" s="144" t="str">
        <f>" - " &amp; 'Vật liệu'!$D$537</f>
        <v xml:space="preserve"> - Sơn lót Joton Altin nội thất</v>
      </c>
      <c r="F2281" s="168" t="str">
        <f>'Vật liệu'!$E$537</f>
        <v>lít</v>
      </c>
      <c r="G2281" s="34">
        <f>'Hao phí vật tư'!$G$2282</f>
        <v>0.16400000000000001</v>
      </c>
      <c r="H2281" s="68">
        <f>'Vật liệu'!$W$537</f>
        <v>63564</v>
      </c>
      <c r="I2281" s="37">
        <v>1</v>
      </c>
      <c r="J2281" s="166">
        <f>ROUND(G2281*H2281*I2281,0)</f>
        <v>10424</v>
      </c>
    </row>
    <row r="2282" spans="1:10" x14ac:dyDescent="0.25">
      <c r="A2282" s="168"/>
      <c r="B2282" s="144"/>
      <c r="C2282" s="34">
        <v>354</v>
      </c>
      <c r="D2282" s="144" t="str">
        <f>'Vật liệu'!$B$766</f>
        <v>V00750</v>
      </c>
      <c r="E2282" s="144" t="str">
        <f>" - " &amp; 'Vật liệu'!$D$766</f>
        <v xml:space="preserve"> - Vật liệu khác</v>
      </c>
      <c r="F2282" s="168" t="str">
        <f>'Vật liệu'!$E$766</f>
        <v>%</v>
      </c>
      <c r="G2282" s="34">
        <f>'Hao phí vật tư'!$G$2283</f>
        <v>1</v>
      </c>
      <c r="H2282" s="166">
        <f>'Vật liệu'!$W$766</f>
        <v>0</v>
      </c>
      <c r="I2282" s="37">
        <v>1</v>
      </c>
      <c r="J2282" s="166">
        <f>ROUND((J2280+J2281)*G2282*I2282/100,0)</f>
        <v>165</v>
      </c>
    </row>
    <row r="2283" spans="1:10" x14ac:dyDescent="0.25">
      <c r="A2283" s="56"/>
      <c r="B2283" s="23"/>
      <c r="C2283" s="88"/>
      <c r="D2283" s="23"/>
      <c r="E2283" s="23" t="s">
        <v>202</v>
      </c>
      <c r="F2283" s="56"/>
      <c r="G2283" s="88"/>
      <c r="H2283" s="48"/>
      <c r="I2283" s="90"/>
      <c r="J2283" s="48">
        <f>ROUND(SUM(J2284:J2284),0)</f>
        <v>14048</v>
      </c>
    </row>
    <row r="2284" spans="1:10" x14ac:dyDescent="0.25">
      <c r="A2284" s="168"/>
      <c r="B2284" s="144"/>
      <c r="C2284" s="34">
        <v>546</v>
      </c>
      <c r="D2284" s="144" t="str">
        <f>'Nhân công'!$B$45</f>
        <v>N0009</v>
      </c>
      <c r="E2284" s="144" t="s">
        <v>1052</v>
      </c>
      <c r="F2284" s="168" t="str">
        <f>'Nhân công'!$G$45</f>
        <v>công</v>
      </c>
      <c r="G2284" s="34">
        <f>'Hao phí vật tư'!$H$2285</f>
        <v>6.6000000000000003E-2</v>
      </c>
      <c r="H2284" s="68">
        <f>'Nhân công'!$M$45</f>
        <v>212856</v>
      </c>
      <c r="I2284" s="37">
        <v>1</v>
      </c>
      <c r="J2284" s="166">
        <f>ROUND(G2284*H2284*I2284,0)</f>
        <v>14048</v>
      </c>
    </row>
    <row r="2285" spans="1:10" ht="42.75" x14ac:dyDescent="0.25">
      <c r="A2285" s="65">
        <f>'Công trình'!$A$305</f>
        <v>249</v>
      </c>
      <c r="B2285" s="14" t="str">
        <f>'Công trình'!$B$305</f>
        <v>AF.82511</v>
      </c>
      <c r="C2285" s="94"/>
      <c r="D2285" s="31"/>
      <c r="E2285" s="14" t="str">
        <f>'Công trình'!$C$305</f>
        <v>Sản xuất, lắp dựng, tháo dỡ ván khuôn cho bê tông đổ tại chổ, ván khuôn thép, ván khuôn móng</v>
      </c>
      <c r="F2285" s="46" t="str">
        <f>'Công trình'!$D$305</f>
        <v>100m2</v>
      </c>
      <c r="G2285" s="94"/>
      <c r="H2285" s="54"/>
      <c r="I2285" s="98"/>
      <c r="J2285" s="54"/>
    </row>
    <row r="2286" spans="1:10" x14ac:dyDescent="0.25">
      <c r="A2286" s="56"/>
      <c r="B2286" s="23"/>
      <c r="C2286" s="88"/>
      <c r="D2286" s="23"/>
      <c r="E2286" s="23" t="s">
        <v>479</v>
      </c>
      <c r="F2286" s="56"/>
      <c r="G2286" s="88"/>
      <c r="H2286" s="48"/>
      <c r="I2286" s="90"/>
      <c r="J2286" s="48">
        <f>ROUND(SUM(J2287:J2289),0)</f>
        <v>1255185</v>
      </c>
    </row>
    <row r="2287" spans="1:10" x14ac:dyDescent="0.25">
      <c r="A2287" s="168"/>
      <c r="B2287" s="144"/>
      <c r="C2287" s="34">
        <v>160</v>
      </c>
      <c r="D2287" s="144" t="str">
        <f>'Vật liệu'!$B$556</f>
        <v>V00641</v>
      </c>
      <c r="E2287" s="144" t="str">
        <f>" - " &amp; 'Vật liệu'!$D$556</f>
        <v xml:space="preserve"> - Thép hình</v>
      </c>
      <c r="F2287" s="168" t="str">
        <f>'Vật liệu'!$E$556</f>
        <v>kg</v>
      </c>
      <c r="G2287" s="34">
        <f>'Hao phí vật tư'!$G$2288</f>
        <v>32.020000000000003</v>
      </c>
      <c r="H2287" s="68">
        <f>'Vật liệu'!$W$556</f>
        <v>15291</v>
      </c>
      <c r="I2287" s="37">
        <v>1</v>
      </c>
      <c r="J2287" s="166">
        <f>ROUND(G2287*H2287*I2287,0)</f>
        <v>489618</v>
      </c>
    </row>
    <row r="2288" spans="1:10" x14ac:dyDescent="0.25">
      <c r="A2288" s="168"/>
      <c r="B2288" s="144"/>
      <c r="C2288" s="34">
        <v>166</v>
      </c>
      <c r="D2288" s="144" t="str">
        <f>'Vật liệu'!$B$606</f>
        <v>V00671</v>
      </c>
      <c r="E2288" s="144" t="str">
        <f>" - " &amp; 'Vật liệu'!$D$606</f>
        <v xml:space="preserve"> - Thép tấm</v>
      </c>
      <c r="F2288" s="168" t="str">
        <f>'Vật liệu'!$E$606</f>
        <v>kg</v>
      </c>
      <c r="G2288" s="34">
        <f>'Hao phí vật tư'!$G$2289</f>
        <v>51.81</v>
      </c>
      <c r="H2288" s="68">
        <f>'Vật liệu'!$W$606</f>
        <v>12574</v>
      </c>
      <c r="I2288" s="37">
        <v>1</v>
      </c>
      <c r="J2288" s="166">
        <f>ROUND(G2288*H2288*I2288,0)</f>
        <v>651459</v>
      </c>
    </row>
    <row r="2289" spans="1:10" x14ac:dyDescent="0.25">
      <c r="A2289" s="168"/>
      <c r="B2289" s="144"/>
      <c r="C2289" s="34">
        <v>355</v>
      </c>
      <c r="D2289" s="144" t="str">
        <f>'Vật liệu'!$B$766</f>
        <v>V00750</v>
      </c>
      <c r="E2289" s="144" t="str">
        <f>" - " &amp; 'Vật liệu'!$D$766</f>
        <v xml:space="preserve"> - Vật liệu khác</v>
      </c>
      <c r="F2289" s="168" t="str">
        <f>'Vật liệu'!$E$766</f>
        <v>%</v>
      </c>
      <c r="G2289" s="34">
        <f>'Hao phí vật tư'!$G$2290</f>
        <v>10</v>
      </c>
      <c r="H2289" s="166">
        <f>'Vật liệu'!$W$766</f>
        <v>0</v>
      </c>
      <c r="I2289" s="37">
        <v>1</v>
      </c>
      <c r="J2289" s="166">
        <f>ROUND((J2287+J2288)*G2289*I2289/100,0)</f>
        <v>114108</v>
      </c>
    </row>
    <row r="2290" spans="1:10" x14ac:dyDescent="0.25">
      <c r="A2290" s="56"/>
      <c r="B2290" s="23"/>
      <c r="C2290" s="88"/>
      <c r="D2290" s="23"/>
      <c r="E2290" s="23" t="s">
        <v>202</v>
      </c>
      <c r="F2290" s="56"/>
      <c r="G2290" s="88"/>
      <c r="H2290" s="48"/>
      <c r="I2290" s="90"/>
      <c r="J2290" s="48">
        <f>ROUND(SUM(J2291:J2291),0)</f>
        <v>2823392</v>
      </c>
    </row>
    <row r="2291" spans="1:10" x14ac:dyDescent="0.25">
      <c r="A2291" s="168"/>
      <c r="B2291" s="144"/>
      <c r="C2291" s="34">
        <v>550</v>
      </c>
      <c r="D2291" s="144" t="str">
        <f>'Nhân công'!$B$130</f>
        <v>N0011</v>
      </c>
      <c r="E2291" s="144" t="s">
        <v>671</v>
      </c>
      <c r="F2291" s="168" t="str">
        <f>'Nhân công'!$G$130</f>
        <v>công</v>
      </c>
      <c r="G2291" s="34">
        <f>'Hao phí vật tư'!$H$2292</f>
        <v>12.25</v>
      </c>
      <c r="H2291" s="68">
        <f>'Nhân công'!$M$130</f>
        <v>230481</v>
      </c>
      <c r="I2291" s="37">
        <v>1</v>
      </c>
      <c r="J2291" s="166">
        <f>ROUND(G2291*H2291*I2291,0)</f>
        <v>2823392</v>
      </c>
    </row>
    <row r="2292" spans="1:10" ht="28.5" x14ac:dyDescent="0.25">
      <c r="A2292" s="65">
        <f>'Công trình'!$A$306</f>
        <v>250</v>
      </c>
      <c r="B2292" s="14" t="str">
        <f>'Công trình'!$B$306</f>
        <v>AB.11312</v>
      </c>
      <c r="C2292" s="94"/>
      <c r="D2292" s="31"/>
      <c r="E2292" s="14" t="str">
        <f>'Công trình'!$C$306</f>
        <v>Đào móng băng, rộng &lt;=3m, sâu &lt;=1m, đất cấp II</v>
      </c>
      <c r="F2292" s="46" t="str">
        <f>'Công trình'!$D$306</f>
        <v>m3</v>
      </c>
      <c r="G2292" s="94"/>
      <c r="H2292" s="54"/>
      <c r="I2292" s="98"/>
      <c r="J2292" s="54"/>
    </row>
    <row r="2293" spans="1:10" x14ac:dyDescent="0.25">
      <c r="A2293" s="56"/>
      <c r="B2293" s="23"/>
      <c r="C2293" s="88"/>
      <c r="D2293" s="23"/>
      <c r="E2293" s="23" t="s">
        <v>202</v>
      </c>
      <c r="F2293" s="56"/>
      <c r="G2293" s="88"/>
      <c r="H2293" s="48"/>
      <c r="I2293" s="90"/>
      <c r="J2293" s="48">
        <f>ROUND(SUM(J2294:J2294),0)</f>
        <v>160089</v>
      </c>
    </row>
    <row r="2294" spans="1:10" x14ac:dyDescent="0.25">
      <c r="A2294" s="57"/>
      <c r="B2294" s="24"/>
      <c r="C2294" s="89">
        <v>545</v>
      </c>
      <c r="D2294" s="24" t="str">
        <f>'Nhân công'!$B$6</f>
        <v>N0006</v>
      </c>
      <c r="E2294" s="24" t="s">
        <v>256</v>
      </c>
      <c r="F2294" s="57" t="str">
        <f>'Nhân công'!$G$6</f>
        <v>công</v>
      </c>
      <c r="G2294" s="89">
        <f>'Hao phí vật tư'!$H$2295</f>
        <v>0.82</v>
      </c>
      <c r="H2294" s="127">
        <f>'Nhân công'!$M$6</f>
        <v>195231</v>
      </c>
      <c r="I2294" s="93">
        <v>1</v>
      </c>
      <c r="J2294" s="51">
        <f>ROUND(G2294*H2294*I2294,0)</f>
        <v>160089</v>
      </c>
    </row>
    <row r="2295" spans="1:10" ht="17.25" customHeight="1" x14ac:dyDescent="0.25">
      <c r="A2295" s="2"/>
      <c r="B2295" s="146"/>
      <c r="C2295" s="36"/>
      <c r="D2295" s="146"/>
      <c r="E2295" s="146"/>
      <c r="F2295" s="2"/>
      <c r="G2295" s="36"/>
      <c r="H2295" s="36"/>
      <c r="I2295" s="36"/>
      <c r="J2295" s="36"/>
    </row>
    <row r="2297" spans="1:10" ht="22.5" customHeight="1" x14ac:dyDescent="0.25">
      <c r="A2297" s="310" t="s">
        <v>1124</v>
      </c>
      <c r="B2297" s="310"/>
      <c r="C2297" s="310"/>
      <c r="D2297" s="310"/>
      <c r="E2297" s="310"/>
      <c r="F2297" s="310"/>
      <c r="G2297" s="310"/>
      <c r="H2297" s="310"/>
      <c r="I2297" s="310"/>
      <c r="J2297" s="310"/>
    </row>
    <row r="2298" spans="1:10" ht="19.5" customHeight="1" x14ac:dyDescent="0.25">
      <c r="A2298" s="309" t="s">
        <v>421</v>
      </c>
      <c r="B2298" s="309"/>
      <c r="C2298" s="309"/>
      <c r="D2298" s="309"/>
      <c r="E2298" s="309"/>
      <c r="F2298" s="309"/>
      <c r="G2298" s="309"/>
      <c r="H2298" s="309"/>
      <c r="I2298" s="309"/>
      <c r="J2298" s="309"/>
    </row>
    <row r="2299" spans="1:10" ht="18" customHeight="1" x14ac:dyDescent="0.25">
      <c r="A2299" s="311" t="s">
        <v>594</v>
      </c>
      <c r="B2299" s="311"/>
      <c r="C2299" s="311"/>
      <c r="D2299" s="311"/>
      <c r="E2299" s="311"/>
      <c r="F2299" s="311"/>
      <c r="G2299" s="311"/>
      <c r="H2299" s="311"/>
      <c r="I2299" s="311"/>
      <c r="J2299" s="311"/>
    </row>
    <row r="2300" spans="1:10" ht="17.25" customHeight="1" x14ac:dyDescent="0.25">
      <c r="A2300" s="2"/>
      <c r="B2300" s="146"/>
      <c r="C2300" s="36"/>
      <c r="D2300" s="146"/>
      <c r="E2300" s="146"/>
      <c r="F2300" s="2"/>
      <c r="G2300" s="36"/>
      <c r="H2300" s="36"/>
      <c r="I2300" s="36"/>
      <c r="J2300" s="36"/>
    </row>
    <row r="2301" spans="1:10" ht="31.5" customHeight="1" x14ac:dyDescent="0.25">
      <c r="A2301" s="140" t="s">
        <v>761</v>
      </c>
      <c r="B2301" s="83" t="s">
        <v>253</v>
      </c>
      <c r="C2301" s="140" t="s">
        <v>993</v>
      </c>
      <c r="D2301" s="140" t="s">
        <v>134</v>
      </c>
      <c r="E2301" s="140" t="s">
        <v>71</v>
      </c>
      <c r="F2301" s="140" t="s">
        <v>971</v>
      </c>
      <c r="G2301" s="140" t="s">
        <v>171</v>
      </c>
      <c r="H2301" s="92" t="s">
        <v>86</v>
      </c>
      <c r="I2301" s="145" t="s">
        <v>639</v>
      </c>
      <c r="J2301" s="92" t="s">
        <v>563</v>
      </c>
    </row>
    <row r="2302" spans="1:10" x14ac:dyDescent="0.25">
      <c r="A2302" s="65">
        <f>'Công trình'!$A$316</f>
        <v>1</v>
      </c>
      <c r="B2302" s="14" t="str">
        <f>'Công trình'!$B$316</f>
        <v>AI.52211</v>
      </c>
      <c r="C2302" s="94"/>
      <c r="D2302" s="31"/>
      <c r="E2302" s="14" t="str">
        <f>'Công trình'!$C$316</f>
        <v>Sản xuất kết cấu thép khe phai - thép CT3</v>
      </c>
      <c r="F2302" s="46" t="str">
        <f>'Công trình'!$D$316</f>
        <v>tấn</v>
      </c>
      <c r="G2302" s="94"/>
      <c r="H2302" s="54"/>
      <c r="I2302" s="98"/>
      <c r="J2302" s="54"/>
    </row>
    <row r="2303" spans="1:10" x14ac:dyDescent="0.25">
      <c r="A2303" s="56"/>
      <c r="B2303" s="23"/>
      <c r="C2303" s="88"/>
      <c r="D2303" s="23"/>
      <c r="E2303" s="23" t="s">
        <v>479</v>
      </c>
      <c r="F2303" s="56"/>
      <c r="G2303" s="88"/>
      <c r="H2303" s="48"/>
      <c r="I2303" s="90"/>
      <c r="J2303" s="48">
        <f>ROUND(SUM(J2304:J2310),0)</f>
        <v>16318605</v>
      </c>
    </row>
    <row r="2304" spans="1:10" x14ac:dyDescent="0.25">
      <c r="A2304" s="168"/>
      <c r="B2304" s="144"/>
      <c r="C2304" s="34">
        <v>820</v>
      </c>
      <c r="D2304" s="144" t="str">
        <f>'Vật liệu'!$B$926</f>
        <v>V00833</v>
      </c>
      <c r="E2304" s="144" t="str">
        <f>" - " &amp; 'Vật liệu'!$D$926</f>
        <v xml:space="preserve"> - Đất đèn</v>
      </c>
      <c r="F2304" s="168" t="str">
        <f>'Vật liệu'!$E$926</f>
        <v>kg</v>
      </c>
      <c r="G2304" s="34">
        <f>'Hao phí vật tư'!$G$2306</f>
        <v>9.6199999999999992</v>
      </c>
      <c r="H2304" s="68">
        <f>'Vật liệu'!$W$926</f>
        <v>14000</v>
      </c>
      <c r="I2304" s="37">
        <v>1</v>
      </c>
      <c r="J2304" s="166">
        <f t="shared" ref="J2304:J2309" si="16">ROUND(G2304*H2304*I2304,0)</f>
        <v>134680</v>
      </c>
    </row>
    <row r="2305" spans="1:10" x14ac:dyDescent="0.25">
      <c r="A2305" s="168"/>
      <c r="B2305" s="144"/>
      <c r="C2305" s="34">
        <v>775</v>
      </c>
      <c r="D2305" s="144" t="str">
        <f>'Vật liệu'!$B$948</f>
        <v>V00515</v>
      </c>
      <c r="E2305" s="144" t="str">
        <f>" - " &amp; 'Vật liệu'!$D$948</f>
        <v xml:space="preserve"> - Que hàn</v>
      </c>
      <c r="F2305" s="168" t="str">
        <f>'Vật liệu'!$E$948</f>
        <v>kg</v>
      </c>
      <c r="G2305" s="34">
        <f>'Hao phí vật tư'!$G$2307</f>
        <v>18.75</v>
      </c>
      <c r="H2305" s="68">
        <f>'Vật liệu'!$W$948</f>
        <v>19091</v>
      </c>
      <c r="I2305" s="37">
        <v>1</v>
      </c>
      <c r="J2305" s="166">
        <f t="shared" si="16"/>
        <v>357956</v>
      </c>
    </row>
    <row r="2306" spans="1:10" x14ac:dyDescent="0.25">
      <c r="A2306" s="168"/>
      <c r="B2306" s="144"/>
      <c r="C2306" s="34">
        <v>817</v>
      </c>
      <c r="D2306" s="144" t="str">
        <f>'Vật liệu'!$B$941</f>
        <v>V00770</v>
      </c>
      <c r="E2306" s="144" t="str">
        <f>" - " &amp; 'Vật liệu'!$D$941</f>
        <v xml:space="preserve"> - Ô xy</v>
      </c>
      <c r="F2306" s="168" t="str">
        <f>'Vật liệu'!$E$941</f>
        <v>Chai</v>
      </c>
      <c r="G2306" s="34">
        <f>'Hao phí vật tư'!$G$2308</f>
        <v>1.75</v>
      </c>
      <c r="H2306" s="68">
        <f>'Vật liệu'!$W$941</f>
        <v>72000</v>
      </c>
      <c r="I2306" s="37">
        <v>1</v>
      </c>
      <c r="J2306" s="166">
        <f t="shared" si="16"/>
        <v>126000</v>
      </c>
    </row>
    <row r="2307" spans="1:10" x14ac:dyDescent="0.25">
      <c r="A2307" s="168"/>
      <c r="B2307" s="144"/>
      <c r="C2307" s="34">
        <v>783</v>
      </c>
      <c r="D2307" s="144" t="str">
        <f>'Vật liệu'!$B$969</f>
        <v>V00671</v>
      </c>
      <c r="E2307" s="144" t="str">
        <f>" - " &amp; 'Vật liệu'!$D$969</f>
        <v xml:space="preserve"> - Thép tấm</v>
      </c>
      <c r="F2307" s="168" t="str">
        <f>'Vật liệu'!$E$969</f>
        <v>kg</v>
      </c>
      <c r="G2307" s="34">
        <f>'Hao phí vật tư'!$G$2309</f>
        <v>250</v>
      </c>
      <c r="H2307" s="68">
        <f>'Vật liệu'!$W$969</f>
        <v>12574</v>
      </c>
      <c r="I2307" s="37">
        <v>1</v>
      </c>
      <c r="J2307" s="166">
        <f t="shared" si="16"/>
        <v>3143500</v>
      </c>
    </row>
    <row r="2308" spans="1:10" x14ac:dyDescent="0.25">
      <c r="A2308" s="168"/>
      <c r="B2308" s="144"/>
      <c r="C2308" s="34">
        <v>781</v>
      </c>
      <c r="D2308" s="144" t="str">
        <f>'Vật liệu'!$B$960</f>
        <v>V00641</v>
      </c>
      <c r="E2308" s="144" t="str">
        <f>" - " &amp; 'Vật liệu'!$D$960</f>
        <v xml:space="preserve"> - Thép hình</v>
      </c>
      <c r="F2308" s="168" t="str">
        <f>'Vật liệu'!$E$960</f>
        <v>kg</v>
      </c>
      <c r="G2308" s="34">
        <f>'Hao phí vật tư'!$G$2310</f>
        <v>800</v>
      </c>
      <c r="H2308" s="68">
        <f>'Vật liệu'!$W$960</f>
        <v>15291</v>
      </c>
      <c r="I2308" s="37">
        <v>1</v>
      </c>
      <c r="J2308" s="166">
        <f t="shared" si="16"/>
        <v>12232800</v>
      </c>
    </row>
    <row r="2309" spans="1:10" x14ac:dyDescent="0.25">
      <c r="A2309" s="168"/>
      <c r="B2309" s="144"/>
      <c r="C2309" s="34">
        <v>818</v>
      </c>
      <c r="D2309" s="144" t="str">
        <f>'Vật liệu'!$B$919</f>
        <v>V00824</v>
      </c>
      <c r="E2309" s="144" t="str">
        <f>" - " &amp; 'Vật liệu'!$D$919</f>
        <v xml:space="preserve"> - Đá mài</v>
      </c>
      <c r="F2309" s="168" t="str">
        <f>'Vật liệu'!$E$919</f>
        <v>viên</v>
      </c>
      <c r="G2309" s="34">
        <f>'Hao phí vật tư'!$G$2311</f>
        <v>0.28000000000000003</v>
      </c>
      <c r="H2309" s="68">
        <f>'Vật liệu'!$W$919</f>
        <v>13200</v>
      </c>
      <c r="I2309" s="37">
        <v>1</v>
      </c>
      <c r="J2309" s="166">
        <f t="shared" si="16"/>
        <v>3696</v>
      </c>
    </row>
    <row r="2310" spans="1:10" x14ac:dyDescent="0.25">
      <c r="A2310" s="168"/>
      <c r="B2310" s="144"/>
      <c r="C2310" s="34">
        <v>802</v>
      </c>
      <c r="D2310" s="144" t="str">
        <f>'Vật liệu'!$B$973</f>
        <v>V00750</v>
      </c>
      <c r="E2310" s="144" t="str">
        <f>" - " &amp; 'Vật liệu'!$D$973</f>
        <v xml:space="preserve"> - Vật liệu khác</v>
      </c>
      <c r="F2310" s="168" t="str">
        <f>'Vật liệu'!$E$973</f>
        <v>%</v>
      </c>
      <c r="G2310" s="34">
        <f>'Hao phí vật tư'!$G$2312</f>
        <v>2</v>
      </c>
      <c r="H2310" s="166">
        <f>'Vật liệu'!$W$973</f>
        <v>0</v>
      </c>
      <c r="I2310" s="37">
        <v>1</v>
      </c>
      <c r="J2310" s="166">
        <f>ROUND((J2304+J2305+J2306+J2307+J2308+J2309)*G2310*I2310/100,0)</f>
        <v>319973</v>
      </c>
    </row>
    <row r="2311" spans="1:10" x14ac:dyDescent="0.25">
      <c r="A2311" s="56"/>
      <c r="B2311" s="23"/>
      <c r="C2311" s="88"/>
      <c r="D2311" s="23"/>
      <c r="E2311" s="23" t="s">
        <v>202</v>
      </c>
      <c r="F2311" s="56"/>
      <c r="G2311" s="88"/>
      <c r="H2311" s="48"/>
      <c r="I2311" s="90"/>
      <c r="J2311" s="48">
        <f>ROUND(J2313,0)</f>
        <v>6570684</v>
      </c>
    </row>
    <row r="2312" spans="1:10" x14ac:dyDescent="0.25">
      <c r="A2312" s="168"/>
      <c r="B2312" s="144"/>
      <c r="C2312" s="34">
        <v>835</v>
      </c>
      <c r="D2312" s="144" t="str">
        <f>'Nhân công'!$B$240</f>
        <v>N0013</v>
      </c>
      <c r="E2312" s="144" t="s">
        <v>275</v>
      </c>
      <c r="F2312" s="168" t="str">
        <f>'Nhân công'!$G$240</f>
        <v>công</v>
      </c>
      <c r="G2312" s="34">
        <f>'Hao phí vật tư'!$H$2314</f>
        <v>26.15</v>
      </c>
      <c r="H2312" s="104">
        <f>'Nhân công'!$J$240</f>
        <v>251269</v>
      </c>
      <c r="I2312" s="37">
        <v>1</v>
      </c>
      <c r="J2312" s="166">
        <f>ROUND(G2312*H2312*I2312,0)</f>
        <v>6570684</v>
      </c>
    </row>
    <row r="2313" spans="1:10" x14ac:dyDescent="0.25">
      <c r="A2313" s="168"/>
      <c r="B2313" s="144"/>
      <c r="C2313" s="34"/>
      <c r="D2313" s="144"/>
      <c r="E2313" s="144" t="s">
        <v>726</v>
      </c>
      <c r="F2313" s="168"/>
      <c r="G2313" s="34"/>
      <c r="H2313" s="166"/>
      <c r="I2313" s="37">
        <f>'Hệ số'!$C$31</f>
        <v>1</v>
      </c>
      <c r="J2313" s="166">
        <f>ROUND(SUM(J2312:J2312)*'Hệ số'!C31,0)</f>
        <v>6570684</v>
      </c>
    </row>
    <row r="2314" spans="1:10" x14ac:dyDescent="0.25">
      <c r="A2314" s="56"/>
      <c r="B2314" s="23"/>
      <c r="C2314" s="88"/>
      <c r="D2314" s="23"/>
      <c r="E2314" s="23" t="s">
        <v>378</v>
      </c>
      <c r="F2314" s="56"/>
      <c r="G2314" s="88"/>
      <c r="H2314" s="48"/>
      <c r="I2314" s="90"/>
      <c r="J2314" s="48">
        <f>ROUND(J2319,0)</f>
        <v>1989622</v>
      </c>
    </row>
    <row r="2315" spans="1:10" x14ac:dyDescent="0.25">
      <c r="A2315" s="168"/>
      <c r="B2315" s="144"/>
      <c r="C2315" s="34">
        <v>867</v>
      </c>
      <c r="D2315" s="144" t="str">
        <f>'Máy thi công'!$B$501</f>
        <v>M112.1501</v>
      </c>
      <c r="E2315" s="144" t="str">
        <f>" - " &amp; 'Máy thi công'!$D$501</f>
        <v xml:space="preserve"> - Máy khoan đứng - công suất: 2,5 kW</v>
      </c>
      <c r="F2315" s="168" t="str">
        <f>'Máy thi công'!$E$501</f>
        <v>ca</v>
      </c>
      <c r="G2315" s="34">
        <f>'Hao phí vật tư'!$I$2316</f>
        <v>1.06</v>
      </c>
      <c r="H2315" s="104">
        <f>'Máy thi công'!$H$501</f>
        <v>247705</v>
      </c>
      <c r="I2315" s="37">
        <v>1</v>
      </c>
      <c r="J2315" s="166">
        <f>ROUND(G2315*H2315*I2315,0)</f>
        <v>262567</v>
      </c>
    </row>
    <row r="2316" spans="1:10" x14ac:dyDescent="0.25">
      <c r="A2316" s="168"/>
      <c r="B2316" s="144"/>
      <c r="C2316" s="34">
        <v>892</v>
      </c>
      <c r="D2316" s="144" t="str">
        <f>'Máy thi công'!$B$478</f>
        <v>M9438</v>
      </c>
      <c r="E2316" s="144" t="str">
        <f>" - " &amp; 'Máy thi công'!$D$478</f>
        <v xml:space="preserve"> - Biến thế hàn xoay chiều - công suất: 23 kW</v>
      </c>
      <c r="F2316" s="168" t="str">
        <f>'Máy thi công'!$E$478</f>
        <v>ca</v>
      </c>
      <c r="G2316" s="34">
        <f>'Hao phí vật tư'!$I$2317</f>
        <v>4.16</v>
      </c>
      <c r="H2316" s="104">
        <f>'Máy thi công'!$H$478</f>
        <v>338020</v>
      </c>
      <c r="I2316" s="37">
        <v>1</v>
      </c>
      <c r="J2316" s="166">
        <f>ROUND(G2316*H2316*I2316,0)</f>
        <v>1406163</v>
      </c>
    </row>
    <row r="2317" spans="1:10" x14ac:dyDescent="0.25">
      <c r="A2317" s="168"/>
      <c r="B2317" s="144"/>
      <c r="C2317" s="34">
        <v>874</v>
      </c>
      <c r="D2317" s="144" t="str">
        <f>'Máy thi công'!$B$506</f>
        <v>M112.3702</v>
      </c>
      <c r="E2317" s="144" t="str">
        <f>" - " &amp; 'Máy thi công'!$D$506</f>
        <v xml:space="preserve"> - Máy mài - công suất: 2,7 kW</v>
      </c>
      <c r="F2317" s="168" t="str">
        <f>'Máy thi công'!$E$506</f>
        <v>ca</v>
      </c>
      <c r="G2317" s="34">
        <f>'Hao phí vật tư'!$I$2318</f>
        <v>1.06</v>
      </c>
      <c r="H2317" s="104">
        <f>'Máy thi công'!$H$506</f>
        <v>213347</v>
      </c>
      <c r="I2317" s="37">
        <v>1</v>
      </c>
      <c r="J2317" s="166">
        <f>ROUND(G2317*H2317*I2317,0)</f>
        <v>226148</v>
      </c>
    </row>
    <row r="2318" spans="1:10" x14ac:dyDescent="0.25">
      <c r="A2318" s="168"/>
      <c r="B2318" s="144"/>
      <c r="C2318" s="34">
        <v>855</v>
      </c>
      <c r="D2318" s="144" t="str">
        <f>'Máy thi công'!$B$527</f>
        <v>M0111</v>
      </c>
      <c r="E2318" s="144" t="str">
        <f>" - " &amp; 'Máy thi công'!$D$527</f>
        <v xml:space="preserve"> - Máy khác</v>
      </c>
      <c r="F2318" s="168" t="str">
        <f>'Máy thi công'!$E$527</f>
        <v>%</v>
      </c>
      <c r="G2318" s="34">
        <f>'Hao phí vật tư'!$I$2319</f>
        <v>5</v>
      </c>
      <c r="H2318" s="166">
        <f>'Máy thi công'!$H$527</f>
        <v>0</v>
      </c>
      <c r="I2318" s="37">
        <v>1</v>
      </c>
      <c r="J2318" s="166">
        <f>ROUND((J2315+J2316+J2317)*G2318*I2318/100,0)</f>
        <v>94744</v>
      </c>
    </row>
    <row r="2319" spans="1:10" x14ac:dyDescent="0.25">
      <c r="A2319" s="168"/>
      <c r="B2319" s="144"/>
      <c r="C2319" s="34"/>
      <c r="D2319" s="144"/>
      <c r="E2319" s="144" t="s">
        <v>482</v>
      </c>
      <c r="F2319" s="168"/>
      <c r="G2319" s="34"/>
      <c r="H2319" s="166"/>
      <c r="I2319" s="37">
        <f>'Hệ số'!$C$30</f>
        <v>1</v>
      </c>
      <c r="J2319" s="166">
        <f>ROUND(SUM(J2315:J2318)*'Hệ số'!C30,0)</f>
        <v>1989622</v>
      </c>
    </row>
    <row r="2320" spans="1:10" x14ac:dyDescent="0.25">
      <c r="A2320" s="65">
        <f>'Công trình'!$A$317</f>
        <v>2</v>
      </c>
      <c r="B2320" s="14" t="str">
        <f>'Công trình'!$B$317</f>
        <v>AI.52211</v>
      </c>
      <c r="C2320" s="94"/>
      <c r="D2320" s="31"/>
      <c r="E2320" s="14" t="str">
        <f>'Công trình'!$C$317</f>
        <v>Sản xuất kết cấu thép khe phai - thép SUS304</v>
      </c>
      <c r="F2320" s="46" t="str">
        <f>'Công trình'!$D$317</f>
        <v>tấn</v>
      </c>
      <c r="G2320" s="94"/>
      <c r="H2320" s="54"/>
      <c r="I2320" s="98"/>
      <c r="J2320" s="54"/>
    </row>
    <row r="2321" spans="1:10" x14ac:dyDescent="0.25">
      <c r="A2321" s="56"/>
      <c r="B2321" s="23"/>
      <c r="C2321" s="88"/>
      <c r="D2321" s="23"/>
      <c r="E2321" s="23" t="s">
        <v>479</v>
      </c>
      <c r="F2321" s="56"/>
      <c r="G2321" s="88"/>
      <c r="H2321" s="48"/>
      <c r="I2321" s="90"/>
      <c r="J2321" s="48">
        <f>ROUND(SUM(J2322:J2327),0)</f>
        <v>64735990</v>
      </c>
    </row>
    <row r="2322" spans="1:10" x14ac:dyDescent="0.25">
      <c r="A2322" s="168"/>
      <c r="B2322" s="144"/>
      <c r="C2322" s="34">
        <v>820</v>
      </c>
      <c r="D2322" s="144" t="str">
        <f>'Vật liệu'!$B$926</f>
        <v>V00833</v>
      </c>
      <c r="E2322" s="144" t="str">
        <f>" - " &amp; 'Vật liệu'!$D$926</f>
        <v xml:space="preserve"> - Đất đèn</v>
      </c>
      <c r="F2322" s="168" t="str">
        <f>'Vật liệu'!$E$926</f>
        <v>kg</v>
      </c>
      <c r="G2322" s="34">
        <f>'Hao phí vật tư'!$G$2322</f>
        <v>9.6199999999999992</v>
      </c>
      <c r="H2322" s="68">
        <f>'Vật liệu'!$W$926</f>
        <v>14000</v>
      </c>
      <c r="I2322" s="37">
        <v>1</v>
      </c>
      <c r="J2322" s="166">
        <f>ROUND(G2322*H2322*I2322,0)</f>
        <v>134680</v>
      </c>
    </row>
    <row r="2323" spans="1:10" x14ac:dyDescent="0.25">
      <c r="A2323" s="168"/>
      <c r="B2323" s="144"/>
      <c r="C2323" s="34">
        <v>780</v>
      </c>
      <c r="D2323" s="144" t="str">
        <f>'Vật liệu'!$B$952</f>
        <v>V00515In</v>
      </c>
      <c r="E2323" s="144" t="str">
        <f>" - " &amp; 'Vật liệu'!$D$952</f>
        <v xml:space="preserve"> - Que hàn Inox</v>
      </c>
      <c r="F2323" s="168" t="str">
        <f>'Vật liệu'!$E$952</f>
        <v>kg</v>
      </c>
      <c r="G2323" s="34">
        <f>'Hao phí vật tư'!$G$2323</f>
        <v>18.75</v>
      </c>
      <c r="H2323" s="68">
        <f>'Vật liệu'!$W$952</f>
        <v>145455</v>
      </c>
      <c r="I2323" s="37">
        <v>1</v>
      </c>
      <c r="J2323" s="166">
        <f>ROUND(G2323*H2323*I2323,0)</f>
        <v>2727281</v>
      </c>
    </row>
    <row r="2324" spans="1:10" x14ac:dyDescent="0.25">
      <c r="A2324" s="168"/>
      <c r="B2324" s="144"/>
      <c r="C2324" s="34">
        <v>817</v>
      </c>
      <c r="D2324" s="144" t="str">
        <f>'Vật liệu'!$B$941</f>
        <v>V00770</v>
      </c>
      <c r="E2324" s="144" t="str">
        <f>" - " &amp; 'Vật liệu'!$D$941</f>
        <v xml:space="preserve"> - Ô xy</v>
      </c>
      <c r="F2324" s="168" t="str">
        <f>'Vật liệu'!$E$941</f>
        <v>Chai</v>
      </c>
      <c r="G2324" s="34">
        <f>'Hao phí vật tư'!$G$2324</f>
        <v>1.75</v>
      </c>
      <c r="H2324" s="68">
        <f>'Vật liệu'!$W$941</f>
        <v>72000</v>
      </c>
      <c r="I2324" s="37">
        <v>1</v>
      </c>
      <c r="J2324" s="166">
        <f>ROUND(G2324*H2324*I2324,0)</f>
        <v>126000</v>
      </c>
    </row>
    <row r="2325" spans="1:10" x14ac:dyDescent="0.25">
      <c r="A2325" s="168"/>
      <c r="B2325" s="144"/>
      <c r="C2325" s="34">
        <v>788</v>
      </c>
      <c r="D2325" s="144" t="str">
        <f>'Vật liệu'!$B$966</f>
        <v>V00671su</v>
      </c>
      <c r="E2325" s="144" t="str">
        <f>" - " &amp; 'Vật liệu'!$D$966</f>
        <v xml:space="preserve"> - Thép SUS304 các loại</v>
      </c>
      <c r="F2325" s="168" t="str">
        <f>'Vật liệu'!$E$966</f>
        <v>kg</v>
      </c>
      <c r="G2325" s="34">
        <f>'Hao phí vật tư'!$G$2325</f>
        <v>1025</v>
      </c>
      <c r="H2325" s="68">
        <f>'Vật liệu'!$W$966</f>
        <v>59000</v>
      </c>
      <c r="I2325" s="37">
        <v>1</v>
      </c>
      <c r="J2325" s="166">
        <f>ROUND(G2325*H2325*I2325,0)</f>
        <v>60475000</v>
      </c>
    </row>
    <row r="2326" spans="1:10" x14ac:dyDescent="0.25">
      <c r="A2326" s="168"/>
      <c r="B2326" s="144"/>
      <c r="C2326" s="34">
        <v>818</v>
      </c>
      <c r="D2326" s="144" t="str">
        <f>'Vật liệu'!$B$919</f>
        <v>V00824</v>
      </c>
      <c r="E2326" s="144" t="str">
        <f>" - " &amp; 'Vật liệu'!$D$919</f>
        <v xml:space="preserve"> - Đá mài</v>
      </c>
      <c r="F2326" s="168" t="str">
        <f>'Vật liệu'!$E$919</f>
        <v>viên</v>
      </c>
      <c r="G2326" s="34">
        <f>'Hao phí vật tư'!$G$2326</f>
        <v>0.28000000000000003</v>
      </c>
      <c r="H2326" s="68">
        <f>'Vật liệu'!$W$919</f>
        <v>13200</v>
      </c>
      <c r="I2326" s="37">
        <v>1</v>
      </c>
      <c r="J2326" s="166">
        <f>ROUND(G2326*H2326*I2326,0)</f>
        <v>3696</v>
      </c>
    </row>
    <row r="2327" spans="1:10" x14ac:dyDescent="0.25">
      <c r="A2327" s="168"/>
      <c r="B2327" s="144"/>
      <c r="C2327" s="34">
        <v>804</v>
      </c>
      <c r="D2327" s="144" t="str">
        <f>'Vật liệu'!$B$973</f>
        <v>V00750</v>
      </c>
      <c r="E2327" s="144" t="str">
        <f>" - " &amp; 'Vật liệu'!$D$973</f>
        <v xml:space="preserve"> - Vật liệu khác</v>
      </c>
      <c r="F2327" s="168" t="str">
        <f>'Vật liệu'!$E$973</f>
        <v>%</v>
      </c>
      <c r="G2327" s="34">
        <f>'Hao phí vật tư'!$G$2327</f>
        <v>2</v>
      </c>
      <c r="H2327" s="166">
        <f>'Vật liệu'!$W$973</f>
        <v>0</v>
      </c>
      <c r="I2327" s="37">
        <v>1</v>
      </c>
      <c r="J2327" s="166">
        <f>ROUND((J2322+J2323+J2324+J2325+J2326)*G2327*I2327/100,0)</f>
        <v>1269333</v>
      </c>
    </row>
    <row r="2328" spans="1:10" x14ac:dyDescent="0.25">
      <c r="A2328" s="56"/>
      <c r="B2328" s="23"/>
      <c r="C2328" s="88"/>
      <c r="D2328" s="23"/>
      <c r="E2328" s="23" t="s">
        <v>202</v>
      </c>
      <c r="F2328" s="56"/>
      <c r="G2328" s="88"/>
      <c r="H2328" s="48"/>
      <c r="I2328" s="90"/>
      <c r="J2328" s="48">
        <f>ROUND(J2330,0)</f>
        <v>6570684</v>
      </c>
    </row>
    <row r="2329" spans="1:10" x14ac:dyDescent="0.25">
      <c r="A2329" s="168"/>
      <c r="B2329" s="144"/>
      <c r="C2329" s="34">
        <v>835</v>
      </c>
      <c r="D2329" s="144" t="str">
        <f>'Nhân công'!$B$240</f>
        <v>N0013</v>
      </c>
      <c r="E2329" s="144" t="s">
        <v>275</v>
      </c>
      <c r="F2329" s="168" t="str">
        <f>'Nhân công'!$G$240</f>
        <v>công</v>
      </c>
      <c r="G2329" s="34">
        <f>'Hao phí vật tư'!$H$2329</f>
        <v>26.15</v>
      </c>
      <c r="H2329" s="104">
        <f>'Nhân công'!$J$240</f>
        <v>251269</v>
      </c>
      <c r="I2329" s="37">
        <v>1</v>
      </c>
      <c r="J2329" s="166">
        <f>ROUND(G2329*H2329*I2329,0)</f>
        <v>6570684</v>
      </c>
    </row>
    <row r="2330" spans="1:10" x14ac:dyDescent="0.25">
      <c r="A2330" s="168"/>
      <c r="B2330" s="144"/>
      <c r="C2330" s="34"/>
      <c r="D2330" s="144"/>
      <c r="E2330" s="144" t="s">
        <v>726</v>
      </c>
      <c r="F2330" s="168"/>
      <c r="G2330" s="34"/>
      <c r="H2330" s="166"/>
      <c r="I2330" s="37">
        <f>'Hệ số'!$C$31</f>
        <v>1</v>
      </c>
      <c r="J2330" s="166">
        <f>ROUND(SUM(J2329:J2329)*'Hệ số'!C31,0)</f>
        <v>6570684</v>
      </c>
    </row>
    <row r="2331" spans="1:10" x14ac:dyDescent="0.25">
      <c r="A2331" s="56"/>
      <c r="B2331" s="23"/>
      <c r="C2331" s="88"/>
      <c r="D2331" s="23"/>
      <c r="E2331" s="23" t="s">
        <v>378</v>
      </c>
      <c r="F2331" s="56"/>
      <c r="G2331" s="88"/>
      <c r="H2331" s="48"/>
      <c r="I2331" s="90"/>
      <c r="J2331" s="48">
        <f>ROUND(J2336,0)</f>
        <v>1989622</v>
      </c>
    </row>
    <row r="2332" spans="1:10" x14ac:dyDescent="0.25">
      <c r="A2332" s="168"/>
      <c r="B2332" s="144"/>
      <c r="C2332" s="34">
        <v>867</v>
      </c>
      <c r="D2332" s="144" t="str">
        <f>'Máy thi công'!$B$501</f>
        <v>M112.1501</v>
      </c>
      <c r="E2332" s="144" t="str">
        <f>" - " &amp; 'Máy thi công'!$D$501</f>
        <v xml:space="preserve"> - Máy khoan đứng - công suất: 2,5 kW</v>
      </c>
      <c r="F2332" s="168" t="str">
        <f>'Máy thi công'!$E$501</f>
        <v>ca</v>
      </c>
      <c r="G2332" s="34">
        <f>'Hao phí vật tư'!$I$2331</f>
        <v>1.06</v>
      </c>
      <c r="H2332" s="104">
        <f>'Máy thi công'!$H$501</f>
        <v>247705</v>
      </c>
      <c r="I2332" s="37">
        <v>1</v>
      </c>
      <c r="J2332" s="166">
        <f>ROUND(G2332*H2332*I2332,0)</f>
        <v>262567</v>
      </c>
    </row>
    <row r="2333" spans="1:10" x14ac:dyDescent="0.25">
      <c r="A2333" s="168"/>
      <c r="B2333" s="144"/>
      <c r="C2333" s="34">
        <v>892</v>
      </c>
      <c r="D2333" s="144" t="str">
        <f>'Máy thi công'!$B$478</f>
        <v>M9438</v>
      </c>
      <c r="E2333" s="144" t="str">
        <f>" - " &amp; 'Máy thi công'!$D$478</f>
        <v xml:space="preserve"> - Biến thế hàn xoay chiều - công suất: 23 kW</v>
      </c>
      <c r="F2333" s="168" t="str">
        <f>'Máy thi công'!$E$478</f>
        <v>ca</v>
      </c>
      <c r="G2333" s="34">
        <f>'Hao phí vật tư'!$I$2332</f>
        <v>4.16</v>
      </c>
      <c r="H2333" s="104">
        <f>'Máy thi công'!$H$478</f>
        <v>338020</v>
      </c>
      <c r="I2333" s="37">
        <v>1</v>
      </c>
      <c r="J2333" s="166">
        <f>ROUND(G2333*H2333*I2333,0)</f>
        <v>1406163</v>
      </c>
    </row>
    <row r="2334" spans="1:10" x14ac:dyDescent="0.25">
      <c r="A2334" s="168"/>
      <c r="B2334" s="144"/>
      <c r="C2334" s="34">
        <v>874</v>
      </c>
      <c r="D2334" s="144" t="str">
        <f>'Máy thi công'!$B$506</f>
        <v>M112.3702</v>
      </c>
      <c r="E2334" s="144" t="str">
        <f>" - " &amp; 'Máy thi công'!$D$506</f>
        <v xml:space="preserve"> - Máy mài - công suất: 2,7 kW</v>
      </c>
      <c r="F2334" s="168" t="str">
        <f>'Máy thi công'!$E$506</f>
        <v>ca</v>
      </c>
      <c r="G2334" s="34">
        <f>'Hao phí vật tư'!$I$2333</f>
        <v>1.06</v>
      </c>
      <c r="H2334" s="104">
        <f>'Máy thi công'!$H$506</f>
        <v>213347</v>
      </c>
      <c r="I2334" s="37">
        <v>1</v>
      </c>
      <c r="J2334" s="166">
        <f>ROUND(G2334*H2334*I2334,0)</f>
        <v>226148</v>
      </c>
    </row>
    <row r="2335" spans="1:10" x14ac:dyDescent="0.25">
      <c r="A2335" s="168"/>
      <c r="B2335" s="144"/>
      <c r="C2335" s="34">
        <v>857</v>
      </c>
      <c r="D2335" s="144" t="str">
        <f>'Máy thi công'!$B$527</f>
        <v>M0111</v>
      </c>
      <c r="E2335" s="144" t="str">
        <f>" - " &amp; 'Máy thi công'!$D$527</f>
        <v xml:space="preserve"> - Máy khác</v>
      </c>
      <c r="F2335" s="168" t="str">
        <f>'Máy thi công'!$E$527</f>
        <v>%</v>
      </c>
      <c r="G2335" s="34">
        <f>'Hao phí vật tư'!$I$2334</f>
        <v>5</v>
      </c>
      <c r="H2335" s="166">
        <f>'Máy thi công'!$H$527</f>
        <v>0</v>
      </c>
      <c r="I2335" s="37">
        <v>1</v>
      </c>
      <c r="J2335" s="166">
        <f>ROUND((J2332+J2333+J2334)*G2335*I2335/100,0)</f>
        <v>94744</v>
      </c>
    </row>
    <row r="2336" spans="1:10" x14ac:dyDescent="0.25">
      <c r="A2336" s="168"/>
      <c r="B2336" s="144"/>
      <c r="C2336" s="34"/>
      <c r="D2336" s="144"/>
      <c r="E2336" s="144" t="s">
        <v>482</v>
      </c>
      <c r="F2336" s="168"/>
      <c r="G2336" s="34"/>
      <c r="H2336" s="166"/>
      <c r="I2336" s="37">
        <f>'Hệ số'!$C$30</f>
        <v>1</v>
      </c>
      <c r="J2336" s="166">
        <f>ROUND(SUM(J2332:J2335)*'Hệ số'!C30,0)</f>
        <v>1989622</v>
      </c>
    </row>
    <row r="2337" spans="1:10" x14ac:dyDescent="0.25">
      <c r="A2337" s="65">
        <f>'Công trình'!$A$318</f>
        <v>3</v>
      </c>
      <c r="B2337" s="14" t="str">
        <f>'Công trình'!$B$318</f>
        <v>AI.52211</v>
      </c>
      <c r="C2337" s="94"/>
      <c r="D2337" s="31"/>
      <c r="E2337" s="14" t="str">
        <f>'Công trình'!$C$318</f>
        <v>Sản xuất kết cấu thép khe cửa - thép CT3</v>
      </c>
      <c r="F2337" s="46" t="str">
        <f>'Công trình'!$D$318</f>
        <v>tấn</v>
      </c>
      <c r="G2337" s="94"/>
      <c r="H2337" s="54"/>
      <c r="I2337" s="98"/>
      <c r="J2337" s="54"/>
    </row>
    <row r="2338" spans="1:10" x14ac:dyDescent="0.25">
      <c r="A2338" s="56"/>
      <c r="B2338" s="23"/>
      <c r="C2338" s="88"/>
      <c r="D2338" s="23"/>
      <c r="E2338" s="23" t="s">
        <v>479</v>
      </c>
      <c r="F2338" s="56"/>
      <c r="G2338" s="88"/>
      <c r="H2338" s="48"/>
      <c r="I2338" s="90"/>
      <c r="J2338" s="48">
        <f>ROUND(SUM(J2339:J2345),0)</f>
        <v>16318605</v>
      </c>
    </row>
    <row r="2339" spans="1:10" x14ac:dyDescent="0.25">
      <c r="A2339" s="168"/>
      <c r="B2339" s="144"/>
      <c r="C2339" s="34">
        <v>820</v>
      </c>
      <c r="D2339" s="144" t="str">
        <f>'Vật liệu'!$B$926</f>
        <v>V00833</v>
      </c>
      <c r="E2339" s="144" t="str">
        <f>" - " &amp; 'Vật liệu'!$D$926</f>
        <v xml:space="preserve"> - Đất đèn</v>
      </c>
      <c r="F2339" s="168" t="str">
        <f>'Vật liệu'!$E$926</f>
        <v>kg</v>
      </c>
      <c r="G2339" s="34">
        <f>'Hao phí vật tư'!$G$2337</f>
        <v>9.6199999999999992</v>
      </c>
      <c r="H2339" s="68">
        <f>'Vật liệu'!$W$926</f>
        <v>14000</v>
      </c>
      <c r="I2339" s="37">
        <v>1</v>
      </c>
      <c r="J2339" s="166">
        <f t="shared" ref="J2339:J2344" si="17">ROUND(G2339*H2339*I2339,0)</f>
        <v>134680</v>
      </c>
    </row>
    <row r="2340" spans="1:10" x14ac:dyDescent="0.25">
      <c r="A2340" s="168"/>
      <c r="B2340" s="144"/>
      <c r="C2340" s="34">
        <v>775</v>
      </c>
      <c r="D2340" s="144" t="str">
        <f>'Vật liệu'!$B$948</f>
        <v>V00515</v>
      </c>
      <c r="E2340" s="144" t="str">
        <f>" - " &amp; 'Vật liệu'!$D$948</f>
        <v xml:space="preserve"> - Que hàn</v>
      </c>
      <c r="F2340" s="168" t="str">
        <f>'Vật liệu'!$E$948</f>
        <v>kg</v>
      </c>
      <c r="G2340" s="34">
        <f>'Hao phí vật tư'!$G$2338</f>
        <v>18.75</v>
      </c>
      <c r="H2340" s="68">
        <f>'Vật liệu'!$W$948</f>
        <v>19091</v>
      </c>
      <c r="I2340" s="37">
        <v>1</v>
      </c>
      <c r="J2340" s="166">
        <f t="shared" si="17"/>
        <v>357956</v>
      </c>
    </row>
    <row r="2341" spans="1:10" x14ac:dyDescent="0.25">
      <c r="A2341" s="168"/>
      <c r="B2341" s="144"/>
      <c r="C2341" s="34">
        <v>817</v>
      </c>
      <c r="D2341" s="144" t="str">
        <f>'Vật liệu'!$B$941</f>
        <v>V00770</v>
      </c>
      <c r="E2341" s="144" t="str">
        <f>" - " &amp; 'Vật liệu'!$D$941</f>
        <v xml:space="preserve"> - Ô xy</v>
      </c>
      <c r="F2341" s="168" t="str">
        <f>'Vật liệu'!$E$941</f>
        <v>Chai</v>
      </c>
      <c r="G2341" s="34">
        <f>'Hao phí vật tư'!$G$2339</f>
        <v>1.75</v>
      </c>
      <c r="H2341" s="68">
        <f>'Vật liệu'!$W$941</f>
        <v>72000</v>
      </c>
      <c r="I2341" s="37">
        <v>1</v>
      </c>
      <c r="J2341" s="166">
        <f t="shared" si="17"/>
        <v>126000</v>
      </c>
    </row>
    <row r="2342" spans="1:10" x14ac:dyDescent="0.25">
      <c r="A2342" s="168"/>
      <c r="B2342" s="144"/>
      <c r="C2342" s="34">
        <v>783</v>
      </c>
      <c r="D2342" s="144" t="str">
        <f>'Vật liệu'!$B$969</f>
        <v>V00671</v>
      </c>
      <c r="E2342" s="144" t="str">
        <f>" - " &amp; 'Vật liệu'!$D$969</f>
        <v xml:space="preserve"> - Thép tấm</v>
      </c>
      <c r="F2342" s="168" t="str">
        <f>'Vật liệu'!$E$969</f>
        <v>kg</v>
      </c>
      <c r="G2342" s="34">
        <f>'Hao phí vật tư'!$G$2340</f>
        <v>250</v>
      </c>
      <c r="H2342" s="68">
        <f>'Vật liệu'!$W$969</f>
        <v>12574</v>
      </c>
      <c r="I2342" s="37">
        <v>1</v>
      </c>
      <c r="J2342" s="166">
        <f t="shared" si="17"/>
        <v>3143500</v>
      </c>
    </row>
    <row r="2343" spans="1:10" x14ac:dyDescent="0.25">
      <c r="A2343" s="168"/>
      <c r="B2343" s="144"/>
      <c r="C2343" s="34">
        <v>781</v>
      </c>
      <c r="D2343" s="144" t="str">
        <f>'Vật liệu'!$B$960</f>
        <v>V00641</v>
      </c>
      <c r="E2343" s="144" t="str">
        <f>" - " &amp; 'Vật liệu'!$D$960</f>
        <v xml:space="preserve"> - Thép hình</v>
      </c>
      <c r="F2343" s="168" t="str">
        <f>'Vật liệu'!$E$960</f>
        <v>kg</v>
      </c>
      <c r="G2343" s="34">
        <f>'Hao phí vật tư'!$G$2341</f>
        <v>800</v>
      </c>
      <c r="H2343" s="68">
        <f>'Vật liệu'!$W$960</f>
        <v>15291</v>
      </c>
      <c r="I2343" s="37">
        <v>1</v>
      </c>
      <c r="J2343" s="166">
        <f t="shared" si="17"/>
        <v>12232800</v>
      </c>
    </row>
    <row r="2344" spans="1:10" x14ac:dyDescent="0.25">
      <c r="A2344" s="168"/>
      <c r="B2344" s="144"/>
      <c r="C2344" s="34">
        <v>818</v>
      </c>
      <c r="D2344" s="144" t="str">
        <f>'Vật liệu'!$B$919</f>
        <v>V00824</v>
      </c>
      <c r="E2344" s="144" t="str">
        <f>" - " &amp; 'Vật liệu'!$D$919</f>
        <v xml:space="preserve"> - Đá mài</v>
      </c>
      <c r="F2344" s="168" t="str">
        <f>'Vật liệu'!$E$919</f>
        <v>viên</v>
      </c>
      <c r="G2344" s="34">
        <f>'Hao phí vật tư'!$G$2342</f>
        <v>0.28000000000000003</v>
      </c>
      <c r="H2344" s="68">
        <f>'Vật liệu'!$W$919</f>
        <v>13200</v>
      </c>
      <c r="I2344" s="37">
        <v>1</v>
      </c>
      <c r="J2344" s="166">
        <f t="shared" si="17"/>
        <v>3696</v>
      </c>
    </row>
    <row r="2345" spans="1:10" x14ac:dyDescent="0.25">
      <c r="A2345" s="168"/>
      <c r="B2345" s="144"/>
      <c r="C2345" s="34">
        <v>806</v>
      </c>
      <c r="D2345" s="144" t="str">
        <f>'Vật liệu'!$B$973</f>
        <v>V00750</v>
      </c>
      <c r="E2345" s="144" t="str">
        <f>" - " &amp; 'Vật liệu'!$D$973</f>
        <v xml:space="preserve"> - Vật liệu khác</v>
      </c>
      <c r="F2345" s="168" t="str">
        <f>'Vật liệu'!$E$973</f>
        <v>%</v>
      </c>
      <c r="G2345" s="34">
        <f>'Hao phí vật tư'!$G$2343</f>
        <v>2</v>
      </c>
      <c r="H2345" s="166">
        <f>'Vật liệu'!$W$973</f>
        <v>0</v>
      </c>
      <c r="I2345" s="37">
        <v>1</v>
      </c>
      <c r="J2345" s="166">
        <f>ROUND((J2339+J2340+J2341+J2342+J2343+J2344)*G2345*I2345/100,0)</f>
        <v>319973</v>
      </c>
    </row>
    <row r="2346" spans="1:10" x14ac:dyDescent="0.25">
      <c r="A2346" s="56"/>
      <c r="B2346" s="23"/>
      <c r="C2346" s="88"/>
      <c r="D2346" s="23"/>
      <c r="E2346" s="23" t="s">
        <v>202</v>
      </c>
      <c r="F2346" s="56"/>
      <c r="G2346" s="88"/>
      <c r="H2346" s="48"/>
      <c r="I2346" s="90"/>
      <c r="J2346" s="48">
        <f>ROUND(J2348,0)</f>
        <v>6570684</v>
      </c>
    </row>
    <row r="2347" spans="1:10" x14ac:dyDescent="0.25">
      <c r="A2347" s="168"/>
      <c r="B2347" s="144"/>
      <c r="C2347" s="34">
        <v>835</v>
      </c>
      <c r="D2347" s="144" t="str">
        <f>'Nhân công'!$B$240</f>
        <v>N0013</v>
      </c>
      <c r="E2347" s="144" t="s">
        <v>275</v>
      </c>
      <c r="F2347" s="168" t="str">
        <f>'Nhân công'!$G$240</f>
        <v>công</v>
      </c>
      <c r="G2347" s="34">
        <f>'Hao phí vật tư'!$H$2345</f>
        <v>26.15</v>
      </c>
      <c r="H2347" s="104">
        <f>'Nhân công'!$J$240</f>
        <v>251269</v>
      </c>
      <c r="I2347" s="37">
        <v>1</v>
      </c>
      <c r="J2347" s="166">
        <f>ROUND(G2347*H2347*I2347,0)</f>
        <v>6570684</v>
      </c>
    </row>
    <row r="2348" spans="1:10" x14ac:dyDescent="0.25">
      <c r="A2348" s="168"/>
      <c r="B2348" s="144"/>
      <c r="C2348" s="34"/>
      <c r="D2348" s="144"/>
      <c r="E2348" s="144" t="s">
        <v>726</v>
      </c>
      <c r="F2348" s="168"/>
      <c r="G2348" s="34"/>
      <c r="H2348" s="166"/>
      <c r="I2348" s="37">
        <f>'Hệ số'!$C$31</f>
        <v>1</v>
      </c>
      <c r="J2348" s="166">
        <f>ROUND(SUM(J2347:J2347)*'Hệ số'!C31,0)</f>
        <v>6570684</v>
      </c>
    </row>
    <row r="2349" spans="1:10" x14ac:dyDescent="0.25">
      <c r="A2349" s="56"/>
      <c r="B2349" s="23"/>
      <c r="C2349" s="88"/>
      <c r="D2349" s="23"/>
      <c r="E2349" s="23" t="s">
        <v>378</v>
      </c>
      <c r="F2349" s="56"/>
      <c r="G2349" s="88"/>
      <c r="H2349" s="48"/>
      <c r="I2349" s="90"/>
      <c r="J2349" s="48">
        <f>ROUND(J2354,0)</f>
        <v>1989622</v>
      </c>
    </row>
    <row r="2350" spans="1:10" x14ac:dyDescent="0.25">
      <c r="A2350" s="168"/>
      <c r="B2350" s="144"/>
      <c r="C2350" s="34">
        <v>867</v>
      </c>
      <c r="D2350" s="144" t="str">
        <f>'Máy thi công'!$B$501</f>
        <v>M112.1501</v>
      </c>
      <c r="E2350" s="144" t="str">
        <f>" - " &amp; 'Máy thi công'!$D$501</f>
        <v xml:space="preserve"> - Máy khoan đứng - công suất: 2,5 kW</v>
      </c>
      <c r="F2350" s="168" t="str">
        <f>'Máy thi công'!$E$501</f>
        <v>ca</v>
      </c>
      <c r="G2350" s="34">
        <f>'Hao phí vật tư'!$I$2347</f>
        <v>1.06</v>
      </c>
      <c r="H2350" s="104">
        <f>'Máy thi công'!$H$501</f>
        <v>247705</v>
      </c>
      <c r="I2350" s="37">
        <v>1</v>
      </c>
      <c r="J2350" s="166">
        <f>ROUND(G2350*H2350*I2350,0)</f>
        <v>262567</v>
      </c>
    </row>
    <row r="2351" spans="1:10" x14ac:dyDescent="0.25">
      <c r="A2351" s="168"/>
      <c r="B2351" s="144"/>
      <c r="C2351" s="34">
        <v>892</v>
      </c>
      <c r="D2351" s="144" t="str">
        <f>'Máy thi công'!$B$478</f>
        <v>M9438</v>
      </c>
      <c r="E2351" s="144" t="str">
        <f>" - " &amp; 'Máy thi công'!$D$478</f>
        <v xml:space="preserve"> - Biến thế hàn xoay chiều - công suất: 23 kW</v>
      </c>
      <c r="F2351" s="168" t="str">
        <f>'Máy thi công'!$E$478</f>
        <v>ca</v>
      </c>
      <c r="G2351" s="34">
        <f>'Hao phí vật tư'!$I$2348</f>
        <v>4.16</v>
      </c>
      <c r="H2351" s="104">
        <f>'Máy thi công'!$H$478</f>
        <v>338020</v>
      </c>
      <c r="I2351" s="37">
        <v>1</v>
      </c>
      <c r="J2351" s="166">
        <f>ROUND(G2351*H2351*I2351,0)</f>
        <v>1406163</v>
      </c>
    </row>
    <row r="2352" spans="1:10" x14ac:dyDescent="0.25">
      <c r="A2352" s="168"/>
      <c r="B2352" s="144"/>
      <c r="C2352" s="34">
        <v>874</v>
      </c>
      <c r="D2352" s="144" t="str">
        <f>'Máy thi công'!$B$506</f>
        <v>M112.3702</v>
      </c>
      <c r="E2352" s="144" t="str">
        <f>" - " &amp; 'Máy thi công'!$D$506</f>
        <v xml:space="preserve"> - Máy mài - công suất: 2,7 kW</v>
      </c>
      <c r="F2352" s="168" t="str">
        <f>'Máy thi công'!$E$506</f>
        <v>ca</v>
      </c>
      <c r="G2352" s="34">
        <f>'Hao phí vật tư'!$I$2349</f>
        <v>1.06</v>
      </c>
      <c r="H2352" s="104">
        <f>'Máy thi công'!$H$506</f>
        <v>213347</v>
      </c>
      <c r="I2352" s="37">
        <v>1</v>
      </c>
      <c r="J2352" s="166">
        <f>ROUND(G2352*H2352*I2352,0)</f>
        <v>226148</v>
      </c>
    </row>
    <row r="2353" spans="1:10" x14ac:dyDescent="0.25">
      <c r="A2353" s="168"/>
      <c r="B2353" s="144"/>
      <c r="C2353" s="34">
        <v>859</v>
      </c>
      <c r="D2353" s="144" t="str">
        <f>'Máy thi công'!$B$527</f>
        <v>M0111</v>
      </c>
      <c r="E2353" s="144" t="str">
        <f>" - " &amp; 'Máy thi công'!$D$527</f>
        <v xml:space="preserve"> - Máy khác</v>
      </c>
      <c r="F2353" s="168" t="str">
        <f>'Máy thi công'!$E$527</f>
        <v>%</v>
      </c>
      <c r="G2353" s="34">
        <f>'Hao phí vật tư'!$I$2350</f>
        <v>5</v>
      </c>
      <c r="H2353" s="166">
        <f>'Máy thi công'!$H$527</f>
        <v>0</v>
      </c>
      <c r="I2353" s="37">
        <v>1</v>
      </c>
      <c r="J2353" s="166">
        <f>ROUND((J2350+J2351+J2352)*G2353*I2353/100,0)</f>
        <v>94744</v>
      </c>
    </row>
    <row r="2354" spans="1:10" x14ac:dyDescent="0.25">
      <c r="A2354" s="168"/>
      <c r="B2354" s="144"/>
      <c r="C2354" s="34"/>
      <c r="D2354" s="144"/>
      <c r="E2354" s="144" t="s">
        <v>482</v>
      </c>
      <c r="F2354" s="168"/>
      <c r="G2354" s="34"/>
      <c r="H2354" s="166"/>
      <c r="I2354" s="37">
        <f>'Hệ số'!$C$30</f>
        <v>1</v>
      </c>
      <c r="J2354" s="166">
        <f>ROUND(SUM(J2350:J2353)*'Hệ số'!C30,0)</f>
        <v>1989622</v>
      </c>
    </row>
    <row r="2355" spans="1:10" x14ac:dyDescent="0.25">
      <c r="A2355" s="65">
        <f>'Công trình'!$A$319</f>
        <v>4</v>
      </c>
      <c r="B2355" s="14" t="str">
        <f>'Công trình'!$B$319</f>
        <v>AI.52211</v>
      </c>
      <c r="C2355" s="94"/>
      <c r="D2355" s="31"/>
      <c r="E2355" s="14" t="str">
        <f>'Công trình'!$C$319</f>
        <v>Sản xuất kết cấu thép khe cửa- thép SUS304</v>
      </c>
      <c r="F2355" s="46" t="str">
        <f>'Công trình'!$D$319</f>
        <v>tấn</v>
      </c>
      <c r="G2355" s="94"/>
      <c r="H2355" s="54"/>
      <c r="I2355" s="98"/>
      <c r="J2355" s="54"/>
    </row>
    <row r="2356" spans="1:10" x14ac:dyDescent="0.25">
      <c r="A2356" s="56"/>
      <c r="B2356" s="23"/>
      <c r="C2356" s="88"/>
      <c r="D2356" s="23"/>
      <c r="E2356" s="23" t="s">
        <v>479</v>
      </c>
      <c r="F2356" s="56"/>
      <c r="G2356" s="88"/>
      <c r="H2356" s="48"/>
      <c r="I2356" s="90"/>
      <c r="J2356" s="48">
        <f>ROUND(SUM(J2357:J2362),0)</f>
        <v>64735990</v>
      </c>
    </row>
    <row r="2357" spans="1:10" x14ac:dyDescent="0.25">
      <c r="A2357" s="168"/>
      <c r="B2357" s="144"/>
      <c r="C2357" s="34">
        <v>820</v>
      </c>
      <c r="D2357" s="144" t="str">
        <f>'Vật liệu'!$B$926</f>
        <v>V00833</v>
      </c>
      <c r="E2357" s="144" t="str">
        <f>" - " &amp; 'Vật liệu'!$D$926</f>
        <v xml:space="preserve"> - Đất đèn</v>
      </c>
      <c r="F2357" s="168" t="str">
        <f>'Vật liệu'!$E$926</f>
        <v>kg</v>
      </c>
      <c r="G2357" s="34">
        <f>'Hao phí vật tư'!$G$2353</f>
        <v>9.6199999999999992</v>
      </c>
      <c r="H2357" s="68">
        <f>'Vật liệu'!$W$926</f>
        <v>14000</v>
      </c>
      <c r="I2357" s="37">
        <v>1</v>
      </c>
      <c r="J2357" s="166">
        <f>ROUND(G2357*H2357*I2357,0)</f>
        <v>134680</v>
      </c>
    </row>
    <row r="2358" spans="1:10" x14ac:dyDescent="0.25">
      <c r="A2358" s="168"/>
      <c r="B2358" s="144"/>
      <c r="C2358" s="34">
        <v>780</v>
      </c>
      <c r="D2358" s="144" t="str">
        <f>'Vật liệu'!$B$952</f>
        <v>V00515In</v>
      </c>
      <c r="E2358" s="144" t="str">
        <f>" - " &amp; 'Vật liệu'!$D$952</f>
        <v xml:space="preserve"> - Que hàn Inox</v>
      </c>
      <c r="F2358" s="168" t="str">
        <f>'Vật liệu'!$E$952</f>
        <v>kg</v>
      </c>
      <c r="G2358" s="34">
        <f>'Hao phí vật tư'!$G$2354</f>
        <v>18.75</v>
      </c>
      <c r="H2358" s="68">
        <f>'Vật liệu'!$W$952</f>
        <v>145455</v>
      </c>
      <c r="I2358" s="37">
        <v>1</v>
      </c>
      <c r="J2358" s="166">
        <f>ROUND(G2358*H2358*I2358,0)</f>
        <v>2727281</v>
      </c>
    </row>
    <row r="2359" spans="1:10" x14ac:dyDescent="0.25">
      <c r="A2359" s="168"/>
      <c r="B2359" s="144"/>
      <c r="C2359" s="34">
        <v>817</v>
      </c>
      <c r="D2359" s="144" t="str">
        <f>'Vật liệu'!$B$941</f>
        <v>V00770</v>
      </c>
      <c r="E2359" s="144" t="str">
        <f>" - " &amp; 'Vật liệu'!$D$941</f>
        <v xml:space="preserve"> - Ô xy</v>
      </c>
      <c r="F2359" s="168" t="str">
        <f>'Vật liệu'!$E$941</f>
        <v>Chai</v>
      </c>
      <c r="G2359" s="34">
        <f>'Hao phí vật tư'!$G$2355</f>
        <v>1.75</v>
      </c>
      <c r="H2359" s="68">
        <f>'Vật liệu'!$W$941</f>
        <v>72000</v>
      </c>
      <c r="I2359" s="37">
        <v>1</v>
      </c>
      <c r="J2359" s="166">
        <f>ROUND(G2359*H2359*I2359,0)</f>
        <v>126000</v>
      </c>
    </row>
    <row r="2360" spans="1:10" x14ac:dyDescent="0.25">
      <c r="A2360" s="168"/>
      <c r="B2360" s="144"/>
      <c r="C2360" s="34">
        <v>788</v>
      </c>
      <c r="D2360" s="144" t="str">
        <f>'Vật liệu'!$B$966</f>
        <v>V00671su</v>
      </c>
      <c r="E2360" s="144" t="str">
        <f>" - " &amp; 'Vật liệu'!$D$966</f>
        <v xml:space="preserve"> - Thép SUS304 các loại</v>
      </c>
      <c r="F2360" s="168" t="str">
        <f>'Vật liệu'!$E$966</f>
        <v>kg</v>
      </c>
      <c r="G2360" s="34">
        <f>'Hao phí vật tư'!$G$2356</f>
        <v>1025</v>
      </c>
      <c r="H2360" s="68">
        <f>'Vật liệu'!$W$966</f>
        <v>59000</v>
      </c>
      <c r="I2360" s="37">
        <v>1</v>
      </c>
      <c r="J2360" s="166">
        <f>ROUND(G2360*H2360*I2360,0)</f>
        <v>60475000</v>
      </c>
    </row>
    <row r="2361" spans="1:10" x14ac:dyDescent="0.25">
      <c r="A2361" s="168"/>
      <c r="B2361" s="144"/>
      <c r="C2361" s="34">
        <v>818</v>
      </c>
      <c r="D2361" s="144" t="str">
        <f>'Vật liệu'!$B$919</f>
        <v>V00824</v>
      </c>
      <c r="E2361" s="144" t="str">
        <f>" - " &amp; 'Vật liệu'!$D$919</f>
        <v xml:space="preserve"> - Đá mài</v>
      </c>
      <c r="F2361" s="168" t="str">
        <f>'Vật liệu'!$E$919</f>
        <v>viên</v>
      </c>
      <c r="G2361" s="34">
        <f>'Hao phí vật tư'!$G$2357</f>
        <v>0.28000000000000003</v>
      </c>
      <c r="H2361" s="68">
        <f>'Vật liệu'!$W$919</f>
        <v>13200</v>
      </c>
      <c r="I2361" s="37">
        <v>1</v>
      </c>
      <c r="J2361" s="166">
        <f>ROUND(G2361*H2361*I2361,0)</f>
        <v>3696</v>
      </c>
    </row>
    <row r="2362" spans="1:10" x14ac:dyDescent="0.25">
      <c r="A2362" s="168"/>
      <c r="B2362" s="144"/>
      <c r="C2362" s="34">
        <v>807</v>
      </c>
      <c r="D2362" s="144" t="str">
        <f>'Vật liệu'!$B$973</f>
        <v>V00750</v>
      </c>
      <c r="E2362" s="144" t="str">
        <f>" - " &amp; 'Vật liệu'!$D$973</f>
        <v xml:space="preserve"> - Vật liệu khác</v>
      </c>
      <c r="F2362" s="168" t="str">
        <f>'Vật liệu'!$E$973</f>
        <v>%</v>
      </c>
      <c r="G2362" s="34">
        <f>'Hao phí vật tư'!$G$2358</f>
        <v>2</v>
      </c>
      <c r="H2362" s="166">
        <f>'Vật liệu'!$W$973</f>
        <v>0</v>
      </c>
      <c r="I2362" s="37">
        <v>1</v>
      </c>
      <c r="J2362" s="166">
        <f>ROUND((J2357+J2358+J2359+J2360+J2361)*G2362*I2362/100,0)</f>
        <v>1269333</v>
      </c>
    </row>
    <row r="2363" spans="1:10" x14ac:dyDescent="0.25">
      <c r="A2363" s="56"/>
      <c r="B2363" s="23"/>
      <c r="C2363" s="88"/>
      <c r="D2363" s="23"/>
      <c r="E2363" s="23" t="s">
        <v>202</v>
      </c>
      <c r="F2363" s="56"/>
      <c r="G2363" s="88"/>
      <c r="H2363" s="48"/>
      <c r="I2363" s="90"/>
      <c r="J2363" s="48">
        <f>ROUND(J2365,0)</f>
        <v>6570684</v>
      </c>
    </row>
    <row r="2364" spans="1:10" x14ac:dyDescent="0.25">
      <c r="A2364" s="168"/>
      <c r="B2364" s="144"/>
      <c r="C2364" s="34">
        <v>835</v>
      </c>
      <c r="D2364" s="144" t="str">
        <f>'Nhân công'!$B$240</f>
        <v>N0013</v>
      </c>
      <c r="E2364" s="144" t="s">
        <v>275</v>
      </c>
      <c r="F2364" s="168" t="str">
        <f>'Nhân công'!$G$240</f>
        <v>công</v>
      </c>
      <c r="G2364" s="34">
        <f>'Hao phí vật tư'!$H$2360</f>
        <v>26.15</v>
      </c>
      <c r="H2364" s="104">
        <f>'Nhân công'!$J$240</f>
        <v>251269</v>
      </c>
      <c r="I2364" s="37">
        <v>1</v>
      </c>
      <c r="J2364" s="166">
        <f>ROUND(G2364*H2364*I2364,0)</f>
        <v>6570684</v>
      </c>
    </row>
    <row r="2365" spans="1:10" x14ac:dyDescent="0.25">
      <c r="A2365" s="168"/>
      <c r="B2365" s="144"/>
      <c r="C2365" s="34"/>
      <c r="D2365" s="144"/>
      <c r="E2365" s="144" t="s">
        <v>726</v>
      </c>
      <c r="F2365" s="168"/>
      <c r="G2365" s="34"/>
      <c r="H2365" s="166"/>
      <c r="I2365" s="37">
        <f>'Hệ số'!$C$31</f>
        <v>1</v>
      </c>
      <c r="J2365" s="166">
        <f>ROUND(SUM(J2364:J2364)*'Hệ số'!C31,0)</f>
        <v>6570684</v>
      </c>
    </row>
    <row r="2366" spans="1:10" x14ac:dyDescent="0.25">
      <c r="A2366" s="56"/>
      <c r="B2366" s="23"/>
      <c r="C2366" s="88"/>
      <c r="D2366" s="23"/>
      <c r="E2366" s="23" t="s">
        <v>378</v>
      </c>
      <c r="F2366" s="56"/>
      <c r="G2366" s="88"/>
      <c r="H2366" s="48"/>
      <c r="I2366" s="90"/>
      <c r="J2366" s="48">
        <f>ROUND(J2371,0)</f>
        <v>1989622</v>
      </c>
    </row>
    <row r="2367" spans="1:10" x14ac:dyDescent="0.25">
      <c r="A2367" s="168"/>
      <c r="B2367" s="144"/>
      <c r="C2367" s="34">
        <v>867</v>
      </c>
      <c r="D2367" s="144" t="str">
        <f>'Máy thi công'!$B$501</f>
        <v>M112.1501</v>
      </c>
      <c r="E2367" s="144" t="str">
        <f>" - " &amp; 'Máy thi công'!$D$501</f>
        <v xml:space="preserve"> - Máy khoan đứng - công suất: 2,5 kW</v>
      </c>
      <c r="F2367" s="168" t="str">
        <f>'Máy thi công'!$E$501</f>
        <v>ca</v>
      </c>
      <c r="G2367" s="34">
        <f>'Hao phí vật tư'!$I$2362</f>
        <v>1.06</v>
      </c>
      <c r="H2367" s="104">
        <f>'Máy thi công'!$H$501</f>
        <v>247705</v>
      </c>
      <c r="I2367" s="37">
        <v>1</v>
      </c>
      <c r="J2367" s="166">
        <f>ROUND(G2367*H2367*I2367,0)</f>
        <v>262567</v>
      </c>
    </row>
    <row r="2368" spans="1:10" x14ac:dyDescent="0.25">
      <c r="A2368" s="168"/>
      <c r="B2368" s="144"/>
      <c r="C2368" s="34">
        <v>892</v>
      </c>
      <c r="D2368" s="144" t="str">
        <f>'Máy thi công'!$B$478</f>
        <v>M9438</v>
      </c>
      <c r="E2368" s="144" t="str">
        <f>" - " &amp; 'Máy thi công'!$D$478</f>
        <v xml:space="preserve"> - Biến thế hàn xoay chiều - công suất: 23 kW</v>
      </c>
      <c r="F2368" s="168" t="str">
        <f>'Máy thi công'!$E$478</f>
        <v>ca</v>
      </c>
      <c r="G2368" s="34">
        <f>'Hao phí vật tư'!$I$2363</f>
        <v>4.16</v>
      </c>
      <c r="H2368" s="104">
        <f>'Máy thi công'!$H$478</f>
        <v>338020</v>
      </c>
      <c r="I2368" s="37">
        <v>1</v>
      </c>
      <c r="J2368" s="166">
        <f>ROUND(G2368*H2368*I2368,0)</f>
        <v>1406163</v>
      </c>
    </row>
    <row r="2369" spans="1:10" x14ac:dyDescent="0.25">
      <c r="A2369" s="168"/>
      <c r="B2369" s="144"/>
      <c r="C2369" s="34">
        <v>874</v>
      </c>
      <c r="D2369" s="144" t="str">
        <f>'Máy thi công'!$B$506</f>
        <v>M112.3702</v>
      </c>
      <c r="E2369" s="144" t="str">
        <f>" - " &amp; 'Máy thi công'!$D$506</f>
        <v xml:space="preserve"> - Máy mài - công suất: 2,7 kW</v>
      </c>
      <c r="F2369" s="168" t="str">
        <f>'Máy thi công'!$E$506</f>
        <v>ca</v>
      </c>
      <c r="G2369" s="34">
        <f>'Hao phí vật tư'!$I$2364</f>
        <v>1.06</v>
      </c>
      <c r="H2369" s="104">
        <f>'Máy thi công'!$H$506</f>
        <v>213347</v>
      </c>
      <c r="I2369" s="37">
        <v>1</v>
      </c>
      <c r="J2369" s="166">
        <f>ROUND(G2369*H2369*I2369,0)</f>
        <v>226148</v>
      </c>
    </row>
    <row r="2370" spans="1:10" x14ac:dyDescent="0.25">
      <c r="A2370" s="168"/>
      <c r="B2370" s="144"/>
      <c r="C2370" s="34">
        <v>860</v>
      </c>
      <c r="D2370" s="144" t="str">
        <f>'Máy thi công'!$B$527</f>
        <v>M0111</v>
      </c>
      <c r="E2370" s="144" t="str">
        <f>" - " &amp; 'Máy thi công'!$D$527</f>
        <v xml:space="preserve"> - Máy khác</v>
      </c>
      <c r="F2370" s="168" t="str">
        <f>'Máy thi công'!$E$527</f>
        <v>%</v>
      </c>
      <c r="G2370" s="34">
        <f>'Hao phí vật tư'!$I$2365</f>
        <v>5</v>
      </c>
      <c r="H2370" s="166">
        <f>'Máy thi công'!$H$527</f>
        <v>0</v>
      </c>
      <c r="I2370" s="37">
        <v>1</v>
      </c>
      <c r="J2370" s="166">
        <f>ROUND((J2367+J2368+J2369)*G2370*I2370/100,0)</f>
        <v>94744</v>
      </c>
    </row>
    <row r="2371" spans="1:10" x14ac:dyDescent="0.25">
      <c r="A2371" s="168"/>
      <c r="B2371" s="144"/>
      <c r="C2371" s="34"/>
      <c r="D2371" s="144"/>
      <c r="E2371" s="144" t="s">
        <v>482</v>
      </c>
      <c r="F2371" s="168"/>
      <c r="G2371" s="34"/>
      <c r="H2371" s="166"/>
      <c r="I2371" s="37">
        <f>'Hệ số'!$C$30</f>
        <v>1</v>
      </c>
      <c r="J2371" s="166">
        <f>ROUND(SUM(J2367:J2370)*'Hệ số'!C30,0)</f>
        <v>1989622</v>
      </c>
    </row>
    <row r="2372" spans="1:10" ht="42.75" x14ac:dyDescent="0.25">
      <c r="A2372" s="65">
        <f>'Công trình'!$A$320</f>
        <v>5</v>
      </c>
      <c r="B2372" s="14" t="str">
        <f>'Công trình'!$B$320</f>
        <v>CV.0102</v>
      </c>
      <c r="C2372" s="94"/>
      <c r="D2372" s="31"/>
      <c r="E2372" s="14" t="str">
        <f>'Công trình'!$C$320</f>
        <v>Sản xuất cửa van bằng thép không gỉ, chiều rộng cống (B) &lt;= 8m</v>
      </c>
      <c r="F2372" s="46" t="str">
        <f>'Công trình'!$D$320</f>
        <v>1 tấn sản phẩm</v>
      </c>
      <c r="G2372" s="94"/>
      <c r="H2372" s="54"/>
      <c r="I2372" s="98"/>
      <c r="J2372" s="54"/>
    </row>
    <row r="2373" spans="1:10" x14ac:dyDescent="0.25">
      <c r="A2373" s="56"/>
      <c r="B2373" s="23"/>
      <c r="C2373" s="88"/>
      <c r="D2373" s="23"/>
      <c r="E2373" s="23" t="s">
        <v>479</v>
      </c>
      <c r="F2373" s="56"/>
      <c r="G2373" s="88"/>
      <c r="H2373" s="48"/>
      <c r="I2373" s="90"/>
      <c r="J2373" s="48">
        <f>ROUND(SUM(J2374:J2378),0)</f>
        <v>67795205</v>
      </c>
    </row>
    <row r="2374" spans="1:10" x14ac:dyDescent="0.25">
      <c r="A2374" s="168"/>
      <c r="B2374" s="144"/>
      <c r="C2374" s="34">
        <v>825</v>
      </c>
      <c r="D2374" s="144" t="str">
        <f>'Vật liệu'!$B$958</f>
        <v>V17879</v>
      </c>
      <c r="E2374" s="144" t="str">
        <f>" - " &amp; 'Vật liệu'!$D$958</f>
        <v xml:space="preserve"> - Que hàn thép không gỉ</v>
      </c>
      <c r="F2374" s="168" t="str">
        <f>'Vật liệu'!$E$958</f>
        <v>kg</v>
      </c>
      <c r="G2374" s="34">
        <f>'Hao phí vật tư'!$G$2368</f>
        <v>35.08</v>
      </c>
      <c r="H2374" s="68">
        <f>'Vật liệu'!$W$958</f>
        <v>145455</v>
      </c>
      <c r="I2374" s="37">
        <v>1</v>
      </c>
      <c r="J2374" s="166">
        <f>ROUND(G2374*H2374*I2374,0)</f>
        <v>5102561</v>
      </c>
    </row>
    <row r="2375" spans="1:10" x14ac:dyDescent="0.25">
      <c r="A2375" s="168"/>
      <c r="B2375" s="144"/>
      <c r="C2375" s="34">
        <v>826</v>
      </c>
      <c r="D2375" s="144" t="str">
        <f>'Vật liệu'!$B$955</f>
        <v>V36579</v>
      </c>
      <c r="E2375" s="144" t="str">
        <f>" - " &amp; 'Vật liệu'!$D$955</f>
        <v xml:space="preserve"> - Que hàn thép CT3</v>
      </c>
      <c r="F2375" s="168" t="str">
        <f>'Vật liệu'!$E$955</f>
        <v>kg</v>
      </c>
      <c r="G2375" s="34">
        <f>'Hao phí vật tư'!$G$2369</f>
        <v>2.63</v>
      </c>
      <c r="H2375" s="68">
        <f>'Vật liệu'!$W$955</f>
        <v>14000</v>
      </c>
      <c r="I2375" s="37">
        <v>1</v>
      </c>
      <c r="J2375" s="166">
        <f>ROUND(G2375*H2375*I2375,0)</f>
        <v>36820</v>
      </c>
    </row>
    <row r="2376" spans="1:10" x14ac:dyDescent="0.25">
      <c r="A2376" s="168"/>
      <c r="B2376" s="144"/>
      <c r="C2376" s="34">
        <v>827</v>
      </c>
      <c r="D2376" s="144" t="str">
        <f>'Vật liệu'!$B$964</f>
        <v>V36581</v>
      </c>
      <c r="E2376" s="144" t="str">
        <f>" - " &amp; 'Vật liệu'!$D$964</f>
        <v xml:space="preserve"> - Thép inox các loại</v>
      </c>
      <c r="F2376" s="168" t="str">
        <f>'Vật liệu'!$E$964</f>
        <v>kg</v>
      </c>
      <c r="G2376" s="34">
        <f>'Hao phí vật tư'!$G$2370</f>
        <v>1050</v>
      </c>
      <c r="H2376" s="68">
        <f>'Vật liệu'!$W$964</f>
        <v>59000</v>
      </c>
      <c r="I2376" s="37">
        <v>1</v>
      </c>
      <c r="J2376" s="166">
        <f>ROUND(G2376*H2376*I2376,0)</f>
        <v>61950000</v>
      </c>
    </row>
    <row r="2377" spans="1:10" x14ac:dyDescent="0.25">
      <c r="A2377" s="168"/>
      <c r="B2377" s="144"/>
      <c r="C2377" s="34">
        <v>818</v>
      </c>
      <c r="D2377" s="144" t="str">
        <f>'Vật liệu'!$B$919</f>
        <v>V00824</v>
      </c>
      <c r="E2377" s="144" t="str">
        <f>" - " &amp; 'Vật liệu'!$D$919</f>
        <v xml:space="preserve"> - Đá mài</v>
      </c>
      <c r="F2377" s="168" t="str">
        <f>'Vật liệu'!$E$919</f>
        <v>viên</v>
      </c>
      <c r="G2377" s="34">
        <f>'Hao phí vật tư'!$G$2371</f>
        <v>2.62</v>
      </c>
      <c r="H2377" s="68">
        <f>'Vật liệu'!$W$919</f>
        <v>13200</v>
      </c>
      <c r="I2377" s="37">
        <v>1</v>
      </c>
      <c r="J2377" s="166">
        <f>ROUND(G2377*H2377*I2377,0)</f>
        <v>34584</v>
      </c>
    </row>
    <row r="2378" spans="1:10" x14ac:dyDescent="0.25">
      <c r="A2378" s="168"/>
      <c r="B2378" s="144"/>
      <c r="C2378" s="34">
        <v>813</v>
      </c>
      <c r="D2378" s="144" t="str">
        <f>'Vật liệu'!$B$973</f>
        <v>V00750</v>
      </c>
      <c r="E2378" s="144" t="str">
        <f>" - " &amp; 'Vật liệu'!$D$973</f>
        <v xml:space="preserve"> - Vật liệu khác</v>
      </c>
      <c r="F2378" s="168" t="str">
        <f>'Vật liệu'!$E$973</f>
        <v>%</v>
      </c>
      <c r="G2378" s="34">
        <f>'Hao phí vật tư'!$G$2372</f>
        <v>1</v>
      </c>
      <c r="H2378" s="166">
        <f>'Vật liệu'!$W$973</f>
        <v>0</v>
      </c>
      <c r="I2378" s="37">
        <v>1</v>
      </c>
      <c r="J2378" s="166">
        <f>ROUND((J2374+J2375+J2376+J2377)*G2378*I2378/100,0)</f>
        <v>671240</v>
      </c>
    </row>
    <row r="2379" spans="1:10" x14ac:dyDescent="0.25">
      <c r="A2379" s="56"/>
      <c r="B2379" s="23"/>
      <c r="C2379" s="88"/>
      <c r="D2379" s="23"/>
      <c r="E2379" s="23" t="s">
        <v>202</v>
      </c>
      <c r="F2379" s="56"/>
      <c r="G2379" s="88"/>
      <c r="H2379" s="48"/>
      <c r="I2379" s="90"/>
      <c r="J2379" s="48">
        <f>ROUND(J2381,0)</f>
        <v>22865479</v>
      </c>
    </row>
    <row r="2380" spans="1:10" x14ac:dyDescent="0.25">
      <c r="A2380" s="168"/>
      <c r="B2380" s="144"/>
      <c r="C2380" s="34">
        <v>835</v>
      </c>
      <c r="D2380" s="144" t="str">
        <f>'Nhân công'!$B$240</f>
        <v>N0013</v>
      </c>
      <c r="E2380" s="144" t="s">
        <v>275</v>
      </c>
      <c r="F2380" s="168" t="str">
        <f>'Nhân công'!$G$240</f>
        <v>công</v>
      </c>
      <c r="G2380" s="34">
        <f>'Hao phí vật tư'!$H$2374</f>
        <v>91</v>
      </c>
      <c r="H2380" s="104">
        <f>'Nhân công'!$J$240</f>
        <v>251269</v>
      </c>
      <c r="I2380" s="37">
        <v>1</v>
      </c>
      <c r="J2380" s="166">
        <f>ROUND(G2380*H2380*I2380,0)</f>
        <v>22865479</v>
      </c>
    </row>
    <row r="2381" spans="1:10" x14ac:dyDescent="0.25">
      <c r="A2381" s="168"/>
      <c r="B2381" s="144"/>
      <c r="C2381" s="34"/>
      <c r="D2381" s="144"/>
      <c r="E2381" s="144" t="s">
        <v>726</v>
      </c>
      <c r="F2381" s="168"/>
      <c r="G2381" s="34"/>
      <c r="H2381" s="166"/>
      <c r="I2381" s="37">
        <f>'Hệ số'!$C$31</f>
        <v>1</v>
      </c>
      <c r="J2381" s="166">
        <f>ROUND(SUM(J2380:J2380)*'Hệ số'!C31,0)</f>
        <v>22865479</v>
      </c>
    </row>
    <row r="2382" spans="1:10" x14ac:dyDescent="0.25">
      <c r="A2382" s="56"/>
      <c r="B2382" s="23"/>
      <c r="C2382" s="88"/>
      <c r="D2382" s="23"/>
      <c r="E2382" s="23" t="s">
        <v>378</v>
      </c>
      <c r="F2382" s="56"/>
      <c r="G2382" s="88"/>
      <c r="H2382" s="48"/>
      <c r="I2382" s="90"/>
      <c r="J2382" s="48">
        <f>ROUND(J2393,0)</f>
        <v>9165969</v>
      </c>
    </row>
    <row r="2383" spans="1:10" x14ac:dyDescent="0.25">
      <c r="A2383" s="168"/>
      <c r="B2383" s="144"/>
      <c r="C2383" s="34">
        <v>882</v>
      </c>
      <c r="D2383" s="144" t="str">
        <f>'Máy thi công'!$B$497</f>
        <v>M5554</v>
      </c>
      <c r="E2383" s="144" t="str">
        <f>" - " &amp; 'Máy thi công'!$D$497</f>
        <v xml:space="preserve"> - Máy khoan 2,5 KW</v>
      </c>
      <c r="F2383" s="168" t="str">
        <f>'Máy thi công'!$E$497</f>
        <v>ca</v>
      </c>
      <c r="G2383" s="34">
        <f>'Hao phí vật tư'!$I$2376</f>
        <v>0.6</v>
      </c>
      <c r="H2383" s="104">
        <f>'Máy thi công'!$H$497</f>
        <v>247705</v>
      </c>
      <c r="I2383" s="37">
        <v>1</v>
      </c>
      <c r="J2383" s="166">
        <f t="shared" ref="J2383:J2391" si="18">ROUND(G2383*H2383*I2383,0)</f>
        <v>148623</v>
      </c>
    </row>
    <row r="2384" spans="1:10" x14ac:dyDescent="0.25">
      <c r="A2384" s="168"/>
      <c r="B2384" s="144"/>
      <c r="C2384" s="34">
        <v>866</v>
      </c>
      <c r="D2384" s="144" t="str">
        <f>'Máy thi công'!$B$490</f>
        <v>M1113</v>
      </c>
      <c r="E2384" s="144" t="str">
        <f>" - " &amp; 'Máy thi công'!$D$490</f>
        <v xml:space="preserve"> - Máy cắt thép Flaxma</v>
      </c>
      <c r="F2384" s="168" t="str">
        <f>'Máy thi công'!$E$490</f>
        <v>ca</v>
      </c>
      <c r="G2384" s="34">
        <f>'Hao phí vật tư'!$I$2377</f>
        <v>5.6</v>
      </c>
      <c r="H2384" s="104">
        <f>'Máy thi công'!$H$490</f>
        <v>277290</v>
      </c>
      <c r="I2384" s="37">
        <v>1</v>
      </c>
      <c r="J2384" s="166">
        <f t="shared" si="18"/>
        <v>1552824</v>
      </c>
    </row>
    <row r="2385" spans="1:10" x14ac:dyDescent="0.25">
      <c r="A2385" s="168"/>
      <c r="B2385" s="144"/>
      <c r="C2385" s="34">
        <v>878</v>
      </c>
      <c r="D2385" s="144" t="str">
        <f>'Máy thi công'!$B$499</f>
        <v>M3247</v>
      </c>
      <c r="E2385" s="144" t="str">
        <f>" - " &amp; 'Máy thi công'!$D$499</f>
        <v xml:space="preserve"> - Máy khoan 4,5 KW</v>
      </c>
      <c r="F2385" s="168" t="str">
        <f>'Máy thi công'!$E$499</f>
        <v>ca</v>
      </c>
      <c r="G2385" s="34">
        <f>'Hao phí vật tư'!$I$2378</f>
        <v>4.4000000000000004</v>
      </c>
      <c r="H2385" s="104">
        <f>'Máy thi công'!$H$499</f>
        <v>268963</v>
      </c>
      <c r="I2385" s="37">
        <v>1</v>
      </c>
      <c r="J2385" s="166">
        <f t="shared" si="18"/>
        <v>1183437</v>
      </c>
    </row>
    <row r="2386" spans="1:10" x14ac:dyDescent="0.25">
      <c r="A2386" s="168"/>
      <c r="B2386" s="144"/>
      <c r="C2386" s="34">
        <v>903</v>
      </c>
      <c r="D2386" s="144" t="str">
        <f>'Máy thi công'!$B$488</f>
        <v>M9663</v>
      </c>
      <c r="E2386" s="144" t="str">
        <f>" - " &amp; 'Máy thi công'!$D$488</f>
        <v xml:space="preserve"> - Cần trục bánh hơi sức nâng 6T</v>
      </c>
      <c r="F2386" s="168" t="str">
        <f>'Máy thi công'!$E$488</f>
        <v>ca</v>
      </c>
      <c r="G2386" s="34">
        <f>'Hao phí vật tư'!$I$2379</f>
        <v>0.1</v>
      </c>
      <c r="H2386" s="104">
        <f>'Máy thi công'!$H$488</f>
        <v>1446674</v>
      </c>
      <c r="I2386" s="37">
        <v>1</v>
      </c>
      <c r="J2386" s="166">
        <f t="shared" si="18"/>
        <v>144667</v>
      </c>
    </row>
    <row r="2387" spans="1:10" x14ac:dyDescent="0.25">
      <c r="A2387" s="168"/>
      <c r="B2387" s="144"/>
      <c r="C2387" s="34">
        <v>886</v>
      </c>
      <c r="D2387" s="144" t="str">
        <f>'Máy thi công'!$B$517</f>
        <v>M5560</v>
      </c>
      <c r="E2387" s="144" t="str">
        <f>" - " &amp; 'Máy thi công'!$D$517</f>
        <v xml:space="preserve"> - Máy tiện 10 KW</v>
      </c>
      <c r="F2387" s="168" t="str">
        <f>'Máy thi công'!$E$517</f>
        <v>ca</v>
      </c>
      <c r="G2387" s="34">
        <f>'Hao phí vật tư'!$I$2380</f>
        <v>3.1</v>
      </c>
      <c r="H2387" s="104">
        <f>'Máy thi công'!$H$517</f>
        <v>330723</v>
      </c>
      <c r="I2387" s="37">
        <v>1</v>
      </c>
      <c r="J2387" s="166">
        <f t="shared" si="18"/>
        <v>1025241</v>
      </c>
    </row>
    <row r="2388" spans="1:10" x14ac:dyDescent="0.25">
      <c r="A2388" s="168"/>
      <c r="B2388" s="144"/>
      <c r="C2388" s="34">
        <v>880</v>
      </c>
      <c r="D2388" s="144" t="str">
        <f>'Máy thi công'!$B$492</f>
        <v>M5551</v>
      </c>
      <c r="E2388" s="144" t="str">
        <f>" - " &amp; 'Máy thi công'!$D$492</f>
        <v xml:space="preserve"> - Máy cưa 2,7 KW</v>
      </c>
      <c r="F2388" s="168" t="str">
        <f>'Máy thi công'!$E$492</f>
        <v>ca</v>
      </c>
      <c r="G2388" s="34">
        <f>'Hao phí vật tư'!$I$2381</f>
        <v>4.7</v>
      </c>
      <c r="H2388" s="104">
        <f>'Máy thi công'!$H$492</f>
        <v>232342</v>
      </c>
      <c r="I2388" s="37">
        <v>1</v>
      </c>
      <c r="J2388" s="166">
        <f t="shared" si="18"/>
        <v>1092007</v>
      </c>
    </row>
    <row r="2389" spans="1:10" x14ac:dyDescent="0.25">
      <c r="A2389" s="168"/>
      <c r="B2389" s="144"/>
      <c r="C2389" s="34">
        <v>884</v>
      </c>
      <c r="D2389" s="144" t="str">
        <f>'Máy thi công'!$B$515</f>
        <v>M5559</v>
      </c>
      <c r="E2389" s="144" t="str">
        <f>" - " &amp; 'Máy thi công'!$D$515</f>
        <v xml:space="preserve"> - Máy phay bào 7 KW</v>
      </c>
      <c r="F2389" s="168" t="str">
        <f>'Máy thi công'!$E$515</f>
        <v>ca</v>
      </c>
      <c r="G2389" s="34">
        <f>'Hao phí vật tư'!$I$2382</f>
        <v>2.7</v>
      </c>
      <c r="H2389" s="104">
        <f>'Máy thi công'!$H$515</f>
        <v>303283</v>
      </c>
      <c r="I2389" s="37">
        <v>1</v>
      </c>
      <c r="J2389" s="166">
        <f t="shared" si="18"/>
        <v>818864</v>
      </c>
    </row>
    <row r="2390" spans="1:10" x14ac:dyDescent="0.25">
      <c r="A2390" s="168"/>
      <c r="B2390" s="144"/>
      <c r="C2390" s="34">
        <v>876</v>
      </c>
      <c r="D2390" s="144" t="str">
        <f>'Máy thi công'!$B$512</f>
        <v>M2378</v>
      </c>
      <c r="E2390" s="144" t="str">
        <f>" - " &amp; 'Máy thi công'!$D$512</f>
        <v xml:space="preserve"> - Máy mài 2,7 KW</v>
      </c>
      <c r="F2390" s="168" t="str">
        <f>'Máy thi công'!$E$512</f>
        <v>ca</v>
      </c>
      <c r="G2390" s="34">
        <f>'Hao phí vật tư'!$I$2383</f>
        <v>1.8</v>
      </c>
      <c r="H2390" s="104">
        <f>'Máy thi công'!$H$512</f>
        <v>213347</v>
      </c>
      <c r="I2390" s="37">
        <v>1</v>
      </c>
      <c r="J2390" s="166">
        <f t="shared" si="18"/>
        <v>384025</v>
      </c>
    </row>
    <row r="2391" spans="1:10" x14ac:dyDescent="0.25">
      <c r="A2391" s="168"/>
      <c r="B2391" s="144"/>
      <c r="C2391" s="34">
        <v>842</v>
      </c>
      <c r="D2391" s="144" t="str">
        <f>'Máy thi công'!$B$494</f>
        <v>M0087</v>
      </c>
      <c r="E2391" s="144" t="str">
        <f>" - " &amp; 'Máy thi công'!$D$494</f>
        <v xml:space="preserve"> - Máy hàn 23kw</v>
      </c>
      <c r="F2391" s="168" t="str">
        <f>'Máy thi công'!$E$494</f>
        <v>ca</v>
      </c>
      <c r="G2391" s="34">
        <f>'Hao phí vật tư'!$I$2384</f>
        <v>7.8</v>
      </c>
      <c r="H2391" s="104">
        <f>'Máy thi công'!$H$494</f>
        <v>338020</v>
      </c>
      <c r="I2391" s="37">
        <v>1</v>
      </c>
      <c r="J2391" s="166">
        <f t="shared" si="18"/>
        <v>2636556</v>
      </c>
    </row>
    <row r="2392" spans="1:10" x14ac:dyDescent="0.25">
      <c r="A2392" s="168"/>
      <c r="B2392" s="144"/>
      <c r="C2392" s="34">
        <v>863</v>
      </c>
      <c r="D2392" s="144" t="str">
        <f>'Máy thi công'!$B$527</f>
        <v>M0111</v>
      </c>
      <c r="E2392" s="144" t="str">
        <f>" - " &amp; 'Máy thi công'!$D$527</f>
        <v xml:space="preserve"> - Máy khác</v>
      </c>
      <c r="F2392" s="168" t="str">
        <f>'Máy thi công'!$E$527</f>
        <v>%</v>
      </c>
      <c r="G2392" s="34">
        <f>'Hao phí vật tư'!$I$2385</f>
        <v>2</v>
      </c>
      <c r="H2392" s="166">
        <f>'Máy thi công'!$H$527</f>
        <v>0</v>
      </c>
      <c r="I2392" s="37">
        <v>1</v>
      </c>
      <c r="J2392" s="166">
        <f>ROUND((J2383+J2384+J2385+J2386+J2387+J2388+J2389+J2390+J2391)*G2392*I2392/100,0)</f>
        <v>179725</v>
      </c>
    </row>
    <row r="2393" spans="1:10" x14ac:dyDescent="0.25">
      <c r="A2393" s="168"/>
      <c r="B2393" s="144"/>
      <c r="C2393" s="34"/>
      <c r="D2393" s="144"/>
      <c r="E2393" s="144" t="s">
        <v>482</v>
      </c>
      <c r="F2393" s="168"/>
      <c r="G2393" s="34"/>
      <c r="H2393" s="166"/>
      <c r="I2393" s="37">
        <f>'Hệ số'!$C$30</f>
        <v>1</v>
      </c>
      <c r="J2393" s="166">
        <f>ROUND(SUM(J2383:J2392)*'Hệ số'!C30,0)</f>
        <v>9165969</v>
      </c>
    </row>
    <row r="2394" spans="1:10" ht="28.5" x14ac:dyDescent="0.25">
      <c r="A2394" s="65">
        <f>'Công trình'!$A$321</f>
        <v>6</v>
      </c>
      <c r="B2394" s="14" t="str">
        <f>'Công trình'!$B$321</f>
        <v>CV.0202</v>
      </c>
      <c r="C2394" s="94"/>
      <c r="D2394" s="31"/>
      <c r="E2394" s="14" t="str">
        <f>'Công trình'!$C$321</f>
        <v>Lắp đặt cửa van bằng thép không gỉ, chiều rộng cống (B) &lt;= 8m</v>
      </c>
      <c r="F2394" s="46" t="str">
        <f>'Công trình'!$D$321</f>
        <v>1 tấn</v>
      </c>
      <c r="G2394" s="94"/>
      <c r="H2394" s="54"/>
      <c r="I2394" s="98"/>
      <c r="J2394" s="54"/>
    </row>
    <row r="2395" spans="1:10" x14ac:dyDescent="0.25">
      <c r="A2395" s="56"/>
      <c r="B2395" s="23"/>
      <c r="C2395" s="88"/>
      <c r="D2395" s="23"/>
      <c r="E2395" s="23" t="s">
        <v>479</v>
      </c>
      <c r="F2395" s="56"/>
      <c r="G2395" s="88"/>
      <c r="H2395" s="48"/>
      <c r="I2395" s="90"/>
      <c r="J2395" s="48">
        <f>ROUND(SUM(J2396:J2401),0)</f>
        <v>620062</v>
      </c>
    </row>
    <row r="2396" spans="1:10" x14ac:dyDescent="0.25">
      <c r="A2396" s="168"/>
      <c r="B2396" s="144"/>
      <c r="C2396" s="34">
        <v>770</v>
      </c>
      <c r="D2396" s="144" t="str">
        <f>'Vật liệu'!$B$933</f>
        <v>V00255</v>
      </c>
      <c r="E2396" s="144" t="str">
        <f>" - " &amp; 'Vật liệu'!$D$933</f>
        <v xml:space="preserve"> - Gas</v>
      </c>
      <c r="F2396" s="168" t="str">
        <f>'Vật liệu'!$E$933</f>
        <v>kg</v>
      </c>
      <c r="G2396" s="34">
        <f>'Hao phí vật tư'!$G$2388</f>
        <v>0.48099999999999998</v>
      </c>
      <c r="H2396" s="68">
        <f>'Vật liệu'!$W$933</f>
        <v>23068</v>
      </c>
      <c r="I2396" s="37">
        <v>1</v>
      </c>
      <c r="J2396" s="166">
        <f>ROUND(G2396*H2396*I2396,0)</f>
        <v>11096</v>
      </c>
    </row>
    <row r="2397" spans="1:10" x14ac:dyDescent="0.25">
      <c r="A2397" s="168"/>
      <c r="B2397" s="144"/>
      <c r="C2397" s="34">
        <v>822</v>
      </c>
      <c r="D2397" s="144" t="str">
        <f>'Vật liệu'!$B$937</f>
        <v>V04270</v>
      </c>
      <c r="E2397" s="144" t="str">
        <f>" - " &amp; 'Vật liệu'!$D$937</f>
        <v xml:space="preserve"> - Gỗ ván</v>
      </c>
      <c r="F2397" s="168" t="str">
        <f>'Vật liệu'!$E$937</f>
        <v>kg</v>
      </c>
      <c r="G2397" s="34">
        <f>'Hao phí vật tư'!$G$2389</f>
        <v>1.4999999999999999E-2</v>
      </c>
      <c r="H2397" s="68">
        <f>'Vật liệu'!$W$937</f>
        <v>3272727</v>
      </c>
      <c r="I2397" s="37">
        <v>1</v>
      </c>
      <c r="J2397" s="166">
        <f>ROUND(G2397*H2397*I2397,0)</f>
        <v>49091</v>
      </c>
    </row>
    <row r="2398" spans="1:10" x14ac:dyDescent="0.25">
      <c r="A2398" s="168"/>
      <c r="B2398" s="144"/>
      <c r="C2398" s="34">
        <v>781</v>
      </c>
      <c r="D2398" s="144" t="str">
        <f>'Vật liệu'!$B$960</f>
        <v>V00641</v>
      </c>
      <c r="E2398" s="144" t="str">
        <f>" - " &amp; 'Vật liệu'!$D$960</f>
        <v xml:space="preserve"> - Thép hình</v>
      </c>
      <c r="F2398" s="168" t="str">
        <f>'Vật liệu'!$E$960</f>
        <v>kg</v>
      </c>
      <c r="G2398" s="34">
        <f>'Hao phí vật tư'!$G$2390</f>
        <v>28</v>
      </c>
      <c r="H2398" s="68">
        <f>'Vật liệu'!$W$960</f>
        <v>15291</v>
      </c>
      <c r="I2398" s="37">
        <v>1</v>
      </c>
      <c r="J2398" s="166">
        <f>ROUND(G2398*H2398*I2398,0)</f>
        <v>428148</v>
      </c>
    </row>
    <row r="2399" spans="1:10" x14ac:dyDescent="0.25">
      <c r="A2399" s="168"/>
      <c r="B2399" s="144"/>
      <c r="C2399" s="34">
        <v>826</v>
      </c>
      <c r="D2399" s="144" t="str">
        <f>'Vật liệu'!$B$955</f>
        <v>V36579</v>
      </c>
      <c r="E2399" s="144" t="str">
        <f>" - " &amp; 'Vật liệu'!$D$955</f>
        <v xml:space="preserve"> - Que hàn thép CT3</v>
      </c>
      <c r="F2399" s="168" t="str">
        <f>'Vật liệu'!$E$955</f>
        <v>kg</v>
      </c>
      <c r="G2399" s="34">
        <f>'Hao phí vật tư'!$G$2391</f>
        <v>5.5</v>
      </c>
      <c r="H2399" s="68">
        <f>'Vật liệu'!$W$955</f>
        <v>14000</v>
      </c>
      <c r="I2399" s="37">
        <v>1</v>
      </c>
      <c r="J2399" s="166">
        <f>ROUND(G2399*H2399*I2399,0)</f>
        <v>77000</v>
      </c>
    </row>
    <row r="2400" spans="1:10" x14ac:dyDescent="0.25">
      <c r="A2400" s="168"/>
      <c r="B2400" s="144"/>
      <c r="C2400" s="34">
        <v>828</v>
      </c>
      <c r="D2400" s="144" t="str">
        <f>'Vật liệu'!$B$946</f>
        <v>V36584</v>
      </c>
      <c r="E2400" s="144" t="str">
        <f>" - " &amp; 'Vật liệu'!$D$946</f>
        <v xml:space="preserve"> - Ô xy</v>
      </c>
      <c r="F2400" s="168" t="str">
        <f>'Vật liệu'!$E$946</f>
        <v>kg</v>
      </c>
      <c r="G2400" s="34">
        <f>'Hao phí vật tư'!$G$2392</f>
        <v>0.35</v>
      </c>
      <c r="H2400" s="68">
        <f>'Vật liệu'!$W$946</f>
        <v>72000</v>
      </c>
      <c r="I2400" s="37">
        <v>1</v>
      </c>
      <c r="J2400" s="166">
        <f>ROUND(G2400*H2400*I2400,0)</f>
        <v>25200</v>
      </c>
    </row>
    <row r="2401" spans="1:10" x14ac:dyDescent="0.25">
      <c r="A2401" s="168"/>
      <c r="B2401" s="144"/>
      <c r="C2401" s="34">
        <v>814</v>
      </c>
      <c r="D2401" s="144" t="str">
        <f>'Vật liệu'!$B$973</f>
        <v>V00750</v>
      </c>
      <c r="E2401" s="144" t="str">
        <f>" - " &amp; 'Vật liệu'!$D$973</f>
        <v xml:space="preserve"> - Vật liệu khác</v>
      </c>
      <c r="F2401" s="168" t="str">
        <f>'Vật liệu'!$E$973</f>
        <v>%</v>
      </c>
      <c r="G2401" s="34">
        <f>'Hao phí vật tư'!$G$2393</f>
        <v>5</v>
      </c>
      <c r="H2401" s="166">
        <f>'Vật liệu'!$W$973</f>
        <v>0</v>
      </c>
      <c r="I2401" s="37">
        <v>1</v>
      </c>
      <c r="J2401" s="166">
        <f>ROUND((J2396+J2397+J2398+J2399+J2400)*G2401*I2401/100,0)</f>
        <v>29527</v>
      </c>
    </row>
    <row r="2402" spans="1:10" x14ac:dyDescent="0.25">
      <c r="A2402" s="56"/>
      <c r="B2402" s="23"/>
      <c r="C2402" s="88"/>
      <c r="D2402" s="23"/>
      <c r="E2402" s="23" t="s">
        <v>202</v>
      </c>
      <c r="F2402" s="56"/>
      <c r="G2402" s="88"/>
      <c r="H2402" s="48"/>
      <c r="I2402" s="90"/>
      <c r="J2402" s="48">
        <f>ROUND(J2404,0)</f>
        <v>4025329</v>
      </c>
    </row>
    <row r="2403" spans="1:10" x14ac:dyDescent="0.25">
      <c r="A2403" s="168"/>
      <c r="B2403" s="144"/>
      <c r="C2403" s="34">
        <v>835</v>
      </c>
      <c r="D2403" s="144" t="str">
        <f>'Nhân công'!$B$240</f>
        <v>N0013</v>
      </c>
      <c r="E2403" s="144" t="s">
        <v>275</v>
      </c>
      <c r="F2403" s="168" t="str">
        <f>'Nhân công'!$G$240</f>
        <v>công</v>
      </c>
      <c r="G2403" s="34">
        <f>'Hao phí vật tư'!$H$2395</f>
        <v>16.02</v>
      </c>
      <c r="H2403" s="104">
        <f>'Nhân công'!$J$240</f>
        <v>251269</v>
      </c>
      <c r="I2403" s="37">
        <v>1</v>
      </c>
      <c r="J2403" s="166">
        <f>ROUND(G2403*H2403*I2403,0)</f>
        <v>4025329</v>
      </c>
    </row>
    <row r="2404" spans="1:10" x14ac:dyDescent="0.25">
      <c r="A2404" s="168"/>
      <c r="B2404" s="144"/>
      <c r="C2404" s="34"/>
      <c r="D2404" s="144"/>
      <c r="E2404" s="144" t="s">
        <v>726</v>
      </c>
      <c r="F2404" s="168"/>
      <c r="G2404" s="34"/>
      <c r="H2404" s="166"/>
      <c r="I2404" s="37">
        <f>'Hệ số'!$C$31</f>
        <v>1</v>
      </c>
      <c r="J2404" s="166">
        <f>ROUND(SUM(J2403:J2403)*'Hệ số'!C31,0)</f>
        <v>4025329</v>
      </c>
    </row>
    <row r="2405" spans="1:10" x14ac:dyDescent="0.25">
      <c r="A2405" s="56"/>
      <c r="B2405" s="23"/>
      <c r="C2405" s="88"/>
      <c r="D2405" s="23"/>
      <c r="E2405" s="23" t="s">
        <v>378</v>
      </c>
      <c r="F2405" s="56"/>
      <c r="G2405" s="88"/>
      <c r="H2405" s="48"/>
      <c r="I2405" s="90"/>
      <c r="J2405" s="48">
        <f>ROUND(J2412,0)</f>
        <v>2566395</v>
      </c>
    </row>
    <row r="2406" spans="1:10" x14ac:dyDescent="0.25">
      <c r="A2406" s="168"/>
      <c r="B2406" s="144"/>
      <c r="C2406" s="34">
        <v>889</v>
      </c>
      <c r="D2406" s="144" t="str">
        <f>'Máy thi công'!$B$521</f>
        <v>M5573</v>
      </c>
      <c r="E2406" s="144" t="str">
        <f>" - " &amp; 'Máy thi công'!$D$521</f>
        <v xml:space="preserve"> - Palang xích 5T</v>
      </c>
      <c r="F2406" s="168" t="str">
        <f>'Máy thi công'!$E$521</f>
        <v>ca</v>
      </c>
      <c r="G2406" s="34">
        <f>'Hao phí vật tư'!$I$2397</f>
        <v>0.56999999999999995</v>
      </c>
      <c r="H2406" s="104">
        <f>'Máy thi công'!$H$521</f>
        <v>206407</v>
      </c>
      <c r="I2406" s="37">
        <v>1</v>
      </c>
      <c r="J2406" s="166">
        <f>ROUND(G2406*H2406*I2406,0)</f>
        <v>117652</v>
      </c>
    </row>
    <row r="2407" spans="1:10" x14ac:dyDescent="0.25">
      <c r="A2407" s="168"/>
      <c r="B2407" s="144"/>
      <c r="C2407" s="34">
        <v>876</v>
      </c>
      <c r="D2407" s="144" t="str">
        <f>'Máy thi công'!$B$512</f>
        <v>M2378</v>
      </c>
      <c r="E2407" s="144" t="str">
        <f>" - " &amp; 'Máy thi công'!$D$512</f>
        <v xml:space="preserve"> - Máy mài 2,7 KW</v>
      </c>
      <c r="F2407" s="168" t="str">
        <f>'Máy thi công'!$E$512</f>
        <v>ca</v>
      </c>
      <c r="G2407" s="34">
        <f>'Hao phí vật tư'!$I$2398</f>
        <v>0.24</v>
      </c>
      <c r="H2407" s="104">
        <f>'Máy thi công'!$H$512</f>
        <v>213347</v>
      </c>
      <c r="I2407" s="37">
        <v>1</v>
      </c>
      <c r="J2407" s="166">
        <f>ROUND(G2407*H2407*I2407,0)</f>
        <v>51203</v>
      </c>
    </row>
    <row r="2408" spans="1:10" x14ac:dyDescent="0.25">
      <c r="A2408" s="168"/>
      <c r="B2408" s="144"/>
      <c r="C2408" s="34">
        <v>842</v>
      </c>
      <c r="D2408" s="144" t="str">
        <f>'Máy thi công'!$B$494</f>
        <v>M0087</v>
      </c>
      <c r="E2408" s="144" t="str">
        <f>" - " &amp; 'Máy thi công'!$D$494</f>
        <v xml:space="preserve"> - Máy hàn 23kw</v>
      </c>
      <c r="F2408" s="168" t="str">
        <f>'Máy thi công'!$E$494</f>
        <v>ca</v>
      </c>
      <c r="G2408" s="34">
        <f>'Hao phí vật tư'!$I$2399</f>
        <v>1.37</v>
      </c>
      <c r="H2408" s="104">
        <f>'Máy thi công'!$H$494</f>
        <v>338020</v>
      </c>
      <c r="I2408" s="37">
        <v>1</v>
      </c>
      <c r="J2408" s="166">
        <f>ROUND(G2408*H2408*I2408,0)</f>
        <v>463087</v>
      </c>
    </row>
    <row r="2409" spans="1:10" x14ac:dyDescent="0.25">
      <c r="A2409" s="168"/>
      <c r="B2409" s="144"/>
      <c r="C2409" s="34">
        <v>840</v>
      </c>
      <c r="D2409" s="144" t="str">
        <f>'Máy thi công'!$B$484</f>
        <v>M0021</v>
      </c>
      <c r="E2409" s="144" t="str">
        <f>" - " &amp; 'Máy thi công'!$D$484</f>
        <v xml:space="preserve"> - Cần cẩu 50T</v>
      </c>
      <c r="F2409" s="168" t="str">
        <f>'Máy thi công'!$E$484</f>
        <v>ca</v>
      </c>
      <c r="G2409" s="34">
        <f>'Hao phí vật tư'!$I$2400</f>
        <v>0.35</v>
      </c>
      <c r="H2409" s="104">
        <f>'Máy thi công'!$H$484</f>
        <v>4899367</v>
      </c>
      <c r="I2409" s="37">
        <v>1</v>
      </c>
      <c r="J2409" s="166">
        <f>ROUND(G2409*H2409*I2409,0)</f>
        <v>1714778</v>
      </c>
    </row>
    <row r="2410" spans="1:10" x14ac:dyDescent="0.25">
      <c r="A2410" s="168"/>
      <c r="B2410" s="144"/>
      <c r="C2410" s="34">
        <v>904</v>
      </c>
      <c r="D2410" s="144" t="str">
        <f>'Máy thi công'!$B$523</f>
        <v>M9690</v>
      </c>
      <c r="E2410" s="144" t="str">
        <f>" - " &amp; 'Máy thi công'!$D$523</f>
        <v xml:space="preserve"> - Palăng xích sức nâng 15T</v>
      </c>
      <c r="F2410" s="168" t="str">
        <f>'Máy thi công'!$E$523</f>
        <v>ca</v>
      </c>
      <c r="G2410" s="34">
        <f>'Hao phí vật tư'!$I$2401</f>
        <v>0.56999999999999995</v>
      </c>
      <c r="H2410" s="104">
        <f>'Máy thi công'!$H$523</f>
        <v>254257</v>
      </c>
      <c r="I2410" s="37">
        <v>1</v>
      </c>
      <c r="J2410" s="166">
        <f>ROUND(G2410*H2410*I2410,0)</f>
        <v>144926</v>
      </c>
    </row>
    <row r="2411" spans="1:10" x14ac:dyDescent="0.25">
      <c r="A2411" s="168"/>
      <c r="B2411" s="144"/>
      <c r="C2411" s="34">
        <v>864</v>
      </c>
      <c r="D2411" s="144" t="str">
        <f>'Máy thi công'!$B$527</f>
        <v>M0111</v>
      </c>
      <c r="E2411" s="144" t="str">
        <f>" - " &amp; 'Máy thi công'!$D$527</f>
        <v xml:space="preserve"> - Máy khác</v>
      </c>
      <c r="F2411" s="168" t="str">
        <f>'Máy thi công'!$E$527</f>
        <v>%</v>
      </c>
      <c r="G2411" s="34">
        <f>'Hao phí vật tư'!$I$2402</f>
        <v>3</v>
      </c>
      <c r="H2411" s="166">
        <f>'Máy thi công'!$H$527</f>
        <v>0</v>
      </c>
      <c r="I2411" s="37">
        <v>1</v>
      </c>
      <c r="J2411" s="166">
        <f>ROUND((J2406+J2407+J2408+J2409+J2410)*G2411*I2411/100,0)</f>
        <v>74749</v>
      </c>
    </row>
    <row r="2412" spans="1:10" x14ac:dyDescent="0.25">
      <c r="A2412" s="168"/>
      <c r="B2412" s="144"/>
      <c r="C2412" s="34"/>
      <c r="D2412" s="144"/>
      <c r="E2412" s="144" t="s">
        <v>482</v>
      </c>
      <c r="F2412" s="168"/>
      <c r="G2412" s="34"/>
      <c r="H2412" s="166"/>
      <c r="I2412" s="37">
        <f>'Hệ số'!$C$30</f>
        <v>1</v>
      </c>
      <c r="J2412" s="166">
        <f>ROUND(SUM(J2406:J2411)*'Hệ số'!C30,0)</f>
        <v>2566395</v>
      </c>
    </row>
    <row r="2413" spans="1:10" x14ac:dyDescent="0.25">
      <c r="A2413" s="65">
        <f>'Công trình'!$A$322</f>
        <v>7</v>
      </c>
      <c r="B2413" s="14" t="str">
        <f>'Công trình'!$B$322</f>
        <v>AI.65411</v>
      </c>
      <c r="C2413" s="94"/>
      <c r="D2413" s="31"/>
      <c r="E2413" s="14" t="str">
        <f>'Công trình'!$C$322</f>
        <v>Lắp đặt kết cấu thép khe van, khe phai</v>
      </c>
      <c r="F2413" s="46" t="str">
        <f>'Công trình'!$D$322</f>
        <v>tấn</v>
      </c>
      <c r="G2413" s="94"/>
      <c r="H2413" s="54"/>
      <c r="I2413" s="98"/>
      <c r="J2413" s="54"/>
    </row>
    <row r="2414" spans="1:10" x14ac:dyDescent="0.25">
      <c r="A2414" s="56"/>
      <c r="B2414" s="23"/>
      <c r="C2414" s="88"/>
      <c r="D2414" s="23"/>
      <c r="E2414" s="23" t="s">
        <v>479</v>
      </c>
      <c r="F2414" s="56"/>
      <c r="G2414" s="88"/>
      <c r="H2414" s="48"/>
      <c r="I2414" s="90"/>
      <c r="J2414" s="48">
        <f>ROUND(SUM(J2415:J2421),0)</f>
        <v>773302</v>
      </c>
    </row>
    <row r="2415" spans="1:10" x14ac:dyDescent="0.25">
      <c r="A2415" s="168"/>
      <c r="B2415" s="144"/>
      <c r="C2415" s="34">
        <v>821</v>
      </c>
      <c r="D2415" s="144" t="str">
        <f>'Vật liệu'!$B$931</f>
        <v>V00889</v>
      </c>
      <c r="E2415" s="144" t="str">
        <f>" - " &amp; 'Vật liệu'!$D$931</f>
        <v xml:space="preserve"> - Dầu bôi</v>
      </c>
      <c r="F2415" s="168" t="str">
        <f>'Vật liệu'!$E$931</f>
        <v>kg</v>
      </c>
      <c r="G2415" s="34">
        <f>'Hao phí vật tư'!$G$2405</f>
        <v>4.5</v>
      </c>
      <c r="H2415" s="68">
        <f>'Vật liệu'!$W$931</f>
        <v>58177</v>
      </c>
      <c r="I2415" s="37">
        <v>1</v>
      </c>
      <c r="J2415" s="166">
        <f t="shared" ref="J2415:J2420" si="19">ROUND(G2415*H2415*I2415,0)</f>
        <v>261797</v>
      </c>
    </row>
    <row r="2416" spans="1:10" x14ac:dyDescent="0.25">
      <c r="A2416" s="168"/>
      <c r="B2416" s="144"/>
      <c r="C2416" s="34">
        <v>773</v>
      </c>
      <c r="D2416" s="144" t="str">
        <f>'Vật liệu'!$B$939</f>
        <v>V00473</v>
      </c>
      <c r="E2416" s="144" t="str">
        <f>" - " &amp; 'Vật liệu'!$D$939</f>
        <v xml:space="preserve"> - Mỡ các loại</v>
      </c>
      <c r="F2416" s="168" t="str">
        <f>'Vật liệu'!$E$939</f>
        <v>kg</v>
      </c>
      <c r="G2416" s="34">
        <f>'Hao phí vật tư'!$G$2406</f>
        <v>3.5</v>
      </c>
      <c r="H2416" s="68">
        <f>'Vật liệu'!$W$939</f>
        <v>26000</v>
      </c>
      <c r="I2416" s="37">
        <v>1</v>
      </c>
      <c r="J2416" s="166">
        <f t="shared" si="19"/>
        <v>91000</v>
      </c>
    </row>
    <row r="2417" spans="1:10" x14ac:dyDescent="0.25">
      <c r="A2417" s="168"/>
      <c r="B2417" s="144"/>
      <c r="C2417" s="34">
        <v>772</v>
      </c>
      <c r="D2417" s="144" t="str">
        <f>'Vật liệu'!$B$935</f>
        <v>V00402</v>
      </c>
      <c r="E2417" s="144" t="str">
        <f>" - " &amp; 'Vật liệu'!$D$935</f>
        <v xml:space="preserve"> - Gỗ ván</v>
      </c>
      <c r="F2417" s="168" t="str">
        <f>'Vật liệu'!$E$935</f>
        <v>m3</v>
      </c>
      <c r="G2417" s="34">
        <f>'Hao phí vật tư'!$G$2407</f>
        <v>1.9E-2</v>
      </c>
      <c r="H2417" s="68">
        <f>'Vật liệu'!$W$935</f>
        <v>3272727</v>
      </c>
      <c r="I2417" s="37">
        <v>1</v>
      </c>
      <c r="J2417" s="166">
        <f t="shared" si="19"/>
        <v>62182</v>
      </c>
    </row>
    <row r="2418" spans="1:10" x14ac:dyDescent="0.25">
      <c r="A2418" s="168"/>
      <c r="B2418" s="144"/>
      <c r="C2418" s="34">
        <v>775</v>
      </c>
      <c r="D2418" s="144" t="str">
        <f>'Vật liệu'!$B$948</f>
        <v>V00515</v>
      </c>
      <c r="E2418" s="144" t="str">
        <f>" - " &amp; 'Vật liệu'!$D$948</f>
        <v xml:space="preserve"> - Que hàn</v>
      </c>
      <c r="F2418" s="168" t="str">
        <f>'Vật liệu'!$E$948</f>
        <v>kg</v>
      </c>
      <c r="G2418" s="34">
        <f>'Hao phí vật tư'!$G$2408</f>
        <v>9.5</v>
      </c>
      <c r="H2418" s="68">
        <f>'Vật liệu'!$W$948</f>
        <v>19091</v>
      </c>
      <c r="I2418" s="37">
        <v>1</v>
      </c>
      <c r="J2418" s="166">
        <f t="shared" si="19"/>
        <v>181365</v>
      </c>
    </row>
    <row r="2419" spans="1:10" x14ac:dyDescent="0.25">
      <c r="A2419" s="168"/>
      <c r="B2419" s="144"/>
      <c r="C2419" s="34">
        <v>783</v>
      </c>
      <c r="D2419" s="144" t="str">
        <f>'Vật liệu'!$B$969</f>
        <v>V00671</v>
      </c>
      <c r="E2419" s="144" t="str">
        <f>" - " &amp; 'Vật liệu'!$D$969</f>
        <v xml:space="preserve"> - Thép tấm</v>
      </c>
      <c r="F2419" s="168" t="str">
        <f>'Vật liệu'!$E$969</f>
        <v>kg</v>
      </c>
      <c r="G2419" s="34">
        <f>'Hao phí vật tư'!$G$2409</f>
        <v>12.5</v>
      </c>
      <c r="H2419" s="68">
        <f>'Vật liệu'!$W$969</f>
        <v>12574</v>
      </c>
      <c r="I2419" s="37">
        <v>1</v>
      </c>
      <c r="J2419" s="166">
        <f t="shared" si="19"/>
        <v>157175</v>
      </c>
    </row>
    <row r="2420" spans="1:10" x14ac:dyDescent="0.25">
      <c r="A2420" s="168"/>
      <c r="B2420" s="144"/>
      <c r="C2420" s="34">
        <v>818</v>
      </c>
      <c r="D2420" s="144" t="str">
        <f>'Vật liệu'!$B$919</f>
        <v>V00824</v>
      </c>
      <c r="E2420" s="144" t="str">
        <f>" - " &amp; 'Vật liệu'!$D$919</f>
        <v xml:space="preserve"> - Đá mài</v>
      </c>
      <c r="F2420" s="168" t="str">
        <f>'Vật liệu'!$E$919</f>
        <v>viên</v>
      </c>
      <c r="G2420" s="34">
        <f>'Hao phí vật tư'!$G$2410</f>
        <v>0.35</v>
      </c>
      <c r="H2420" s="68">
        <f>'Vật liệu'!$W$919</f>
        <v>13200</v>
      </c>
      <c r="I2420" s="37">
        <v>1</v>
      </c>
      <c r="J2420" s="166">
        <f t="shared" si="19"/>
        <v>4620</v>
      </c>
    </row>
    <row r="2421" spans="1:10" x14ac:dyDescent="0.25">
      <c r="A2421" s="168"/>
      <c r="B2421" s="144"/>
      <c r="C2421" s="34">
        <v>793</v>
      </c>
      <c r="D2421" s="144" t="str">
        <f>'Vật liệu'!$B$973</f>
        <v>V00750</v>
      </c>
      <c r="E2421" s="144" t="str">
        <f>" - " &amp; 'Vật liệu'!$D$973</f>
        <v xml:space="preserve"> - Vật liệu khác</v>
      </c>
      <c r="F2421" s="168" t="str">
        <f>'Vật liệu'!$E$973</f>
        <v>%</v>
      </c>
      <c r="G2421" s="34">
        <f>'Hao phí vật tư'!$G$2411</f>
        <v>2</v>
      </c>
      <c r="H2421" s="166">
        <f>'Vật liệu'!$W$973</f>
        <v>0</v>
      </c>
      <c r="I2421" s="37">
        <v>1</v>
      </c>
      <c r="J2421" s="166">
        <f>ROUND((J2415+J2416+J2417+J2418+J2419+J2420)*G2421*I2421/100,0)</f>
        <v>15163</v>
      </c>
    </row>
    <row r="2422" spans="1:10" x14ac:dyDescent="0.25">
      <c r="A2422" s="56"/>
      <c r="B2422" s="23"/>
      <c r="C2422" s="88"/>
      <c r="D2422" s="23"/>
      <c r="E2422" s="23" t="s">
        <v>202</v>
      </c>
      <c r="F2422" s="56"/>
      <c r="G2422" s="88"/>
      <c r="H2422" s="48"/>
      <c r="I2422" s="90"/>
      <c r="J2422" s="48">
        <f>ROUND(J2424,0)</f>
        <v>4397208</v>
      </c>
    </row>
    <row r="2423" spans="1:10" x14ac:dyDescent="0.25">
      <c r="A2423" s="168"/>
      <c r="B2423" s="144"/>
      <c r="C2423" s="34">
        <v>835</v>
      </c>
      <c r="D2423" s="144" t="str">
        <f>'Nhân công'!$B$240</f>
        <v>N0013</v>
      </c>
      <c r="E2423" s="144" t="s">
        <v>275</v>
      </c>
      <c r="F2423" s="168" t="str">
        <f>'Nhân công'!$G$240</f>
        <v>công</v>
      </c>
      <c r="G2423" s="34">
        <f>'Hao phí vật tư'!$H$2413</f>
        <v>17.5</v>
      </c>
      <c r="H2423" s="104">
        <f>'Nhân công'!$J$240</f>
        <v>251269</v>
      </c>
      <c r="I2423" s="37">
        <v>1</v>
      </c>
      <c r="J2423" s="166">
        <f>ROUND(G2423*H2423*I2423,0)</f>
        <v>4397208</v>
      </c>
    </row>
    <row r="2424" spans="1:10" x14ac:dyDescent="0.25">
      <c r="A2424" s="168"/>
      <c r="B2424" s="144"/>
      <c r="C2424" s="34"/>
      <c r="D2424" s="144"/>
      <c r="E2424" s="144" t="s">
        <v>726</v>
      </c>
      <c r="F2424" s="168"/>
      <c r="G2424" s="34"/>
      <c r="H2424" s="166"/>
      <c r="I2424" s="37">
        <f>'Hệ số'!$C$31</f>
        <v>1</v>
      </c>
      <c r="J2424" s="166">
        <f>ROUND(SUM(J2423:J2423)*'Hệ số'!C31,0)</f>
        <v>4397208</v>
      </c>
    </row>
    <row r="2425" spans="1:10" x14ac:dyDescent="0.25">
      <c r="A2425" s="56"/>
      <c r="B2425" s="23"/>
      <c r="C2425" s="88"/>
      <c r="D2425" s="23"/>
      <c r="E2425" s="23" t="s">
        <v>378</v>
      </c>
      <c r="F2425" s="56"/>
      <c r="G2425" s="88"/>
      <c r="H2425" s="48"/>
      <c r="I2425" s="90"/>
      <c r="J2425" s="48">
        <f>ROUND(J2432,0)</f>
        <v>2175493</v>
      </c>
    </row>
    <row r="2426" spans="1:10" x14ac:dyDescent="0.25">
      <c r="A2426" s="168"/>
      <c r="B2426" s="144"/>
      <c r="C2426" s="34">
        <v>874</v>
      </c>
      <c r="D2426" s="144" t="str">
        <f>'Máy thi công'!$B$506</f>
        <v>M112.3702</v>
      </c>
      <c r="E2426" s="144" t="str">
        <f>" - " &amp; 'Máy thi công'!$D$506</f>
        <v xml:space="preserve"> - Máy mài - công suất: 2,7 kW</v>
      </c>
      <c r="F2426" s="168" t="str">
        <f>'Máy thi công'!$E$506</f>
        <v>ca</v>
      </c>
      <c r="G2426" s="34">
        <f>'Hao phí vật tư'!$I$2415</f>
        <v>1.38</v>
      </c>
      <c r="H2426" s="104">
        <f>'Máy thi công'!$H$506</f>
        <v>213347</v>
      </c>
      <c r="I2426" s="37">
        <v>1</v>
      </c>
      <c r="J2426" s="166">
        <f>ROUND(G2426*H2426*I2426,0)</f>
        <v>294419</v>
      </c>
    </row>
    <row r="2427" spans="1:10" x14ac:dyDescent="0.25">
      <c r="A2427" s="168"/>
      <c r="B2427" s="144"/>
      <c r="C2427" s="34">
        <v>895</v>
      </c>
      <c r="D2427" s="144" t="str">
        <f>'Máy thi công'!$B$486</f>
        <v>M9466</v>
      </c>
      <c r="E2427" s="144" t="str">
        <f>" - " &amp; 'Máy thi công'!$D$486</f>
        <v xml:space="preserve"> - Cần trục bánh hơi - sức nâng: 25 t</v>
      </c>
      <c r="F2427" s="168" t="str">
        <f>'Máy thi công'!$E$486</f>
        <v>ca</v>
      </c>
      <c r="G2427" s="34">
        <f>'Hao phí vật tư'!$I$2416</f>
        <v>0.11</v>
      </c>
      <c r="H2427" s="104">
        <f>'Máy thi công'!$H$486</f>
        <v>2204647</v>
      </c>
      <c r="I2427" s="37">
        <v>1</v>
      </c>
      <c r="J2427" s="166">
        <f>ROUND(G2427*H2427*I2427,0)</f>
        <v>242511</v>
      </c>
    </row>
    <row r="2428" spans="1:10" x14ac:dyDescent="0.25">
      <c r="A2428" s="168"/>
      <c r="B2428" s="144"/>
      <c r="C2428" s="34">
        <v>892</v>
      </c>
      <c r="D2428" s="144" t="str">
        <f>'Máy thi công'!$B$478</f>
        <v>M9438</v>
      </c>
      <c r="E2428" s="144" t="str">
        <f>" - " &amp; 'Máy thi công'!$D$478</f>
        <v xml:space="preserve"> - Biến thế hàn xoay chiều - công suất: 23 kW</v>
      </c>
      <c r="F2428" s="168" t="str">
        <f>'Máy thi công'!$E$478</f>
        <v>ca</v>
      </c>
      <c r="G2428" s="34">
        <f>'Hao phí vật tư'!$I$2417</f>
        <v>2.77</v>
      </c>
      <c r="H2428" s="104">
        <f>'Máy thi công'!$H$478</f>
        <v>338020</v>
      </c>
      <c r="I2428" s="37">
        <v>1</v>
      </c>
      <c r="J2428" s="166">
        <f>ROUND(G2428*H2428*I2428,0)</f>
        <v>936315</v>
      </c>
    </row>
    <row r="2429" spans="1:10" x14ac:dyDescent="0.25">
      <c r="A2429" s="168"/>
      <c r="B2429" s="144"/>
      <c r="C2429" s="34">
        <v>901</v>
      </c>
      <c r="D2429" s="144" t="str">
        <f>'Máy thi công'!$B$519</f>
        <v>M9587</v>
      </c>
      <c r="E2429" s="144" t="str">
        <f>" - " &amp; 'Máy thi công'!$D$519</f>
        <v xml:space="preserve"> - Pa lăng xích - sức nâng: 5 t</v>
      </c>
      <c r="F2429" s="168" t="str">
        <f>'Máy thi công'!$E$519</f>
        <v>ca</v>
      </c>
      <c r="G2429" s="34">
        <f>'Hao phí vật tư'!$I$2418</f>
        <v>1.38</v>
      </c>
      <c r="H2429" s="104">
        <f>'Máy thi công'!$H$519</f>
        <v>206407</v>
      </c>
      <c r="I2429" s="37">
        <v>1</v>
      </c>
      <c r="J2429" s="166">
        <f>ROUND(G2429*H2429*I2429,0)</f>
        <v>284842</v>
      </c>
    </row>
    <row r="2430" spans="1:10" x14ac:dyDescent="0.25">
      <c r="A2430" s="168"/>
      <c r="B2430" s="144"/>
      <c r="C2430" s="34">
        <v>902</v>
      </c>
      <c r="D2430" s="144" t="str">
        <f>'Máy thi công'!$B$525</f>
        <v>M9632</v>
      </c>
      <c r="E2430" s="144" t="str">
        <f>" - " &amp; 'Máy thi công'!$D$525</f>
        <v xml:space="preserve"> - Tời điện - sức kéo: 5,0 t</v>
      </c>
      <c r="F2430" s="168" t="str">
        <f>'Máy thi công'!$E$525</f>
        <v>ca</v>
      </c>
      <c r="G2430" s="34">
        <f>'Hao phí vật tư'!$I$2419</f>
        <v>1.38</v>
      </c>
      <c r="H2430" s="104">
        <f>'Máy thi công'!$H$525</f>
        <v>271557</v>
      </c>
      <c r="I2430" s="37">
        <v>1</v>
      </c>
      <c r="J2430" s="166">
        <f>ROUND(G2430*H2430*I2430,0)</f>
        <v>374749</v>
      </c>
    </row>
    <row r="2431" spans="1:10" x14ac:dyDescent="0.25">
      <c r="A2431" s="168"/>
      <c r="B2431" s="144"/>
      <c r="C2431" s="34">
        <v>847</v>
      </c>
      <c r="D2431" s="144" t="str">
        <f>'Máy thi công'!$B$527</f>
        <v>M0111</v>
      </c>
      <c r="E2431" s="144" t="str">
        <f>" - " &amp; 'Máy thi công'!$D$527</f>
        <v xml:space="preserve"> - Máy khác</v>
      </c>
      <c r="F2431" s="168" t="str">
        <f>'Máy thi công'!$E$527</f>
        <v>%</v>
      </c>
      <c r="G2431" s="34">
        <f>'Hao phí vật tư'!$I$2420</f>
        <v>2</v>
      </c>
      <c r="H2431" s="166">
        <f>'Máy thi công'!$H$527</f>
        <v>0</v>
      </c>
      <c r="I2431" s="37">
        <v>1</v>
      </c>
      <c r="J2431" s="166">
        <f>ROUND((J2426+J2427+J2428+J2429+J2430)*G2431*I2431/100,0)</f>
        <v>42657</v>
      </c>
    </row>
    <row r="2432" spans="1:10" x14ac:dyDescent="0.25">
      <c r="A2432" s="57"/>
      <c r="B2432" s="24"/>
      <c r="C2432" s="89"/>
      <c r="D2432" s="24"/>
      <c r="E2432" s="24" t="s">
        <v>482</v>
      </c>
      <c r="F2432" s="57"/>
      <c r="G2432" s="89"/>
      <c r="H2432" s="51"/>
      <c r="I2432" s="93">
        <f>'Hệ số'!$C$30</f>
        <v>1</v>
      </c>
      <c r="J2432" s="51">
        <f>ROUND(SUM(J2426:J2431)*'Hệ số'!C30,0)</f>
        <v>2175493</v>
      </c>
    </row>
    <row r="2433" spans="1:10" ht="17.25" customHeight="1" x14ac:dyDescent="0.25">
      <c r="A2433" s="2"/>
      <c r="B2433" s="146"/>
      <c r="C2433" s="36"/>
      <c r="D2433" s="146"/>
      <c r="E2433" s="146"/>
      <c r="F2433" s="2"/>
      <c r="G2433" s="36"/>
      <c r="H2433" s="36"/>
      <c r="I2433" s="36"/>
      <c r="J2433" s="36"/>
    </row>
  </sheetData>
  <mergeCells count="6">
    <mergeCell ref="A2299:J2299"/>
    <mergeCell ref="A1:J1"/>
    <mergeCell ref="A2:J2"/>
    <mergeCell ref="A3:J3"/>
    <mergeCell ref="A2297:J2297"/>
    <mergeCell ref="A2298:J2298"/>
  </mergeCells>
  <pageMargins left="0.7" right="0.7" top="0.75" bottom="0.75" header="0.3" footer="0.3"/>
  <pageSetup paperSize="9" orientation="landscape"/>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8"/>
  <sheetViews>
    <sheetView showZeros="0" topLeftCell="A13" workbookViewId="0">
      <selection activeCell="H25" sqref="H25"/>
    </sheetView>
  </sheetViews>
  <sheetFormatPr defaultColWidth="9.140625" defaultRowHeight="15" x14ac:dyDescent="0.25"/>
  <cols>
    <col min="1" max="1" width="6.5703125" style="143" customWidth="1"/>
    <col min="2" max="2" width="8.28515625" style="143" hidden="1" customWidth="1"/>
    <col min="3" max="3" width="47.28515625" style="143" customWidth="1"/>
    <col min="4" max="4" width="8.140625" style="143" hidden="1" customWidth="1"/>
    <col min="5" max="5" width="9.5703125" style="143" customWidth="1"/>
    <col min="6" max="6" width="23.140625" style="143" customWidth="1"/>
    <col min="7" max="7" width="14.7109375" style="143" customWidth="1"/>
    <col min="8" max="8" width="20.85546875" style="143" customWidth="1"/>
    <col min="9" max="9" width="11.28515625" style="143" customWidth="1"/>
    <col min="10" max="16384" width="9.140625" style="143"/>
  </cols>
  <sheetData>
    <row r="1" spans="1:9" ht="22.5" customHeight="1" x14ac:dyDescent="0.25">
      <c r="A1" s="300" t="s">
        <v>1159</v>
      </c>
      <c r="B1" s="300"/>
      <c r="C1" s="300"/>
      <c r="D1" s="300"/>
      <c r="E1" s="300"/>
      <c r="F1" s="300"/>
      <c r="G1" s="300"/>
      <c r="H1" s="300"/>
      <c r="I1" s="300"/>
    </row>
    <row r="2" spans="1:9" ht="18" customHeight="1" x14ac:dyDescent="0.25">
      <c r="A2" s="302" t="s">
        <v>140</v>
      </c>
      <c r="B2" s="302"/>
      <c r="C2" s="302"/>
      <c r="D2" s="302"/>
      <c r="E2" s="302"/>
      <c r="F2" s="302"/>
      <c r="G2" s="302"/>
      <c r="H2" s="302"/>
      <c r="I2" s="302"/>
    </row>
    <row r="3" spans="1:9" ht="19.5" customHeight="1" x14ac:dyDescent="0.25">
      <c r="A3" s="309" t="str">
        <f>'Công trình'!A2</f>
        <v>CÔNG TRÌNH: ĐÊ BAO VEN SÔNG SÀI GÒN ĐOẠN TỪ RẠCH NÀNG ÂM ĐẾN RẠCH LÁNG THE</v>
      </c>
      <c r="B3" s="309"/>
      <c r="C3" s="309"/>
      <c r="D3" s="309"/>
      <c r="E3" s="309"/>
      <c r="F3" s="309"/>
      <c r="G3" s="309"/>
      <c r="H3" s="309"/>
      <c r="I3" s="309"/>
    </row>
    <row r="4" spans="1:9" ht="19.5" customHeight="1" x14ac:dyDescent="0.25">
      <c r="A4" s="309" t="str">
        <f>'Công trình'!A3</f>
        <v>HẠNG MỤC: CỐNG CẦU LƯỢNG (B=7,5M)</v>
      </c>
      <c r="B4" s="309"/>
      <c r="C4" s="309"/>
      <c r="D4" s="309"/>
      <c r="E4" s="309"/>
      <c r="F4" s="309"/>
      <c r="G4" s="309"/>
      <c r="H4" s="309"/>
      <c r="I4" s="309"/>
    </row>
    <row r="5" spans="1:9" ht="16.5" customHeight="1" x14ac:dyDescent="0.25">
      <c r="A5" s="2"/>
      <c r="B5" s="146"/>
      <c r="C5" s="146"/>
      <c r="D5" s="146"/>
      <c r="E5" s="2"/>
      <c r="F5" s="36"/>
      <c r="G5" s="36"/>
      <c r="H5" s="36"/>
      <c r="I5" s="36"/>
    </row>
    <row r="6" spans="1:9" ht="31.5" customHeight="1" x14ac:dyDescent="0.25">
      <c r="A6" s="83" t="s">
        <v>761</v>
      </c>
      <c r="B6" s="140" t="s">
        <v>316</v>
      </c>
      <c r="C6" s="140" t="s">
        <v>391</v>
      </c>
      <c r="D6" s="140" t="s">
        <v>316</v>
      </c>
      <c r="E6" s="140" t="s">
        <v>382</v>
      </c>
      <c r="F6" s="92" t="s">
        <v>1150</v>
      </c>
      <c r="G6" s="92" t="s">
        <v>92</v>
      </c>
      <c r="H6" s="92" t="s">
        <v>1104</v>
      </c>
      <c r="I6" s="140" t="s">
        <v>744</v>
      </c>
    </row>
    <row r="7" spans="1:9" ht="28.5" x14ac:dyDescent="0.25">
      <c r="A7" s="167">
        <v>1</v>
      </c>
      <c r="B7" s="47"/>
      <c r="C7" s="14" t="s">
        <v>1134</v>
      </c>
      <c r="D7" s="47"/>
      <c r="E7" s="82"/>
      <c r="F7" s="39">
        <f>SUM(F8:F9)</f>
        <v>199553117</v>
      </c>
      <c r="G7" s="39">
        <f>SUM(G8:G9)</f>
        <v>19955312</v>
      </c>
      <c r="H7" s="39">
        <f>SUM(H8:H9)</f>
        <v>219508429</v>
      </c>
      <c r="I7" s="46" t="s">
        <v>606</v>
      </c>
    </row>
    <row r="8" spans="1:9" x14ac:dyDescent="0.25">
      <c r="A8" s="124" t="s">
        <v>433</v>
      </c>
      <c r="B8" s="169">
        <v>1</v>
      </c>
      <c r="C8" s="144" t="s">
        <v>1002</v>
      </c>
      <c r="D8" s="169">
        <f>'TH dự toán hạng mục'!D16</f>
        <v>17689979690</v>
      </c>
      <c r="E8" s="41">
        <v>0.01</v>
      </c>
      <c r="F8" s="166">
        <f>ROUND(D8*E8,0)</f>
        <v>176899797</v>
      </c>
      <c r="G8" s="166">
        <f>ROUND(F8*10%,0)</f>
        <v>17689980</v>
      </c>
      <c r="H8" s="166">
        <f>F8+G8</f>
        <v>194589777</v>
      </c>
      <c r="I8" s="168"/>
    </row>
    <row r="9" spans="1:9" x14ac:dyDescent="0.25">
      <c r="A9" s="124" t="s">
        <v>387</v>
      </c>
      <c r="B9" s="169">
        <v>1</v>
      </c>
      <c r="C9" s="144" t="s">
        <v>645</v>
      </c>
      <c r="D9" s="169">
        <f>'TH dự toán hạng mục'!D50</f>
        <v>2265332022</v>
      </c>
      <c r="E9" s="41">
        <v>0.01</v>
      </c>
      <c r="F9" s="166">
        <f>ROUND(D9*E9,0)</f>
        <v>22653320</v>
      </c>
      <c r="G9" s="166">
        <f>ROUND(F9*10%,0)</f>
        <v>2265332</v>
      </c>
      <c r="H9" s="166">
        <f>F9+G9</f>
        <v>24918652</v>
      </c>
      <c r="I9" s="168"/>
    </row>
    <row r="10" spans="1:9" ht="28.5" x14ac:dyDescent="0.25">
      <c r="A10" s="102">
        <v>2</v>
      </c>
      <c r="B10" s="160"/>
      <c r="C10" s="130" t="s">
        <v>426</v>
      </c>
      <c r="D10" s="160"/>
      <c r="E10" s="16"/>
      <c r="F10" s="155">
        <f>SUM(F11:F12)</f>
        <v>399106234</v>
      </c>
      <c r="G10" s="155">
        <f>SUM(G11:G12)</f>
        <v>39910623</v>
      </c>
      <c r="H10" s="155">
        <f>SUM(H11:H12)</f>
        <v>439016857</v>
      </c>
      <c r="I10" s="159" t="s">
        <v>583</v>
      </c>
    </row>
    <row r="11" spans="1:9" x14ac:dyDescent="0.25">
      <c r="A11" s="124" t="s">
        <v>453</v>
      </c>
      <c r="B11" s="169">
        <v>1</v>
      </c>
      <c r="C11" s="144" t="s">
        <v>1002</v>
      </c>
      <c r="D11" s="169">
        <f>'TH dự toán hạng mục'!D16</f>
        <v>17689979690</v>
      </c>
      <c r="E11" s="41">
        <v>0.02</v>
      </c>
      <c r="F11" s="166">
        <f>ROUND(D11*E11,0)</f>
        <v>353799594</v>
      </c>
      <c r="G11" s="166">
        <f>ROUND(F11*10%,0)</f>
        <v>35379959</v>
      </c>
      <c r="H11" s="166">
        <f>F11+G11</f>
        <v>389179553</v>
      </c>
      <c r="I11" s="168"/>
    </row>
    <row r="12" spans="1:9" x14ac:dyDescent="0.25">
      <c r="A12" s="3" t="s">
        <v>407</v>
      </c>
      <c r="B12" s="58">
        <v>1</v>
      </c>
      <c r="C12" s="24" t="s">
        <v>645</v>
      </c>
      <c r="D12" s="58">
        <f>'TH dự toán hạng mục'!D50</f>
        <v>2265332022</v>
      </c>
      <c r="E12" s="96">
        <v>0.02</v>
      </c>
      <c r="F12" s="51">
        <f>ROUND(D12*E12,0)</f>
        <v>45306640</v>
      </c>
      <c r="G12" s="51">
        <f>ROUND(F12*10%,0)</f>
        <v>4530664</v>
      </c>
      <c r="H12" s="51">
        <f>F12+G12</f>
        <v>49837304</v>
      </c>
      <c r="I12" s="57"/>
    </row>
    <row r="13" spans="1:9" ht="31.5" x14ac:dyDescent="0.25">
      <c r="A13" s="102" t="s">
        <v>1190</v>
      </c>
      <c r="B13" s="160"/>
      <c r="C13" s="170" t="s">
        <v>1198</v>
      </c>
      <c r="D13" s="160"/>
      <c r="E13" s="16"/>
      <c r="F13" s="171">
        <f>SUM(F14:F14)</f>
        <v>2388810.0599999996</v>
      </c>
      <c r="G13" s="172">
        <f>SUM(G14:G14)</f>
        <v>238881.00599999996</v>
      </c>
      <c r="H13" s="173">
        <f>SUM(H14:H14)</f>
        <v>2627691</v>
      </c>
      <c r="I13" s="159" t="s">
        <v>583</v>
      </c>
    </row>
    <row r="14" spans="1:9" ht="30" x14ac:dyDescent="0.25">
      <c r="A14" s="124" t="s">
        <v>914</v>
      </c>
      <c r="B14" s="169">
        <v>1</v>
      </c>
      <c r="C14" s="144" t="s">
        <v>1199</v>
      </c>
      <c r="D14" s="169">
        <v>1803937963</v>
      </c>
      <c r="E14" s="41"/>
      <c r="F14" s="174">
        <f>1.5%*78000*1.4*1458.37</f>
        <v>2388810.0599999996</v>
      </c>
      <c r="G14" s="174">
        <f>F14*0.1</f>
        <v>238881.00599999996</v>
      </c>
      <c r="H14" s="174">
        <f>ROUND(F14+G14,0)</f>
        <v>2627691</v>
      </c>
      <c r="I14" s="168"/>
    </row>
    <row r="15" spans="1:9" ht="18" customHeight="1" x14ac:dyDescent="0.25">
      <c r="A15" s="128"/>
      <c r="B15" s="86"/>
      <c r="C15" s="107" t="s">
        <v>832</v>
      </c>
      <c r="D15" s="86"/>
      <c r="E15" s="128"/>
      <c r="F15" s="97">
        <f>ROUND(F7+F10+F13,0)</f>
        <v>601048161</v>
      </c>
      <c r="G15" s="97">
        <f>ROUND(G7+G10+G13,0)</f>
        <v>60104816</v>
      </c>
      <c r="H15" s="97">
        <f>ROUND(H7+H10+H13,0)</f>
        <v>661152977</v>
      </c>
      <c r="I15" s="107" t="s">
        <v>1196</v>
      </c>
    </row>
    <row r="16" spans="1:9" ht="16.5" customHeight="1" x14ac:dyDescent="0.25">
      <c r="A16" s="2"/>
      <c r="B16" s="146"/>
      <c r="C16" s="146"/>
      <c r="D16" s="146"/>
      <c r="E16" s="2"/>
      <c r="F16" s="36"/>
      <c r="G16" s="36"/>
      <c r="H16" s="36"/>
      <c r="I16" s="36"/>
    </row>
    <row r="17" spans="8:8" x14ac:dyDescent="0.25">
      <c r="H17" s="175">
        <f>'TH dự toán hạng mục'!D20</f>
        <v>19458978000</v>
      </c>
    </row>
    <row r="18" spans="8:8" x14ac:dyDescent="0.25">
      <c r="H18" s="179">
        <f>H15+H17</f>
        <v>20120130977</v>
      </c>
    </row>
  </sheetData>
  <mergeCells count="4">
    <mergeCell ref="A1:I1"/>
    <mergeCell ref="A2:I2"/>
    <mergeCell ref="A3:I3"/>
    <mergeCell ref="A4:I4"/>
  </mergeCells>
  <pageMargins left="0.7" right="0.7" top="0.75" bottom="0.75" header="0.3" footer="0.3"/>
  <pageSetup paperSize="9" orientation="landscape"/>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M323"/>
  <sheetViews>
    <sheetView showZeros="0" tabSelected="1" zoomScale="115" workbookViewId="0">
      <selection activeCell="D6" sqref="D6:D323"/>
    </sheetView>
  </sheetViews>
  <sheetFormatPr defaultRowHeight="12.75" x14ac:dyDescent="0.2"/>
  <cols>
    <col min="1" max="1" width="4.42578125" style="290" customWidth="1"/>
    <col min="2" max="2" width="10.7109375" style="291" customWidth="1"/>
    <col min="3" max="3" width="50.28515625" style="292" customWidth="1"/>
    <col min="4" max="4" width="6.42578125" style="291" customWidth="1"/>
    <col min="5" max="5" width="5.85546875" style="293" customWidth="1"/>
    <col min="6" max="10" width="7.28515625" style="294" customWidth="1"/>
    <col min="11" max="11" width="8.7109375" style="295" customWidth="1"/>
    <col min="12" max="12" width="8.7109375" style="296" customWidth="1"/>
    <col min="13" max="13" width="4.85546875" style="246" customWidth="1"/>
    <col min="14" max="256" width="9.140625" style="246"/>
    <col min="257" max="257" width="4.42578125" style="246" customWidth="1"/>
    <col min="258" max="258" width="10.7109375" style="246" customWidth="1"/>
    <col min="259" max="259" width="50.28515625" style="246" customWidth="1"/>
    <col min="260" max="260" width="6.42578125" style="246" customWidth="1"/>
    <col min="261" max="261" width="5.85546875" style="246" customWidth="1"/>
    <col min="262" max="266" width="7.28515625" style="246" customWidth="1"/>
    <col min="267" max="268" width="8.7109375" style="246" customWidth="1"/>
    <col min="269" max="269" width="4.85546875" style="246" customWidth="1"/>
    <col min="270" max="512" width="9.140625" style="246"/>
    <col min="513" max="513" width="4.42578125" style="246" customWidth="1"/>
    <col min="514" max="514" width="10.7109375" style="246" customWidth="1"/>
    <col min="515" max="515" width="50.28515625" style="246" customWidth="1"/>
    <col min="516" max="516" width="6.42578125" style="246" customWidth="1"/>
    <col min="517" max="517" width="5.85546875" style="246" customWidth="1"/>
    <col min="518" max="522" width="7.28515625" style="246" customWidth="1"/>
    <col min="523" max="524" width="8.7109375" style="246" customWidth="1"/>
    <col min="525" max="525" width="4.85546875" style="246" customWidth="1"/>
    <col min="526" max="768" width="9.140625" style="246"/>
    <col min="769" max="769" width="4.42578125" style="246" customWidth="1"/>
    <col min="770" max="770" width="10.7109375" style="246" customWidth="1"/>
    <col min="771" max="771" width="50.28515625" style="246" customWidth="1"/>
    <col min="772" max="772" width="6.42578125" style="246" customWidth="1"/>
    <col min="773" max="773" width="5.85546875" style="246" customWidth="1"/>
    <col min="774" max="778" width="7.28515625" style="246" customWidth="1"/>
    <col min="779" max="780" width="8.7109375" style="246" customWidth="1"/>
    <col min="781" max="781" width="4.85546875" style="246" customWidth="1"/>
    <col min="782" max="1024" width="9.140625" style="246"/>
    <col min="1025" max="1025" width="4.42578125" style="246" customWidth="1"/>
    <col min="1026" max="1026" width="10.7109375" style="246" customWidth="1"/>
    <col min="1027" max="1027" width="50.28515625" style="246" customWidth="1"/>
    <col min="1028" max="1028" width="6.42578125" style="246" customWidth="1"/>
    <col min="1029" max="1029" width="5.85546875" style="246" customWidth="1"/>
    <col min="1030" max="1034" width="7.28515625" style="246" customWidth="1"/>
    <col min="1035" max="1036" width="8.7109375" style="246" customWidth="1"/>
    <col min="1037" max="1037" width="4.85546875" style="246" customWidth="1"/>
    <col min="1038" max="1280" width="9.140625" style="246"/>
    <col min="1281" max="1281" width="4.42578125" style="246" customWidth="1"/>
    <col min="1282" max="1282" width="10.7109375" style="246" customWidth="1"/>
    <col min="1283" max="1283" width="50.28515625" style="246" customWidth="1"/>
    <col min="1284" max="1284" width="6.42578125" style="246" customWidth="1"/>
    <col min="1285" max="1285" width="5.85546875" style="246" customWidth="1"/>
    <col min="1286" max="1290" width="7.28515625" style="246" customWidth="1"/>
    <col min="1291" max="1292" width="8.7109375" style="246" customWidth="1"/>
    <col min="1293" max="1293" width="4.85546875" style="246" customWidth="1"/>
    <col min="1294" max="1536" width="9.140625" style="246"/>
    <col min="1537" max="1537" width="4.42578125" style="246" customWidth="1"/>
    <col min="1538" max="1538" width="10.7109375" style="246" customWidth="1"/>
    <col min="1539" max="1539" width="50.28515625" style="246" customWidth="1"/>
    <col min="1540" max="1540" width="6.42578125" style="246" customWidth="1"/>
    <col min="1541" max="1541" width="5.85546875" style="246" customWidth="1"/>
    <col min="1542" max="1546" width="7.28515625" style="246" customWidth="1"/>
    <col min="1547" max="1548" width="8.7109375" style="246" customWidth="1"/>
    <col min="1549" max="1549" width="4.85546875" style="246" customWidth="1"/>
    <col min="1550" max="1792" width="9.140625" style="246"/>
    <col min="1793" max="1793" width="4.42578125" style="246" customWidth="1"/>
    <col min="1794" max="1794" width="10.7109375" style="246" customWidth="1"/>
    <col min="1795" max="1795" width="50.28515625" style="246" customWidth="1"/>
    <col min="1796" max="1796" width="6.42578125" style="246" customWidth="1"/>
    <col min="1797" max="1797" width="5.85546875" style="246" customWidth="1"/>
    <col min="1798" max="1802" width="7.28515625" style="246" customWidth="1"/>
    <col min="1803" max="1804" width="8.7109375" style="246" customWidth="1"/>
    <col min="1805" max="1805" width="4.85546875" style="246" customWidth="1"/>
    <col min="1806" max="2048" width="9.140625" style="246"/>
    <col min="2049" max="2049" width="4.42578125" style="246" customWidth="1"/>
    <col min="2050" max="2050" width="10.7109375" style="246" customWidth="1"/>
    <col min="2051" max="2051" width="50.28515625" style="246" customWidth="1"/>
    <col min="2052" max="2052" width="6.42578125" style="246" customWidth="1"/>
    <col min="2053" max="2053" width="5.85546875" style="246" customWidth="1"/>
    <col min="2054" max="2058" width="7.28515625" style="246" customWidth="1"/>
    <col min="2059" max="2060" width="8.7109375" style="246" customWidth="1"/>
    <col min="2061" max="2061" width="4.85546875" style="246" customWidth="1"/>
    <col min="2062" max="2304" width="9.140625" style="246"/>
    <col min="2305" max="2305" width="4.42578125" style="246" customWidth="1"/>
    <col min="2306" max="2306" width="10.7109375" style="246" customWidth="1"/>
    <col min="2307" max="2307" width="50.28515625" style="246" customWidth="1"/>
    <col min="2308" max="2308" width="6.42578125" style="246" customWidth="1"/>
    <col min="2309" max="2309" width="5.85546875" style="246" customWidth="1"/>
    <col min="2310" max="2314" width="7.28515625" style="246" customWidth="1"/>
    <col min="2315" max="2316" width="8.7109375" style="246" customWidth="1"/>
    <col min="2317" max="2317" width="4.85546875" style="246" customWidth="1"/>
    <col min="2318" max="2560" width="9.140625" style="246"/>
    <col min="2561" max="2561" width="4.42578125" style="246" customWidth="1"/>
    <col min="2562" max="2562" width="10.7109375" style="246" customWidth="1"/>
    <col min="2563" max="2563" width="50.28515625" style="246" customWidth="1"/>
    <col min="2564" max="2564" width="6.42578125" style="246" customWidth="1"/>
    <col min="2565" max="2565" width="5.85546875" style="246" customWidth="1"/>
    <col min="2566" max="2570" width="7.28515625" style="246" customWidth="1"/>
    <col min="2571" max="2572" width="8.7109375" style="246" customWidth="1"/>
    <col min="2573" max="2573" width="4.85546875" style="246" customWidth="1"/>
    <col min="2574" max="2816" width="9.140625" style="246"/>
    <col min="2817" max="2817" width="4.42578125" style="246" customWidth="1"/>
    <col min="2818" max="2818" width="10.7109375" style="246" customWidth="1"/>
    <col min="2819" max="2819" width="50.28515625" style="246" customWidth="1"/>
    <col min="2820" max="2820" width="6.42578125" style="246" customWidth="1"/>
    <col min="2821" max="2821" width="5.85546875" style="246" customWidth="1"/>
    <col min="2822" max="2826" width="7.28515625" style="246" customWidth="1"/>
    <col min="2827" max="2828" width="8.7109375" style="246" customWidth="1"/>
    <col min="2829" max="2829" width="4.85546875" style="246" customWidth="1"/>
    <col min="2830" max="3072" width="9.140625" style="246"/>
    <col min="3073" max="3073" width="4.42578125" style="246" customWidth="1"/>
    <col min="3074" max="3074" width="10.7109375" style="246" customWidth="1"/>
    <col min="3075" max="3075" width="50.28515625" style="246" customWidth="1"/>
    <col min="3076" max="3076" width="6.42578125" style="246" customWidth="1"/>
    <col min="3077" max="3077" width="5.85546875" style="246" customWidth="1"/>
    <col min="3078" max="3082" width="7.28515625" style="246" customWidth="1"/>
    <col min="3083" max="3084" width="8.7109375" style="246" customWidth="1"/>
    <col min="3085" max="3085" width="4.85546875" style="246" customWidth="1"/>
    <col min="3086" max="3328" width="9.140625" style="246"/>
    <col min="3329" max="3329" width="4.42578125" style="246" customWidth="1"/>
    <col min="3330" max="3330" width="10.7109375" style="246" customWidth="1"/>
    <col min="3331" max="3331" width="50.28515625" style="246" customWidth="1"/>
    <col min="3332" max="3332" width="6.42578125" style="246" customWidth="1"/>
    <col min="3333" max="3333" width="5.85546875" style="246" customWidth="1"/>
    <col min="3334" max="3338" width="7.28515625" style="246" customWidth="1"/>
    <col min="3339" max="3340" width="8.7109375" style="246" customWidth="1"/>
    <col min="3341" max="3341" width="4.85546875" style="246" customWidth="1"/>
    <col min="3342" max="3584" width="9.140625" style="246"/>
    <col min="3585" max="3585" width="4.42578125" style="246" customWidth="1"/>
    <col min="3586" max="3586" width="10.7109375" style="246" customWidth="1"/>
    <col min="3587" max="3587" width="50.28515625" style="246" customWidth="1"/>
    <col min="3588" max="3588" width="6.42578125" style="246" customWidth="1"/>
    <col min="3589" max="3589" width="5.85546875" style="246" customWidth="1"/>
    <col min="3590" max="3594" width="7.28515625" style="246" customWidth="1"/>
    <col min="3595" max="3596" width="8.7109375" style="246" customWidth="1"/>
    <col min="3597" max="3597" width="4.85546875" style="246" customWidth="1"/>
    <col min="3598" max="3840" width="9.140625" style="246"/>
    <col min="3841" max="3841" width="4.42578125" style="246" customWidth="1"/>
    <col min="3842" max="3842" width="10.7109375" style="246" customWidth="1"/>
    <col min="3843" max="3843" width="50.28515625" style="246" customWidth="1"/>
    <col min="3844" max="3844" width="6.42578125" style="246" customWidth="1"/>
    <col min="3845" max="3845" width="5.85546875" style="246" customWidth="1"/>
    <col min="3846" max="3850" width="7.28515625" style="246" customWidth="1"/>
    <col min="3851" max="3852" width="8.7109375" style="246" customWidth="1"/>
    <col min="3853" max="3853" width="4.85546875" style="246" customWidth="1"/>
    <col min="3854" max="4096" width="9.140625" style="246"/>
    <col min="4097" max="4097" width="4.42578125" style="246" customWidth="1"/>
    <col min="4098" max="4098" width="10.7109375" style="246" customWidth="1"/>
    <col min="4099" max="4099" width="50.28515625" style="246" customWidth="1"/>
    <col min="4100" max="4100" width="6.42578125" style="246" customWidth="1"/>
    <col min="4101" max="4101" width="5.85546875" style="246" customWidth="1"/>
    <col min="4102" max="4106" width="7.28515625" style="246" customWidth="1"/>
    <col min="4107" max="4108" width="8.7109375" style="246" customWidth="1"/>
    <col min="4109" max="4109" width="4.85546875" style="246" customWidth="1"/>
    <col min="4110" max="4352" width="9.140625" style="246"/>
    <col min="4353" max="4353" width="4.42578125" style="246" customWidth="1"/>
    <col min="4354" max="4354" width="10.7109375" style="246" customWidth="1"/>
    <col min="4355" max="4355" width="50.28515625" style="246" customWidth="1"/>
    <col min="4356" max="4356" width="6.42578125" style="246" customWidth="1"/>
    <col min="4357" max="4357" width="5.85546875" style="246" customWidth="1"/>
    <col min="4358" max="4362" width="7.28515625" style="246" customWidth="1"/>
    <col min="4363" max="4364" width="8.7109375" style="246" customWidth="1"/>
    <col min="4365" max="4365" width="4.85546875" style="246" customWidth="1"/>
    <col min="4366" max="4608" width="9.140625" style="246"/>
    <col min="4609" max="4609" width="4.42578125" style="246" customWidth="1"/>
    <col min="4610" max="4610" width="10.7109375" style="246" customWidth="1"/>
    <col min="4611" max="4611" width="50.28515625" style="246" customWidth="1"/>
    <col min="4612" max="4612" width="6.42578125" style="246" customWidth="1"/>
    <col min="4613" max="4613" width="5.85546875" style="246" customWidth="1"/>
    <col min="4614" max="4618" width="7.28515625" style="246" customWidth="1"/>
    <col min="4619" max="4620" width="8.7109375" style="246" customWidth="1"/>
    <col min="4621" max="4621" width="4.85546875" style="246" customWidth="1"/>
    <col min="4622" max="4864" width="9.140625" style="246"/>
    <col min="4865" max="4865" width="4.42578125" style="246" customWidth="1"/>
    <col min="4866" max="4866" width="10.7109375" style="246" customWidth="1"/>
    <col min="4867" max="4867" width="50.28515625" style="246" customWidth="1"/>
    <col min="4868" max="4868" width="6.42578125" style="246" customWidth="1"/>
    <col min="4869" max="4869" width="5.85546875" style="246" customWidth="1"/>
    <col min="4870" max="4874" width="7.28515625" style="246" customWidth="1"/>
    <col min="4875" max="4876" width="8.7109375" style="246" customWidth="1"/>
    <col min="4877" max="4877" width="4.85546875" style="246" customWidth="1"/>
    <col min="4878" max="5120" width="9.140625" style="246"/>
    <col min="5121" max="5121" width="4.42578125" style="246" customWidth="1"/>
    <col min="5122" max="5122" width="10.7109375" style="246" customWidth="1"/>
    <col min="5123" max="5123" width="50.28515625" style="246" customWidth="1"/>
    <col min="5124" max="5124" width="6.42578125" style="246" customWidth="1"/>
    <col min="5125" max="5125" width="5.85546875" style="246" customWidth="1"/>
    <col min="5126" max="5130" width="7.28515625" style="246" customWidth="1"/>
    <col min="5131" max="5132" width="8.7109375" style="246" customWidth="1"/>
    <col min="5133" max="5133" width="4.85546875" style="246" customWidth="1"/>
    <col min="5134" max="5376" width="9.140625" style="246"/>
    <col min="5377" max="5377" width="4.42578125" style="246" customWidth="1"/>
    <col min="5378" max="5378" width="10.7109375" style="246" customWidth="1"/>
    <col min="5379" max="5379" width="50.28515625" style="246" customWidth="1"/>
    <col min="5380" max="5380" width="6.42578125" style="246" customWidth="1"/>
    <col min="5381" max="5381" width="5.85546875" style="246" customWidth="1"/>
    <col min="5382" max="5386" width="7.28515625" style="246" customWidth="1"/>
    <col min="5387" max="5388" width="8.7109375" style="246" customWidth="1"/>
    <col min="5389" max="5389" width="4.85546875" style="246" customWidth="1"/>
    <col min="5390" max="5632" width="9.140625" style="246"/>
    <col min="5633" max="5633" width="4.42578125" style="246" customWidth="1"/>
    <col min="5634" max="5634" width="10.7109375" style="246" customWidth="1"/>
    <col min="5635" max="5635" width="50.28515625" style="246" customWidth="1"/>
    <col min="5636" max="5636" width="6.42578125" style="246" customWidth="1"/>
    <col min="5637" max="5637" width="5.85546875" style="246" customWidth="1"/>
    <col min="5638" max="5642" width="7.28515625" style="246" customWidth="1"/>
    <col min="5643" max="5644" width="8.7109375" style="246" customWidth="1"/>
    <col min="5645" max="5645" width="4.85546875" style="246" customWidth="1"/>
    <col min="5646" max="5888" width="9.140625" style="246"/>
    <col min="5889" max="5889" width="4.42578125" style="246" customWidth="1"/>
    <col min="5890" max="5890" width="10.7109375" style="246" customWidth="1"/>
    <col min="5891" max="5891" width="50.28515625" style="246" customWidth="1"/>
    <col min="5892" max="5892" width="6.42578125" style="246" customWidth="1"/>
    <col min="5893" max="5893" width="5.85546875" style="246" customWidth="1"/>
    <col min="5894" max="5898" width="7.28515625" style="246" customWidth="1"/>
    <col min="5899" max="5900" width="8.7109375" style="246" customWidth="1"/>
    <col min="5901" max="5901" width="4.85546875" style="246" customWidth="1"/>
    <col min="5902" max="6144" width="9.140625" style="246"/>
    <col min="6145" max="6145" width="4.42578125" style="246" customWidth="1"/>
    <col min="6146" max="6146" width="10.7109375" style="246" customWidth="1"/>
    <col min="6147" max="6147" width="50.28515625" style="246" customWidth="1"/>
    <col min="6148" max="6148" width="6.42578125" style="246" customWidth="1"/>
    <col min="6149" max="6149" width="5.85546875" style="246" customWidth="1"/>
    <col min="6150" max="6154" width="7.28515625" style="246" customWidth="1"/>
    <col min="6155" max="6156" width="8.7109375" style="246" customWidth="1"/>
    <col min="6157" max="6157" width="4.85546875" style="246" customWidth="1"/>
    <col min="6158" max="6400" width="9.140625" style="246"/>
    <col min="6401" max="6401" width="4.42578125" style="246" customWidth="1"/>
    <col min="6402" max="6402" width="10.7109375" style="246" customWidth="1"/>
    <col min="6403" max="6403" width="50.28515625" style="246" customWidth="1"/>
    <col min="6404" max="6404" width="6.42578125" style="246" customWidth="1"/>
    <col min="6405" max="6405" width="5.85546875" style="246" customWidth="1"/>
    <col min="6406" max="6410" width="7.28515625" style="246" customWidth="1"/>
    <col min="6411" max="6412" width="8.7109375" style="246" customWidth="1"/>
    <col min="6413" max="6413" width="4.85546875" style="246" customWidth="1"/>
    <col min="6414" max="6656" width="9.140625" style="246"/>
    <col min="6657" max="6657" width="4.42578125" style="246" customWidth="1"/>
    <col min="6658" max="6658" width="10.7109375" style="246" customWidth="1"/>
    <col min="6659" max="6659" width="50.28515625" style="246" customWidth="1"/>
    <col min="6660" max="6660" width="6.42578125" style="246" customWidth="1"/>
    <col min="6661" max="6661" width="5.85546875" style="246" customWidth="1"/>
    <col min="6662" max="6666" width="7.28515625" style="246" customWidth="1"/>
    <col min="6667" max="6668" width="8.7109375" style="246" customWidth="1"/>
    <col min="6669" max="6669" width="4.85546875" style="246" customWidth="1"/>
    <col min="6670" max="6912" width="9.140625" style="246"/>
    <col min="6913" max="6913" width="4.42578125" style="246" customWidth="1"/>
    <col min="6914" max="6914" width="10.7109375" style="246" customWidth="1"/>
    <col min="6915" max="6915" width="50.28515625" style="246" customWidth="1"/>
    <col min="6916" max="6916" width="6.42578125" style="246" customWidth="1"/>
    <col min="6917" max="6917" width="5.85546875" style="246" customWidth="1"/>
    <col min="6918" max="6922" width="7.28515625" style="246" customWidth="1"/>
    <col min="6923" max="6924" width="8.7109375" style="246" customWidth="1"/>
    <col min="6925" max="6925" width="4.85546875" style="246" customWidth="1"/>
    <col min="6926" max="7168" width="9.140625" style="246"/>
    <col min="7169" max="7169" width="4.42578125" style="246" customWidth="1"/>
    <col min="7170" max="7170" width="10.7109375" style="246" customWidth="1"/>
    <col min="7171" max="7171" width="50.28515625" style="246" customWidth="1"/>
    <col min="7172" max="7172" width="6.42578125" style="246" customWidth="1"/>
    <col min="7173" max="7173" width="5.85546875" style="246" customWidth="1"/>
    <col min="7174" max="7178" width="7.28515625" style="246" customWidth="1"/>
    <col min="7179" max="7180" width="8.7109375" style="246" customWidth="1"/>
    <col min="7181" max="7181" width="4.85546875" style="246" customWidth="1"/>
    <col min="7182" max="7424" width="9.140625" style="246"/>
    <col min="7425" max="7425" width="4.42578125" style="246" customWidth="1"/>
    <col min="7426" max="7426" width="10.7109375" style="246" customWidth="1"/>
    <col min="7427" max="7427" width="50.28515625" style="246" customWidth="1"/>
    <col min="7428" max="7428" width="6.42578125" style="246" customWidth="1"/>
    <col min="7429" max="7429" width="5.85546875" style="246" customWidth="1"/>
    <col min="7430" max="7434" width="7.28515625" style="246" customWidth="1"/>
    <col min="7435" max="7436" width="8.7109375" style="246" customWidth="1"/>
    <col min="7437" max="7437" width="4.85546875" style="246" customWidth="1"/>
    <col min="7438" max="7680" width="9.140625" style="246"/>
    <col min="7681" max="7681" width="4.42578125" style="246" customWidth="1"/>
    <col min="7682" max="7682" width="10.7109375" style="246" customWidth="1"/>
    <col min="7683" max="7683" width="50.28515625" style="246" customWidth="1"/>
    <col min="7684" max="7684" width="6.42578125" style="246" customWidth="1"/>
    <col min="7685" max="7685" width="5.85546875" style="246" customWidth="1"/>
    <col min="7686" max="7690" width="7.28515625" style="246" customWidth="1"/>
    <col min="7691" max="7692" width="8.7109375" style="246" customWidth="1"/>
    <col min="7693" max="7693" width="4.85546875" style="246" customWidth="1"/>
    <col min="7694" max="7936" width="9.140625" style="246"/>
    <col min="7937" max="7937" width="4.42578125" style="246" customWidth="1"/>
    <col min="7938" max="7938" width="10.7109375" style="246" customWidth="1"/>
    <col min="7939" max="7939" width="50.28515625" style="246" customWidth="1"/>
    <col min="7940" max="7940" width="6.42578125" style="246" customWidth="1"/>
    <col min="7941" max="7941" width="5.85546875" style="246" customWidth="1"/>
    <col min="7942" max="7946" width="7.28515625" style="246" customWidth="1"/>
    <col min="7947" max="7948" width="8.7109375" style="246" customWidth="1"/>
    <col min="7949" max="7949" width="4.85546875" style="246" customWidth="1"/>
    <col min="7950" max="8192" width="9.140625" style="246"/>
    <col min="8193" max="8193" width="4.42578125" style="246" customWidth="1"/>
    <col min="8194" max="8194" width="10.7109375" style="246" customWidth="1"/>
    <col min="8195" max="8195" width="50.28515625" style="246" customWidth="1"/>
    <col min="8196" max="8196" width="6.42578125" style="246" customWidth="1"/>
    <col min="8197" max="8197" width="5.85546875" style="246" customWidth="1"/>
    <col min="8198" max="8202" width="7.28515625" style="246" customWidth="1"/>
    <col min="8203" max="8204" width="8.7109375" style="246" customWidth="1"/>
    <col min="8205" max="8205" width="4.85546875" style="246" customWidth="1"/>
    <col min="8206" max="8448" width="9.140625" style="246"/>
    <col min="8449" max="8449" width="4.42578125" style="246" customWidth="1"/>
    <col min="8450" max="8450" width="10.7109375" style="246" customWidth="1"/>
    <col min="8451" max="8451" width="50.28515625" style="246" customWidth="1"/>
    <col min="8452" max="8452" width="6.42578125" style="246" customWidth="1"/>
    <col min="8453" max="8453" width="5.85546875" style="246" customWidth="1"/>
    <col min="8454" max="8458" width="7.28515625" style="246" customWidth="1"/>
    <col min="8459" max="8460" width="8.7109375" style="246" customWidth="1"/>
    <col min="8461" max="8461" width="4.85546875" style="246" customWidth="1"/>
    <col min="8462" max="8704" width="9.140625" style="246"/>
    <col min="8705" max="8705" width="4.42578125" style="246" customWidth="1"/>
    <col min="8706" max="8706" width="10.7109375" style="246" customWidth="1"/>
    <col min="8707" max="8707" width="50.28515625" style="246" customWidth="1"/>
    <col min="8708" max="8708" width="6.42578125" style="246" customWidth="1"/>
    <col min="8709" max="8709" width="5.85546875" style="246" customWidth="1"/>
    <col min="8710" max="8714" width="7.28515625" style="246" customWidth="1"/>
    <col min="8715" max="8716" width="8.7109375" style="246" customWidth="1"/>
    <col min="8717" max="8717" width="4.85546875" style="246" customWidth="1"/>
    <col min="8718" max="8960" width="9.140625" style="246"/>
    <col min="8961" max="8961" width="4.42578125" style="246" customWidth="1"/>
    <col min="8962" max="8962" width="10.7109375" style="246" customWidth="1"/>
    <col min="8963" max="8963" width="50.28515625" style="246" customWidth="1"/>
    <col min="8964" max="8964" width="6.42578125" style="246" customWidth="1"/>
    <col min="8965" max="8965" width="5.85546875" style="246" customWidth="1"/>
    <col min="8966" max="8970" width="7.28515625" style="246" customWidth="1"/>
    <col min="8971" max="8972" width="8.7109375" style="246" customWidth="1"/>
    <col min="8973" max="8973" width="4.85546875" style="246" customWidth="1"/>
    <col min="8974" max="9216" width="9.140625" style="246"/>
    <col min="9217" max="9217" width="4.42578125" style="246" customWidth="1"/>
    <col min="9218" max="9218" width="10.7109375" style="246" customWidth="1"/>
    <col min="9219" max="9219" width="50.28515625" style="246" customWidth="1"/>
    <col min="9220" max="9220" width="6.42578125" style="246" customWidth="1"/>
    <col min="9221" max="9221" width="5.85546875" style="246" customWidth="1"/>
    <col min="9222" max="9226" width="7.28515625" style="246" customWidth="1"/>
    <col min="9227" max="9228" width="8.7109375" style="246" customWidth="1"/>
    <col min="9229" max="9229" width="4.85546875" style="246" customWidth="1"/>
    <col min="9230" max="9472" width="9.140625" style="246"/>
    <col min="9473" max="9473" width="4.42578125" style="246" customWidth="1"/>
    <col min="9474" max="9474" width="10.7109375" style="246" customWidth="1"/>
    <col min="9475" max="9475" width="50.28515625" style="246" customWidth="1"/>
    <col min="9476" max="9476" width="6.42578125" style="246" customWidth="1"/>
    <col min="9477" max="9477" width="5.85546875" style="246" customWidth="1"/>
    <col min="9478" max="9482" width="7.28515625" style="246" customWidth="1"/>
    <col min="9483" max="9484" width="8.7109375" style="246" customWidth="1"/>
    <col min="9485" max="9485" width="4.85546875" style="246" customWidth="1"/>
    <col min="9486" max="9728" width="9.140625" style="246"/>
    <col min="9729" max="9729" width="4.42578125" style="246" customWidth="1"/>
    <col min="9730" max="9730" width="10.7109375" style="246" customWidth="1"/>
    <col min="9731" max="9731" width="50.28515625" style="246" customWidth="1"/>
    <col min="9732" max="9732" width="6.42578125" style="246" customWidth="1"/>
    <col min="9733" max="9733" width="5.85546875" style="246" customWidth="1"/>
    <col min="9734" max="9738" width="7.28515625" style="246" customWidth="1"/>
    <col min="9739" max="9740" width="8.7109375" style="246" customWidth="1"/>
    <col min="9741" max="9741" width="4.85546875" style="246" customWidth="1"/>
    <col min="9742" max="9984" width="9.140625" style="246"/>
    <col min="9985" max="9985" width="4.42578125" style="246" customWidth="1"/>
    <col min="9986" max="9986" width="10.7109375" style="246" customWidth="1"/>
    <col min="9987" max="9987" width="50.28515625" style="246" customWidth="1"/>
    <col min="9988" max="9988" width="6.42578125" style="246" customWidth="1"/>
    <col min="9989" max="9989" width="5.85546875" style="246" customWidth="1"/>
    <col min="9990" max="9994" width="7.28515625" style="246" customWidth="1"/>
    <col min="9995" max="9996" width="8.7109375" style="246" customWidth="1"/>
    <col min="9997" max="9997" width="4.85546875" style="246" customWidth="1"/>
    <col min="9998" max="10240" width="9.140625" style="246"/>
    <col min="10241" max="10241" width="4.42578125" style="246" customWidth="1"/>
    <col min="10242" max="10242" width="10.7109375" style="246" customWidth="1"/>
    <col min="10243" max="10243" width="50.28515625" style="246" customWidth="1"/>
    <col min="10244" max="10244" width="6.42578125" style="246" customWidth="1"/>
    <col min="10245" max="10245" width="5.85546875" style="246" customWidth="1"/>
    <col min="10246" max="10250" width="7.28515625" style="246" customWidth="1"/>
    <col min="10251" max="10252" width="8.7109375" style="246" customWidth="1"/>
    <col min="10253" max="10253" width="4.85546875" style="246" customWidth="1"/>
    <col min="10254" max="10496" width="9.140625" style="246"/>
    <col min="10497" max="10497" width="4.42578125" style="246" customWidth="1"/>
    <col min="10498" max="10498" width="10.7109375" style="246" customWidth="1"/>
    <col min="10499" max="10499" width="50.28515625" style="246" customWidth="1"/>
    <col min="10500" max="10500" width="6.42578125" style="246" customWidth="1"/>
    <col min="10501" max="10501" width="5.85546875" style="246" customWidth="1"/>
    <col min="10502" max="10506" width="7.28515625" style="246" customWidth="1"/>
    <col min="10507" max="10508" width="8.7109375" style="246" customWidth="1"/>
    <col min="10509" max="10509" width="4.85546875" style="246" customWidth="1"/>
    <col min="10510" max="10752" width="9.140625" style="246"/>
    <col min="10753" max="10753" width="4.42578125" style="246" customWidth="1"/>
    <col min="10754" max="10754" width="10.7109375" style="246" customWidth="1"/>
    <col min="10755" max="10755" width="50.28515625" style="246" customWidth="1"/>
    <col min="10756" max="10756" width="6.42578125" style="246" customWidth="1"/>
    <col min="10757" max="10757" width="5.85546875" style="246" customWidth="1"/>
    <col min="10758" max="10762" width="7.28515625" style="246" customWidth="1"/>
    <col min="10763" max="10764" width="8.7109375" style="246" customWidth="1"/>
    <col min="10765" max="10765" width="4.85546875" style="246" customWidth="1"/>
    <col min="10766" max="11008" width="9.140625" style="246"/>
    <col min="11009" max="11009" width="4.42578125" style="246" customWidth="1"/>
    <col min="11010" max="11010" width="10.7109375" style="246" customWidth="1"/>
    <col min="11011" max="11011" width="50.28515625" style="246" customWidth="1"/>
    <col min="11012" max="11012" width="6.42578125" style="246" customWidth="1"/>
    <col min="11013" max="11013" width="5.85546875" style="246" customWidth="1"/>
    <col min="11014" max="11018" width="7.28515625" style="246" customWidth="1"/>
    <col min="11019" max="11020" width="8.7109375" style="246" customWidth="1"/>
    <col min="11021" max="11021" width="4.85546875" style="246" customWidth="1"/>
    <col min="11022" max="11264" width="9.140625" style="246"/>
    <col min="11265" max="11265" width="4.42578125" style="246" customWidth="1"/>
    <col min="11266" max="11266" width="10.7109375" style="246" customWidth="1"/>
    <col min="11267" max="11267" width="50.28515625" style="246" customWidth="1"/>
    <col min="11268" max="11268" width="6.42578125" style="246" customWidth="1"/>
    <col min="11269" max="11269" width="5.85546875" style="246" customWidth="1"/>
    <col min="11270" max="11274" width="7.28515625" style="246" customWidth="1"/>
    <col min="11275" max="11276" width="8.7109375" style="246" customWidth="1"/>
    <col min="11277" max="11277" width="4.85546875" style="246" customWidth="1"/>
    <col min="11278" max="11520" width="9.140625" style="246"/>
    <col min="11521" max="11521" width="4.42578125" style="246" customWidth="1"/>
    <col min="11522" max="11522" width="10.7109375" style="246" customWidth="1"/>
    <col min="11523" max="11523" width="50.28515625" style="246" customWidth="1"/>
    <col min="11524" max="11524" width="6.42578125" style="246" customWidth="1"/>
    <col min="11525" max="11525" width="5.85546875" style="246" customWidth="1"/>
    <col min="11526" max="11530" width="7.28515625" style="246" customWidth="1"/>
    <col min="11531" max="11532" width="8.7109375" style="246" customWidth="1"/>
    <col min="11533" max="11533" width="4.85546875" style="246" customWidth="1"/>
    <col min="11534" max="11776" width="9.140625" style="246"/>
    <col min="11777" max="11777" width="4.42578125" style="246" customWidth="1"/>
    <col min="11778" max="11778" width="10.7109375" style="246" customWidth="1"/>
    <col min="11779" max="11779" width="50.28515625" style="246" customWidth="1"/>
    <col min="11780" max="11780" width="6.42578125" style="246" customWidth="1"/>
    <col min="11781" max="11781" width="5.85546875" style="246" customWidth="1"/>
    <col min="11782" max="11786" width="7.28515625" style="246" customWidth="1"/>
    <col min="11787" max="11788" width="8.7109375" style="246" customWidth="1"/>
    <col min="11789" max="11789" width="4.85546875" style="246" customWidth="1"/>
    <col min="11790" max="12032" width="9.140625" style="246"/>
    <col min="12033" max="12033" width="4.42578125" style="246" customWidth="1"/>
    <col min="12034" max="12034" width="10.7109375" style="246" customWidth="1"/>
    <col min="12035" max="12035" width="50.28515625" style="246" customWidth="1"/>
    <col min="12036" max="12036" width="6.42578125" style="246" customWidth="1"/>
    <col min="12037" max="12037" width="5.85546875" style="246" customWidth="1"/>
    <col min="12038" max="12042" width="7.28515625" style="246" customWidth="1"/>
    <col min="12043" max="12044" width="8.7109375" style="246" customWidth="1"/>
    <col min="12045" max="12045" width="4.85546875" style="246" customWidth="1"/>
    <col min="12046" max="12288" width="9.140625" style="246"/>
    <col min="12289" max="12289" width="4.42578125" style="246" customWidth="1"/>
    <col min="12290" max="12290" width="10.7109375" style="246" customWidth="1"/>
    <col min="12291" max="12291" width="50.28515625" style="246" customWidth="1"/>
    <col min="12292" max="12292" width="6.42578125" style="246" customWidth="1"/>
    <col min="12293" max="12293" width="5.85546875" style="246" customWidth="1"/>
    <col min="12294" max="12298" width="7.28515625" style="246" customWidth="1"/>
    <col min="12299" max="12300" width="8.7109375" style="246" customWidth="1"/>
    <col min="12301" max="12301" width="4.85546875" style="246" customWidth="1"/>
    <col min="12302" max="12544" width="9.140625" style="246"/>
    <col min="12545" max="12545" width="4.42578125" style="246" customWidth="1"/>
    <col min="12546" max="12546" width="10.7109375" style="246" customWidth="1"/>
    <col min="12547" max="12547" width="50.28515625" style="246" customWidth="1"/>
    <col min="12548" max="12548" width="6.42578125" style="246" customWidth="1"/>
    <col min="12549" max="12549" width="5.85546875" style="246" customWidth="1"/>
    <col min="12550" max="12554" width="7.28515625" style="246" customWidth="1"/>
    <col min="12555" max="12556" width="8.7109375" style="246" customWidth="1"/>
    <col min="12557" max="12557" width="4.85546875" style="246" customWidth="1"/>
    <col min="12558" max="12800" width="9.140625" style="246"/>
    <col min="12801" max="12801" width="4.42578125" style="246" customWidth="1"/>
    <col min="12802" max="12802" width="10.7109375" style="246" customWidth="1"/>
    <col min="12803" max="12803" width="50.28515625" style="246" customWidth="1"/>
    <col min="12804" max="12804" width="6.42578125" style="246" customWidth="1"/>
    <col min="12805" max="12805" width="5.85546875" style="246" customWidth="1"/>
    <col min="12806" max="12810" width="7.28515625" style="246" customWidth="1"/>
    <col min="12811" max="12812" width="8.7109375" style="246" customWidth="1"/>
    <col min="12813" max="12813" width="4.85546875" style="246" customWidth="1"/>
    <col min="12814" max="13056" width="9.140625" style="246"/>
    <col min="13057" max="13057" width="4.42578125" style="246" customWidth="1"/>
    <col min="13058" max="13058" width="10.7109375" style="246" customWidth="1"/>
    <col min="13059" max="13059" width="50.28515625" style="246" customWidth="1"/>
    <col min="13060" max="13060" width="6.42578125" style="246" customWidth="1"/>
    <col min="13061" max="13061" width="5.85546875" style="246" customWidth="1"/>
    <col min="13062" max="13066" width="7.28515625" style="246" customWidth="1"/>
    <col min="13067" max="13068" width="8.7109375" style="246" customWidth="1"/>
    <col min="13069" max="13069" width="4.85546875" style="246" customWidth="1"/>
    <col min="13070" max="13312" width="9.140625" style="246"/>
    <col min="13313" max="13313" width="4.42578125" style="246" customWidth="1"/>
    <col min="13314" max="13314" width="10.7109375" style="246" customWidth="1"/>
    <col min="13315" max="13315" width="50.28515625" style="246" customWidth="1"/>
    <col min="13316" max="13316" width="6.42578125" style="246" customWidth="1"/>
    <col min="13317" max="13317" width="5.85546875" style="246" customWidth="1"/>
    <col min="13318" max="13322" width="7.28515625" style="246" customWidth="1"/>
    <col min="13323" max="13324" width="8.7109375" style="246" customWidth="1"/>
    <col min="13325" max="13325" width="4.85546875" style="246" customWidth="1"/>
    <col min="13326" max="13568" width="9.140625" style="246"/>
    <col min="13569" max="13569" width="4.42578125" style="246" customWidth="1"/>
    <col min="13570" max="13570" width="10.7109375" style="246" customWidth="1"/>
    <col min="13571" max="13571" width="50.28515625" style="246" customWidth="1"/>
    <col min="13572" max="13572" width="6.42578125" style="246" customWidth="1"/>
    <col min="13573" max="13573" width="5.85546875" style="246" customWidth="1"/>
    <col min="13574" max="13578" width="7.28515625" style="246" customWidth="1"/>
    <col min="13579" max="13580" width="8.7109375" style="246" customWidth="1"/>
    <col min="13581" max="13581" width="4.85546875" style="246" customWidth="1"/>
    <col min="13582" max="13824" width="9.140625" style="246"/>
    <col min="13825" max="13825" width="4.42578125" style="246" customWidth="1"/>
    <col min="13826" max="13826" width="10.7109375" style="246" customWidth="1"/>
    <col min="13827" max="13827" width="50.28515625" style="246" customWidth="1"/>
    <col min="13828" max="13828" width="6.42578125" style="246" customWidth="1"/>
    <col min="13829" max="13829" width="5.85546875" style="246" customWidth="1"/>
    <col min="13830" max="13834" width="7.28515625" style="246" customWidth="1"/>
    <col min="13835" max="13836" width="8.7109375" style="246" customWidth="1"/>
    <col min="13837" max="13837" width="4.85546875" style="246" customWidth="1"/>
    <col min="13838" max="14080" width="9.140625" style="246"/>
    <col min="14081" max="14081" width="4.42578125" style="246" customWidth="1"/>
    <col min="14082" max="14082" width="10.7109375" style="246" customWidth="1"/>
    <col min="14083" max="14083" width="50.28515625" style="246" customWidth="1"/>
    <col min="14084" max="14084" width="6.42578125" style="246" customWidth="1"/>
    <col min="14085" max="14085" width="5.85546875" style="246" customWidth="1"/>
    <col min="14086" max="14090" width="7.28515625" style="246" customWidth="1"/>
    <col min="14091" max="14092" width="8.7109375" style="246" customWidth="1"/>
    <col min="14093" max="14093" width="4.85546875" style="246" customWidth="1"/>
    <col min="14094" max="14336" width="9.140625" style="246"/>
    <col min="14337" max="14337" width="4.42578125" style="246" customWidth="1"/>
    <col min="14338" max="14338" width="10.7109375" style="246" customWidth="1"/>
    <col min="14339" max="14339" width="50.28515625" style="246" customWidth="1"/>
    <col min="14340" max="14340" width="6.42578125" style="246" customWidth="1"/>
    <col min="14341" max="14341" width="5.85546875" style="246" customWidth="1"/>
    <col min="14342" max="14346" width="7.28515625" style="246" customWidth="1"/>
    <col min="14347" max="14348" width="8.7109375" style="246" customWidth="1"/>
    <col min="14349" max="14349" width="4.85546875" style="246" customWidth="1"/>
    <col min="14350" max="14592" width="9.140625" style="246"/>
    <col min="14593" max="14593" width="4.42578125" style="246" customWidth="1"/>
    <col min="14594" max="14594" width="10.7109375" style="246" customWidth="1"/>
    <col min="14595" max="14595" width="50.28515625" style="246" customWidth="1"/>
    <col min="14596" max="14596" width="6.42578125" style="246" customWidth="1"/>
    <col min="14597" max="14597" width="5.85546875" style="246" customWidth="1"/>
    <col min="14598" max="14602" width="7.28515625" style="246" customWidth="1"/>
    <col min="14603" max="14604" width="8.7109375" style="246" customWidth="1"/>
    <col min="14605" max="14605" width="4.85546875" style="246" customWidth="1"/>
    <col min="14606" max="14848" width="9.140625" style="246"/>
    <col min="14849" max="14849" width="4.42578125" style="246" customWidth="1"/>
    <col min="14850" max="14850" width="10.7109375" style="246" customWidth="1"/>
    <col min="14851" max="14851" width="50.28515625" style="246" customWidth="1"/>
    <col min="14852" max="14852" width="6.42578125" style="246" customWidth="1"/>
    <col min="14853" max="14853" width="5.85546875" style="246" customWidth="1"/>
    <col min="14854" max="14858" width="7.28515625" style="246" customWidth="1"/>
    <col min="14859" max="14860" width="8.7109375" style="246" customWidth="1"/>
    <col min="14861" max="14861" width="4.85546875" style="246" customWidth="1"/>
    <col min="14862" max="15104" width="9.140625" style="246"/>
    <col min="15105" max="15105" width="4.42578125" style="246" customWidth="1"/>
    <col min="15106" max="15106" width="10.7109375" style="246" customWidth="1"/>
    <col min="15107" max="15107" width="50.28515625" style="246" customWidth="1"/>
    <col min="15108" max="15108" width="6.42578125" style="246" customWidth="1"/>
    <col min="15109" max="15109" width="5.85546875" style="246" customWidth="1"/>
    <col min="15110" max="15114" width="7.28515625" style="246" customWidth="1"/>
    <col min="15115" max="15116" width="8.7109375" style="246" customWidth="1"/>
    <col min="15117" max="15117" width="4.85546875" style="246" customWidth="1"/>
    <col min="15118" max="15360" width="9.140625" style="246"/>
    <col min="15361" max="15361" width="4.42578125" style="246" customWidth="1"/>
    <col min="15362" max="15362" width="10.7109375" style="246" customWidth="1"/>
    <col min="15363" max="15363" width="50.28515625" style="246" customWidth="1"/>
    <col min="15364" max="15364" width="6.42578125" style="246" customWidth="1"/>
    <col min="15365" max="15365" width="5.85546875" style="246" customWidth="1"/>
    <col min="15366" max="15370" width="7.28515625" style="246" customWidth="1"/>
    <col min="15371" max="15372" width="8.7109375" style="246" customWidth="1"/>
    <col min="15373" max="15373" width="4.85546875" style="246" customWidth="1"/>
    <col min="15374" max="15616" width="9.140625" style="246"/>
    <col min="15617" max="15617" width="4.42578125" style="246" customWidth="1"/>
    <col min="15618" max="15618" width="10.7109375" style="246" customWidth="1"/>
    <col min="15619" max="15619" width="50.28515625" style="246" customWidth="1"/>
    <col min="15620" max="15620" width="6.42578125" style="246" customWidth="1"/>
    <col min="15621" max="15621" width="5.85546875" style="246" customWidth="1"/>
    <col min="15622" max="15626" width="7.28515625" style="246" customWidth="1"/>
    <col min="15627" max="15628" width="8.7109375" style="246" customWidth="1"/>
    <col min="15629" max="15629" width="4.85546875" style="246" customWidth="1"/>
    <col min="15630" max="15872" width="9.140625" style="246"/>
    <col min="15873" max="15873" width="4.42578125" style="246" customWidth="1"/>
    <col min="15874" max="15874" width="10.7109375" style="246" customWidth="1"/>
    <col min="15875" max="15875" width="50.28515625" style="246" customWidth="1"/>
    <col min="15876" max="15876" width="6.42578125" style="246" customWidth="1"/>
    <col min="15877" max="15877" width="5.85546875" style="246" customWidth="1"/>
    <col min="15878" max="15882" width="7.28515625" style="246" customWidth="1"/>
    <col min="15883" max="15884" width="8.7109375" style="246" customWidth="1"/>
    <col min="15885" max="15885" width="4.85546875" style="246" customWidth="1"/>
    <col min="15886" max="16128" width="9.140625" style="246"/>
    <col min="16129" max="16129" width="4.42578125" style="246" customWidth="1"/>
    <col min="16130" max="16130" width="10.7109375" style="246" customWidth="1"/>
    <col min="16131" max="16131" width="50.28515625" style="246" customWidth="1"/>
    <col min="16132" max="16132" width="6.42578125" style="246" customWidth="1"/>
    <col min="16133" max="16133" width="5.85546875" style="246" customWidth="1"/>
    <col min="16134" max="16138" width="7.28515625" style="246" customWidth="1"/>
    <col min="16139" max="16140" width="8.7109375" style="246" customWidth="1"/>
    <col min="16141" max="16141" width="4.85546875" style="246" customWidth="1"/>
    <col min="16142" max="16384" width="9.140625" style="246"/>
  </cols>
  <sheetData>
    <row r="1" spans="1:13" ht="20.100000000000001" customHeight="1" x14ac:dyDescent="0.2">
      <c r="A1" s="237" t="s">
        <v>1215</v>
      </c>
      <c r="B1" s="238"/>
      <c r="C1" s="239"/>
      <c r="D1" s="240"/>
      <c r="E1" s="241"/>
      <c r="F1" s="242"/>
      <c r="G1" s="242"/>
      <c r="H1" s="242"/>
      <c r="I1" s="242"/>
      <c r="J1" s="242"/>
      <c r="K1" s="243"/>
      <c r="L1" s="244"/>
      <c r="M1" s="245"/>
    </row>
    <row r="2" spans="1:13" ht="20.100000000000001" customHeight="1" x14ac:dyDescent="0.2">
      <c r="A2" s="247" t="s">
        <v>1216</v>
      </c>
      <c r="B2" s="248"/>
      <c r="C2" s="249"/>
      <c r="D2" s="250"/>
      <c r="E2" s="251"/>
      <c r="F2" s="252"/>
      <c r="G2" s="252"/>
      <c r="H2" s="252"/>
      <c r="I2" s="252"/>
      <c r="J2" s="252"/>
      <c r="K2" s="250"/>
      <c r="L2" s="250"/>
      <c r="M2" s="245"/>
    </row>
    <row r="3" spans="1:13" ht="20.100000000000001" customHeight="1" x14ac:dyDescent="0.2">
      <c r="A3" s="253" t="s">
        <v>1217</v>
      </c>
      <c r="B3" s="254"/>
      <c r="C3" s="255"/>
      <c r="D3" s="256"/>
      <c r="E3" s="257"/>
      <c r="F3" s="258"/>
      <c r="G3" s="258"/>
      <c r="H3" s="258"/>
      <c r="I3" s="258"/>
      <c r="J3" s="258"/>
      <c r="K3" s="256"/>
      <c r="L3" s="256"/>
      <c r="M3" s="245"/>
    </row>
    <row r="4" spans="1:13" x14ac:dyDescent="0.2">
      <c r="A4" s="317" t="s">
        <v>761</v>
      </c>
      <c r="B4" s="319" t="s">
        <v>1218</v>
      </c>
      <c r="C4" s="321" t="s">
        <v>1219</v>
      </c>
      <c r="D4" s="323" t="s">
        <v>1220</v>
      </c>
      <c r="E4" s="259" t="s">
        <v>1221</v>
      </c>
      <c r="F4" s="260"/>
      <c r="G4" s="260"/>
      <c r="H4" s="260"/>
      <c r="I4" s="261"/>
      <c r="J4" s="262" t="s">
        <v>1222</v>
      </c>
      <c r="K4" s="263" t="s">
        <v>1223</v>
      </c>
      <c r="L4" s="263" t="s">
        <v>1223</v>
      </c>
      <c r="M4" s="264" t="s">
        <v>1224</v>
      </c>
    </row>
    <row r="5" spans="1:13" x14ac:dyDescent="0.2">
      <c r="A5" s="318"/>
      <c r="B5" s="320"/>
      <c r="C5" s="322"/>
      <c r="D5" s="324"/>
      <c r="E5" s="265" t="s">
        <v>1225</v>
      </c>
      <c r="F5" s="266" t="s">
        <v>974</v>
      </c>
      <c r="G5" s="266" t="s">
        <v>352</v>
      </c>
      <c r="H5" s="266" t="s">
        <v>184</v>
      </c>
      <c r="I5" s="266" t="s">
        <v>639</v>
      </c>
      <c r="J5" s="266" t="s">
        <v>1226</v>
      </c>
      <c r="K5" s="267" t="s">
        <v>1227</v>
      </c>
      <c r="L5" s="267" t="s">
        <v>1228</v>
      </c>
      <c r="M5" s="268" t="s">
        <v>1229</v>
      </c>
    </row>
    <row r="6" spans="1:13" ht="15" x14ac:dyDescent="0.2">
      <c r="A6" s="269">
        <f>COUNT(A$5:A5)+1</f>
        <v>1</v>
      </c>
      <c r="B6" s="31"/>
      <c r="C6" s="14" t="s">
        <v>350</v>
      </c>
      <c r="D6" s="65"/>
      <c r="E6" s="270"/>
      <c r="F6" s="271"/>
      <c r="G6" s="271"/>
      <c r="H6" s="271"/>
      <c r="I6" s="271"/>
      <c r="J6" s="271">
        <f>SUM(J7:J10)</f>
        <v>28.960000000000004</v>
      </c>
      <c r="K6" s="272"/>
      <c r="L6" s="272">
        <f>SUM(K7:K10)</f>
        <v>30.118400000000001</v>
      </c>
      <c r="M6" s="273"/>
    </row>
    <row r="7" spans="1:13" ht="15" x14ac:dyDescent="0.2">
      <c r="A7" s="274"/>
      <c r="B7" s="138" t="s">
        <v>1090</v>
      </c>
      <c r="C7" s="144" t="s">
        <v>909</v>
      </c>
      <c r="D7" s="168" t="s">
        <v>155</v>
      </c>
      <c r="E7" s="275">
        <v>4</v>
      </c>
      <c r="F7" s="276">
        <v>12</v>
      </c>
      <c r="G7" s="276">
        <v>0.4</v>
      </c>
      <c r="H7" s="276">
        <v>0.8</v>
      </c>
      <c r="I7" s="276">
        <v>1.3</v>
      </c>
      <c r="J7" s="276">
        <f>PRODUCT(E7:G7)</f>
        <v>19.200000000000003</v>
      </c>
      <c r="K7" s="277">
        <f>PRODUCT(E7:I7)</f>
        <v>19.968000000000004</v>
      </c>
      <c r="L7" s="277"/>
      <c r="M7" s="278"/>
    </row>
    <row r="8" spans="1:13" ht="30" x14ac:dyDescent="0.2">
      <c r="A8" s="274"/>
      <c r="B8" s="138" t="s">
        <v>648</v>
      </c>
      <c r="C8" s="144" t="s">
        <v>402</v>
      </c>
      <c r="D8" s="168" t="s">
        <v>155</v>
      </c>
      <c r="E8" s="275">
        <v>2</v>
      </c>
      <c r="F8" s="276">
        <v>10</v>
      </c>
      <c r="G8" s="276">
        <v>0.4</v>
      </c>
      <c r="H8" s="276">
        <v>0.8</v>
      </c>
      <c r="I8" s="276">
        <v>1.3</v>
      </c>
      <c r="J8" s="276">
        <f>PRODUCT(E8:G8)</f>
        <v>8</v>
      </c>
      <c r="K8" s="277">
        <f>PRODUCT(E8:I8)</f>
        <v>8.32</v>
      </c>
      <c r="L8" s="277"/>
      <c r="M8" s="278"/>
    </row>
    <row r="9" spans="1:13" ht="15" x14ac:dyDescent="0.2">
      <c r="A9" s="274"/>
      <c r="B9" s="138" t="s">
        <v>346</v>
      </c>
      <c r="C9" s="144" t="s">
        <v>471</v>
      </c>
      <c r="D9" s="168" t="s">
        <v>155</v>
      </c>
      <c r="E9" s="275"/>
      <c r="F9" s="276">
        <v>1.5</v>
      </c>
      <c r="G9" s="276">
        <v>0.4</v>
      </c>
      <c r="H9" s="276">
        <v>0.8</v>
      </c>
      <c r="I9" s="276">
        <v>1.3</v>
      </c>
      <c r="J9" s="276">
        <f>PRODUCT(E9:G9)</f>
        <v>0.60000000000000009</v>
      </c>
      <c r="K9" s="277">
        <f>PRODUCT(E9:I9)</f>
        <v>0.62400000000000011</v>
      </c>
      <c r="L9" s="277"/>
      <c r="M9" s="278"/>
    </row>
    <row r="10" spans="1:13" ht="15" x14ac:dyDescent="0.2">
      <c r="A10" s="274"/>
      <c r="B10" s="138" t="s">
        <v>361</v>
      </c>
      <c r="C10" s="144" t="s">
        <v>217</v>
      </c>
      <c r="D10" s="168" t="s">
        <v>155</v>
      </c>
      <c r="E10" s="275">
        <v>2</v>
      </c>
      <c r="F10" s="276">
        <v>1.45</v>
      </c>
      <c r="G10" s="276">
        <v>0.4</v>
      </c>
      <c r="H10" s="276">
        <v>0.8</v>
      </c>
      <c r="I10" s="276">
        <v>1.3</v>
      </c>
      <c r="J10" s="276">
        <f>PRODUCT(E10:G10)</f>
        <v>1.1599999999999999</v>
      </c>
      <c r="K10" s="277">
        <f>PRODUCT(E10:I10)</f>
        <v>1.2063999999999999</v>
      </c>
      <c r="L10" s="277"/>
      <c r="M10" s="278"/>
    </row>
    <row r="11" spans="1:13" ht="15" x14ac:dyDescent="0.2">
      <c r="A11" s="274">
        <f>COUNT(A$5:A10)+1</f>
        <v>2</v>
      </c>
      <c r="B11" s="138" t="s">
        <v>399</v>
      </c>
      <c r="C11" s="144" t="s">
        <v>365</v>
      </c>
      <c r="D11" s="168" t="s">
        <v>1172</v>
      </c>
      <c r="E11" s="275"/>
      <c r="F11" s="276"/>
      <c r="G11" s="276"/>
      <c r="H11" s="276"/>
      <c r="I11" s="276"/>
      <c r="J11" s="276"/>
      <c r="K11" s="277"/>
      <c r="L11" s="277">
        <f>SUM(K12:K12)</f>
        <v>2.8960000000000008</v>
      </c>
      <c r="M11" s="278"/>
    </row>
    <row r="12" spans="1:13" ht="15" x14ac:dyDescent="0.2">
      <c r="A12" s="274"/>
      <c r="B12" s="138" t="s">
        <v>369</v>
      </c>
      <c r="C12" s="144" t="s">
        <v>835</v>
      </c>
      <c r="D12" s="168" t="s">
        <v>1172</v>
      </c>
      <c r="E12" s="275"/>
      <c r="F12" s="276">
        <f>J6</f>
        <v>28.960000000000004</v>
      </c>
      <c r="G12" s="276"/>
      <c r="H12" s="276">
        <v>0.1</v>
      </c>
      <c r="I12" s="276"/>
      <c r="J12" s="276"/>
      <c r="K12" s="277">
        <f>PRODUCT(E12:I12)</f>
        <v>2.8960000000000008</v>
      </c>
      <c r="L12" s="277"/>
      <c r="M12" s="278"/>
    </row>
    <row r="13" spans="1:13" ht="30" x14ac:dyDescent="0.2">
      <c r="A13" s="279">
        <f>COUNT(A$5:A12)+1</f>
        <v>3</v>
      </c>
      <c r="B13" s="138" t="s">
        <v>838</v>
      </c>
      <c r="C13" s="144" t="s">
        <v>257</v>
      </c>
      <c r="D13" s="168" t="s">
        <v>1172</v>
      </c>
      <c r="E13" s="280"/>
      <c r="F13" s="281"/>
      <c r="G13" s="281"/>
      <c r="H13" s="281"/>
      <c r="I13" s="281"/>
      <c r="J13" s="281"/>
      <c r="K13" s="282"/>
      <c r="L13" s="283">
        <f>SUM(K14:K323)</f>
        <v>20.881</v>
      </c>
      <c r="M13" s="278"/>
    </row>
    <row r="14" spans="1:13" ht="30" x14ac:dyDescent="0.2">
      <c r="A14" s="284"/>
      <c r="B14" s="138" t="s">
        <v>1195</v>
      </c>
      <c r="C14" s="144" t="s">
        <v>424</v>
      </c>
      <c r="D14" s="168" t="s">
        <v>1172</v>
      </c>
      <c r="E14" s="280"/>
      <c r="F14" s="281">
        <v>4.5120000000000005</v>
      </c>
      <c r="G14" s="281"/>
      <c r="H14" s="281"/>
      <c r="I14" s="281"/>
      <c r="J14" s="281"/>
      <c r="K14" s="282">
        <f>PRODUCT(E14:I14)</f>
        <v>4.5120000000000005</v>
      </c>
      <c r="L14" s="283"/>
      <c r="M14" s="278"/>
    </row>
    <row r="15" spans="1:13" ht="30" x14ac:dyDescent="0.2">
      <c r="A15" s="279"/>
      <c r="B15" s="138" t="s">
        <v>589</v>
      </c>
      <c r="C15" s="144" t="s">
        <v>799</v>
      </c>
      <c r="D15" s="168" t="s">
        <v>836</v>
      </c>
      <c r="E15" s="280">
        <v>3</v>
      </c>
      <c r="F15" s="281">
        <v>4.7</v>
      </c>
      <c r="G15" s="281">
        <v>0.3</v>
      </c>
      <c r="H15" s="281">
        <v>0.8</v>
      </c>
      <c r="I15" s="281"/>
      <c r="J15" s="281"/>
      <c r="K15" s="282">
        <f>PRODUCT(E15:I15)</f>
        <v>3.3840000000000003</v>
      </c>
      <c r="L15" s="283"/>
      <c r="M15" s="278"/>
    </row>
    <row r="16" spans="1:13" ht="30" x14ac:dyDescent="0.2">
      <c r="A16" s="279"/>
      <c r="B16" s="138" t="s">
        <v>869</v>
      </c>
      <c r="C16" s="144" t="s">
        <v>673</v>
      </c>
      <c r="D16" s="168" t="s">
        <v>836</v>
      </c>
      <c r="E16" s="280"/>
      <c r="F16" s="298"/>
      <c r="G16" s="298"/>
      <c r="H16" s="298"/>
      <c r="I16" s="298"/>
      <c r="J16" s="298"/>
      <c r="K16" s="282"/>
      <c r="L16" s="283"/>
      <c r="M16" s="278"/>
    </row>
    <row r="17" spans="1:13" ht="15" x14ac:dyDescent="0.2">
      <c r="A17" s="279"/>
      <c r="B17" s="144"/>
      <c r="C17" s="130" t="s">
        <v>999</v>
      </c>
      <c r="D17" s="168"/>
      <c r="E17" s="280"/>
      <c r="F17" s="298"/>
      <c r="G17" s="298"/>
      <c r="H17" s="298"/>
      <c r="I17" s="298"/>
      <c r="J17" s="298"/>
      <c r="K17" s="282"/>
      <c r="L17" s="283"/>
      <c r="M17" s="278"/>
    </row>
    <row r="18" spans="1:13" ht="15" x14ac:dyDescent="0.2">
      <c r="A18" s="279"/>
      <c r="B18" s="138" t="s">
        <v>1122</v>
      </c>
      <c r="C18" s="113" t="s">
        <v>226</v>
      </c>
      <c r="D18" s="168" t="s">
        <v>155</v>
      </c>
      <c r="E18" s="280"/>
      <c r="F18" s="298"/>
      <c r="G18" s="298"/>
      <c r="H18" s="298"/>
      <c r="I18" s="298"/>
      <c r="J18" s="298"/>
      <c r="K18" s="282"/>
      <c r="L18" s="283"/>
      <c r="M18" s="278"/>
    </row>
    <row r="19" spans="1:13" ht="30" x14ac:dyDescent="0.2">
      <c r="A19" s="279"/>
      <c r="B19" s="138" t="s">
        <v>869</v>
      </c>
      <c r="C19" s="113" t="s">
        <v>899</v>
      </c>
      <c r="D19" s="168" t="s">
        <v>836</v>
      </c>
      <c r="E19" s="280"/>
      <c r="F19" s="298"/>
      <c r="G19" s="298"/>
      <c r="H19" s="298"/>
      <c r="I19" s="298"/>
      <c r="J19" s="298"/>
      <c r="K19" s="282"/>
      <c r="L19" s="283"/>
      <c r="M19" s="278"/>
    </row>
    <row r="20" spans="1:13" ht="30" x14ac:dyDescent="0.2">
      <c r="A20" s="279"/>
      <c r="B20" s="138" t="s">
        <v>910</v>
      </c>
      <c r="C20" s="144" t="s">
        <v>106</v>
      </c>
      <c r="D20" s="168" t="s">
        <v>1172</v>
      </c>
      <c r="E20" s="280"/>
      <c r="F20" s="298"/>
      <c r="G20" s="298"/>
      <c r="H20" s="298"/>
      <c r="I20" s="298"/>
      <c r="J20" s="298"/>
      <c r="K20" s="282"/>
      <c r="L20" s="283"/>
      <c r="M20" s="278"/>
    </row>
    <row r="21" spans="1:13" ht="15" x14ac:dyDescent="0.2">
      <c r="A21" s="279"/>
      <c r="B21" s="133"/>
      <c r="C21" s="297" t="s">
        <v>1230</v>
      </c>
      <c r="D21" s="161"/>
      <c r="E21" s="280"/>
      <c r="F21" s="298">
        <v>1.105</v>
      </c>
      <c r="G21" s="298"/>
      <c r="H21" s="298"/>
      <c r="I21" s="298"/>
      <c r="J21" s="298"/>
      <c r="K21" s="282">
        <f>PRODUCT(E21:I21)</f>
        <v>1.105</v>
      </c>
      <c r="L21" s="283"/>
      <c r="M21" s="278"/>
    </row>
    <row r="22" spans="1:13" ht="30" x14ac:dyDescent="0.2">
      <c r="A22" s="279"/>
      <c r="B22" s="138" t="s">
        <v>62</v>
      </c>
      <c r="C22" s="144" t="s">
        <v>1053</v>
      </c>
      <c r="D22" s="168" t="s">
        <v>1172</v>
      </c>
      <c r="E22" s="280"/>
      <c r="F22" s="298"/>
      <c r="G22" s="298"/>
      <c r="H22" s="298"/>
      <c r="I22" s="298"/>
      <c r="J22" s="298"/>
      <c r="K22" s="282"/>
      <c r="L22" s="283"/>
      <c r="M22" s="278"/>
    </row>
    <row r="23" spans="1:13" ht="15" x14ac:dyDescent="0.2">
      <c r="A23" s="279"/>
      <c r="B23" s="133"/>
      <c r="C23" s="297" t="s">
        <v>1231</v>
      </c>
      <c r="D23" s="161"/>
      <c r="E23" s="280"/>
      <c r="F23" s="298">
        <v>2.16</v>
      </c>
      <c r="G23" s="298"/>
      <c r="H23" s="298"/>
      <c r="I23" s="298"/>
      <c r="J23" s="298"/>
      <c r="K23" s="282">
        <f>PRODUCT(E23:I23)</f>
        <v>2.16</v>
      </c>
      <c r="L23" s="283"/>
      <c r="M23" s="278"/>
    </row>
    <row r="24" spans="1:13" ht="15" x14ac:dyDescent="0.2">
      <c r="A24" s="279"/>
      <c r="B24" s="138" t="s">
        <v>369</v>
      </c>
      <c r="C24" s="113" t="s">
        <v>145</v>
      </c>
      <c r="D24" s="168" t="s">
        <v>1172</v>
      </c>
      <c r="E24" s="280"/>
      <c r="F24" s="298"/>
      <c r="G24" s="298"/>
      <c r="H24" s="298"/>
      <c r="I24" s="298"/>
      <c r="J24" s="298"/>
      <c r="K24" s="282"/>
      <c r="L24" s="283"/>
      <c r="M24" s="278"/>
    </row>
    <row r="25" spans="1:13" ht="15" x14ac:dyDescent="0.2">
      <c r="A25" s="279"/>
      <c r="B25" s="29" t="s">
        <v>30</v>
      </c>
      <c r="C25" s="80" t="s">
        <v>824</v>
      </c>
      <c r="D25" s="119" t="s">
        <v>75</v>
      </c>
      <c r="E25" s="280"/>
      <c r="F25" s="298"/>
      <c r="G25" s="298"/>
      <c r="H25" s="298"/>
      <c r="I25" s="298"/>
      <c r="J25" s="298"/>
      <c r="K25" s="282"/>
      <c r="L25" s="283"/>
      <c r="M25" s="278"/>
    </row>
    <row r="26" spans="1:13" ht="45" x14ac:dyDescent="0.2">
      <c r="A26" s="279"/>
      <c r="B26" s="138" t="s">
        <v>333</v>
      </c>
      <c r="C26" s="144" t="s">
        <v>1086</v>
      </c>
      <c r="D26" s="168" t="s">
        <v>227</v>
      </c>
      <c r="E26" s="280"/>
      <c r="F26" s="298"/>
      <c r="G26" s="298"/>
      <c r="H26" s="298"/>
      <c r="I26" s="298"/>
      <c r="J26" s="298"/>
      <c r="K26" s="282"/>
      <c r="L26" s="283"/>
      <c r="M26" s="278"/>
    </row>
    <row r="27" spans="1:13" ht="15" x14ac:dyDescent="0.2">
      <c r="A27" s="279"/>
      <c r="B27" s="133"/>
      <c r="C27" s="297" t="s">
        <v>1232</v>
      </c>
      <c r="D27" s="161"/>
      <c r="E27" s="280"/>
      <c r="F27" s="298">
        <v>9.7200000000000006</v>
      </c>
      <c r="G27" s="298"/>
      <c r="H27" s="298"/>
      <c r="I27" s="298"/>
      <c r="J27" s="298"/>
      <c r="K27" s="282">
        <f>PRODUCT(E27:I27)</f>
        <v>9.7200000000000006</v>
      </c>
      <c r="L27" s="283"/>
      <c r="M27" s="278"/>
    </row>
    <row r="28" spans="1:13" ht="30" x14ac:dyDescent="0.2">
      <c r="A28" s="279"/>
      <c r="B28" s="138" t="s">
        <v>576</v>
      </c>
      <c r="C28" s="144" t="s">
        <v>27</v>
      </c>
      <c r="D28" s="168" t="s">
        <v>836</v>
      </c>
      <c r="E28" s="280"/>
      <c r="F28" s="298"/>
      <c r="G28" s="298"/>
      <c r="H28" s="298"/>
      <c r="I28" s="298"/>
      <c r="J28" s="298"/>
      <c r="K28" s="282"/>
      <c r="L28" s="283"/>
      <c r="M28" s="278"/>
    </row>
    <row r="29" spans="1:13" ht="15" x14ac:dyDescent="0.2">
      <c r="A29" s="279"/>
      <c r="B29" s="144"/>
      <c r="C29" s="130" t="s">
        <v>158</v>
      </c>
      <c r="D29" s="168"/>
      <c r="E29" s="280"/>
      <c r="F29" s="298"/>
      <c r="G29" s="298"/>
      <c r="H29" s="298"/>
      <c r="I29" s="298"/>
      <c r="J29" s="298"/>
      <c r="K29" s="282"/>
      <c r="L29" s="283"/>
      <c r="M29" s="278"/>
    </row>
    <row r="30" spans="1:13" ht="30" x14ac:dyDescent="0.2">
      <c r="A30" s="279"/>
      <c r="B30" s="138" t="s">
        <v>724</v>
      </c>
      <c r="C30" s="144" t="s">
        <v>1121</v>
      </c>
      <c r="D30" s="168" t="s">
        <v>155</v>
      </c>
      <c r="E30" s="280"/>
      <c r="F30" s="298"/>
      <c r="G30" s="298"/>
      <c r="H30" s="298"/>
      <c r="I30" s="298"/>
      <c r="J30" s="298"/>
      <c r="K30" s="282"/>
      <c r="L30" s="283"/>
      <c r="M30" s="278"/>
    </row>
    <row r="31" spans="1:13" ht="30" x14ac:dyDescent="0.2">
      <c r="A31" s="279"/>
      <c r="B31" s="138" t="s">
        <v>869</v>
      </c>
      <c r="C31" s="144" t="s">
        <v>673</v>
      </c>
      <c r="D31" s="168" t="s">
        <v>836</v>
      </c>
      <c r="E31" s="280"/>
      <c r="F31" s="298"/>
      <c r="G31" s="298"/>
      <c r="H31" s="298"/>
      <c r="I31" s="298"/>
      <c r="J31" s="298"/>
      <c r="K31" s="282"/>
      <c r="L31" s="283"/>
      <c r="M31" s="278"/>
    </row>
    <row r="32" spans="1:13" ht="30" x14ac:dyDescent="0.2">
      <c r="A32" s="279"/>
      <c r="B32" s="138" t="s">
        <v>430</v>
      </c>
      <c r="C32" s="144" t="s">
        <v>503</v>
      </c>
      <c r="D32" s="168" t="s">
        <v>1172</v>
      </c>
      <c r="E32" s="280"/>
      <c r="F32" s="298"/>
      <c r="G32" s="298"/>
      <c r="H32" s="298"/>
      <c r="I32" s="298"/>
      <c r="J32" s="298"/>
      <c r="K32" s="282"/>
      <c r="L32" s="283"/>
      <c r="M32" s="278"/>
    </row>
    <row r="33" spans="1:13" ht="30" x14ac:dyDescent="0.2">
      <c r="A33" s="279"/>
      <c r="B33" s="138" t="s">
        <v>838</v>
      </c>
      <c r="C33" s="144" t="s">
        <v>257</v>
      </c>
      <c r="D33" s="168" t="s">
        <v>1172</v>
      </c>
      <c r="E33" s="280"/>
      <c r="F33" s="298"/>
      <c r="G33" s="298"/>
      <c r="H33" s="298"/>
      <c r="I33" s="298"/>
      <c r="J33" s="298"/>
      <c r="K33" s="282"/>
      <c r="L33" s="283"/>
      <c r="M33" s="278"/>
    </row>
    <row r="34" spans="1:13" ht="15" x14ac:dyDescent="0.2">
      <c r="A34" s="279"/>
      <c r="B34" s="138" t="s">
        <v>1158</v>
      </c>
      <c r="C34" s="144" t="s">
        <v>785</v>
      </c>
      <c r="D34" s="168" t="s">
        <v>155</v>
      </c>
      <c r="E34" s="280"/>
      <c r="F34" s="298"/>
      <c r="G34" s="298"/>
      <c r="H34" s="298"/>
      <c r="I34" s="298"/>
      <c r="J34" s="298"/>
      <c r="K34" s="282"/>
      <c r="L34" s="283"/>
      <c r="M34" s="278"/>
    </row>
    <row r="35" spans="1:13" ht="45" x14ac:dyDescent="0.2">
      <c r="A35" s="279"/>
      <c r="B35" s="138" t="s">
        <v>869</v>
      </c>
      <c r="C35" s="144" t="s">
        <v>730</v>
      </c>
      <c r="D35" s="168" t="s">
        <v>836</v>
      </c>
      <c r="E35" s="280"/>
      <c r="F35" s="298"/>
      <c r="G35" s="298"/>
      <c r="H35" s="298"/>
      <c r="I35" s="298"/>
      <c r="J35" s="298"/>
      <c r="K35" s="282"/>
      <c r="L35" s="283"/>
      <c r="M35" s="278"/>
    </row>
    <row r="36" spans="1:13" ht="30" x14ac:dyDescent="0.2">
      <c r="A36" s="279"/>
      <c r="B36" s="138" t="s">
        <v>910</v>
      </c>
      <c r="C36" s="144" t="s">
        <v>106</v>
      </c>
      <c r="D36" s="168" t="s">
        <v>1172</v>
      </c>
      <c r="E36" s="280"/>
      <c r="F36" s="298"/>
      <c r="G36" s="298"/>
      <c r="H36" s="298"/>
      <c r="I36" s="298"/>
      <c r="J36" s="298"/>
      <c r="K36" s="282"/>
      <c r="L36" s="283"/>
      <c r="M36" s="278"/>
    </row>
    <row r="37" spans="1:13" ht="30" x14ac:dyDescent="0.2">
      <c r="A37" s="279"/>
      <c r="B37" s="138" t="s">
        <v>62</v>
      </c>
      <c r="C37" s="144" t="s">
        <v>1053</v>
      </c>
      <c r="D37" s="168" t="s">
        <v>1172</v>
      </c>
      <c r="E37" s="280"/>
      <c r="F37" s="298"/>
      <c r="G37" s="298"/>
      <c r="H37" s="298"/>
      <c r="I37" s="298"/>
      <c r="J37" s="298"/>
      <c r="K37" s="282"/>
      <c r="L37" s="283"/>
      <c r="M37" s="278"/>
    </row>
    <row r="38" spans="1:13" ht="15" x14ac:dyDescent="0.2">
      <c r="A38" s="279"/>
      <c r="B38" s="144"/>
      <c r="C38" s="130" t="s">
        <v>381</v>
      </c>
      <c r="D38" s="168"/>
      <c r="E38" s="280"/>
      <c r="F38" s="298"/>
      <c r="G38" s="298"/>
      <c r="H38" s="298"/>
      <c r="I38" s="298"/>
      <c r="J38" s="298"/>
      <c r="K38" s="282"/>
      <c r="L38" s="283"/>
      <c r="M38" s="278"/>
    </row>
    <row r="39" spans="1:13" ht="30" x14ac:dyDescent="0.2">
      <c r="A39" s="279"/>
      <c r="B39" s="52" t="s">
        <v>486</v>
      </c>
      <c r="C39" s="144" t="s">
        <v>74</v>
      </c>
      <c r="D39" s="168" t="s">
        <v>1172</v>
      </c>
      <c r="E39" s="280"/>
      <c r="F39" s="298"/>
      <c r="G39" s="298"/>
      <c r="H39" s="298"/>
      <c r="I39" s="298"/>
      <c r="J39" s="298"/>
      <c r="K39" s="282"/>
      <c r="L39" s="283"/>
      <c r="M39" s="278"/>
    </row>
    <row r="40" spans="1:13" ht="15" x14ac:dyDescent="0.2">
      <c r="A40" s="279"/>
      <c r="B40" s="29" t="s">
        <v>30</v>
      </c>
      <c r="C40" s="80" t="s">
        <v>1183</v>
      </c>
      <c r="D40" s="119" t="s">
        <v>75</v>
      </c>
      <c r="E40" s="280"/>
      <c r="F40" s="298"/>
      <c r="G40" s="298"/>
      <c r="H40" s="298"/>
      <c r="I40" s="298"/>
      <c r="J40" s="298"/>
      <c r="K40" s="282"/>
      <c r="L40" s="283"/>
      <c r="M40" s="278"/>
    </row>
    <row r="41" spans="1:13" ht="15" x14ac:dyDescent="0.2">
      <c r="A41" s="279"/>
      <c r="B41" s="29" t="s">
        <v>30</v>
      </c>
      <c r="C41" s="80" t="s">
        <v>1157</v>
      </c>
      <c r="D41" s="119" t="s">
        <v>555</v>
      </c>
      <c r="E41" s="280"/>
      <c r="F41" s="298"/>
      <c r="G41" s="298"/>
      <c r="H41" s="298"/>
      <c r="I41" s="298"/>
      <c r="J41" s="298"/>
      <c r="K41" s="282"/>
      <c r="L41" s="283"/>
      <c r="M41" s="278"/>
    </row>
    <row r="42" spans="1:13" ht="15" x14ac:dyDescent="0.2">
      <c r="A42" s="279"/>
      <c r="B42" s="138" t="s">
        <v>1071</v>
      </c>
      <c r="C42" s="144" t="s">
        <v>738</v>
      </c>
      <c r="D42" s="168" t="s">
        <v>227</v>
      </c>
      <c r="E42" s="280"/>
      <c r="F42" s="298"/>
      <c r="G42" s="298"/>
      <c r="H42" s="298"/>
      <c r="I42" s="298"/>
      <c r="J42" s="298"/>
      <c r="K42" s="282"/>
      <c r="L42" s="283"/>
      <c r="M42" s="278"/>
    </row>
    <row r="43" spans="1:13" ht="15" x14ac:dyDescent="0.2">
      <c r="A43" s="279"/>
      <c r="B43" s="138" t="s">
        <v>370</v>
      </c>
      <c r="C43" s="144" t="s">
        <v>194</v>
      </c>
      <c r="D43" s="168" t="s">
        <v>155</v>
      </c>
      <c r="E43" s="280"/>
      <c r="F43" s="298"/>
      <c r="G43" s="298"/>
      <c r="H43" s="298"/>
      <c r="I43" s="298"/>
      <c r="J43" s="298"/>
      <c r="K43" s="282"/>
      <c r="L43" s="283"/>
      <c r="M43" s="278"/>
    </row>
    <row r="44" spans="1:13" ht="15" x14ac:dyDescent="0.2">
      <c r="A44" s="279"/>
      <c r="B44" s="138" t="s">
        <v>769</v>
      </c>
      <c r="C44" s="144" t="s">
        <v>310</v>
      </c>
      <c r="D44" s="168" t="s">
        <v>155</v>
      </c>
      <c r="E44" s="280"/>
      <c r="F44" s="298"/>
      <c r="G44" s="298"/>
      <c r="H44" s="298"/>
      <c r="I44" s="298"/>
      <c r="J44" s="298"/>
      <c r="K44" s="282"/>
      <c r="L44" s="283"/>
      <c r="M44" s="278"/>
    </row>
    <row r="45" spans="1:13" ht="30" x14ac:dyDescent="0.2">
      <c r="A45" s="279"/>
      <c r="B45" s="138" t="s">
        <v>667</v>
      </c>
      <c r="C45" s="144" t="s">
        <v>451</v>
      </c>
      <c r="D45" s="168" t="s">
        <v>205</v>
      </c>
      <c r="E45" s="280"/>
      <c r="F45" s="298"/>
      <c r="G45" s="298"/>
      <c r="H45" s="298"/>
      <c r="I45" s="298"/>
      <c r="J45" s="298"/>
      <c r="K45" s="282"/>
      <c r="L45" s="283"/>
      <c r="M45" s="278"/>
    </row>
    <row r="46" spans="1:13" ht="15" x14ac:dyDescent="0.2">
      <c r="A46" s="279"/>
      <c r="B46" s="144"/>
      <c r="C46" s="130" t="s">
        <v>801</v>
      </c>
      <c r="D46" s="168"/>
      <c r="E46" s="280"/>
      <c r="F46" s="298"/>
      <c r="G46" s="298"/>
      <c r="H46" s="298"/>
      <c r="I46" s="298"/>
      <c r="J46" s="298"/>
      <c r="K46" s="282"/>
      <c r="L46" s="283"/>
      <c r="M46" s="278"/>
    </row>
    <row r="47" spans="1:13" ht="15" x14ac:dyDescent="0.2">
      <c r="A47" s="279"/>
      <c r="B47" s="52" t="s">
        <v>865</v>
      </c>
      <c r="C47" s="113" t="s">
        <v>485</v>
      </c>
      <c r="D47" s="168" t="s">
        <v>326</v>
      </c>
      <c r="E47" s="280"/>
      <c r="F47" s="298"/>
      <c r="G47" s="298"/>
      <c r="H47" s="298"/>
      <c r="I47" s="298"/>
      <c r="J47" s="298"/>
      <c r="K47" s="282"/>
      <c r="L47" s="283"/>
      <c r="M47" s="278"/>
    </row>
    <row r="48" spans="1:13" ht="15" x14ac:dyDescent="0.2">
      <c r="A48" s="279"/>
      <c r="B48" s="52" t="s">
        <v>865</v>
      </c>
      <c r="C48" s="113" t="s">
        <v>5</v>
      </c>
      <c r="D48" s="168" t="s">
        <v>326</v>
      </c>
      <c r="E48" s="280"/>
      <c r="F48" s="298"/>
      <c r="G48" s="298"/>
      <c r="H48" s="298"/>
      <c r="I48" s="298"/>
      <c r="J48" s="298"/>
      <c r="K48" s="282"/>
      <c r="L48" s="283"/>
      <c r="M48" s="278"/>
    </row>
    <row r="49" spans="1:13" ht="30" x14ac:dyDescent="0.2">
      <c r="A49" s="279"/>
      <c r="B49" s="138" t="s">
        <v>576</v>
      </c>
      <c r="C49" s="144" t="s">
        <v>27</v>
      </c>
      <c r="D49" s="168" t="s">
        <v>836</v>
      </c>
      <c r="E49" s="280"/>
      <c r="F49" s="298"/>
      <c r="G49" s="298"/>
      <c r="H49" s="298"/>
      <c r="I49" s="298"/>
      <c r="J49" s="298"/>
      <c r="K49" s="282"/>
      <c r="L49" s="283"/>
      <c r="M49" s="278"/>
    </row>
    <row r="50" spans="1:13" ht="15" x14ac:dyDescent="0.2">
      <c r="A50" s="279"/>
      <c r="B50" s="138" t="s">
        <v>1071</v>
      </c>
      <c r="C50" s="144" t="s">
        <v>738</v>
      </c>
      <c r="D50" s="168" t="s">
        <v>227</v>
      </c>
      <c r="E50" s="280"/>
      <c r="F50" s="298"/>
      <c r="G50" s="298"/>
      <c r="H50" s="298"/>
      <c r="I50" s="298"/>
      <c r="J50" s="298"/>
      <c r="K50" s="282"/>
      <c r="L50" s="283"/>
      <c r="M50" s="278"/>
    </row>
    <row r="51" spans="1:13" ht="15" x14ac:dyDescent="0.2">
      <c r="A51" s="279"/>
      <c r="B51" s="144"/>
      <c r="C51" s="130" t="s">
        <v>1091</v>
      </c>
      <c r="D51" s="168"/>
      <c r="E51" s="280"/>
      <c r="F51" s="298"/>
      <c r="G51" s="298"/>
      <c r="H51" s="298"/>
      <c r="I51" s="298"/>
      <c r="J51" s="298"/>
      <c r="K51" s="282"/>
      <c r="L51" s="283"/>
      <c r="M51" s="278"/>
    </row>
    <row r="52" spans="1:13" ht="30" x14ac:dyDescent="0.2">
      <c r="A52" s="279"/>
      <c r="B52" s="138" t="s">
        <v>896</v>
      </c>
      <c r="C52" s="144" t="s">
        <v>653</v>
      </c>
      <c r="D52" s="168" t="s">
        <v>155</v>
      </c>
      <c r="E52" s="280"/>
      <c r="F52" s="298"/>
      <c r="G52" s="298"/>
      <c r="H52" s="298"/>
      <c r="I52" s="298"/>
      <c r="J52" s="298"/>
      <c r="K52" s="282"/>
      <c r="L52" s="283"/>
      <c r="M52" s="278"/>
    </row>
    <row r="53" spans="1:13" ht="30" x14ac:dyDescent="0.2">
      <c r="A53" s="279"/>
      <c r="B53" s="138" t="s">
        <v>576</v>
      </c>
      <c r="C53" s="144" t="s">
        <v>27</v>
      </c>
      <c r="D53" s="168" t="s">
        <v>836</v>
      </c>
      <c r="E53" s="280"/>
      <c r="F53" s="298"/>
      <c r="G53" s="298"/>
      <c r="H53" s="298"/>
      <c r="I53" s="298"/>
      <c r="J53" s="298"/>
      <c r="K53" s="282"/>
      <c r="L53" s="283"/>
      <c r="M53" s="278"/>
    </row>
    <row r="54" spans="1:13" ht="15" x14ac:dyDescent="0.2">
      <c r="A54" s="279"/>
      <c r="B54" s="138" t="s">
        <v>1154</v>
      </c>
      <c r="C54" s="144" t="s">
        <v>1145</v>
      </c>
      <c r="D54" s="168" t="s">
        <v>155</v>
      </c>
      <c r="E54" s="280"/>
      <c r="F54" s="298"/>
      <c r="G54" s="298"/>
      <c r="H54" s="298"/>
      <c r="I54" s="298"/>
      <c r="J54" s="298"/>
      <c r="K54" s="282"/>
      <c r="L54" s="283"/>
      <c r="M54" s="278"/>
    </row>
    <row r="55" spans="1:13" ht="30" x14ac:dyDescent="0.2">
      <c r="A55" s="279"/>
      <c r="B55" s="138" t="s">
        <v>1133</v>
      </c>
      <c r="C55" s="144" t="s">
        <v>777</v>
      </c>
      <c r="D55" s="168" t="s">
        <v>1123</v>
      </c>
      <c r="E55" s="280"/>
      <c r="F55" s="298"/>
      <c r="G55" s="298"/>
      <c r="H55" s="298"/>
      <c r="I55" s="298"/>
      <c r="J55" s="298"/>
      <c r="K55" s="282"/>
      <c r="L55" s="283"/>
      <c r="M55" s="278"/>
    </row>
    <row r="56" spans="1:13" ht="30" x14ac:dyDescent="0.2">
      <c r="A56" s="279"/>
      <c r="B56" s="138" t="s">
        <v>635</v>
      </c>
      <c r="C56" s="144" t="s">
        <v>840</v>
      </c>
      <c r="D56" s="168" t="s">
        <v>836</v>
      </c>
      <c r="E56" s="280"/>
      <c r="F56" s="298"/>
      <c r="G56" s="298"/>
      <c r="H56" s="298"/>
      <c r="I56" s="298"/>
      <c r="J56" s="298"/>
      <c r="K56" s="282"/>
      <c r="L56" s="283"/>
      <c r="M56" s="278"/>
    </row>
    <row r="57" spans="1:13" ht="15" x14ac:dyDescent="0.2">
      <c r="A57" s="279"/>
      <c r="B57" s="138" t="s">
        <v>1158</v>
      </c>
      <c r="C57" s="144" t="s">
        <v>1020</v>
      </c>
      <c r="D57" s="168" t="s">
        <v>155</v>
      </c>
      <c r="E57" s="280"/>
      <c r="F57" s="298"/>
      <c r="G57" s="298"/>
      <c r="H57" s="298"/>
      <c r="I57" s="298"/>
      <c r="J57" s="298"/>
      <c r="K57" s="282"/>
      <c r="L57" s="283"/>
      <c r="M57" s="278"/>
    </row>
    <row r="58" spans="1:13" ht="15" x14ac:dyDescent="0.2">
      <c r="A58" s="279"/>
      <c r="B58" s="138" t="s">
        <v>752</v>
      </c>
      <c r="C58" s="144" t="s">
        <v>1032</v>
      </c>
      <c r="D58" s="168" t="s">
        <v>205</v>
      </c>
      <c r="E58" s="280"/>
      <c r="F58" s="298"/>
      <c r="G58" s="298"/>
      <c r="H58" s="298"/>
      <c r="I58" s="298"/>
      <c r="J58" s="298"/>
      <c r="K58" s="282"/>
      <c r="L58" s="283"/>
      <c r="M58" s="278"/>
    </row>
    <row r="59" spans="1:13" ht="30" x14ac:dyDescent="0.2">
      <c r="A59" s="279"/>
      <c r="B59" s="138" t="s">
        <v>869</v>
      </c>
      <c r="C59" s="144" t="s">
        <v>899</v>
      </c>
      <c r="D59" s="168" t="s">
        <v>836</v>
      </c>
      <c r="E59" s="280"/>
      <c r="F59" s="298"/>
      <c r="G59" s="298"/>
      <c r="H59" s="298"/>
      <c r="I59" s="298"/>
      <c r="J59" s="298"/>
      <c r="K59" s="282"/>
      <c r="L59" s="283"/>
      <c r="M59" s="278"/>
    </row>
    <row r="60" spans="1:13" ht="30" x14ac:dyDescent="0.2">
      <c r="A60" s="279"/>
      <c r="B60" s="138" t="s">
        <v>910</v>
      </c>
      <c r="C60" s="144" t="s">
        <v>106</v>
      </c>
      <c r="D60" s="168" t="s">
        <v>1172</v>
      </c>
      <c r="E60" s="280"/>
      <c r="F60" s="298"/>
      <c r="G60" s="298"/>
      <c r="H60" s="298"/>
      <c r="I60" s="298"/>
      <c r="J60" s="298"/>
      <c r="K60" s="282"/>
      <c r="L60" s="283"/>
      <c r="M60" s="278"/>
    </row>
    <row r="61" spans="1:13" ht="30" x14ac:dyDescent="0.2">
      <c r="A61" s="279"/>
      <c r="B61" s="138" t="s">
        <v>62</v>
      </c>
      <c r="C61" s="144" t="s">
        <v>1053</v>
      </c>
      <c r="D61" s="168" t="s">
        <v>1172</v>
      </c>
      <c r="E61" s="280"/>
      <c r="F61" s="298"/>
      <c r="G61" s="298"/>
      <c r="H61" s="298"/>
      <c r="I61" s="298"/>
      <c r="J61" s="298"/>
      <c r="K61" s="282"/>
      <c r="L61" s="283"/>
      <c r="M61" s="278"/>
    </row>
    <row r="62" spans="1:13" ht="28.5" x14ac:dyDescent="0.2">
      <c r="A62" s="279"/>
      <c r="B62" s="144"/>
      <c r="C62" s="130" t="s">
        <v>505</v>
      </c>
      <c r="D62" s="168"/>
      <c r="E62" s="280"/>
      <c r="F62" s="298"/>
      <c r="G62" s="298"/>
      <c r="H62" s="298"/>
      <c r="I62" s="298"/>
      <c r="J62" s="298"/>
      <c r="K62" s="282"/>
      <c r="L62" s="283"/>
      <c r="M62" s="278"/>
    </row>
    <row r="63" spans="1:13" ht="15" x14ac:dyDescent="0.2">
      <c r="A63" s="279"/>
      <c r="B63" s="138" t="s">
        <v>727</v>
      </c>
      <c r="C63" s="144" t="s">
        <v>135</v>
      </c>
      <c r="D63" s="168" t="s">
        <v>155</v>
      </c>
      <c r="E63" s="280"/>
      <c r="F63" s="298"/>
      <c r="G63" s="298"/>
      <c r="H63" s="298"/>
      <c r="I63" s="298"/>
      <c r="J63" s="298"/>
      <c r="K63" s="282"/>
      <c r="L63" s="283"/>
      <c r="M63" s="278"/>
    </row>
    <row r="64" spans="1:13" ht="15" x14ac:dyDescent="0.2">
      <c r="A64" s="279"/>
      <c r="B64" s="138" t="s">
        <v>752</v>
      </c>
      <c r="C64" s="144" t="s">
        <v>1032</v>
      </c>
      <c r="D64" s="168" t="s">
        <v>205</v>
      </c>
      <c r="E64" s="280"/>
      <c r="F64" s="298"/>
      <c r="G64" s="298"/>
      <c r="H64" s="298"/>
      <c r="I64" s="298"/>
      <c r="J64" s="298"/>
      <c r="K64" s="282"/>
      <c r="L64" s="283"/>
      <c r="M64" s="278"/>
    </row>
    <row r="65" spans="1:13" ht="30" x14ac:dyDescent="0.2">
      <c r="A65" s="279"/>
      <c r="B65" s="138" t="s">
        <v>589</v>
      </c>
      <c r="C65" s="144" t="s">
        <v>459</v>
      </c>
      <c r="D65" s="168" t="s">
        <v>836</v>
      </c>
      <c r="E65" s="280"/>
      <c r="F65" s="298"/>
      <c r="G65" s="298"/>
      <c r="H65" s="298"/>
      <c r="I65" s="298"/>
      <c r="J65" s="298"/>
      <c r="K65" s="282"/>
      <c r="L65" s="283"/>
      <c r="M65" s="278"/>
    </row>
    <row r="66" spans="1:13" ht="15" x14ac:dyDescent="0.2">
      <c r="A66" s="279"/>
      <c r="B66" s="144"/>
      <c r="C66" s="130" t="s">
        <v>384</v>
      </c>
      <c r="D66" s="168"/>
      <c r="E66" s="280"/>
      <c r="F66" s="298"/>
      <c r="G66" s="298"/>
      <c r="H66" s="298"/>
      <c r="I66" s="298"/>
      <c r="J66" s="298"/>
      <c r="K66" s="282"/>
      <c r="L66" s="283"/>
      <c r="M66" s="278"/>
    </row>
    <row r="67" spans="1:13" ht="15" x14ac:dyDescent="0.2">
      <c r="A67" s="279"/>
      <c r="B67" s="144"/>
      <c r="C67" s="130" t="s">
        <v>750</v>
      </c>
      <c r="D67" s="168"/>
      <c r="E67" s="280"/>
      <c r="F67" s="298"/>
      <c r="G67" s="298"/>
      <c r="H67" s="298"/>
      <c r="I67" s="298"/>
      <c r="J67" s="298"/>
      <c r="K67" s="282"/>
      <c r="L67" s="283"/>
      <c r="M67" s="278"/>
    </row>
    <row r="68" spans="1:13" ht="30" x14ac:dyDescent="0.2">
      <c r="A68" s="279"/>
      <c r="B68" s="138" t="s">
        <v>658</v>
      </c>
      <c r="C68" s="144" t="s">
        <v>90</v>
      </c>
      <c r="D68" s="168" t="s">
        <v>155</v>
      </c>
      <c r="E68" s="280"/>
      <c r="F68" s="298"/>
      <c r="G68" s="298"/>
      <c r="H68" s="298"/>
      <c r="I68" s="298"/>
      <c r="J68" s="298"/>
      <c r="K68" s="282"/>
      <c r="L68" s="283"/>
      <c r="M68" s="278"/>
    </row>
    <row r="69" spans="1:13" ht="30" x14ac:dyDescent="0.2">
      <c r="A69" s="279"/>
      <c r="B69" s="138" t="s">
        <v>847</v>
      </c>
      <c r="C69" s="144" t="s">
        <v>682</v>
      </c>
      <c r="D69" s="168" t="s">
        <v>1172</v>
      </c>
      <c r="E69" s="280"/>
      <c r="F69" s="298"/>
      <c r="G69" s="298"/>
      <c r="H69" s="298"/>
      <c r="I69" s="298"/>
      <c r="J69" s="298"/>
      <c r="K69" s="282"/>
      <c r="L69" s="283"/>
      <c r="M69" s="278"/>
    </row>
    <row r="70" spans="1:13" ht="30" x14ac:dyDescent="0.2">
      <c r="A70" s="279"/>
      <c r="B70" s="138" t="s">
        <v>9</v>
      </c>
      <c r="C70" s="144" t="s">
        <v>111</v>
      </c>
      <c r="D70" s="168" t="s">
        <v>1172</v>
      </c>
      <c r="E70" s="280"/>
      <c r="F70" s="298"/>
      <c r="G70" s="298"/>
      <c r="H70" s="298"/>
      <c r="I70" s="298"/>
      <c r="J70" s="298"/>
      <c r="K70" s="282"/>
      <c r="L70" s="283"/>
      <c r="M70" s="278"/>
    </row>
    <row r="71" spans="1:13" ht="30" x14ac:dyDescent="0.2">
      <c r="A71" s="279"/>
      <c r="B71" s="138" t="s">
        <v>412</v>
      </c>
      <c r="C71" s="144" t="s">
        <v>640</v>
      </c>
      <c r="D71" s="168" t="s">
        <v>1172</v>
      </c>
      <c r="E71" s="280"/>
      <c r="F71" s="298"/>
      <c r="G71" s="298"/>
      <c r="H71" s="298"/>
      <c r="I71" s="298"/>
      <c r="J71" s="298"/>
      <c r="K71" s="282"/>
      <c r="L71" s="283"/>
      <c r="M71" s="278"/>
    </row>
    <row r="72" spans="1:13" ht="30" x14ac:dyDescent="0.2">
      <c r="A72" s="279"/>
      <c r="B72" s="138" t="s">
        <v>486</v>
      </c>
      <c r="C72" s="144" t="s">
        <v>74</v>
      </c>
      <c r="D72" s="168" t="s">
        <v>1172</v>
      </c>
      <c r="E72" s="280"/>
      <c r="F72" s="298"/>
      <c r="G72" s="298"/>
      <c r="H72" s="298"/>
      <c r="I72" s="298"/>
      <c r="J72" s="298"/>
      <c r="K72" s="282"/>
      <c r="L72" s="283"/>
      <c r="M72" s="278"/>
    </row>
    <row r="73" spans="1:13" ht="30" x14ac:dyDescent="0.2">
      <c r="A73" s="279"/>
      <c r="B73" s="138" t="s">
        <v>564</v>
      </c>
      <c r="C73" s="144" t="s">
        <v>593</v>
      </c>
      <c r="D73" s="168" t="s">
        <v>836</v>
      </c>
      <c r="E73" s="280"/>
      <c r="F73" s="298"/>
      <c r="G73" s="298"/>
      <c r="H73" s="298"/>
      <c r="I73" s="298"/>
      <c r="J73" s="298"/>
      <c r="K73" s="282"/>
      <c r="L73" s="283"/>
      <c r="M73" s="278"/>
    </row>
    <row r="74" spans="1:13" ht="15" x14ac:dyDescent="0.2">
      <c r="A74" s="279"/>
      <c r="B74" s="138" t="s">
        <v>286</v>
      </c>
      <c r="C74" s="144" t="s">
        <v>775</v>
      </c>
      <c r="D74" s="168" t="s">
        <v>1172</v>
      </c>
      <c r="E74" s="280"/>
      <c r="F74" s="298"/>
      <c r="G74" s="298"/>
      <c r="H74" s="298"/>
      <c r="I74" s="298"/>
      <c r="J74" s="298"/>
      <c r="K74" s="282"/>
      <c r="L74" s="283"/>
      <c r="M74" s="278"/>
    </row>
    <row r="75" spans="1:13" ht="30" x14ac:dyDescent="0.2">
      <c r="A75" s="279"/>
      <c r="B75" s="138" t="s">
        <v>701</v>
      </c>
      <c r="C75" s="144" t="s">
        <v>1161</v>
      </c>
      <c r="D75" s="168" t="s">
        <v>227</v>
      </c>
      <c r="E75" s="280"/>
      <c r="F75" s="298"/>
      <c r="G75" s="298"/>
      <c r="H75" s="298"/>
      <c r="I75" s="298"/>
      <c r="J75" s="298"/>
      <c r="K75" s="282"/>
      <c r="L75" s="283"/>
      <c r="M75" s="278"/>
    </row>
    <row r="76" spans="1:13" ht="30" x14ac:dyDescent="0.2">
      <c r="A76" s="279"/>
      <c r="B76" s="138" t="s">
        <v>177</v>
      </c>
      <c r="C76" s="144" t="s">
        <v>742</v>
      </c>
      <c r="D76" s="168" t="s">
        <v>859</v>
      </c>
      <c r="E76" s="280"/>
      <c r="F76" s="298"/>
      <c r="G76" s="298"/>
      <c r="H76" s="298"/>
      <c r="I76" s="298"/>
      <c r="J76" s="298"/>
      <c r="K76" s="282"/>
      <c r="L76" s="283"/>
      <c r="M76" s="278"/>
    </row>
    <row r="77" spans="1:13" ht="15" x14ac:dyDescent="0.2">
      <c r="A77" s="279"/>
      <c r="B77" s="138" t="s">
        <v>567</v>
      </c>
      <c r="C77" s="144" t="s">
        <v>644</v>
      </c>
      <c r="D77" s="168" t="s">
        <v>155</v>
      </c>
      <c r="E77" s="280"/>
      <c r="F77" s="298"/>
      <c r="G77" s="298"/>
      <c r="H77" s="298"/>
      <c r="I77" s="298"/>
      <c r="J77" s="298"/>
      <c r="K77" s="282"/>
      <c r="L77" s="283"/>
      <c r="M77" s="278"/>
    </row>
    <row r="78" spans="1:13" ht="15" x14ac:dyDescent="0.2">
      <c r="A78" s="279"/>
      <c r="B78" s="144"/>
      <c r="C78" s="130" t="s">
        <v>394</v>
      </c>
      <c r="D78" s="168"/>
      <c r="E78" s="280"/>
      <c r="F78" s="298"/>
      <c r="G78" s="298"/>
      <c r="H78" s="298"/>
      <c r="I78" s="298"/>
      <c r="J78" s="298"/>
      <c r="K78" s="282"/>
      <c r="L78" s="283"/>
      <c r="M78" s="278"/>
    </row>
    <row r="79" spans="1:13" ht="30" x14ac:dyDescent="0.2">
      <c r="A79" s="279"/>
      <c r="B79" s="138" t="s">
        <v>658</v>
      </c>
      <c r="C79" s="144" t="s">
        <v>90</v>
      </c>
      <c r="D79" s="168" t="s">
        <v>155</v>
      </c>
      <c r="E79" s="280"/>
      <c r="F79" s="298"/>
      <c r="G79" s="298"/>
      <c r="H79" s="298"/>
      <c r="I79" s="298"/>
      <c r="J79" s="298"/>
      <c r="K79" s="282"/>
      <c r="L79" s="283"/>
      <c r="M79" s="278"/>
    </row>
    <row r="80" spans="1:13" ht="30" x14ac:dyDescent="0.2">
      <c r="A80" s="279"/>
      <c r="B80" s="138" t="s">
        <v>847</v>
      </c>
      <c r="C80" s="144" t="s">
        <v>682</v>
      </c>
      <c r="D80" s="168" t="s">
        <v>1172</v>
      </c>
      <c r="E80" s="280"/>
      <c r="F80" s="298"/>
      <c r="G80" s="298"/>
      <c r="H80" s="298"/>
      <c r="I80" s="298"/>
      <c r="J80" s="298"/>
      <c r="K80" s="282"/>
      <c r="L80" s="283"/>
      <c r="M80" s="278"/>
    </row>
    <row r="81" spans="1:13" ht="30" x14ac:dyDescent="0.2">
      <c r="A81" s="279"/>
      <c r="B81" s="138" t="s">
        <v>9</v>
      </c>
      <c r="C81" s="144" t="s">
        <v>111</v>
      </c>
      <c r="D81" s="168" t="s">
        <v>1172</v>
      </c>
      <c r="E81" s="280"/>
      <c r="F81" s="298"/>
      <c r="G81" s="298"/>
      <c r="H81" s="298"/>
      <c r="I81" s="298"/>
      <c r="J81" s="298"/>
      <c r="K81" s="282"/>
      <c r="L81" s="283"/>
      <c r="M81" s="278"/>
    </row>
    <row r="82" spans="1:13" ht="30" x14ac:dyDescent="0.2">
      <c r="A82" s="279"/>
      <c r="B82" s="138" t="s">
        <v>412</v>
      </c>
      <c r="C82" s="144" t="s">
        <v>640</v>
      </c>
      <c r="D82" s="168" t="s">
        <v>1172</v>
      </c>
      <c r="E82" s="280"/>
      <c r="F82" s="298"/>
      <c r="G82" s="298"/>
      <c r="H82" s="298"/>
      <c r="I82" s="298"/>
      <c r="J82" s="298"/>
      <c r="K82" s="282"/>
      <c r="L82" s="283"/>
      <c r="M82" s="278"/>
    </row>
    <row r="83" spans="1:13" ht="30" x14ac:dyDescent="0.2">
      <c r="A83" s="279"/>
      <c r="B83" s="138" t="s">
        <v>486</v>
      </c>
      <c r="C83" s="144" t="s">
        <v>74</v>
      </c>
      <c r="D83" s="168" t="s">
        <v>1172</v>
      </c>
      <c r="E83" s="280"/>
      <c r="F83" s="298"/>
      <c r="G83" s="298"/>
      <c r="H83" s="298"/>
      <c r="I83" s="298"/>
      <c r="J83" s="298"/>
      <c r="K83" s="282"/>
      <c r="L83" s="283"/>
      <c r="M83" s="278"/>
    </row>
    <row r="84" spans="1:13" ht="30" x14ac:dyDescent="0.2">
      <c r="A84" s="279"/>
      <c r="B84" s="138" t="s">
        <v>564</v>
      </c>
      <c r="C84" s="144" t="s">
        <v>593</v>
      </c>
      <c r="D84" s="168" t="s">
        <v>836</v>
      </c>
      <c r="E84" s="280"/>
      <c r="F84" s="298"/>
      <c r="G84" s="298"/>
      <c r="H84" s="298"/>
      <c r="I84" s="298"/>
      <c r="J84" s="298"/>
      <c r="K84" s="282"/>
      <c r="L84" s="283"/>
      <c r="M84" s="278"/>
    </row>
    <row r="85" spans="1:13" ht="15" x14ac:dyDescent="0.2">
      <c r="A85" s="279"/>
      <c r="B85" s="138" t="s">
        <v>286</v>
      </c>
      <c r="C85" s="144" t="s">
        <v>775</v>
      </c>
      <c r="D85" s="168" t="s">
        <v>1172</v>
      </c>
      <c r="E85" s="280"/>
      <c r="F85" s="298"/>
      <c r="G85" s="298"/>
      <c r="H85" s="298"/>
      <c r="I85" s="298"/>
      <c r="J85" s="298"/>
      <c r="K85" s="282"/>
      <c r="L85" s="283"/>
      <c r="M85" s="278"/>
    </row>
    <row r="86" spans="1:13" ht="30" x14ac:dyDescent="0.2">
      <c r="A86" s="279"/>
      <c r="B86" s="138" t="s">
        <v>315</v>
      </c>
      <c r="C86" s="144" t="s">
        <v>1080</v>
      </c>
      <c r="D86" s="168" t="s">
        <v>227</v>
      </c>
      <c r="E86" s="280"/>
      <c r="F86" s="298"/>
      <c r="G86" s="298"/>
      <c r="H86" s="298"/>
      <c r="I86" s="298"/>
      <c r="J86" s="298"/>
      <c r="K86" s="282"/>
      <c r="L86" s="283"/>
      <c r="M86" s="278"/>
    </row>
    <row r="87" spans="1:13" ht="30" x14ac:dyDescent="0.2">
      <c r="A87" s="279"/>
      <c r="B87" s="52" t="s">
        <v>208</v>
      </c>
      <c r="C87" s="144" t="s">
        <v>481</v>
      </c>
      <c r="D87" s="168" t="s">
        <v>859</v>
      </c>
      <c r="E87" s="280"/>
      <c r="F87" s="298"/>
      <c r="G87" s="298"/>
      <c r="H87" s="298"/>
      <c r="I87" s="298"/>
      <c r="J87" s="298"/>
      <c r="K87" s="282"/>
      <c r="L87" s="283"/>
      <c r="M87" s="278"/>
    </row>
    <row r="88" spans="1:13" ht="15" x14ac:dyDescent="0.2">
      <c r="A88" s="279"/>
      <c r="B88" s="138" t="s">
        <v>567</v>
      </c>
      <c r="C88" s="144" t="s">
        <v>644</v>
      </c>
      <c r="D88" s="168" t="s">
        <v>155</v>
      </c>
      <c r="E88" s="280"/>
      <c r="F88" s="298"/>
      <c r="G88" s="298"/>
      <c r="H88" s="298"/>
      <c r="I88" s="298"/>
      <c r="J88" s="298"/>
      <c r="K88" s="282"/>
      <c r="L88" s="283"/>
      <c r="M88" s="278"/>
    </row>
    <row r="89" spans="1:13" ht="15" x14ac:dyDescent="0.2">
      <c r="A89" s="279"/>
      <c r="B89" s="144"/>
      <c r="C89" s="183" t="s">
        <v>1200</v>
      </c>
      <c r="D89" s="168"/>
      <c r="E89" s="280"/>
      <c r="F89" s="298"/>
      <c r="G89" s="298"/>
      <c r="H89" s="298"/>
      <c r="I89" s="298"/>
      <c r="J89" s="298"/>
      <c r="K89" s="282"/>
      <c r="L89" s="283"/>
      <c r="M89" s="278"/>
    </row>
    <row r="90" spans="1:13" ht="30" x14ac:dyDescent="0.2">
      <c r="A90" s="279"/>
      <c r="B90" s="200" t="s">
        <v>658</v>
      </c>
      <c r="C90" s="201" t="s">
        <v>90</v>
      </c>
      <c r="D90" s="202" t="s">
        <v>155</v>
      </c>
      <c r="E90" s="280"/>
      <c r="F90" s="298"/>
      <c r="G90" s="298"/>
      <c r="H90" s="298"/>
      <c r="I90" s="298"/>
      <c r="J90" s="298"/>
      <c r="K90" s="282"/>
      <c r="L90" s="283"/>
      <c r="M90" s="278"/>
    </row>
    <row r="91" spans="1:13" ht="30" x14ac:dyDescent="0.2">
      <c r="A91" s="279"/>
      <c r="B91" s="138" t="s">
        <v>847</v>
      </c>
      <c r="C91" s="144" t="s">
        <v>682</v>
      </c>
      <c r="D91" s="168" t="s">
        <v>1172</v>
      </c>
      <c r="E91" s="280"/>
      <c r="F91" s="298"/>
      <c r="G91" s="298"/>
      <c r="H91" s="298"/>
      <c r="I91" s="298"/>
      <c r="J91" s="298"/>
      <c r="K91" s="282"/>
      <c r="L91" s="283"/>
      <c r="M91" s="278"/>
    </row>
    <row r="92" spans="1:13" ht="30" x14ac:dyDescent="0.2">
      <c r="A92" s="279"/>
      <c r="B92" s="138" t="s">
        <v>9</v>
      </c>
      <c r="C92" s="144" t="s">
        <v>111</v>
      </c>
      <c r="D92" s="168" t="s">
        <v>1172</v>
      </c>
      <c r="E92" s="280"/>
      <c r="F92" s="298"/>
      <c r="G92" s="298"/>
      <c r="H92" s="298"/>
      <c r="I92" s="298"/>
      <c r="J92" s="298"/>
      <c r="K92" s="282"/>
      <c r="L92" s="283"/>
      <c r="M92" s="278"/>
    </row>
    <row r="93" spans="1:13" ht="30" x14ac:dyDescent="0.2">
      <c r="A93" s="279"/>
      <c r="B93" s="138" t="s">
        <v>412</v>
      </c>
      <c r="C93" s="144" t="s">
        <v>640</v>
      </c>
      <c r="D93" s="168" t="s">
        <v>1172</v>
      </c>
      <c r="E93" s="280"/>
      <c r="F93" s="298"/>
      <c r="G93" s="298"/>
      <c r="H93" s="298"/>
      <c r="I93" s="298"/>
      <c r="J93" s="298"/>
      <c r="K93" s="282"/>
      <c r="L93" s="283"/>
      <c r="M93" s="278"/>
    </row>
    <row r="94" spans="1:13" ht="30" x14ac:dyDescent="0.2">
      <c r="A94" s="279"/>
      <c r="B94" s="138" t="s">
        <v>486</v>
      </c>
      <c r="C94" s="144" t="s">
        <v>74</v>
      </c>
      <c r="D94" s="168" t="s">
        <v>1172</v>
      </c>
      <c r="E94" s="280"/>
      <c r="F94" s="298"/>
      <c r="G94" s="298"/>
      <c r="H94" s="298"/>
      <c r="I94" s="298"/>
      <c r="J94" s="298"/>
      <c r="K94" s="282"/>
      <c r="L94" s="283"/>
      <c r="M94" s="278"/>
    </row>
    <row r="95" spans="1:13" ht="30" x14ac:dyDescent="0.2">
      <c r="A95" s="279"/>
      <c r="B95" s="138" t="s">
        <v>564</v>
      </c>
      <c r="C95" s="144" t="s">
        <v>593</v>
      </c>
      <c r="D95" s="168" t="s">
        <v>836</v>
      </c>
      <c r="E95" s="280"/>
      <c r="F95" s="298"/>
      <c r="G95" s="298"/>
      <c r="H95" s="298"/>
      <c r="I95" s="298"/>
      <c r="J95" s="298"/>
      <c r="K95" s="282"/>
      <c r="L95" s="283"/>
      <c r="M95" s="278"/>
    </row>
    <row r="96" spans="1:13" ht="15" x14ac:dyDescent="0.2">
      <c r="A96" s="279"/>
      <c r="B96" s="138" t="s">
        <v>286</v>
      </c>
      <c r="C96" s="144" t="s">
        <v>965</v>
      </c>
      <c r="D96" s="168" t="s">
        <v>1172</v>
      </c>
      <c r="E96" s="280"/>
      <c r="F96" s="298"/>
      <c r="G96" s="298"/>
      <c r="H96" s="298"/>
      <c r="I96" s="298"/>
      <c r="J96" s="298"/>
      <c r="K96" s="282"/>
      <c r="L96" s="283"/>
      <c r="M96" s="278"/>
    </row>
    <row r="97" spans="1:13" ht="30" x14ac:dyDescent="0.2">
      <c r="A97" s="279"/>
      <c r="B97" s="138" t="s">
        <v>701</v>
      </c>
      <c r="C97" s="144" t="s">
        <v>1161</v>
      </c>
      <c r="D97" s="168" t="s">
        <v>227</v>
      </c>
      <c r="E97" s="280"/>
      <c r="F97" s="298"/>
      <c r="G97" s="298"/>
      <c r="H97" s="298"/>
      <c r="I97" s="298"/>
      <c r="J97" s="298"/>
      <c r="K97" s="282"/>
      <c r="L97" s="283"/>
      <c r="M97" s="278"/>
    </row>
    <row r="98" spans="1:13" ht="30" x14ac:dyDescent="0.2">
      <c r="A98" s="279"/>
      <c r="B98" s="138" t="s">
        <v>177</v>
      </c>
      <c r="C98" s="144" t="s">
        <v>742</v>
      </c>
      <c r="D98" s="168" t="s">
        <v>859</v>
      </c>
      <c r="E98" s="280"/>
      <c r="F98" s="298"/>
      <c r="G98" s="298"/>
      <c r="H98" s="298"/>
      <c r="I98" s="298"/>
      <c r="J98" s="298"/>
      <c r="K98" s="282"/>
      <c r="L98" s="283"/>
      <c r="M98" s="278"/>
    </row>
    <row r="99" spans="1:13" ht="15" x14ac:dyDescent="0.2">
      <c r="A99" s="279"/>
      <c r="B99" s="138" t="s">
        <v>1207</v>
      </c>
      <c r="C99" s="144" t="s">
        <v>1201</v>
      </c>
      <c r="D99" s="168" t="s">
        <v>155</v>
      </c>
      <c r="E99" s="280"/>
      <c r="F99" s="298"/>
      <c r="G99" s="298"/>
      <c r="H99" s="298"/>
      <c r="I99" s="298"/>
      <c r="J99" s="298"/>
      <c r="K99" s="282"/>
      <c r="L99" s="283"/>
      <c r="M99" s="278"/>
    </row>
    <row r="100" spans="1:13" ht="15" x14ac:dyDescent="0.2">
      <c r="A100" s="279"/>
      <c r="B100" s="144"/>
      <c r="C100" s="130" t="s">
        <v>470</v>
      </c>
      <c r="D100" s="168"/>
      <c r="E100" s="280"/>
      <c r="F100" s="298"/>
      <c r="G100" s="298"/>
      <c r="H100" s="298"/>
      <c r="I100" s="298"/>
      <c r="J100" s="298"/>
      <c r="K100" s="282"/>
      <c r="L100" s="283"/>
      <c r="M100" s="278"/>
    </row>
    <row r="101" spans="1:13" ht="15" x14ac:dyDescent="0.2">
      <c r="A101" s="279"/>
      <c r="B101" s="144"/>
      <c r="C101" s="130" t="s">
        <v>200</v>
      </c>
      <c r="D101" s="168"/>
      <c r="E101" s="280"/>
      <c r="F101" s="298"/>
      <c r="G101" s="298"/>
      <c r="H101" s="298"/>
      <c r="I101" s="298"/>
      <c r="J101" s="298"/>
      <c r="K101" s="282"/>
      <c r="L101" s="283"/>
      <c r="M101" s="278"/>
    </row>
    <row r="102" spans="1:13" ht="30" x14ac:dyDescent="0.2">
      <c r="A102" s="279"/>
      <c r="B102" s="52" t="s">
        <v>1039</v>
      </c>
      <c r="C102" s="144" t="s">
        <v>1113</v>
      </c>
      <c r="D102" s="168" t="s">
        <v>793</v>
      </c>
      <c r="E102" s="280"/>
      <c r="F102" s="298"/>
      <c r="G102" s="298"/>
      <c r="H102" s="298"/>
      <c r="I102" s="298"/>
      <c r="J102" s="298"/>
      <c r="K102" s="282"/>
      <c r="L102" s="283"/>
      <c r="M102" s="278"/>
    </row>
    <row r="103" spans="1:13" ht="15" x14ac:dyDescent="0.2">
      <c r="A103" s="279"/>
      <c r="B103" s="138" t="s">
        <v>361</v>
      </c>
      <c r="C103" s="144" t="s">
        <v>1146</v>
      </c>
      <c r="D103" s="168" t="s">
        <v>155</v>
      </c>
      <c r="E103" s="280"/>
      <c r="F103" s="298"/>
      <c r="G103" s="298"/>
      <c r="H103" s="298"/>
      <c r="I103" s="298"/>
      <c r="J103" s="298"/>
      <c r="K103" s="282"/>
      <c r="L103" s="283"/>
      <c r="M103" s="278"/>
    </row>
    <row r="104" spans="1:13" ht="30" x14ac:dyDescent="0.2">
      <c r="A104" s="279"/>
      <c r="B104" s="138" t="s">
        <v>715</v>
      </c>
      <c r="C104" s="144" t="s">
        <v>282</v>
      </c>
      <c r="D104" s="168" t="s">
        <v>793</v>
      </c>
      <c r="E104" s="280"/>
      <c r="F104" s="298"/>
      <c r="G104" s="298"/>
      <c r="H104" s="298"/>
      <c r="I104" s="298"/>
      <c r="J104" s="298"/>
      <c r="K104" s="282"/>
      <c r="L104" s="283"/>
      <c r="M104" s="278"/>
    </row>
    <row r="105" spans="1:13" ht="15" x14ac:dyDescent="0.2">
      <c r="A105" s="279"/>
      <c r="B105" s="144"/>
      <c r="C105" s="130" t="s">
        <v>8</v>
      </c>
      <c r="D105" s="168"/>
      <c r="E105" s="280"/>
      <c r="F105" s="298"/>
      <c r="G105" s="298"/>
      <c r="H105" s="298"/>
      <c r="I105" s="298"/>
      <c r="J105" s="298"/>
      <c r="K105" s="282"/>
      <c r="L105" s="283"/>
      <c r="M105" s="278"/>
    </row>
    <row r="106" spans="1:13" ht="30" x14ac:dyDescent="0.2">
      <c r="A106" s="279"/>
      <c r="B106" s="52" t="s">
        <v>1163</v>
      </c>
      <c r="C106" s="144" t="s">
        <v>26</v>
      </c>
      <c r="D106" s="168" t="s">
        <v>227</v>
      </c>
      <c r="E106" s="280"/>
      <c r="F106" s="298"/>
      <c r="G106" s="298"/>
      <c r="H106" s="298"/>
      <c r="I106" s="298"/>
      <c r="J106" s="298"/>
      <c r="K106" s="282"/>
      <c r="L106" s="283"/>
      <c r="M106" s="278"/>
    </row>
    <row r="107" spans="1:13" ht="15" x14ac:dyDescent="0.2">
      <c r="A107" s="279"/>
      <c r="B107" s="52" t="s">
        <v>1071</v>
      </c>
      <c r="C107" s="144" t="s">
        <v>738</v>
      </c>
      <c r="D107" s="168" t="s">
        <v>227</v>
      </c>
      <c r="E107" s="280"/>
      <c r="F107" s="298"/>
      <c r="G107" s="298"/>
      <c r="H107" s="298"/>
      <c r="I107" s="298"/>
      <c r="J107" s="298"/>
      <c r="K107" s="282"/>
      <c r="L107" s="283"/>
      <c r="M107" s="278"/>
    </row>
    <row r="108" spans="1:13" ht="30" x14ac:dyDescent="0.2">
      <c r="A108" s="279"/>
      <c r="B108" s="52" t="s">
        <v>576</v>
      </c>
      <c r="C108" s="144" t="s">
        <v>27</v>
      </c>
      <c r="D108" s="168" t="s">
        <v>836</v>
      </c>
      <c r="E108" s="280"/>
      <c r="F108" s="298"/>
      <c r="G108" s="298"/>
      <c r="H108" s="298"/>
      <c r="I108" s="298"/>
      <c r="J108" s="298"/>
      <c r="K108" s="282"/>
      <c r="L108" s="283"/>
      <c r="M108" s="278"/>
    </row>
    <row r="109" spans="1:13" ht="30" x14ac:dyDescent="0.2">
      <c r="A109" s="279"/>
      <c r="B109" s="138" t="s">
        <v>715</v>
      </c>
      <c r="C109" s="144" t="s">
        <v>282</v>
      </c>
      <c r="D109" s="168" t="s">
        <v>793</v>
      </c>
      <c r="E109" s="280"/>
      <c r="F109" s="298"/>
      <c r="G109" s="298"/>
      <c r="H109" s="298"/>
      <c r="I109" s="298"/>
      <c r="J109" s="298"/>
      <c r="K109" s="282"/>
      <c r="L109" s="283"/>
      <c r="M109" s="278"/>
    </row>
    <row r="110" spans="1:13" ht="30" x14ac:dyDescent="0.2">
      <c r="A110" s="279"/>
      <c r="B110" s="29" t="s">
        <v>30</v>
      </c>
      <c r="C110" s="80" t="s">
        <v>148</v>
      </c>
      <c r="D110" s="119" t="s">
        <v>155</v>
      </c>
      <c r="E110" s="280"/>
      <c r="F110" s="298"/>
      <c r="G110" s="298"/>
      <c r="H110" s="298"/>
      <c r="I110" s="298"/>
      <c r="J110" s="298"/>
      <c r="K110" s="282"/>
      <c r="L110" s="283"/>
      <c r="M110" s="278"/>
    </row>
    <row r="111" spans="1:13" ht="30" x14ac:dyDescent="0.2">
      <c r="A111" s="279"/>
      <c r="B111" s="138" t="s">
        <v>233</v>
      </c>
      <c r="C111" s="144" t="s">
        <v>345</v>
      </c>
      <c r="D111" s="168" t="s">
        <v>793</v>
      </c>
      <c r="E111" s="280"/>
      <c r="F111" s="298"/>
      <c r="G111" s="298"/>
      <c r="H111" s="298"/>
      <c r="I111" s="298"/>
      <c r="J111" s="298"/>
      <c r="K111" s="282"/>
      <c r="L111" s="283"/>
      <c r="M111" s="278"/>
    </row>
    <row r="112" spans="1:13" ht="15" x14ac:dyDescent="0.2">
      <c r="A112" s="279"/>
      <c r="B112" s="52" t="s">
        <v>1197</v>
      </c>
      <c r="C112" s="144" t="s">
        <v>923</v>
      </c>
      <c r="D112" s="168" t="s">
        <v>1172</v>
      </c>
      <c r="E112" s="280"/>
      <c r="F112" s="298"/>
      <c r="G112" s="298"/>
      <c r="H112" s="298"/>
      <c r="I112" s="298"/>
      <c r="J112" s="298"/>
      <c r="K112" s="282"/>
      <c r="L112" s="283"/>
      <c r="M112" s="278"/>
    </row>
    <row r="113" spans="1:13" ht="15" x14ac:dyDescent="0.2">
      <c r="A113" s="279"/>
      <c r="B113" s="29" t="s">
        <v>30</v>
      </c>
      <c r="C113" s="80" t="s">
        <v>1000</v>
      </c>
      <c r="D113" s="119" t="s">
        <v>1123</v>
      </c>
      <c r="E113" s="280"/>
      <c r="F113" s="298"/>
      <c r="G113" s="298"/>
      <c r="H113" s="298"/>
      <c r="I113" s="298"/>
      <c r="J113" s="298"/>
      <c r="K113" s="282"/>
      <c r="L113" s="283"/>
      <c r="M113" s="278"/>
    </row>
    <row r="114" spans="1:13" ht="15" x14ac:dyDescent="0.2">
      <c r="A114" s="279"/>
      <c r="B114" s="144"/>
      <c r="C114" s="130" t="s">
        <v>37</v>
      </c>
      <c r="D114" s="168"/>
      <c r="E114" s="280"/>
      <c r="F114" s="298"/>
      <c r="G114" s="298"/>
      <c r="H114" s="298"/>
      <c r="I114" s="298"/>
      <c r="J114" s="298"/>
      <c r="K114" s="282"/>
      <c r="L114" s="283"/>
      <c r="M114" s="278"/>
    </row>
    <row r="115" spans="1:13" ht="15" x14ac:dyDescent="0.2">
      <c r="A115" s="279"/>
      <c r="B115" s="138" t="s">
        <v>455</v>
      </c>
      <c r="C115" s="144" t="s">
        <v>1061</v>
      </c>
      <c r="D115" s="168" t="s">
        <v>1172</v>
      </c>
      <c r="E115" s="280"/>
      <c r="F115" s="298"/>
      <c r="G115" s="298"/>
      <c r="H115" s="298"/>
      <c r="I115" s="298"/>
      <c r="J115" s="298"/>
      <c r="K115" s="282"/>
      <c r="L115" s="283"/>
      <c r="M115" s="278"/>
    </row>
    <row r="116" spans="1:13" ht="30" x14ac:dyDescent="0.2">
      <c r="A116" s="279"/>
      <c r="B116" s="138" t="s">
        <v>455</v>
      </c>
      <c r="C116" s="144" t="s">
        <v>917</v>
      </c>
      <c r="D116" s="168" t="s">
        <v>1172</v>
      </c>
      <c r="E116" s="280"/>
      <c r="F116" s="298"/>
      <c r="G116" s="298"/>
      <c r="H116" s="298"/>
      <c r="I116" s="298"/>
      <c r="J116" s="298"/>
      <c r="K116" s="282"/>
      <c r="L116" s="283"/>
      <c r="M116" s="278"/>
    </row>
    <row r="117" spans="1:13" ht="15" x14ac:dyDescent="0.2">
      <c r="A117" s="279"/>
      <c r="B117" s="133"/>
      <c r="C117" s="133" t="s">
        <v>689</v>
      </c>
      <c r="D117" s="161"/>
      <c r="E117" s="280"/>
      <c r="F117" s="298"/>
      <c r="G117" s="298"/>
      <c r="H117" s="298"/>
      <c r="I117" s="298"/>
      <c r="J117" s="298"/>
      <c r="K117" s="282"/>
      <c r="L117" s="283"/>
      <c r="M117" s="278"/>
    </row>
    <row r="118" spans="1:13" ht="30" x14ac:dyDescent="0.2">
      <c r="A118" s="279"/>
      <c r="B118" s="138" t="s">
        <v>701</v>
      </c>
      <c r="C118" s="144" t="s">
        <v>83</v>
      </c>
      <c r="D118" s="168" t="s">
        <v>227</v>
      </c>
      <c r="E118" s="280"/>
      <c r="F118" s="298"/>
      <c r="G118" s="298"/>
      <c r="H118" s="298"/>
      <c r="I118" s="298"/>
      <c r="J118" s="298"/>
      <c r="K118" s="282"/>
      <c r="L118" s="283"/>
      <c r="M118" s="278"/>
    </row>
    <row r="119" spans="1:13" ht="15" x14ac:dyDescent="0.2">
      <c r="A119" s="279"/>
      <c r="B119" s="144"/>
      <c r="C119" s="130" t="s">
        <v>1135</v>
      </c>
      <c r="D119" s="168"/>
      <c r="E119" s="280"/>
      <c r="F119" s="298"/>
      <c r="G119" s="298"/>
      <c r="H119" s="298"/>
      <c r="I119" s="298"/>
      <c r="J119" s="298"/>
      <c r="K119" s="282"/>
      <c r="L119" s="283"/>
      <c r="M119" s="278"/>
    </row>
    <row r="120" spans="1:13" ht="15" x14ac:dyDescent="0.2">
      <c r="A120" s="279"/>
      <c r="B120" s="138" t="s">
        <v>719</v>
      </c>
      <c r="C120" s="144" t="s">
        <v>886</v>
      </c>
      <c r="D120" s="168" t="s">
        <v>1172</v>
      </c>
      <c r="E120" s="280"/>
      <c r="F120" s="298"/>
      <c r="G120" s="298"/>
      <c r="H120" s="298"/>
      <c r="I120" s="298"/>
      <c r="J120" s="298"/>
      <c r="K120" s="282"/>
      <c r="L120" s="283"/>
      <c r="M120" s="278"/>
    </row>
    <row r="121" spans="1:13" ht="30" x14ac:dyDescent="0.2">
      <c r="A121" s="279"/>
      <c r="B121" s="29" t="s">
        <v>30</v>
      </c>
      <c r="C121" s="80" t="s">
        <v>413</v>
      </c>
      <c r="D121" s="119" t="s">
        <v>1172</v>
      </c>
      <c r="E121" s="280"/>
      <c r="F121" s="298"/>
      <c r="G121" s="298"/>
      <c r="H121" s="298"/>
      <c r="I121" s="298"/>
      <c r="J121" s="298"/>
      <c r="K121" s="282"/>
      <c r="L121" s="283"/>
      <c r="M121" s="278"/>
    </row>
    <row r="122" spans="1:13" ht="15" x14ac:dyDescent="0.2">
      <c r="A122" s="279"/>
      <c r="B122" s="133"/>
      <c r="C122" s="133" t="s">
        <v>20</v>
      </c>
      <c r="D122" s="161"/>
      <c r="E122" s="280"/>
      <c r="F122" s="298"/>
      <c r="G122" s="298"/>
      <c r="H122" s="298"/>
      <c r="I122" s="298"/>
      <c r="J122" s="298"/>
      <c r="K122" s="282"/>
      <c r="L122" s="283"/>
      <c r="M122" s="278"/>
    </row>
    <row r="123" spans="1:13" ht="15" x14ac:dyDescent="0.2">
      <c r="A123" s="279"/>
      <c r="B123" s="138" t="s">
        <v>954</v>
      </c>
      <c r="C123" s="144" t="s">
        <v>751</v>
      </c>
      <c r="D123" s="168" t="s">
        <v>1172</v>
      </c>
      <c r="E123" s="280"/>
      <c r="F123" s="298"/>
      <c r="G123" s="298"/>
      <c r="H123" s="298"/>
      <c r="I123" s="298"/>
      <c r="J123" s="298"/>
      <c r="K123" s="282"/>
      <c r="L123" s="283"/>
      <c r="M123" s="278"/>
    </row>
    <row r="124" spans="1:13" ht="30" x14ac:dyDescent="0.2">
      <c r="A124" s="279"/>
      <c r="B124" s="138" t="s">
        <v>954</v>
      </c>
      <c r="C124" s="153" t="s">
        <v>264</v>
      </c>
      <c r="D124" s="168" t="s">
        <v>1172</v>
      </c>
      <c r="E124" s="280"/>
      <c r="F124" s="298"/>
      <c r="G124" s="298"/>
      <c r="H124" s="298"/>
      <c r="I124" s="298"/>
      <c r="J124" s="298"/>
      <c r="K124" s="282"/>
      <c r="L124" s="283"/>
      <c r="M124" s="278"/>
    </row>
    <row r="125" spans="1:13" ht="30" x14ac:dyDescent="0.2">
      <c r="A125" s="279"/>
      <c r="B125" s="138" t="s">
        <v>203</v>
      </c>
      <c r="C125" s="144" t="s">
        <v>220</v>
      </c>
      <c r="D125" s="168" t="s">
        <v>227</v>
      </c>
      <c r="E125" s="280"/>
      <c r="F125" s="298"/>
      <c r="G125" s="298"/>
      <c r="H125" s="298"/>
      <c r="I125" s="298"/>
      <c r="J125" s="298"/>
      <c r="K125" s="282"/>
      <c r="L125" s="283"/>
      <c r="M125" s="278"/>
    </row>
    <row r="126" spans="1:13" ht="45" x14ac:dyDescent="0.2">
      <c r="A126" s="279"/>
      <c r="B126" s="138" t="s">
        <v>203</v>
      </c>
      <c r="C126" s="144" t="s">
        <v>107</v>
      </c>
      <c r="D126" s="168" t="s">
        <v>227</v>
      </c>
      <c r="E126" s="280"/>
      <c r="F126" s="298"/>
      <c r="G126" s="298"/>
      <c r="H126" s="298"/>
      <c r="I126" s="298"/>
      <c r="J126" s="298"/>
      <c r="K126" s="282"/>
      <c r="L126" s="283"/>
      <c r="M126" s="278"/>
    </row>
    <row r="127" spans="1:13" ht="30" x14ac:dyDescent="0.2">
      <c r="A127" s="279"/>
      <c r="B127" s="29" t="s">
        <v>30</v>
      </c>
      <c r="C127" s="80" t="s">
        <v>717</v>
      </c>
      <c r="D127" s="119" t="s">
        <v>227</v>
      </c>
      <c r="E127" s="280"/>
      <c r="F127" s="298"/>
      <c r="G127" s="298"/>
      <c r="H127" s="298"/>
      <c r="I127" s="298"/>
      <c r="J127" s="298"/>
      <c r="K127" s="282"/>
      <c r="L127" s="283"/>
      <c r="M127" s="278"/>
    </row>
    <row r="128" spans="1:13" ht="15" x14ac:dyDescent="0.2">
      <c r="A128" s="279"/>
      <c r="B128" s="133"/>
      <c r="C128" s="133" t="s">
        <v>97</v>
      </c>
      <c r="D128" s="161"/>
      <c r="E128" s="280"/>
      <c r="F128" s="298"/>
      <c r="G128" s="298"/>
      <c r="H128" s="298"/>
      <c r="I128" s="298"/>
      <c r="J128" s="298"/>
      <c r="K128" s="282"/>
      <c r="L128" s="283"/>
      <c r="M128" s="278"/>
    </row>
    <row r="129" spans="1:13" ht="30" x14ac:dyDescent="0.2">
      <c r="A129" s="279"/>
      <c r="B129" s="138" t="s">
        <v>157</v>
      </c>
      <c r="C129" s="144" t="s">
        <v>306</v>
      </c>
      <c r="D129" s="168" t="s">
        <v>227</v>
      </c>
      <c r="E129" s="280"/>
      <c r="F129" s="298"/>
      <c r="G129" s="298"/>
      <c r="H129" s="298"/>
      <c r="I129" s="298"/>
      <c r="J129" s="298"/>
      <c r="K129" s="282"/>
      <c r="L129" s="283"/>
      <c r="M129" s="278"/>
    </row>
    <row r="130" spans="1:13" ht="15" x14ac:dyDescent="0.2">
      <c r="A130" s="279"/>
      <c r="B130" s="144"/>
      <c r="C130" s="130" t="s">
        <v>42</v>
      </c>
      <c r="D130" s="168"/>
      <c r="E130" s="280"/>
      <c r="F130" s="298"/>
      <c r="G130" s="298"/>
      <c r="H130" s="298"/>
      <c r="I130" s="298"/>
      <c r="J130" s="298"/>
      <c r="K130" s="282"/>
      <c r="L130" s="283"/>
      <c r="M130" s="278"/>
    </row>
    <row r="131" spans="1:13" ht="15" x14ac:dyDescent="0.2">
      <c r="A131" s="279"/>
      <c r="B131" s="138" t="s">
        <v>719</v>
      </c>
      <c r="C131" s="144" t="s">
        <v>886</v>
      </c>
      <c r="D131" s="168" t="s">
        <v>1172</v>
      </c>
      <c r="E131" s="280"/>
      <c r="F131" s="298"/>
      <c r="G131" s="298"/>
      <c r="H131" s="298"/>
      <c r="I131" s="298"/>
      <c r="J131" s="298"/>
      <c r="K131" s="282"/>
      <c r="L131" s="283"/>
      <c r="M131" s="278"/>
    </row>
    <row r="132" spans="1:13" ht="30" x14ac:dyDescent="0.2">
      <c r="A132" s="279"/>
      <c r="B132" s="29" t="s">
        <v>30</v>
      </c>
      <c r="C132" s="80" t="s">
        <v>118</v>
      </c>
      <c r="D132" s="119" t="s">
        <v>1172</v>
      </c>
      <c r="E132" s="280"/>
      <c r="F132" s="298"/>
      <c r="G132" s="298"/>
      <c r="H132" s="298"/>
      <c r="I132" s="298"/>
      <c r="J132" s="298"/>
      <c r="K132" s="282"/>
      <c r="L132" s="283"/>
      <c r="M132" s="278"/>
    </row>
    <row r="133" spans="1:13" ht="15" x14ac:dyDescent="0.2">
      <c r="A133" s="279"/>
      <c r="B133" s="133"/>
      <c r="C133" s="133" t="s">
        <v>1098</v>
      </c>
      <c r="D133" s="161"/>
      <c r="E133" s="280"/>
      <c r="F133" s="298"/>
      <c r="G133" s="298"/>
      <c r="H133" s="298"/>
      <c r="I133" s="298"/>
      <c r="J133" s="298"/>
      <c r="K133" s="282"/>
      <c r="L133" s="283"/>
      <c r="M133" s="278"/>
    </row>
    <row r="134" spans="1:13" ht="15" x14ac:dyDescent="0.2">
      <c r="A134" s="279"/>
      <c r="B134" s="138" t="s">
        <v>954</v>
      </c>
      <c r="C134" s="144" t="s">
        <v>751</v>
      </c>
      <c r="D134" s="168" t="s">
        <v>1172</v>
      </c>
      <c r="E134" s="280"/>
      <c r="F134" s="298"/>
      <c r="G134" s="298"/>
      <c r="H134" s="298"/>
      <c r="I134" s="298"/>
      <c r="J134" s="298"/>
      <c r="K134" s="282"/>
      <c r="L134" s="283"/>
      <c r="M134" s="278"/>
    </row>
    <row r="135" spans="1:13" ht="30" x14ac:dyDescent="0.2">
      <c r="A135" s="279"/>
      <c r="B135" s="138" t="s">
        <v>954</v>
      </c>
      <c r="C135" s="153" t="s">
        <v>264</v>
      </c>
      <c r="D135" s="168" t="s">
        <v>1172</v>
      </c>
      <c r="E135" s="280"/>
      <c r="F135" s="298"/>
      <c r="G135" s="298"/>
      <c r="H135" s="298"/>
      <c r="I135" s="298"/>
      <c r="J135" s="298"/>
      <c r="K135" s="282"/>
      <c r="L135" s="283"/>
      <c r="M135" s="278"/>
    </row>
    <row r="136" spans="1:13" ht="30" x14ac:dyDescent="0.2">
      <c r="A136" s="279"/>
      <c r="B136" s="138" t="s">
        <v>203</v>
      </c>
      <c r="C136" s="144" t="s">
        <v>220</v>
      </c>
      <c r="D136" s="168" t="s">
        <v>227</v>
      </c>
      <c r="E136" s="280"/>
      <c r="F136" s="298"/>
      <c r="G136" s="298"/>
      <c r="H136" s="298"/>
      <c r="I136" s="298"/>
      <c r="J136" s="298"/>
      <c r="K136" s="282"/>
      <c r="L136" s="283"/>
      <c r="M136" s="278"/>
    </row>
    <row r="137" spans="1:13" ht="45" x14ac:dyDescent="0.2">
      <c r="A137" s="279"/>
      <c r="B137" s="138" t="s">
        <v>203</v>
      </c>
      <c r="C137" s="144" t="s">
        <v>107</v>
      </c>
      <c r="D137" s="168" t="s">
        <v>227</v>
      </c>
      <c r="E137" s="280"/>
      <c r="F137" s="298"/>
      <c r="G137" s="298"/>
      <c r="H137" s="298"/>
      <c r="I137" s="298"/>
      <c r="J137" s="298"/>
      <c r="K137" s="282"/>
      <c r="L137" s="283"/>
      <c r="M137" s="278"/>
    </row>
    <row r="138" spans="1:13" ht="30" x14ac:dyDescent="0.2">
      <c r="A138" s="279"/>
      <c r="B138" s="29" t="s">
        <v>30</v>
      </c>
      <c r="C138" s="80" t="s">
        <v>717</v>
      </c>
      <c r="D138" s="119" t="s">
        <v>227</v>
      </c>
      <c r="E138" s="280"/>
      <c r="F138" s="298"/>
      <c r="G138" s="298"/>
      <c r="H138" s="298"/>
      <c r="I138" s="298"/>
      <c r="J138" s="298"/>
      <c r="K138" s="282"/>
      <c r="L138" s="283"/>
      <c r="M138" s="278"/>
    </row>
    <row r="139" spans="1:13" ht="15" x14ac:dyDescent="0.2">
      <c r="A139" s="279"/>
      <c r="B139" s="133"/>
      <c r="C139" s="133" t="s">
        <v>1054</v>
      </c>
      <c r="D139" s="161"/>
      <c r="E139" s="280"/>
      <c r="F139" s="298"/>
      <c r="G139" s="298"/>
      <c r="H139" s="298"/>
      <c r="I139" s="298"/>
      <c r="J139" s="298"/>
      <c r="K139" s="282"/>
      <c r="L139" s="283"/>
      <c r="M139" s="278"/>
    </row>
    <row r="140" spans="1:13" ht="30" x14ac:dyDescent="0.2">
      <c r="A140" s="279"/>
      <c r="B140" s="138" t="s">
        <v>157</v>
      </c>
      <c r="C140" s="144" t="s">
        <v>306</v>
      </c>
      <c r="D140" s="168" t="s">
        <v>227</v>
      </c>
      <c r="E140" s="280"/>
      <c r="F140" s="298"/>
      <c r="G140" s="298"/>
      <c r="H140" s="298"/>
      <c r="I140" s="298"/>
      <c r="J140" s="298"/>
      <c r="K140" s="282"/>
      <c r="L140" s="283"/>
      <c r="M140" s="278"/>
    </row>
    <row r="141" spans="1:13" ht="15" x14ac:dyDescent="0.2">
      <c r="A141" s="279"/>
      <c r="B141" s="230"/>
      <c r="C141" s="231" t="s">
        <v>270</v>
      </c>
      <c r="D141" s="229"/>
      <c r="E141" s="280"/>
      <c r="F141" s="298"/>
      <c r="G141" s="298"/>
      <c r="H141" s="298"/>
      <c r="I141" s="298"/>
      <c r="J141" s="298"/>
      <c r="K141" s="282"/>
      <c r="L141" s="283"/>
      <c r="M141" s="278"/>
    </row>
    <row r="142" spans="1:13" ht="30" x14ac:dyDescent="0.2">
      <c r="A142" s="279"/>
      <c r="B142" s="138" t="s">
        <v>73</v>
      </c>
      <c r="C142" s="144" t="s">
        <v>556</v>
      </c>
      <c r="D142" s="168" t="s">
        <v>227</v>
      </c>
      <c r="E142" s="280"/>
      <c r="F142" s="298"/>
      <c r="G142" s="298"/>
      <c r="H142" s="298"/>
      <c r="I142" s="298"/>
      <c r="J142" s="298"/>
      <c r="K142" s="282"/>
      <c r="L142" s="283"/>
      <c r="M142" s="278"/>
    </row>
    <row r="143" spans="1:13" ht="30" x14ac:dyDescent="0.2">
      <c r="A143" s="279"/>
      <c r="B143" s="138" t="s">
        <v>73</v>
      </c>
      <c r="C143" s="144" t="s">
        <v>332</v>
      </c>
      <c r="D143" s="168" t="s">
        <v>227</v>
      </c>
      <c r="E143" s="280"/>
      <c r="F143" s="298"/>
      <c r="G143" s="298"/>
      <c r="H143" s="298"/>
      <c r="I143" s="298"/>
      <c r="J143" s="298"/>
      <c r="K143" s="282"/>
      <c r="L143" s="283"/>
      <c r="M143" s="278"/>
    </row>
    <row r="144" spans="1:13" ht="30" x14ac:dyDescent="0.2">
      <c r="A144" s="279"/>
      <c r="B144" s="29" t="s">
        <v>30</v>
      </c>
      <c r="C144" s="80" t="s">
        <v>427</v>
      </c>
      <c r="D144" s="119" t="s">
        <v>227</v>
      </c>
      <c r="E144" s="280"/>
      <c r="F144" s="298"/>
      <c r="G144" s="298"/>
      <c r="H144" s="298"/>
      <c r="I144" s="298"/>
      <c r="J144" s="298"/>
      <c r="K144" s="282"/>
      <c r="L144" s="283"/>
      <c r="M144" s="278"/>
    </row>
    <row r="145" spans="1:13" ht="15" x14ac:dyDescent="0.2">
      <c r="A145" s="279"/>
      <c r="B145" s="133"/>
      <c r="C145" s="133" t="s">
        <v>959</v>
      </c>
      <c r="D145" s="161"/>
      <c r="E145" s="280"/>
      <c r="F145" s="298"/>
      <c r="G145" s="298"/>
      <c r="H145" s="298"/>
      <c r="I145" s="298"/>
      <c r="J145" s="298"/>
      <c r="K145" s="282"/>
      <c r="L145" s="283"/>
      <c r="M145" s="278"/>
    </row>
    <row r="146" spans="1:13" ht="30" x14ac:dyDescent="0.2">
      <c r="A146" s="279"/>
      <c r="B146" s="52" t="s">
        <v>619</v>
      </c>
      <c r="C146" s="144" t="s">
        <v>813</v>
      </c>
      <c r="D146" s="168" t="s">
        <v>227</v>
      </c>
      <c r="E146" s="280"/>
      <c r="F146" s="298"/>
      <c r="G146" s="298"/>
      <c r="H146" s="298"/>
      <c r="I146" s="298"/>
      <c r="J146" s="298"/>
      <c r="K146" s="282"/>
      <c r="L146" s="283"/>
      <c r="M146" s="278"/>
    </row>
    <row r="147" spans="1:13" ht="15" x14ac:dyDescent="0.2">
      <c r="A147" s="279"/>
      <c r="B147" s="138" t="s">
        <v>719</v>
      </c>
      <c r="C147" s="144" t="s">
        <v>886</v>
      </c>
      <c r="D147" s="168" t="s">
        <v>1172</v>
      </c>
      <c r="E147" s="280"/>
      <c r="F147" s="298"/>
      <c r="G147" s="298"/>
      <c r="H147" s="298"/>
      <c r="I147" s="298"/>
      <c r="J147" s="298"/>
      <c r="K147" s="282"/>
      <c r="L147" s="283"/>
      <c r="M147" s="278"/>
    </row>
    <row r="148" spans="1:13" ht="30" x14ac:dyDescent="0.2">
      <c r="A148" s="279"/>
      <c r="B148" s="29" t="s">
        <v>30</v>
      </c>
      <c r="C148" s="80" t="s">
        <v>476</v>
      </c>
      <c r="D148" s="119" t="s">
        <v>1172</v>
      </c>
      <c r="E148" s="280"/>
      <c r="F148" s="298"/>
      <c r="G148" s="298"/>
      <c r="H148" s="298"/>
      <c r="I148" s="298"/>
      <c r="J148" s="298"/>
      <c r="K148" s="282"/>
      <c r="L148" s="283"/>
      <c r="M148" s="278"/>
    </row>
    <row r="149" spans="1:13" ht="15" x14ac:dyDescent="0.2">
      <c r="A149" s="279"/>
      <c r="B149" s="133"/>
      <c r="C149" s="133" t="s">
        <v>1151</v>
      </c>
      <c r="D149" s="161"/>
      <c r="E149" s="280"/>
      <c r="F149" s="298"/>
      <c r="G149" s="298"/>
      <c r="H149" s="298"/>
      <c r="I149" s="298"/>
      <c r="J149" s="298"/>
      <c r="K149" s="282"/>
      <c r="L149" s="283"/>
      <c r="M149" s="278"/>
    </row>
    <row r="150" spans="1:13" ht="15" x14ac:dyDescent="0.2">
      <c r="A150" s="279"/>
      <c r="B150" s="138" t="s">
        <v>954</v>
      </c>
      <c r="C150" s="144" t="s">
        <v>751</v>
      </c>
      <c r="D150" s="168" t="s">
        <v>1172</v>
      </c>
      <c r="E150" s="280"/>
      <c r="F150" s="298"/>
      <c r="G150" s="298"/>
      <c r="H150" s="298"/>
      <c r="I150" s="298"/>
      <c r="J150" s="298"/>
      <c r="K150" s="282"/>
      <c r="L150" s="283"/>
      <c r="M150" s="278"/>
    </row>
    <row r="151" spans="1:13" ht="30" x14ac:dyDescent="0.2">
      <c r="A151" s="279"/>
      <c r="B151" s="138" t="s">
        <v>954</v>
      </c>
      <c r="C151" s="153" t="s">
        <v>264</v>
      </c>
      <c r="D151" s="168" t="s">
        <v>1172</v>
      </c>
      <c r="E151" s="280"/>
      <c r="F151" s="298"/>
      <c r="G151" s="298"/>
      <c r="H151" s="298"/>
      <c r="I151" s="298"/>
      <c r="J151" s="298"/>
      <c r="K151" s="282"/>
      <c r="L151" s="283"/>
      <c r="M151" s="278"/>
    </row>
    <row r="152" spans="1:13" ht="15" x14ac:dyDescent="0.2">
      <c r="A152" s="279"/>
      <c r="B152" s="29" t="s">
        <v>30</v>
      </c>
      <c r="C152" s="80" t="s">
        <v>770</v>
      </c>
      <c r="D152" s="119" t="s">
        <v>75</v>
      </c>
      <c r="E152" s="280"/>
      <c r="F152" s="298"/>
      <c r="G152" s="298"/>
      <c r="H152" s="298"/>
      <c r="I152" s="298"/>
      <c r="J152" s="298"/>
      <c r="K152" s="282"/>
      <c r="L152" s="283"/>
      <c r="M152" s="278"/>
    </row>
    <row r="153" spans="1:13" ht="30" x14ac:dyDescent="0.2">
      <c r="A153" s="279"/>
      <c r="B153" s="138" t="s">
        <v>203</v>
      </c>
      <c r="C153" s="144" t="s">
        <v>220</v>
      </c>
      <c r="D153" s="168" t="s">
        <v>227</v>
      </c>
      <c r="E153" s="280"/>
      <c r="F153" s="298"/>
      <c r="G153" s="298"/>
      <c r="H153" s="298"/>
      <c r="I153" s="298"/>
      <c r="J153" s="298"/>
      <c r="K153" s="282"/>
      <c r="L153" s="283"/>
      <c r="M153" s="278"/>
    </row>
    <row r="154" spans="1:13" ht="45" x14ac:dyDescent="0.2">
      <c r="A154" s="279"/>
      <c r="B154" s="138" t="s">
        <v>203</v>
      </c>
      <c r="C154" s="144" t="s">
        <v>107</v>
      </c>
      <c r="D154" s="168" t="s">
        <v>227</v>
      </c>
      <c r="E154" s="280"/>
      <c r="F154" s="298"/>
      <c r="G154" s="298"/>
      <c r="H154" s="298"/>
      <c r="I154" s="298"/>
      <c r="J154" s="298"/>
      <c r="K154" s="282"/>
      <c r="L154" s="283"/>
      <c r="M154" s="278"/>
    </row>
    <row r="155" spans="1:13" ht="30" x14ac:dyDescent="0.2">
      <c r="A155" s="279"/>
      <c r="B155" s="29" t="s">
        <v>30</v>
      </c>
      <c r="C155" s="80" t="s">
        <v>717</v>
      </c>
      <c r="D155" s="119" t="s">
        <v>227</v>
      </c>
      <c r="E155" s="280"/>
      <c r="F155" s="298"/>
      <c r="G155" s="298"/>
      <c r="H155" s="298"/>
      <c r="I155" s="298"/>
      <c r="J155" s="298"/>
      <c r="K155" s="282"/>
      <c r="L155" s="283"/>
      <c r="M155" s="278"/>
    </row>
    <row r="156" spans="1:13" ht="15" x14ac:dyDescent="0.2">
      <c r="A156" s="279"/>
      <c r="B156" s="133"/>
      <c r="C156" s="133" t="s">
        <v>911</v>
      </c>
      <c r="D156" s="161"/>
      <c r="E156" s="280"/>
      <c r="F156" s="298"/>
      <c r="G156" s="298"/>
      <c r="H156" s="298"/>
      <c r="I156" s="298"/>
      <c r="J156" s="298"/>
      <c r="K156" s="282"/>
      <c r="L156" s="283"/>
      <c r="M156" s="278"/>
    </row>
    <row r="157" spans="1:13" ht="30" x14ac:dyDescent="0.2">
      <c r="A157" s="279"/>
      <c r="B157" s="138" t="s">
        <v>157</v>
      </c>
      <c r="C157" s="144" t="s">
        <v>306</v>
      </c>
      <c r="D157" s="168" t="s">
        <v>227</v>
      </c>
      <c r="E157" s="280"/>
      <c r="F157" s="298"/>
      <c r="G157" s="298"/>
      <c r="H157" s="298"/>
      <c r="I157" s="298"/>
      <c r="J157" s="298"/>
      <c r="K157" s="282"/>
      <c r="L157" s="283"/>
      <c r="M157" s="278"/>
    </row>
    <row r="158" spans="1:13" ht="15" x14ac:dyDescent="0.2">
      <c r="A158" s="279"/>
      <c r="B158" s="52" t="s">
        <v>598</v>
      </c>
      <c r="C158" s="144" t="s">
        <v>193</v>
      </c>
      <c r="D158" s="168" t="s">
        <v>1172</v>
      </c>
      <c r="E158" s="280"/>
      <c r="F158" s="298"/>
      <c r="G158" s="298"/>
      <c r="H158" s="298"/>
      <c r="I158" s="298"/>
      <c r="J158" s="298"/>
      <c r="K158" s="282"/>
      <c r="L158" s="283"/>
      <c r="M158" s="278"/>
    </row>
    <row r="159" spans="1:13" ht="15" x14ac:dyDescent="0.2">
      <c r="A159" s="279"/>
      <c r="B159" s="138" t="s">
        <v>389</v>
      </c>
      <c r="C159" s="144" t="s">
        <v>154</v>
      </c>
      <c r="D159" s="168" t="s">
        <v>1172</v>
      </c>
      <c r="E159" s="280"/>
      <c r="F159" s="298"/>
      <c r="G159" s="298"/>
      <c r="H159" s="298"/>
      <c r="I159" s="298"/>
      <c r="J159" s="298"/>
      <c r="K159" s="282"/>
      <c r="L159" s="283"/>
      <c r="M159" s="278"/>
    </row>
    <row r="160" spans="1:13" ht="15" x14ac:dyDescent="0.2">
      <c r="A160" s="279"/>
      <c r="B160" s="138" t="s">
        <v>1071</v>
      </c>
      <c r="C160" s="144" t="s">
        <v>738</v>
      </c>
      <c r="D160" s="168" t="s">
        <v>227</v>
      </c>
      <c r="E160" s="280"/>
      <c r="F160" s="298"/>
      <c r="G160" s="298"/>
      <c r="H160" s="298"/>
      <c r="I160" s="298"/>
      <c r="J160" s="298"/>
      <c r="K160" s="282"/>
      <c r="L160" s="283"/>
      <c r="M160" s="278"/>
    </row>
    <row r="161" spans="1:13" ht="30" x14ac:dyDescent="0.2">
      <c r="A161" s="279"/>
      <c r="B161" s="138" t="s">
        <v>576</v>
      </c>
      <c r="C161" s="144" t="s">
        <v>27</v>
      </c>
      <c r="D161" s="168" t="s">
        <v>836</v>
      </c>
      <c r="E161" s="280"/>
      <c r="F161" s="298"/>
      <c r="G161" s="298"/>
      <c r="H161" s="298"/>
      <c r="I161" s="298"/>
      <c r="J161" s="298"/>
      <c r="K161" s="282"/>
      <c r="L161" s="283"/>
      <c r="M161" s="278"/>
    </row>
    <row r="162" spans="1:13" ht="15" x14ac:dyDescent="0.2">
      <c r="A162" s="279"/>
      <c r="B162" s="29" t="s">
        <v>30</v>
      </c>
      <c r="C162" s="80" t="s">
        <v>487</v>
      </c>
      <c r="D162" s="119" t="s">
        <v>155</v>
      </c>
      <c r="E162" s="280"/>
      <c r="F162" s="298"/>
      <c r="G162" s="298"/>
      <c r="H162" s="298"/>
      <c r="I162" s="298"/>
      <c r="J162" s="298"/>
      <c r="K162" s="282"/>
      <c r="L162" s="283"/>
      <c r="M162" s="278"/>
    </row>
    <row r="163" spans="1:13" ht="15" x14ac:dyDescent="0.2">
      <c r="A163" s="279"/>
      <c r="B163" s="138" t="s">
        <v>1154</v>
      </c>
      <c r="C163" s="144" t="s">
        <v>1145</v>
      </c>
      <c r="D163" s="168" t="s">
        <v>155</v>
      </c>
      <c r="E163" s="280"/>
      <c r="F163" s="298"/>
      <c r="G163" s="298"/>
      <c r="H163" s="298"/>
      <c r="I163" s="298"/>
      <c r="J163" s="298"/>
      <c r="K163" s="282"/>
      <c r="L163" s="283"/>
      <c r="M163" s="278"/>
    </row>
    <row r="164" spans="1:13" ht="45" x14ac:dyDescent="0.2">
      <c r="A164" s="279"/>
      <c r="B164" s="52" t="s">
        <v>958</v>
      </c>
      <c r="C164" s="153" t="s">
        <v>57</v>
      </c>
      <c r="D164" s="168" t="s">
        <v>793</v>
      </c>
      <c r="E164" s="280"/>
      <c r="F164" s="298"/>
      <c r="G164" s="298"/>
      <c r="H164" s="298"/>
      <c r="I164" s="298"/>
      <c r="J164" s="298"/>
      <c r="K164" s="282"/>
      <c r="L164" s="283"/>
      <c r="M164" s="278"/>
    </row>
    <row r="165" spans="1:13" ht="30" x14ac:dyDescent="0.2">
      <c r="A165" s="279"/>
      <c r="B165" s="52" t="s">
        <v>800</v>
      </c>
      <c r="C165" s="144" t="s">
        <v>973</v>
      </c>
      <c r="D165" s="168" t="s">
        <v>155</v>
      </c>
      <c r="E165" s="280"/>
      <c r="F165" s="298"/>
      <c r="G165" s="298"/>
      <c r="H165" s="298"/>
      <c r="I165" s="298"/>
      <c r="J165" s="298"/>
      <c r="K165" s="282"/>
      <c r="L165" s="283"/>
      <c r="M165" s="278"/>
    </row>
    <row r="166" spans="1:13" ht="30" x14ac:dyDescent="0.2">
      <c r="A166" s="279"/>
      <c r="B166" s="52" t="s">
        <v>1077</v>
      </c>
      <c r="C166" s="144" t="s">
        <v>680</v>
      </c>
      <c r="D166" s="168" t="s">
        <v>793</v>
      </c>
      <c r="E166" s="280"/>
      <c r="F166" s="298"/>
      <c r="G166" s="298"/>
      <c r="H166" s="298"/>
      <c r="I166" s="298"/>
      <c r="J166" s="298"/>
      <c r="K166" s="282"/>
      <c r="L166" s="283"/>
      <c r="M166" s="278"/>
    </row>
    <row r="167" spans="1:13" ht="15" x14ac:dyDescent="0.2">
      <c r="A167" s="279"/>
      <c r="B167" s="144"/>
      <c r="C167" s="130" t="s">
        <v>736</v>
      </c>
      <c r="D167" s="168"/>
      <c r="E167" s="280"/>
      <c r="F167" s="298"/>
      <c r="G167" s="298"/>
      <c r="H167" s="298"/>
      <c r="I167" s="298"/>
      <c r="J167" s="298"/>
      <c r="K167" s="282"/>
      <c r="L167" s="283"/>
      <c r="M167" s="278"/>
    </row>
    <row r="168" spans="1:13" ht="15" x14ac:dyDescent="0.2">
      <c r="A168" s="279"/>
      <c r="B168" s="138" t="s">
        <v>719</v>
      </c>
      <c r="C168" s="144" t="s">
        <v>354</v>
      </c>
      <c r="D168" s="168" t="s">
        <v>1172</v>
      </c>
      <c r="E168" s="280"/>
      <c r="F168" s="298"/>
      <c r="G168" s="298"/>
      <c r="H168" s="298"/>
      <c r="I168" s="298"/>
      <c r="J168" s="298"/>
      <c r="K168" s="282"/>
      <c r="L168" s="283"/>
      <c r="M168" s="278"/>
    </row>
    <row r="169" spans="1:13" ht="30" x14ac:dyDescent="0.2">
      <c r="A169" s="279"/>
      <c r="B169" s="29" t="s">
        <v>30</v>
      </c>
      <c r="C169" s="80" t="s">
        <v>476</v>
      </c>
      <c r="D169" s="119" t="s">
        <v>1172</v>
      </c>
      <c r="E169" s="280"/>
      <c r="F169" s="298"/>
      <c r="G169" s="298"/>
      <c r="H169" s="298"/>
      <c r="I169" s="298"/>
      <c r="J169" s="298"/>
      <c r="K169" s="282"/>
      <c r="L169" s="283"/>
      <c r="M169" s="278"/>
    </row>
    <row r="170" spans="1:13" ht="15" x14ac:dyDescent="0.2">
      <c r="A170" s="279"/>
      <c r="B170" s="133"/>
      <c r="C170" s="133" t="s">
        <v>198</v>
      </c>
      <c r="D170" s="161"/>
      <c r="E170" s="280"/>
      <c r="F170" s="298"/>
      <c r="G170" s="298"/>
      <c r="H170" s="298"/>
      <c r="I170" s="298"/>
      <c r="J170" s="298"/>
      <c r="K170" s="282"/>
      <c r="L170" s="283"/>
      <c r="M170" s="278"/>
    </row>
    <row r="171" spans="1:13" ht="15" x14ac:dyDescent="0.2">
      <c r="A171" s="279"/>
      <c r="B171" s="138" t="s">
        <v>954</v>
      </c>
      <c r="C171" s="144" t="s">
        <v>751</v>
      </c>
      <c r="D171" s="168" t="s">
        <v>1172</v>
      </c>
      <c r="E171" s="280"/>
      <c r="F171" s="298"/>
      <c r="G171" s="298"/>
      <c r="H171" s="298"/>
      <c r="I171" s="298"/>
      <c r="J171" s="298"/>
      <c r="K171" s="282"/>
      <c r="L171" s="283"/>
      <c r="M171" s="278"/>
    </row>
    <row r="172" spans="1:13" ht="30" x14ac:dyDescent="0.2">
      <c r="A172" s="279"/>
      <c r="B172" s="138" t="s">
        <v>954</v>
      </c>
      <c r="C172" s="153" t="s">
        <v>264</v>
      </c>
      <c r="D172" s="168" t="s">
        <v>1172</v>
      </c>
      <c r="E172" s="280"/>
      <c r="F172" s="298"/>
      <c r="G172" s="298"/>
      <c r="H172" s="298"/>
      <c r="I172" s="298"/>
      <c r="J172" s="298"/>
      <c r="K172" s="282"/>
      <c r="L172" s="283"/>
      <c r="M172" s="278"/>
    </row>
    <row r="173" spans="1:13" ht="30" x14ac:dyDescent="0.2">
      <c r="A173" s="279"/>
      <c r="B173" s="138" t="s">
        <v>203</v>
      </c>
      <c r="C173" s="144" t="s">
        <v>823</v>
      </c>
      <c r="D173" s="168" t="s">
        <v>227</v>
      </c>
      <c r="E173" s="280"/>
      <c r="F173" s="298"/>
      <c r="G173" s="298"/>
      <c r="H173" s="298"/>
      <c r="I173" s="298"/>
      <c r="J173" s="298"/>
      <c r="K173" s="282"/>
      <c r="L173" s="283"/>
      <c r="M173" s="278"/>
    </row>
    <row r="174" spans="1:13" ht="45" x14ac:dyDescent="0.2">
      <c r="A174" s="279"/>
      <c r="B174" s="138" t="s">
        <v>203</v>
      </c>
      <c r="C174" s="144" t="s">
        <v>853</v>
      </c>
      <c r="D174" s="168" t="s">
        <v>227</v>
      </c>
      <c r="E174" s="280"/>
      <c r="F174" s="298"/>
      <c r="G174" s="298"/>
      <c r="H174" s="298"/>
      <c r="I174" s="298"/>
      <c r="J174" s="298"/>
      <c r="K174" s="282"/>
      <c r="L174" s="283"/>
      <c r="M174" s="278"/>
    </row>
    <row r="175" spans="1:13" ht="30" x14ac:dyDescent="0.2">
      <c r="A175" s="279"/>
      <c r="B175" s="29" t="s">
        <v>30</v>
      </c>
      <c r="C175" s="80" t="s">
        <v>717</v>
      </c>
      <c r="D175" s="119" t="s">
        <v>227</v>
      </c>
      <c r="E175" s="280"/>
      <c r="F175" s="298"/>
      <c r="G175" s="298"/>
      <c r="H175" s="298"/>
      <c r="I175" s="298"/>
      <c r="J175" s="298"/>
      <c r="K175" s="282"/>
      <c r="L175" s="283"/>
      <c r="M175" s="278"/>
    </row>
    <row r="176" spans="1:13" ht="15" x14ac:dyDescent="0.2">
      <c r="A176" s="279"/>
      <c r="B176" s="133"/>
      <c r="C176" s="133" t="s">
        <v>597</v>
      </c>
      <c r="D176" s="161"/>
      <c r="E176" s="280"/>
      <c r="F176" s="298"/>
      <c r="G176" s="298"/>
      <c r="H176" s="298"/>
      <c r="I176" s="298"/>
      <c r="J176" s="298"/>
      <c r="K176" s="282"/>
      <c r="L176" s="283"/>
      <c r="M176" s="278"/>
    </row>
    <row r="177" spans="1:13" ht="30" x14ac:dyDescent="0.2">
      <c r="A177" s="279"/>
      <c r="B177" s="138" t="s">
        <v>157</v>
      </c>
      <c r="C177" s="144" t="s">
        <v>306</v>
      </c>
      <c r="D177" s="168" t="s">
        <v>227</v>
      </c>
      <c r="E177" s="280"/>
      <c r="F177" s="298"/>
      <c r="G177" s="298"/>
      <c r="H177" s="298"/>
      <c r="I177" s="298"/>
      <c r="J177" s="298"/>
      <c r="K177" s="282"/>
      <c r="L177" s="283"/>
      <c r="M177" s="278"/>
    </row>
    <row r="178" spans="1:13" ht="15" x14ac:dyDescent="0.2">
      <c r="A178" s="279"/>
      <c r="B178" s="138" t="s">
        <v>845</v>
      </c>
      <c r="C178" s="144" t="s">
        <v>1025</v>
      </c>
      <c r="D178" s="168" t="s">
        <v>155</v>
      </c>
      <c r="E178" s="280"/>
      <c r="F178" s="298"/>
      <c r="G178" s="298"/>
      <c r="H178" s="298"/>
      <c r="I178" s="298"/>
      <c r="J178" s="298"/>
      <c r="K178" s="282"/>
      <c r="L178" s="283"/>
      <c r="M178" s="278"/>
    </row>
    <row r="179" spans="1:13" ht="30" x14ac:dyDescent="0.2">
      <c r="A179" s="279"/>
      <c r="B179" s="138" t="s">
        <v>926</v>
      </c>
      <c r="C179" s="144" t="s">
        <v>11</v>
      </c>
      <c r="D179" s="168" t="s">
        <v>836</v>
      </c>
      <c r="E179" s="280"/>
      <c r="F179" s="298"/>
      <c r="G179" s="298"/>
      <c r="H179" s="298"/>
      <c r="I179" s="298"/>
      <c r="J179" s="298"/>
      <c r="K179" s="282"/>
      <c r="L179" s="283"/>
      <c r="M179" s="278"/>
    </row>
    <row r="180" spans="1:13" ht="30" x14ac:dyDescent="0.2">
      <c r="A180" s="279"/>
      <c r="B180" s="138" t="s">
        <v>695</v>
      </c>
      <c r="C180" s="144" t="s">
        <v>562</v>
      </c>
      <c r="D180" s="168" t="s">
        <v>1123</v>
      </c>
      <c r="E180" s="280"/>
      <c r="F180" s="298"/>
      <c r="G180" s="298"/>
      <c r="H180" s="298"/>
      <c r="I180" s="298"/>
      <c r="J180" s="298"/>
      <c r="K180" s="282"/>
      <c r="L180" s="283"/>
      <c r="M180" s="278"/>
    </row>
    <row r="181" spans="1:13" ht="15" x14ac:dyDescent="0.2">
      <c r="A181" s="279"/>
      <c r="B181" s="52" t="s">
        <v>865</v>
      </c>
      <c r="C181" s="144" t="s">
        <v>485</v>
      </c>
      <c r="D181" s="168" t="s">
        <v>326</v>
      </c>
      <c r="E181" s="280"/>
      <c r="F181" s="298"/>
      <c r="G181" s="298"/>
      <c r="H181" s="298"/>
      <c r="I181" s="298"/>
      <c r="J181" s="298"/>
      <c r="K181" s="282"/>
      <c r="L181" s="283"/>
      <c r="M181" s="278"/>
    </row>
    <row r="182" spans="1:13" ht="15" x14ac:dyDescent="0.2">
      <c r="A182" s="279"/>
      <c r="B182" s="52" t="s">
        <v>213</v>
      </c>
      <c r="C182" s="144" t="s">
        <v>683</v>
      </c>
      <c r="D182" s="168" t="s">
        <v>155</v>
      </c>
      <c r="E182" s="280"/>
      <c r="F182" s="298"/>
      <c r="G182" s="298"/>
      <c r="H182" s="298"/>
      <c r="I182" s="298"/>
      <c r="J182" s="298"/>
      <c r="K182" s="282"/>
      <c r="L182" s="283"/>
      <c r="M182" s="278"/>
    </row>
    <row r="183" spans="1:13" ht="15" x14ac:dyDescent="0.2">
      <c r="A183" s="279"/>
      <c r="B183" s="144"/>
      <c r="C183" s="130" t="s">
        <v>621</v>
      </c>
      <c r="D183" s="168"/>
      <c r="E183" s="280"/>
      <c r="F183" s="298"/>
      <c r="G183" s="298"/>
      <c r="H183" s="298"/>
      <c r="I183" s="298"/>
      <c r="J183" s="298"/>
      <c r="K183" s="282"/>
      <c r="L183" s="283"/>
      <c r="M183" s="278"/>
    </row>
    <row r="184" spans="1:13" ht="15" x14ac:dyDescent="0.2">
      <c r="A184" s="279"/>
      <c r="B184" s="144"/>
      <c r="C184" s="130" t="s">
        <v>40</v>
      </c>
      <c r="D184" s="168"/>
      <c r="E184" s="280"/>
      <c r="F184" s="298"/>
      <c r="G184" s="298"/>
      <c r="H184" s="298"/>
      <c r="I184" s="298"/>
      <c r="J184" s="298"/>
      <c r="K184" s="282"/>
      <c r="L184" s="283"/>
      <c r="M184" s="278"/>
    </row>
    <row r="185" spans="1:13" ht="30" x14ac:dyDescent="0.2">
      <c r="A185" s="279"/>
      <c r="B185" s="138" t="s">
        <v>234</v>
      </c>
      <c r="C185" s="144" t="s">
        <v>1149</v>
      </c>
      <c r="D185" s="168" t="s">
        <v>155</v>
      </c>
      <c r="E185" s="280"/>
      <c r="F185" s="298"/>
      <c r="G185" s="298"/>
      <c r="H185" s="298"/>
      <c r="I185" s="298"/>
      <c r="J185" s="298"/>
      <c r="K185" s="282"/>
      <c r="L185" s="283"/>
      <c r="M185" s="278"/>
    </row>
    <row r="186" spans="1:13" ht="15" x14ac:dyDescent="0.2">
      <c r="A186" s="279"/>
      <c r="B186" s="138" t="s">
        <v>1034</v>
      </c>
      <c r="C186" s="144" t="s">
        <v>80</v>
      </c>
      <c r="D186" s="168" t="s">
        <v>155</v>
      </c>
      <c r="E186" s="280"/>
      <c r="F186" s="298"/>
      <c r="G186" s="298"/>
      <c r="H186" s="298"/>
      <c r="I186" s="298"/>
      <c r="J186" s="298"/>
      <c r="K186" s="282"/>
      <c r="L186" s="283"/>
      <c r="M186" s="278"/>
    </row>
    <row r="187" spans="1:13" ht="15" x14ac:dyDescent="0.2">
      <c r="A187" s="279"/>
      <c r="B187" s="138" t="s">
        <v>697</v>
      </c>
      <c r="C187" s="153" t="s">
        <v>395</v>
      </c>
      <c r="D187" s="168" t="s">
        <v>205</v>
      </c>
      <c r="E187" s="280"/>
      <c r="F187" s="298"/>
      <c r="G187" s="298"/>
      <c r="H187" s="298"/>
      <c r="I187" s="298"/>
      <c r="J187" s="298"/>
      <c r="K187" s="282"/>
      <c r="L187" s="283"/>
      <c r="M187" s="278"/>
    </row>
    <row r="188" spans="1:13" ht="15" x14ac:dyDescent="0.2">
      <c r="A188" s="279"/>
      <c r="B188" s="138" t="s">
        <v>361</v>
      </c>
      <c r="C188" s="144" t="s">
        <v>217</v>
      </c>
      <c r="D188" s="168" t="s">
        <v>155</v>
      </c>
      <c r="E188" s="280"/>
      <c r="F188" s="298"/>
      <c r="G188" s="298"/>
      <c r="H188" s="298"/>
      <c r="I188" s="298"/>
      <c r="J188" s="298"/>
      <c r="K188" s="282"/>
      <c r="L188" s="283"/>
      <c r="M188" s="278"/>
    </row>
    <row r="189" spans="1:13" ht="15" x14ac:dyDescent="0.2">
      <c r="A189" s="279"/>
      <c r="B189" s="138" t="s">
        <v>1188</v>
      </c>
      <c r="C189" s="144" t="s">
        <v>610</v>
      </c>
      <c r="D189" s="168" t="s">
        <v>1123</v>
      </c>
      <c r="E189" s="280"/>
      <c r="F189" s="298"/>
      <c r="G189" s="298"/>
      <c r="H189" s="298"/>
      <c r="I189" s="298"/>
      <c r="J189" s="298"/>
      <c r="K189" s="282"/>
      <c r="L189" s="283"/>
      <c r="M189" s="278"/>
    </row>
    <row r="190" spans="1:13" ht="30" x14ac:dyDescent="0.2">
      <c r="A190" s="279"/>
      <c r="B190" s="138" t="s">
        <v>506</v>
      </c>
      <c r="C190" s="144" t="s">
        <v>1182</v>
      </c>
      <c r="D190" s="168" t="s">
        <v>836</v>
      </c>
      <c r="E190" s="280"/>
      <c r="F190" s="298"/>
      <c r="G190" s="298"/>
      <c r="H190" s="298"/>
      <c r="I190" s="298"/>
      <c r="J190" s="298"/>
      <c r="K190" s="282"/>
      <c r="L190" s="283"/>
      <c r="M190" s="278"/>
    </row>
    <row r="191" spans="1:13" ht="30" x14ac:dyDescent="0.2">
      <c r="A191" s="279"/>
      <c r="B191" s="138" t="s">
        <v>589</v>
      </c>
      <c r="C191" s="144" t="s">
        <v>1030</v>
      </c>
      <c r="D191" s="168" t="s">
        <v>836</v>
      </c>
      <c r="E191" s="280"/>
      <c r="F191" s="298"/>
      <c r="G191" s="298"/>
      <c r="H191" s="298"/>
      <c r="I191" s="298"/>
      <c r="J191" s="298"/>
      <c r="K191" s="282"/>
      <c r="L191" s="283"/>
      <c r="M191" s="278"/>
    </row>
    <row r="192" spans="1:13" ht="30" x14ac:dyDescent="0.2">
      <c r="A192" s="279"/>
      <c r="B192" s="138" t="s">
        <v>408</v>
      </c>
      <c r="C192" s="144" t="s">
        <v>945</v>
      </c>
      <c r="D192" s="168" t="s">
        <v>1172</v>
      </c>
      <c r="E192" s="280"/>
      <c r="F192" s="298"/>
      <c r="G192" s="298"/>
      <c r="H192" s="298"/>
      <c r="I192" s="298"/>
      <c r="J192" s="298"/>
      <c r="K192" s="282"/>
      <c r="L192" s="283"/>
      <c r="M192" s="278"/>
    </row>
    <row r="193" spans="1:13" ht="30" x14ac:dyDescent="0.2">
      <c r="A193" s="279"/>
      <c r="B193" s="138" t="s">
        <v>825</v>
      </c>
      <c r="C193" s="144" t="s">
        <v>231</v>
      </c>
      <c r="D193" s="168" t="s">
        <v>1172</v>
      </c>
      <c r="E193" s="280"/>
      <c r="F193" s="298"/>
      <c r="G193" s="298"/>
      <c r="H193" s="298"/>
      <c r="I193" s="298"/>
      <c r="J193" s="298"/>
      <c r="K193" s="282"/>
      <c r="L193" s="283"/>
      <c r="M193" s="278"/>
    </row>
    <row r="194" spans="1:13" ht="15" x14ac:dyDescent="0.2">
      <c r="A194" s="279"/>
      <c r="B194" s="138" t="s">
        <v>1197</v>
      </c>
      <c r="C194" s="144" t="s">
        <v>180</v>
      </c>
      <c r="D194" s="168" t="s">
        <v>1172</v>
      </c>
      <c r="E194" s="280"/>
      <c r="F194" s="298"/>
      <c r="G194" s="298"/>
      <c r="H194" s="298"/>
      <c r="I194" s="298"/>
      <c r="J194" s="298"/>
      <c r="K194" s="282"/>
      <c r="L194" s="283"/>
      <c r="M194" s="278"/>
    </row>
    <row r="195" spans="1:13" ht="15" x14ac:dyDescent="0.2">
      <c r="A195" s="279"/>
      <c r="B195" s="138" t="s">
        <v>399</v>
      </c>
      <c r="C195" s="144" t="s">
        <v>852</v>
      </c>
      <c r="D195" s="168" t="s">
        <v>1172</v>
      </c>
      <c r="E195" s="280"/>
      <c r="F195" s="298"/>
      <c r="G195" s="298"/>
      <c r="H195" s="298"/>
      <c r="I195" s="298"/>
      <c r="J195" s="298"/>
      <c r="K195" s="282"/>
      <c r="L195" s="283"/>
      <c r="M195" s="278"/>
    </row>
    <row r="196" spans="1:13" ht="15" x14ac:dyDescent="0.2">
      <c r="A196" s="279"/>
      <c r="B196" s="144"/>
      <c r="C196" s="130" t="s">
        <v>707</v>
      </c>
      <c r="D196" s="168"/>
      <c r="E196" s="280"/>
      <c r="F196" s="298"/>
      <c r="G196" s="298"/>
      <c r="H196" s="298"/>
      <c r="I196" s="298"/>
      <c r="J196" s="298"/>
      <c r="K196" s="282"/>
      <c r="L196" s="283"/>
      <c r="M196" s="278"/>
    </row>
    <row r="197" spans="1:13" ht="30" x14ac:dyDescent="0.2">
      <c r="A197" s="279"/>
      <c r="B197" s="138" t="s">
        <v>234</v>
      </c>
      <c r="C197" s="144" t="s">
        <v>1149</v>
      </c>
      <c r="D197" s="168" t="s">
        <v>155</v>
      </c>
      <c r="E197" s="280"/>
      <c r="F197" s="298"/>
      <c r="G197" s="298"/>
      <c r="H197" s="298"/>
      <c r="I197" s="298"/>
      <c r="J197" s="298"/>
      <c r="K197" s="282"/>
      <c r="L197" s="283"/>
      <c r="M197" s="278"/>
    </row>
    <row r="198" spans="1:13" ht="15" x14ac:dyDescent="0.2">
      <c r="A198" s="279"/>
      <c r="B198" s="138" t="s">
        <v>697</v>
      </c>
      <c r="C198" s="144" t="s">
        <v>1062</v>
      </c>
      <c r="D198" s="168" t="s">
        <v>205</v>
      </c>
      <c r="E198" s="280"/>
      <c r="F198" s="298"/>
      <c r="G198" s="298"/>
      <c r="H198" s="298"/>
      <c r="I198" s="298"/>
      <c r="J198" s="298"/>
      <c r="K198" s="282"/>
      <c r="L198" s="283"/>
      <c r="M198" s="278"/>
    </row>
    <row r="199" spans="1:13" ht="15" x14ac:dyDescent="0.2">
      <c r="A199" s="279"/>
      <c r="B199" s="138" t="s">
        <v>1188</v>
      </c>
      <c r="C199" s="144" t="s">
        <v>610</v>
      </c>
      <c r="D199" s="168" t="s">
        <v>1123</v>
      </c>
      <c r="E199" s="280"/>
      <c r="F199" s="298"/>
      <c r="G199" s="298"/>
      <c r="H199" s="298"/>
      <c r="I199" s="298"/>
      <c r="J199" s="298"/>
      <c r="K199" s="282"/>
      <c r="L199" s="283"/>
      <c r="M199" s="278"/>
    </row>
    <row r="200" spans="1:13" ht="30" x14ac:dyDescent="0.2">
      <c r="A200" s="279"/>
      <c r="B200" s="138" t="s">
        <v>506</v>
      </c>
      <c r="C200" s="144" t="s">
        <v>1182</v>
      </c>
      <c r="D200" s="168" t="s">
        <v>836</v>
      </c>
      <c r="E200" s="280"/>
      <c r="F200" s="298"/>
      <c r="G200" s="298"/>
      <c r="H200" s="298"/>
      <c r="I200" s="298"/>
      <c r="J200" s="298"/>
      <c r="K200" s="282"/>
      <c r="L200" s="283"/>
      <c r="M200" s="278"/>
    </row>
    <row r="201" spans="1:13" ht="30" x14ac:dyDescent="0.2">
      <c r="A201" s="279"/>
      <c r="B201" s="138" t="s">
        <v>408</v>
      </c>
      <c r="C201" s="144" t="s">
        <v>945</v>
      </c>
      <c r="D201" s="168" t="s">
        <v>1172</v>
      </c>
      <c r="E201" s="280"/>
      <c r="F201" s="298"/>
      <c r="G201" s="298"/>
      <c r="H201" s="298"/>
      <c r="I201" s="298"/>
      <c r="J201" s="298"/>
      <c r="K201" s="282"/>
      <c r="L201" s="283"/>
      <c r="M201" s="278"/>
    </row>
    <row r="202" spans="1:13" ht="30" x14ac:dyDescent="0.2">
      <c r="A202" s="279"/>
      <c r="B202" s="138" t="s">
        <v>825</v>
      </c>
      <c r="C202" s="144" t="s">
        <v>231</v>
      </c>
      <c r="D202" s="168" t="s">
        <v>1172</v>
      </c>
      <c r="E202" s="280"/>
      <c r="F202" s="298"/>
      <c r="G202" s="298"/>
      <c r="H202" s="298"/>
      <c r="I202" s="298"/>
      <c r="J202" s="298"/>
      <c r="K202" s="282"/>
      <c r="L202" s="283"/>
      <c r="M202" s="278"/>
    </row>
    <row r="203" spans="1:13" ht="15" x14ac:dyDescent="0.2">
      <c r="A203" s="279"/>
      <c r="B203" s="144"/>
      <c r="C203" s="130" t="s">
        <v>500</v>
      </c>
      <c r="D203" s="168"/>
      <c r="E203" s="280"/>
      <c r="F203" s="298"/>
      <c r="G203" s="298"/>
      <c r="H203" s="298"/>
      <c r="I203" s="298"/>
      <c r="J203" s="298"/>
      <c r="K203" s="282"/>
      <c r="L203" s="283"/>
      <c r="M203" s="278"/>
    </row>
    <row r="204" spans="1:13" ht="45" x14ac:dyDescent="0.2">
      <c r="A204" s="279"/>
      <c r="B204" s="29" t="s">
        <v>30</v>
      </c>
      <c r="C204" s="80" t="s">
        <v>815</v>
      </c>
      <c r="D204" s="119" t="s">
        <v>818</v>
      </c>
      <c r="E204" s="280"/>
      <c r="F204" s="298"/>
      <c r="G204" s="298"/>
      <c r="H204" s="298"/>
      <c r="I204" s="298"/>
      <c r="J204" s="298"/>
      <c r="K204" s="282"/>
      <c r="L204" s="283"/>
      <c r="M204" s="278"/>
    </row>
    <row r="205" spans="1:13" ht="15" x14ac:dyDescent="0.2">
      <c r="A205" s="279"/>
      <c r="B205" s="29" t="s">
        <v>30</v>
      </c>
      <c r="C205" s="80" t="s">
        <v>94</v>
      </c>
      <c r="D205" s="119" t="s">
        <v>818</v>
      </c>
      <c r="E205" s="280"/>
      <c r="F205" s="298"/>
      <c r="G205" s="298"/>
      <c r="H205" s="298"/>
      <c r="I205" s="298"/>
      <c r="J205" s="298"/>
      <c r="K205" s="282"/>
      <c r="L205" s="283"/>
      <c r="M205" s="278"/>
    </row>
    <row r="206" spans="1:13" ht="15" x14ac:dyDescent="0.2">
      <c r="A206" s="279"/>
      <c r="B206" s="29" t="s">
        <v>30</v>
      </c>
      <c r="C206" s="80" t="s">
        <v>1178</v>
      </c>
      <c r="D206" s="119" t="s">
        <v>818</v>
      </c>
      <c r="E206" s="280"/>
      <c r="F206" s="298"/>
      <c r="G206" s="298"/>
      <c r="H206" s="298"/>
      <c r="I206" s="298"/>
      <c r="J206" s="298"/>
      <c r="K206" s="282"/>
      <c r="L206" s="283"/>
      <c r="M206" s="278"/>
    </row>
    <row r="207" spans="1:13" ht="15" x14ac:dyDescent="0.2">
      <c r="A207" s="279"/>
      <c r="B207" s="138" t="s">
        <v>709</v>
      </c>
      <c r="C207" s="144" t="s">
        <v>659</v>
      </c>
      <c r="D207" s="168" t="s">
        <v>155</v>
      </c>
      <c r="E207" s="280"/>
      <c r="F207" s="298"/>
      <c r="G207" s="298"/>
      <c r="H207" s="298"/>
      <c r="I207" s="298"/>
      <c r="J207" s="298"/>
      <c r="K207" s="282"/>
      <c r="L207" s="283"/>
      <c r="M207" s="278"/>
    </row>
    <row r="208" spans="1:13" ht="15" x14ac:dyDescent="0.2">
      <c r="A208" s="279"/>
      <c r="B208" s="138" t="s">
        <v>280</v>
      </c>
      <c r="C208" s="144" t="s">
        <v>553</v>
      </c>
      <c r="D208" s="168" t="s">
        <v>155</v>
      </c>
      <c r="E208" s="280"/>
      <c r="F208" s="298"/>
      <c r="G208" s="298"/>
      <c r="H208" s="298"/>
      <c r="I208" s="298"/>
      <c r="J208" s="298"/>
      <c r="K208" s="282"/>
      <c r="L208" s="283"/>
      <c r="M208" s="278"/>
    </row>
    <row r="209" spans="1:13" ht="15" x14ac:dyDescent="0.2">
      <c r="A209" s="279"/>
      <c r="B209" s="73" t="s">
        <v>30</v>
      </c>
      <c r="C209" s="111" t="s">
        <v>439</v>
      </c>
      <c r="D209" s="119" t="s">
        <v>205</v>
      </c>
      <c r="E209" s="280"/>
      <c r="F209" s="298"/>
      <c r="G209" s="298"/>
      <c r="H209" s="298"/>
      <c r="I209" s="298"/>
      <c r="J209" s="298"/>
      <c r="K209" s="282"/>
      <c r="L209" s="283"/>
      <c r="M209" s="278"/>
    </row>
    <row r="210" spans="1:13" ht="15" x14ac:dyDescent="0.2">
      <c r="A210" s="279"/>
      <c r="B210" s="29" t="s">
        <v>30</v>
      </c>
      <c r="C210" s="80" t="s">
        <v>1164</v>
      </c>
      <c r="D210" s="119" t="s">
        <v>205</v>
      </c>
      <c r="E210" s="280"/>
      <c r="F210" s="298"/>
      <c r="G210" s="298"/>
      <c r="H210" s="298"/>
      <c r="I210" s="298"/>
      <c r="J210" s="298"/>
      <c r="K210" s="282"/>
      <c r="L210" s="283"/>
      <c r="M210" s="278"/>
    </row>
    <row r="211" spans="1:13" ht="30" x14ac:dyDescent="0.2">
      <c r="A211" s="279"/>
      <c r="B211" s="138" t="s">
        <v>869</v>
      </c>
      <c r="C211" s="144" t="s">
        <v>573</v>
      </c>
      <c r="D211" s="168" t="s">
        <v>836</v>
      </c>
      <c r="E211" s="280"/>
      <c r="F211" s="298"/>
      <c r="G211" s="298"/>
      <c r="H211" s="298"/>
      <c r="I211" s="298"/>
      <c r="J211" s="298"/>
      <c r="K211" s="282"/>
      <c r="L211" s="283"/>
      <c r="M211" s="278"/>
    </row>
    <row r="212" spans="1:13" ht="30" x14ac:dyDescent="0.2">
      <c r="A212" s="279"/>
      <c r="B212" s="138" t="s">
        <v>96</v>
      </c>
      <c r="C212" s="144" t="s">
        <v>307</v>
      </c>
      <c r="D212" s="168" t="s">
        <v>836</v>
      </c>
      <c r="E212" s="280"/>
      <c r="F212" s="298"/>
      <c r="G212" s="298"/>
      <c r="H212" s="298"/>
      <c r="I212" s="298"/>
      <c r="J212" s="298"/>
      <c r="K212" s="282"/>
      <c r="L212" s="283"/>
      <c r="M212" s="278"/>
    </row>
    <row r="213" spans="1:13" ht="30" x14ac:dyDescent="0.2">
      <c r="A213" s="279"/>
      <c r="B213" s="138" t="s">
        <v>146</v>
      </c>
      <c r="C213" s="144" t="s">
        <v>968</v>
      </c>
      <c r="D213" s="168" t="s">
        <v>1172</v>
      </c>
      <c r="E213" s="280"/>
      <c r="F213" s="298"/>
      <c r="G213" s="298"/>
      <c r="H213" s="298"/>
      <c r="I213" s="298"/>
      <c r="J213" s="298"/>
      <c r="K213" s="282"/>
      <c r="L213" s="283"/>
      <c r="M213" s="278"/>
    </row>
    <row r="214" spans="1:13" ht="15" x14ac:dyDescent="0.2">
      <c r="A214" s="279"/>
      <c r="B214" s="133"/>
      <c r="C214" s="133" t="s">
        <v>890</v>
      </c>
      <c r="D214" s="161"/>
      <c r="E214" s="280"/>
      <c r="F214" s="298"/>
      <c r="G214" s="298"/>
      <c r="H214" s="298"/>
      <c r="I214" s="298"/>
      <c r="J214" s="298"/>
      <c r="K214" s="282"/>
      <c r="L214" s="283"/>
      <c r="M214" s="278"/>
    </row>
    <row r="215" spans="1:13" ht="30" x14ac:dyDescent="0.2">
      <c r="A215" s="279"/>
      <c r="B215" s="138" t="s">
        <v>551</v>
      </c>
      <c r="C215" s="144" t="s">
        <v>1027</v>
      </c>
      <c r="D215" s="168" t="s">
        <v>1172</v>
      </c>
      <c r="E215" s="280"/>
      <c r="F215" s="298"/>
      <c r="G215" s="298"/>
      <c r="H215" s="298"/>
      <c r="I215" s="298"/>
      <c r="J215" s="298"/>
      <c r="K215" s="282"/>
      <c r="L215" s="283"/>
      <c r="M215" s="278"/>
    </row>
    <row r="216" spans="1:13" ht="15" x14ac:dyDescent="0.2">
      <c r="A216" s="279"/>
      <c r="B216" s="133"/>
      <c r="C216" s="133" t="s">
        <v>368</v>
      </c>
      <c r="D216" s="161"/>
      <c r="E216" s="280"/>
      <c r="F216" s="298"/>
      <c r="G216" s="298"/>
      <c r="H216" s="298"/>
      <c r="I216" s="298"/>
      <c r="J216" s="298"/>
      <c r="K216" s="282"/>
      <c r="L216" s="283"/>
      <c r="M216" s="278"/>
    </row>
    <row r="217" spans="1:13" ht="30" x14ac:dyDescent="0.2">
      <c r="A217" s="279"/>
      <c r="B217" s="138" t="s">
        <v>931</v>
      </c>
      <c r="C217" s="144" t="s">
        <v>375</v>
      </c>
      <c r="D217" s="168" t="s">
        <v>1172</v>
      </c>
      <c r="E217" s="280"/>
      <c r="F217" s="298"/>
      <c r="G217" s="298"/>
      <c r="H217" s="298"/>
      <c r="I217" s="298"/>
      <c r="J217" s="298"/>
      <c r="K217" s="282"/>
      <c r="L217" s="283"/>
      <c r="M217" s="278"/>
    </row>
    <row r="218" spans="1:13" ht="15" x14ac:dyDescent="0.2">
      <c r="A218" s="279"/>
      <c r="B218" s="133"/>
      <c r="C218" s="133" t="s">
        <v>612</v>
      </c>
      <c r="D218" s="161"/>
      <c r="E218" s="280"/>
      <c r="F218" s="298"/>
      <c r="G218" s="298"/>
      <c r="H218" s="298"/>
      <c r="I218" s="298"/>
      <c r="J218" s="298"/>
      <c r="K218" s="282"/>
      <c r="L218" s="283"/>
      <c r="M218" s="278"/>
    </row>
    <row r="219" spans="1:13" ht="30" x14ac:dyDescent="0.2">
      <c r="A219" s="279"/>
      <c r="B219" s="138" t="s">
        <v>102</v>
      </c>
      <c r="C219" s="144" t="s">
        <v>1023</v>
      </c>
      <c r="D219" s="168" t="s">
        <v>1172</v>
      </c>
      <c r="E219" s="280"/>
      <c r="F219" s="298"/>
      <c r="G219" s="298"/>
      <c r="H219" s="298"/>
      <c r="I219" s="298"/>
      <c r="J219" s="298"/>
      <c r="K219" s="282"/>
      <c r="L219" s="283"/>
      <c r="M219" s="278"/>
    </row>
    <row r="220" spans="1:13" ht="15" x14ac:dyDescent="0.2">
      <c r="A220" s="279"/>
      <c r="B220" s="133"/>
      <c r="C220" s="133" t="s">
        <v>1193</v>
      </c>
      <c r="D220" s="161"/>
      <c r="E220" s="280"/>
      <c r="F220" s="298"/>
      <c r="G220" s="298"/>
      <c r="H220" s="298"/>
      <c r="I220" s="298"/>
      <c r="J220" s="298"/>
      <c r="K220" s="282"/>
      <c r="L220" s="283"/>
      <c r="M220" s="278"/>
    </row>
    <row r="221" spans="1:13" ht="30" x14ac:dyDescent="0.2">
      <c r="A221" s="279"/>
      <c r="B221" s="138" t="s">
        <v>502</v>
      </c>
      <c r="C221" s="144" t="s">
        <v>720</v>
      </c>
      <c r="D221" s="168" t="s">
        <v>1172</v>
      </c>
      <c r="E221" s="280"/>
      <c r="F221" s="298"/>
      <c r="G221" s="298"/>
      <c r="H221" s="298"/>
      <c r="I221" s="298"/>
      <c r="J221" s="298"/>
      <c r="K221" s="282"/>
      <c r="L221" s="283"/>
      <c r="M221" s="278"/>
    </row>
    <row r="222" spans="1:13" ht="15" x14ac:dyDescent="0.2">
      <c r="A222" s="279"/>
      <c r="B222" s="133"/>
      <c r="C222" s="133" t="s">
        <v>946</v>
      </c>
      <c r="D222" s="161"/>
      <c r="E222" s="280"/>
      <c r="F222" s="298"/>
      <c r="G222" s="298"/>
      <c r="H222" s="298"/>
      <c r="I222" s="298"/>
      <c r="J222" s="298"/>
      <c r="K222" s="282"/>
      <c r="L222" s="283"/>
      <c r="M222" s="278"/>
    </row>
    <row r="223" spans="1:13" ht="15" x14ac:dyDescent="0.2">
      <c r="A223" s="279"/>
      <c r="B223" s="144"/>
      <c r="C223" s="130" t="s">
        <v>804</v>
      </c>
      <c r="D223" s="168"/>
      <c r="E223" s="280"/>
      <c r="F223" s="298"/>
      <c r="G223" s="298"/>
      <c r="H223" s="298"/>
      <c r="I223" s="298"/>
      <c r="J223" s="298"/>
      <c r="K223" s="282"/>
      <c r="L223" s="283"/>
      <c r="M223" s="278"/>
    </row>
    <row r="224" spans="1:13" ht="15" x14ac:dyDescent="0.2">
      <c r="A224" s="279"/>
      <c r="B224" s="52" t="s">
        <v>444</v>
      </c>
      <c r="C224" s="144" t="s">
        <v>1037</v>
      </c>
      <c r="D224" s="168" t="s">
        <v>113</v>
      </c>
      <c r="E224" s="280"/>
      <c r="F224" s="298"/>
      <c r="G224" s="298"/>
      <c r="H224" s="298"/>
      <c r="I224" s="298"/>
      <c r="J224" s="298"/>
      <c r="K224" s="282"/>
      <c r="L224" s="283"/>
      <c r="M224" s="278"/>
    </row>
    <row r="225" spans="1:13" ht="15" x14ac:dyDescent="0.2">
      <c r="A225" s="279"/>
      <c r="B225" s="29" t="s">
        <v>30</v>
      </c>
      <c r="C225" s="80" t="s">
        <v>665</v>
      </c>
      <c r="D225" s="119" t="s">
        <v>1123</v>
      </c>
      <c r="E225" s="280"/>
      <c r="F225" s="298"/>
      <c r="G225" s="298"/>
      <c r="H225" s="298"/>
      <c r="I225" s="298"/>
      <c r="J225" s="298"/>
      <c r="K225" s="282"/>
      <c r="L225" s="283"/>
      <c r="M225" s="278"/>
    </row>
    <row r="226" spans="1:13" ht="15" x14ac:dyDescent="0.2">
      <c r="A226" s="279"/>
      <c r="B226" s="29" t="s">
        <v>30</v>
      </c>
      <c r="C226" s="80" t="s">
        <v>139</v>
      </c>
      <c r="D226" s="119" t="s">
        <v>414</v>
      </c>
      <c r="E226" s="280"/>
      <c r="F226" s="298"/>
      <c r="G226" s="298"/>
      <c r="H226" s="298"/>
      <c r="I226" s="298"/>
      <c r="J226" s="298"/>
      <c r="K226" s="282"/>
      <c r="L226" s="283"/>
      <c r="M226" s="278"/>
    </row>
    <row r="227" spans="1:13" ht="15" x14ac:dyDescent="0.2">
      <c r="A227" s="279"/>
      <c r="B227" s="29" t="s">
        <v>30</v>
      </c>
      <c r="C227" s="80" t="s">
        <v>654</v>
      </c>
      <c r="D227" s="119" t="s">
        <v>1155</v>
      </c>
      <c r="E227" s="280"/>
      <c r="F227" s="298"/>
      <c r="G227" s="298"/>
      <c r="H227" s="298"/>
      <c r="I227" s="298"/>
      <c r="J227" s="298"/>
      <c r="K227" s="282"/>
      <c r="L227" s="283"/>
      <c r="M227" s="278"/>
    </row>
    <row r="228" spans="1:13" ht="15" x14ac:dyDescent="0.2">
      <c r="A228" s="279"/>
      <c r="B228" s="138" t="s">
        <v>662</v>
      </c>
      <c r="C228" s="144" t="s">
        <v>741</v>
      </c>
      <c r="D228" s="168" t="s">
        <v>155</v>
      </c>
      <c r="E228" s="280"/>
      <c r="F228" s="298"/>
      <c r="G228" s="298"/>
      <c r="H228" s="298"/>
      <c r="I228" s="298"/>
      <c r="J228" s="298"/>
      <c r="K228" s="282"/>
      <c r="L228" s="283"/>
      <c r="M228" s="278"/>
    </row>
    <row r="229" spans="1:13" ht="15" x14ac:dyDescent="0.2">
      <c r="A229" s="279"/>
      <c r="B229" s="138" t="s">
        <v>399</v>
      </c>
      <c r="C229" s="144" t="s">
        <v>365</v>
      </c>
      <c r="D229" s="168" t="s">
        <v>1172</v>
      </c>
      <c r="E229" s="280"/>
      <c r="F229" s="298"/>
      <c r="G229" s="298"/>
      <c r="H229" s="298"/>
      <c r="I229" s="298"/>
      <c r="J229" s="298"/>
      <c r="K229" s="282"/>
      <c r="L229" s="283"/>
      <c r="M229" s="278"/>
    </row>
    <row r="230" spans="1:13" ht="15" x14ac:dyDescent="0.2">
      <c r="A230" s="279"/>
      <c r="B230" s="144"/>
      <c r="C230" s="130" t="s">
        <v>649</v>
      </c>
      <c r="D230" s="168"/>
      <c r="E230" s="280"/>
      <c r="F230" s="298"/>
      <c r="G230" s="298"/>
      <c r="H230" s="298"/>
      <c r="I230" s="298"/>
      <c r="J230" s="298"/>
      <c r="K230" s="282"/>
      <c r="L230" s="283"/>
      <c r="M230" s="278"/>
    </row>
    <row r="231" spans="1:13" ht="15" x14ac:dyDescent="0.2">
      <c r="A231" s="279"/>
      <c r="B231" s="138" t="s">
        <v>1197</v>
      </c>
      <c r="C231" s="144" t="s">
        <v>64</v>
      </c>
      <c r="D231" s="168" t="s">
        <v>1172</v>
      </c>
      <c r="E231" s="280"/>
      <c r="F231" s="298"/>
      <c r="G231" s="298"/>
      <c r="H231" s="298"/>
      <c r="I231" s="298"/>
      <c r="J231" s="298"/>
      <c r="K231" s="282"/>
      <c r="L231" s="283"/>
      <c r="M231" s="278"/>
    </row>
    <row r="232" spans="1:13" ht="15" x14ac:dyDescent="0.2">
      <c r="A232" s="279"/>
      <c r="B232" s="138" t="s">
        <v>399</v>
      </c>
      <c r="C232" s="144" t="s">
        <v>755</v>
      </c>
      <c r="D232" s="168" t="s">
        <v>1172</v>
      </c>
      <c r="E232" s="280"/>
      <c r="F232" s="298"/>
      <c r="G232" s="298"/>
      <c r="H232" s="298"/>
      <c r="I232" s="298"/>
      <c r="J232" s="298"/>
      <c r="K232" s="282"/>
      <c r="L232" s="283"/>
      <c r="M232" s="278"/>
    </row>
    <row r="233" spans="1:13" ht="30" x14ac:dyDescent="0.2">
      <c r="A233" s="279"/>
      <c r="B233" s="138" t="s">
        <v>290</v>
      </c>
      <c r="C233" s="144" t="s">
        <v>1036</v>
      </c>
      <c r="D233" s="168" t="s">
        <v>836</v>
      </c>
      <c r="E233" s="280"/>
      <c r="F233" s="298"/>
      <c r="G233" s="298"/>
      <c r="H233" s="298"/>
      <c r="I233" s="298"/>
      <c r="J233" s="298"/>
      <c r="K233" s="282"/>
      <c r="L233" s="283"/>
      <c r="M233" s="278"/>
    </row>
    <row r="234" spans="1:13" ht="15" x14ac:dyDescent="0.2">
      <c r="A234" s="279"/>
      <c r="B234" s="29" t="s">
        <v>30</v>
      </c>
      <c r="C234" s="80" t="s">
        <v>922</v>
      </c>
      <c r="D234" s="119" t="s">
        <v>555</v>
      </c>
      <c r="E234" s="280"/>
      <c r="F234" s="298"/>
      <c r="G234" s="298"/>
      <c r="H234" s="298"/>
      <c r="I234" s="298"/>
      <c r="J234" s="298"/>
      <c r="K234" s="282"/>
      <c r="L234" s="283"/>
      <c r="M234" s="278"/>
    </row>
    <row r="235" spans="1:13" ht="15" x14ac:dyDescent="0.2">
      <c r="A235" s="279"/>
      <c r="B235" s="144"/>
      <c r="C235" s="130" t="s">
        <v>883</v>
      </c>
      <c r="D235" s="168"/>
      <c r="E235" s="280"/>
      <c r="F235" s="298"/>
      <c r="G235" s="298"/>
      <c r="H235" s="298"/>
      <c r="I235" s="298"/>
      <c r="J235" s="298"/>
      <c r="K235" s="282"/>
      <c r="L235" s="283"/>
      <c r="M235" s="278"/>
    </row>
    <row r="236" spans="1:13" ht="30" x14ac:dyDescent="0.2">
      <c r="A236" s="279"/>
      <c r="B236" s="138" t="s">
        <v>658</v>
      </c>
      <c r="C236" s="144" t="s">
        <v>90</v>
      </c>
      <c r="D236" s="168" t="s">
        <v>155</v>
      </c>
      <c r="E236" s="280"/>
      <c r="F236" s="298"/>
      <c r="G236" s="298"/>
      <c r="H236" s="298"/>
      <c r="I236" s="298"/>
      <c r="J236" s="298"/>
      <c r="K236" s="282"/>
      <c r="L236" s="283"/>
      <c r="M236" s="278"/>
    </row>
    <row r="237" spans="1:13" ht="30" x14ac:dyDescent="0.2">
      <c r="A237" s="279"/>
      <c r="B237" s="138" t="s">
        <v>847</v>
      </c>
      <c r="C237" s="144" t="s">
        <v>682</v>
      </c>
      <c r="D237" s="168" t="s">
        <v>1172</v>
      </c>
      <c r="E237" s="280"/>
      <c r="F237" s="298"/>
      <c r="G237" s="298"/>
      <c r="H237" s="298"/>
      <c r="I237" s="298"/>
      <c r="J237" s="298"/>
      <c r="K237" s="282"/>
      <c r="L237" s="283"/>
      <c r="M237" s="278"/>
    </row>
    <row r="238" spans="1:13" ht="30" x14ac:dyDescent="0.2">
      <c r="A238" s="279"/>
      <c r="B238" s="138" t="s">
        <v>9</v>
      </c>
      <c r="C238" s="144" t="s">
        <v>111</v>
      </c>
      <c r="D238" s="168" t="s">
        <v>1172</v>
      </c>
      <c r="E238" s="280"/>
      <c r="F238" s="298"/>
      <c r="G238" s="298"/>
      <c r="H238" s="298"/>
      <c r="I238" s="298"/>
      <c r="J238" s="298"/>
      <c r="K238" s="282"/>
      <c r="L238" s="283"/>
      <c r="M238" s="278"/>
    </row>
    <row r="239" spans="1:13" ht="30" x14ac:dyDescent="0.2">
      <c r="A239" s="279"/>
      <c r="B239" s="138" t="s">
        <v>412</v>
      </c>
      <c r="C239" s="144" t="s">
        <v>640</v>
      </c>
      <c r="D239" s="168" t="s">
        <v>1172</v>
      </c>
      <c r="E239" s="280"/>
      <c r="F239" s="298"/>
      <c r="G239" s="298"/>
      <c r="H239" s="298"/>
      <c r="I239" s="298"/>
      <c r="J239" s="298"/>
      <c r="K239" s="282"/>
      <c r="L239" s="283"/>
      <c r="M239" s="278"/>
    </row>
    <row r="240" spans="1:13" ht="30" x14ac:dyDescent="0.2">
      <c r="A240" s="279"/>
      <c r="B240" s="52" t="s">
        <v>486</v>
      </c>
      <c r="C240" s="144" t="s">
        <v>74</v>
      </c>
      <c r="D240" s="168" t="s">
        <v>1172</v>
      </c>
      <c r="E240" s="280"/>
      <c r="F240" s="298"/>
      <c r="G240" s="298"/>
      <c r="H240" s="298"/>
      <c r="I240" s="298"/>
      <c r="J240" s="298"/>
      <c r="K240" s="282"/>
      <c r="L240" s="283"/>
      <c r="M240" s="278"/>
    </row>
    <row r="241" spans="1:13" ht="30" x14ac:dyDescent="0.2">
      <c r="A241" s="279"/>
      <c r="B241" s="138" t="s">
        <v>564</v>
      </c>
      <c r="C241" s="144" t="s">
        <v>47</v>
      </c>
      <c r="D241" s="168" t="s">
        <v>836</v>
      </c>
      <c r="E241" s="280"/>
      <c r="F241" s="298"/>
      <c r="G241" s="298"/>
      <c r="H241" s="298"/>
      <c r="I241" s="298"/>
      <c r="J241" s="298"/>
      <c r="K241" s="282"/>
      <c r="L241" s="283"/>
      <c r="M241" s="278"/>
    </row>
    <row r="242" spans="1:13" ht="15" x14ac:dyDescent="0.2">
      <c r="A242" s="279"/>
      <c r="B242" s="138" t="s">
        <v>286</v>
      </c>
      <c r="C242" s="144" t="s">
        <v>965</v>
      </c>
      <c r="D242" s="168" t="s">
        <v>1172</v>
      </c>
      <c r="E242" s="280"/>
      <c r="F242" s="298"/>
      <c r="G242" s="298"/>
      <c r="H242" s="298"/>
      <c r="I242" s="298"/>
      <c r="J242" s="298"/>
      <c r="K242" s="282"/>
      <c r="L242" s="283"/>
      <c r="M242" s="278"/>
    </row>
    <row r="243" spans="1:13" ht="30" x14ac:dyDescent="0.2">
      <c r="A243" s="279"/>
      <c r="B243" s="138" t="s">
        <v>586</v>
      </c>
      <c r="C243" s="144" t="s">
        <v>795</v>
      </c>
      <c r="D243" s="168" t="s">
        <v>227</v>
      </c>
      <c r="E243" s="280"/>
      <c r="F243" s="298"/>
      <c r="G243" s="298"/>
      <c r="H243" s="298"/>
      <c r="I243" s="298"/>
      <c r="J243" s="298"/>
      <c r="K243" s="282"/>
      <c r="L243" s="283"/>
      <c r="M243" s="278"/>
    </row>
    <row r="244" spans="1:13" ht="45" x14ac:dyDescent="0.2">
      <c r="A244" s="279"/>
      <c r="B244" s="138" t="s">
        <v>586</v>
      </c>
      <c r="C244" s="144" t="s">
        <v>888</v>
      </c>
      <c r="D244" s="168" t="s">
        <v>227</v>
      </c>
      <c r="E244" s="280"/>
      <c r="F244" s="298"/>
      <c r="G244" s="298"/>
      <c r="H244" s="298"/>
      <c r="I244" s="298"/>
      <c r="J244" s="298"/>
      <c r="K244" s="282"/>
      <c r="L244" s="283"/>
      <c r="M244" s="278"/>
    </row>
    <row r="245" spans="1:13" ht="30" x14ac:dyDescent="0.2">
      <c r="A245" s="279"/>
      <c r="B245" s="52" t="s">
        <v>177</v>
      </c>
      <c r="C245" s="144" t="s">
        <v>742</v>
      </c>
      <c r="D245" s="168" t="s">
        <v>859</v>
      </c>
      <c r="E245" s="280"/>
      <c r="F245" s="298"/>
      <c r="G245" s="298"/>
      <c r="H245" s="298"/>
      <c r="I245" s="298"/>
      <c r="J245" s="298"/>
      <c r="K245" s="282"/>
      <c r="L245" s="283"/>
      <c r="M245" s="278"/>
    </row>
    <row r="246" spans="1:13" ht="15" x14ac:dyDescent="0.2">
      <c r="A246" s="279"/>
      <c r="B246" s="138" t="s">
        <v>567</v>
      </c>
      <c r="C246" s="144" t="s">
        <v>644</v>
      </c>
      <c r="D246" s="168" t="s">
        <v>155</v>
      </c>
      <c r="E246" s="280"/>
      <c r="F246" s="298"/>
      <c r="G246" s="298"/>
      <c r="H246" s="298"/>
      <c r="I246" s="298"/>
      <c r="J246" s="298"/>
      <c r="K246" s="282"/>
      <c r="L246" s="283"/>
      <c r="M246" s="278"/>
    </row>
    <row r="247" spans="1:13" ht="30" x14ac:dyDescent="0.2">
      <c r="A247" s="279"/>
      <c r="B247" s="138" t="s">
        <v>586</v>
      </c>
      <c r="C247" s="144" t="s">
        <v>737</v>
      </c>
      <c r="D247" s="168" t="s">
        <v>227</v>
      </c>
      <c r="E247" s="280"/>
      <c r="F247" s="298"/>
      <c r="G247" s="298"/>
      <c r="H247" s="298"/>
      <c r="I247" s="298"/>
      <c r="J247" s="298"/>
      <c r="K247" s="282"/>
      <c r="L247" s="283"/>
      <c r="M247" s="278"/>
    </row>
    <row r="248" spans="1:13" ht="15" x14ac:dyDescent="0.2">
      <c r="A248" s="279"/>
      <c r="B248" s="144"/>
      <c r="C248" s="130" t="s">
        <v>499</v>
      </c>
      <c r="D248" s="168"/>
      <c r="E248" s="280"/>
      <c r="F248" s="298"/>
      <c r="G248" s="298"/>
      <c r="H248" s="298"/>
      <c r="I248" s="298"/>
      <c r="J248" s="298"/>
      <c r="K248" s="282"/>
      <c r="L248" s="283"/>
      <c r="M248" s="278"/>
    </row>
    <row r="249" spans="1:13" ht="30" x14ac:dyDescent="0.2">
      <c r="A249" s="279"/>
      <c r="B249" s="52" t="s">
        <v>54</v>
      </c>
      <c r="C249" s="144" t="s">
        <v>341</v>
      </c>
      <c r="D249" s="168" t="s">
        <v>793</v>
      </c>
      <c r="E249" s="280"/>
      <c r="F249" s="298"/>
      <c r="G249" s="298"/>
      <c r="H249" s="298"/>
      <c r="I249" s="298"/>
      <c r="J249" s="298"/>
      <c r="K249" s="282"/>
      <c r="L249" s="283"/>
      <c r="M249" s="278"/>
    </row>
    <row r="250" spans="1:13" ht="30" x14ac:dyDescent="0.2">
      <c r="A250" s="279"/>
      <c r="B250" s="52" t="s">
        <v>1077</v>
      </c>
      <c r="C250" s="144" t="s">
        <v>680</v>
      </c>
      <c r="D250" s="168" t="s">
        <v>793</v>
      </c>
      <c r="E250" s="280"/>
      <c r="F250" s="298"/>
      <c r="G250" s="298"/>
      <c r="H250" s="298"/>
      <c r="I250" s="298"/>
      <c r="J250" s="298"/>
      <c r="K250" s="282"/>
      <c r="L250" s="283"/>
      <c r="M250" s="278"/>
    </row>
    <row r="251" spans="1:13" ht="15" x14ac:dyDescent="0.2">
      <c r="A251" s="279"/>
      <c r="B251" s="144"/>
      <c r="C251" s="130" t="s">
        <v>44</v>
      </c>
      <c r="D251" s="168"/>
      <c r="E251" s="280"/>
      <c r="F251" s="298"/>
      <c r="G251" s="298"/>
      <c r="H251" s="298"/>
      <c r="I251" s="298"/>
      <c r="J251" s="298"/>
      <c r="K251" s="282"/>
      <c r="L251" s="283"/>
      <c r="M251" s="278"/>
    </row>
    <row r="252" spans="1:13" ht="30" x14ac:dyDescent="0.2">
      <c r="A252" s="279"/>
      <c r="B252" s="138" t="s">
        <v>1093</v>
      </c>
      <c r="C252" s="144" t="s">
        <v>305</v>
      </c>
      <c r="D252" s="168" t="s">
        <v>793</v>
      </c>
      <c r="E252" s="280"/>
      <c r="F252" s="298"/>
      <c r="G252" s="298"/>
      <c r="H252" s="298"/>
      <c r="I252" s="298"/>
      <c r="J252" s="298"/>
      <c r="K252" s="282"/>
      <c r="L252" s="283"/>
      <c r="M252" s="278"/>
    </row>
    <row r="253" spans="1:13" ht="30" x14ac:dyDescent="0.2">
      <c r="A253" s="279"/>
      <c r="B253" s="138" t="s">
        <v>137</v>
      </c>
      <c r="C253" s="144" t="s">
        <v>848</v>
      </c>
      <c r="D253" s="168" t="s">
        <v>793</v>
      </c>
      <c r="E253" s="280"/>
      <c r="F253" s="298"/>
      <c r="G253" s="298"/>
      <c r="H253" s="298"/>
      <c r="I253" s="298"/>
      <c r="J253" s="298"/>
      <c r="K253" s="282"/>
      <c r="L253" s="283"/>
      <c r="M253" s="278"/>
    </row>
    <row r="254" spans="1:13" ht="30" x14ac:dyDescent="0.2">
      <c r="A254" s="279"/>
      <c r="B254" s="138" t="s">
        <v>58</v>
      </c>
      <c r="C254" s="144" t="s">
        <v>33</v>
      </c>
      <c r="D254" s="168" t="s">
        <v>793</v>
      </c>
      <c r="E254" s="280"/>
      <c r="F254" s="298"/>
      <c r="G254" s="298"/>
      <c r="H254" s="298"/>
      <c r="I254" s="298"/>
      <c r="J254" s="298"/>
      <c r="K254" s="282"/>
      <c r="L254" s="283"/>
      <c r="M254" s="278"/>
    </row>
    <row r="255" spans="1:13" ht="30" x14ac:dyDescent="0.2">
      <c r="A255" s="279"/>
      <c r="B255" s="52" t="s">
        <v>54</v>
      </c>
      <c r="C255" s="144" t="s">
        <v>341</v>
      </c>
      <c r="D255" s="168" t="s">
        <v>793</v>
      </c>
      <c r="E255" s="280"/>
      <c r="F255" s="298"/>
      <c r="G255" s="298"/>
      <c r="H255" s="298"/>
      <c r="I255" s="298"/>
      <c r="J255" s="298"/>
      <c r="K255" s="282"/>
      <c r="L255" s="283"/>
      <c r="M255" s="278"/>
    </row>
    <row r="256" spans="1:13" ht="30" x14ac:dyDescent="0.2">
      <c r="A256" s="279"/>
      <c r="B256" s="52" t="s">
        <v>624</v>
      </c>
      <c r="C256" s="144" t="s">
        <v>1128</v>
      </c>
      <c r="D256" s="168" t="s">
        <v>793</v>
      </c>
      <c r="E256" s="280"/>
      <c r="F256" s="298"/>
      <c r="G256" s="298"/>
      <c r="H256" s="298"/>
      <c r="I256" s="298"/>
      <c r="J256" s="298"/>
      <c r="K256" s="282"/>
      <c r="L256" s="283"/>
      <c r="M256" s="278"/>
    </row>
    <row r="257" spans="1:13" ht="15" x14ac:dyDescent="0.2">
      <c r="A257" s="279"/>
      <c r="B257" s="29" t="s">
        <v>30</v>
      </c>
      <c r="C257" s="80" t="s">
        <v>10</v>
      </c>
      <c r="D257" s="119" t="s">
        <v>155</v>
      </c>
      <c r="E257" s="280"/>
      <c r="F257" s="298"/>
      <c r="G257" s="298"/>
      <c r="H257" s="298"/>
      <c r="I257" s="298"/>
      <c r="J257" s="298"/>
      <c r="K257" s="282"/>
      <c r="L257" s="283"/>
      <c r="M257" s="278"/>
    </row>
    <row r="258" spans="1:13" ht="15" x14ac:dyDescent="0.2">
      <c r="A258" s="279"/>
      <c r="B258" s="138" t="s">
        <v>1158</v>
      </c>
      <c r="C258" s="144" t="s">
        <v>528</v>
      </c>
      <c r="D258" s="168" t="s">
        <v>155</v>
      </c>
      <c r="E258" s="280"/>
      <c r="F258" s="298"/>
      <c r="G258" s="298"/>
      <c r="H258" s="298"/>
      <c r="I258" s="298"/>
      <c r="J258" s="298"/>
      <c r="K258" s="282"/>
      <c r="L258" s="283"/>
      <c r="M258" s="278"/>
    </row>
    <row r="259" spans="1:13" ht="15" x14ac:dyDescent="0.2">
      <c r="A259" s="279"/>
      <c r="B259" s="138" t="s">
        <v>752</v>
      </c>
      <c r="C259" s="144" t="s">
        <v>590</v>
      </c>
      <c r="D259" s="168" t="s">
        <v>205</v>
      </c>
      <c r="E259" s="280"/>
      <c r="F259" s="298"/>
      <c r="G259" s="298"/>
      <c r="H259" s="298"/>
      <c r="I259" s="298"/>
      <c r="J259" s="298"/>
      <c r="K259" s="282"/>
      <c r="L259" s="283"/>
      <c r="M259" s="278"/>
    </row>
    <row r="260" spans="1:13" ht="30" x14ac:dyDescent="0.2">
      <c r="A260" s="279"/>
      <c r="B260" s="138" t="s">
        <v>869</v>
      </c>
      <c r="C260" s="144" t="s">
        <v>670</v>
      </c>
      <c r="D260" s="168" t="s">
        <v>836</v>
      </c>
      <c r="E260" s="280"/>
      <c r="F260" s="298"/>
      <c r="G260" s="298"/>
      <c r="H260" s="298"/>
      <c r="I260" s="298"/>
      <c r="J260" s="298"/>
      <c r="K260" s="282"/>
      <c r="L260" s="283"/>
      <c r="M260" s="278"/>
    </row>
    <row r="261" spans="1:13" ht="15" x14ac:dyDescent="0.2">
      <c r="A261" s="279"/>
      <c r="B261" s="138" t="s">
        <v>845</v>
      </c>
      <c r="C261" s="144" t="s">
        <v>410</v>
      </c>
      <c r="D261" s="168" t="s">
        <v>155</v>
      </c>
      <c r="E261" s="280"/>
      <c r="F261" s="298"/>
      <c r="G261" s="298"/>
      <c r="H261" s="298"/>
      <c r="I261" s="298"/>
      <c r="J261" s="298"/>
      <c r="K261" s="282"/>
      <c r="L261" s="283"/>
      <c r="M261" s="278"/>
    </row>
    <row r="262" spans="1:13" ht="30" x14ac:dyDescent="0.2">
      <c r="A262" s="279"/>
      <c r="B262" s="138" t="s">
        <v>635</v>
      </c>
      <c r="C262" s="144" t="s">
        <v>599</v>
      </c>
      <c r="D262" s="168" t="s">
        <v>836</v>
      </c>
      <c r="E262" s="280"/>
      <c r="F262" s="298"/>
      <c r="G262" s="298"/>
      <c r="H262" s="298"/>
      <c r="I262" s="298"/>
      <c r="J262" s="298"/>
      <c r="K262" s="282"/>
      <c r="L262" s="283"/>
      <c r="M262" s="278"/>
    </row>
    <row r="263" spans="1:13" ht="30" x14ac:dyDescent="0.2">
      <c r="A263" s="279"/>
      <c r="B263" s="138" t="s">
        <v>1133</v>
      </c>
      <c r="C263" s="144" t="s">
        <v>777</v>
      </c>
      <c r="D263" s="168" t="s">
        <v>1123</v>
      </c>
      <c r="E263" s="280"/>
      <c r="F263" s="298"/>
      <c r="G263" s="298"/>
      <c r="H263" s="298"/>
      <c r="I263" s="298"/>
      <c r="J263" s="298"/>
      <c r="K263" s="282"/>
      <c r="L263" s="283"/>
      <c r="M263" s="278"/>
    </row>
    <row r="264" spans="1:13" ht="30" x14ac:dyDescent="0.2">
      <c r="A264" s="279"/>
      <c r="B264" s="138" t="s">
        <v>576</v>
      </c>
      <c r="C264" s="144" t="s">
        <v>27</v>
      </c>
      <c r="D264" s="168" t="s">
        <v>836</v>
      </c>
      <c r="E264" s="280"/>
      <c r="F264" s="298"/>
      <c r="G264" s="298"/>
      <c r="H264" s="298"/>
      <c r="I264" s="298"/>
      <c r="J264" s="298"/>
      <c r="K264" s="282"/>
      <c r="L264" s="283"/>
      <c r="M264" s="278"/>
    </row>
    <row r="265" spans="1:13" ht="15" x14ac:dyDescent="0.2">
      <c r="A265" s="279"/>
      <c r="B265" s="144"/>
      <c r="C265" s="130" t="s">
        <v>258</v>
      </c>
      <c r="D265" s="168"/>
      <c r="E265" s="280"/>
      <c r="F265" s="298"/>
      <c r="G265" s="298"/>
      <c r="H265" s="298"/>
      <c r="I265" s="298"/>
      <c r="J265" s="298"/>
      <c r="K265" s="282"/>
      <c r="L265" s="283"/>
      <c r="M265" s="278"/>
    </row>
    <row r="266" spans="1:13" ht="15" x14ac:dyDescent="0.2">
      <c r="A266" s="279"/>
      <c r="B266" s="138" t="s">
        <v>1084</v>
      </c>
      <c r="C266" s="144" t="s">
        <v>523</v>
      </c>
      <c r="D266" s="168" t="s">
        <v>155</v>
      </c>
      <c r="E266" s="280"/>
      <c r="F266" s="298"/>
      <c r="G266" s="298"/>
      <c r="H266" s="298"/>
      <c r="I266" s="298"/>
      <c r="J266" s="298"/>
      <c r="K266" s="282"/>
      <c r="L266" s="283"/>
      <c r="M266" s="278"/>
    </row>
    <row r="267" spans="1:13" ht="30" x14ac:dyDescent="0.2">
      <c r="A267" s="279"/>
      <c r="B267" s="138" t="s">
        <v>869</v>
      </c>
      <c r="C267" s="144" t="s">
        <v>595</v>
      </c>
      <c r="D267" s="168" t="s">
        <v>836</v>
      </c>
      <c r="E267" s="280"/>
      <c r="F267" s="298"/>
      <c r="G267" s="298"/>
      <c r="H267" s="298"/>
      <c r="I267" s="298"/>
      <c r="J267" s="298"/>
      <c r="K267" s="282"/>
      <c r="L267" s="283"/>
      <c r="M267" s="278"/>
    </row>
    <row r="268" spans="1:13" ht="15" x14ac:dyDescent="0.2">
      <c r="A268" s="279"/>
      <c r="B268" s="138" t="s">
        <v>1197</v>
      </c>
      <c r="C268" s="144" t="s">
        <v>64</v>
      </c>
      <c r="D268" s="168" t="s">
        <v>1172</v>
      </c>
      <c r="E268" s="280"/>
      <c r="F268" s="298"/>
      <c r="G268" s="298"/>
      <c r="H268" s="298"/>
      <c r="I268" s="298"/>
      <c r="J268" s="298"/>
      <c r="K268" s="282"/>
      <c r="L268" s="283"/>
      <c r="M268" s="278"/>
    </row>
    <row r="269" spans="1:13" ht="15" x14ac:dyDescent="0.2">
      <c r="A269" s="279"/>
      <c r="B269" s="138" t="s">
        <v>399</v>
      </c>
      <c r="C269" s="144" t="s">
        <v>755</v>
      </c>
      <c r="D269" s="168" t="s">
        <v>1172</v>
      </c>
      <c r="E269" s="280"/>
      <c r="F269" s="298"/>
      <c r="G269" s="298"/>
      <c r="H269" s="298"/>
      <c r="I269" s="298"/>
      <c r="J269" s="298"/>
      <c r="K269" s="282"/>
      <c r="L269" s="283"/>
      <c r="M269" s="278"/>
    </row>
    <row r="270" spans="1:13" ht="30" x14ac:dyDescent="0.2">
      <c r="A270" s="279"/>
      <c r="B270" s="138" t="s">
        <v>545</v>
      </c>
      <c r="C270" s="144" t="s">
        <v>185</v>
      </c>
      <c r="D270" s="168" t="s">
        <v>227</v>
      </c>
      <c r="E270" s="280"/>
      <c r="F270" s="298"/>
      <c r="G270" s="298"/>
      <c r="H270" s="298"/>
      <c r="I270" s="298"/>
      <c r="J270" s="298"/>
      <c r="K270" s="282"/>
      <c r="L270" s="283"/>
      <c r="M270" s="278"/>
    </row>
    <row r="271" spans="1:13" ht="15" x14ac:dyDescent="0.2">
      <c r="A271" s="279"/>
      <c r="B271" s="138" t="s">
        <v>322</v>
      </c>
      <c r="C271" s="144" t="s">
        <v>849</v>
      </c>
      <c r="D271" s="168" t="s">
        <v>927</v>
      </c>
      <c r="E271" s="280"/>
      <c r="F271" s="298"/>
      <c r="G271" s="298"/>
      <c r="H271" s="298"/>
      <c r="I271" s="298"/>
      <c r="J271" s="298"/>
      <c r="K271" s="282"/>
      <c r="L271" s="283"/>
      <c r="M271" s="278"/>
    </row>
    <row r="272" spans="1:13" ht="15" x14ac:dyDescent="0.2">
      <c r="A272" s="279"/>
      <c r="B272" s="144"/>
      <c r="C272" s="130" t="s">
        <v>1156</v>
      </c>
      <c r="D272" s="168"/>
      <c r="E272" s="280"/>
      <c r="F272" s="298"/>
      <c r="G272" s="298"/>
      <c r="H272" s="298"/>
      <c r="I272" s="298"/>
      <c r="J272" s="298"/>
      <c r="K272" s="282"/>
      <c r="L272" s="283"/>
      <c r="M272" s="278"/>
    </row>
    <row r="273" spans="1:13" ht="15" x14ac:dyDescent="0.2">
      <c r="A273" s="279"/>
      <c r="B273" s="138" t="s">
        <v>232</v>
      </c>
      <c r="C273" s="144" t="s">
        <v>881</v>
      </c>
      <c r="D273" s="168" t="s">
        <v>1172</v>
      </c>
      <c r="E273" s="280"/>
      <c r="F273" s="298"/>
      <c r="G273" s="298"/>
      <c r="H273" s="298"/>
      <c r="I273" s="298"/>
      <c r="J273" s="298"/>
      <c r="K273" s="282"/>
      <c r="L273" s="283"/>
      <c r="M273" s="278"/>
    </row>
    <row r="274" spans="1:13" ht="15" x14ac:dyDescent="0.2">
      <c r="A274" s="279"/>
      <c r="B274" s="138" t="s">
        <v>498</v>
      </c>
      <c r="C274" s="144" t="s">
        <v>656</v>
      </c>
      <c r="D274" s="168" t="s">
        <v>205</v>
      </c>
      <c r="E274" s="280"/>
      <c r="F274" s="298"/>
      <c r="G274" s="298"/>
      <c r="H274" s="298"/>
      <c r="I274" s="298"/>
      <c r="J274" s="298"/>
      <c r="K274" s="282"/>
      <c r="L274" s="283"/>
      <c r="M274" s="278"/>
    </row>
    <row r="275" spans="1:13" ht="15" x14ac:dyDescent="0.2">
      <c r="A275" s="279"/>
      <c r="B275" s="29" t="s">
        <v>30</v>
      </c>
      <c r="C275" s="80" t="s">
        <v>304</v>
      </c>
      <c r="D275" s="119" t="s">
        <v>75</v>
      </c>
      <c r="E275" s="280"/>
      <c r="F275" s="298"/>
      <c r="G275" s="298"/>
      <c r="H275" s="298"/>
      <c r="I275" s="298"/>
      <c r="J275" s="298"/>
      <c r="K275" s="282"/>
      <c r="L275" s="283"/>
      <c r="M275" s="278"/>
    </row>
    <row r="276" spans="1:13" ht="15" x14ac:dyDescent="0.2">
      <c r="A276" s="279"/>
      <c r="B276" s="138" t="s">
        <v>301</v>
      </c>
      <c r="C276" s="144" t="s">
        <v>1066</v>
      </c>
      <c r="D276" s="168" t="s">
        <v>205</v>
      </c>
      <c r="E276" s="280"/>
      <c r="F276" s="298"/>
      <c r="G276" s="298"/>
      <c r="H276" s="298"/>
      <c r="I276" s="298"/>
      <c r="J276" s="298"/>
      <c r="K276" s="282"/>
      <c r="L276" s="283"/>
      <c r="M276" s="278"/>
    </row>
    <row r="277" spans="1:13" ht="28.5" x14ac:dyDescent="0.2">
      <c r="A277" s="279"/>
      <c r="B277" s="144"/>
      <c r="C277" s="130" t="s">
        <v>484</v>
      </c>
      <c r="D277" s="168"/>
      <c r="E277" s="280"/>
      <c r="F277" s="298"/>
      <c r="G277" s="298"/>
      <c r="H277" s="298"/>
      <c r="I277" s="298"/>
      <c r="J277" s="298"/>
      <c r="K277" s="282"/>
      <c r="L277" s="283"/>
      <c r="M277" s="278"/>
    </row>
    <row r="278" spans="1:13" ht="15" x14ac:dyDescent="0.2">
      <c r="A278" s="279"/>
      <c r="B278" s="138" t="s">
        <v>370</v>
      </c>
      <c r="C278" s="144" t="s">
        <v>194</v>
      </c>
      <c r="D278" s="168" t="s">
        <v>155</v>
      </c>
      <c r="E278" s="280"/>
      <c r="F278" s="298"/>
      <c r="G278" s="298"/>
      <c r="H278" s="298"/>
      <c r="I278" s="298"/>
      <c r="J278" s="298"/>
      <c r="K278" s="282"/>
      <c r="L278" s="283"/>
      <c r="M278" s="278"/>
    </row>
    <row r="279" spans="1:13" ht="15" x14ac:dyDescent="0.2">
      <c r="A279" s="279"/>
      <c r="B279" s="138" t="s">
        <v>1181</v>
      </c>
      <c r="C279" s="144" t="s">
        <v>1072</v>
      </c>
      <c r="D279" s="168" t="s">
        <v>227</v>
      </c>
      <c r="E279" s="280"/>
      <c r="F279" s="298"/>
      <c r="G279" s="298"/>
      <c r="H279" s="298"/>
      <c r="I279" s="298"/>
      <c r="J279" s="298"/>
      <c r="K279" s="282"/>
      <c r="L279" s="283"/>
      <c r="M279" s="278"/>
    </row>
    <row r="280" spans="1:13" ht="15" x14ac:dyDescent="0.2">
      <c r="A280" s="279"/>
      <c r="B280" s="138" t="s">
        <v>916</v>
      </c>
      <c r="C280" s="144" t="s">
        <v>879</v>
      </c>
      <c r="D280" s="168" t="s">
        <v>1123</v>
      </c>
      <c r="E280" s="280"/>
      <c r="F280" s="298"/>
      <c r="G280" s="298"/>
      <c r="H280" s="298"/>
      <c r="I280" s="298"/>
      <c r="J280" s="298"/>
      <c r="K280" s="282"/>
      <c r="L280" s="283"/>
      <c r="M280" s="278"/>
    </row>
    <row r="281" spans="1:13" ht="15" x14ac:dyDescent="0.2">
      <c r="A281" s="279"/>
      <c r="B281" s="29" t="s">
        <v>30</v>
      </c>
      <c r="C281" s="80" t="s">
        <v>1174</v>
      </c>
      <c r="D281" s="119" t="s">
        <v>75</v>
      </c>
      <c r="E281" s="280"/>
      <c r="F281" s="298"/>
      <c r="G281" s="298"/>
      <c r="H281" s="298"/>
      <c r="I281" s="298"/>
      <c r="J281" s="298"/>
      <c r="K281" s="282"/>
      <c r="L281" s="283"/>
      <c r="M281" s="278"/>
    </row>
    <row r="282" spans="1:13" ht="15" x14ac:dyDescent="0.2">
      <c r="A282" s="279"/>
      <c r="B282" s="138" t="s">
        <v>1071</v>
      </c>
      <c r="C282" s="144" t="s">
        <v>738</v>
      </c>
      <c r="D282" s="168" t="s">
        <v>227</v>
      </c>
      <c r="E282" s="280"/>
      <c r="F282" s="298"/>
      <c r="G282" s="298"/>
      <c r="H282" s="298"/>
      <c r="I282" s="298"/>
      <c r="J282" s="298"/>
      <c r="K282" s="282"/>
      <c r="L282" s="283"/>
      <c r="M282" s="278"/>
    </row>
    <row r="283" spans="1:13" ht="30" x14ac:dyDescent="0.2">
      <c r="A283" s="279"/>
      <c r="B283" s="52" t="s">
        <v>309</v>
      </c>
      <c r="C283" s="144" t="s">
        <v>1067</v>
      </c>
      <c r="D283" s="168" t="s">
        <v>155</v>
      </c>
      <c r="E283" s="280"/>
      <c r="F283" s="298"/>
      <c r="G283" s="298"/>
      <c r="H283" s="298"/>
      <c r="I283" s="298"/>
      <c r="J283" s="298"/>
      <c r="K283" s="282"/>
      <c r="L283" s="283"/>
      <c r="M283" s="278"/>
    </row>
    <row r="284" spans="1:13" ht="30" x14ac:dyDescent="0.2">
      <c r="A284" s="279"/>
      <c r="B284" s="138" t="s">
        <v>718</v>
      </c>
      <c r="C284" s="144" t="s">
        <v>493</v>
      </c>
      <c r="D284" s="168" t="s">
        <v>1101</v>
      </c>
      <c r="E284" s="280"/>
      <c r="F284" s="298"/>
      <c r="G284" s="298"/>
      <c r="H284" s="298"/>
      <c r="I284" s="298"/>
      <c r="J284" s="298"/>
      <c r="K284" s="282"/>
      <c r="L284" s="283"/>
      <c r="M284" s="278"/>
    </row>
    <row r="285" spans="1:13" ht="15" x14ac:dyDescent="0.2">
      <c r="A285" s="279"/>
      <c r="B285" s="144"/>
      <c r="C285" s="130" t="s">
        <v>846</v>
      </c>
      <c r="D285" s="168"/>
      <c r="E285" s="280"/>
      <c r="F285" s="298"/>
      <c r="G285" s="298"/>
      <c r="H285" s="298"/>
      <c r="I285" s="298"/>
      <c r="J285" s="298"/>
      <c r="K285" s="282"/>
      <c r="L285" s="283"/>
      <c r="M285" s="278"/>
    </row>
    <row r="286" spans="1:13" ht="15" x14ac:dyDescent="0.2">
      <c r="A286" s="279"/>
      <c r="B286" s="52" t="s">
        <v>0</v>
      </c>
      <c r="C286" s="144" t="s">
        <v>104</v>
      </c>
      <c r="D286" s="168" t="s">
        <v>113</v>
      </c>
      <c r="E286" s="280"/>
      <c r="F286" s="298"/>
      <c r="G286" s="298"/>
      <c r="H286" s="298"/>
      <c r="I286" s="298"/>
      <c r="J286" s="298"/>
      <c r="K286" s="282"/>
      <c r="L286" s="283"/>
      <c r="M286" s="278"/>
    </row>
    <row r="287" spans="1:13" ht="15" x14ac:dyDescent="0.2">
      <c r="A287" s="279"/>
      <c r="B287" s="29" t="s">
        <v>30</v>
      </c>
      <c r="C287" s="80" t="s">
        <v>541</v>
      </c>
      <c r="D287" s="119" t="s">
        <v>113</v>
      </c>
      <c r="E287" s="280"/>
      <c r="F287" s="298"/>
      <c r="G287" s="298"/>
      <c r="H287" s="298"/>
      <c r="I287" s="298"/>
      <c r="J287" s="298"/>
      <c r="K287" s="282"/>
      <c r="L287" s="283"/>
      <c r="M287" s="278"/>
    </row>
    <row r="288" spans="1:13" ht="15" x14ac:dyDescent="0.2">
      <c r="A288" s="279"/>
      <c r="B288" s="29" t="s">
        <v>30</v>
      </c>
      <c r="C288" s="80" t="s">
        <v>816</v>
      </c>
      <c r="D288" s="119" t="s">
        <v>113</v>
      </c>
      <c r="E288" s="280"/>
      <c r="F288" s="298"/>
      <c r="G288" s="298"/>
      <c r="H288" s="298"/>
      <c r="I288" s="298"/>
      <c r="J288" s="298"/>
      <c r="K288" s="282"/>
      <c r="L288" s="283"/>
      <c r="M288" s="278"/>
    </row>
    <row r="289" spans="1:13" ht="15" x14ac:dyDescent="0.2">
      <c r="A289" s="279"/>
      <c r="B289" s="29" t="s">
        <v>30</v>
      </c>
      <c r="C289" s="80" t="s">
        <v>889</v>
      </c>
      <c r="D289" s="119" t="s">
        <v>1123</v>
      </c>
      <c r="E289" s="280"/>
      <c r="F289" s="298"/>
      <c r="G289" s="298"/>
      <c r="H289" s="298"/>
      <c r="I289" s="298"/>
      <c r="J289" s="298"/>
      <c r="K289" s="282"/>
      <c r="L289" s="283"/>
      <c r="M289" s="278"/>
    </row>
    <row r="290" spans="1:13" ht="15" x14ac:dyDescent="0.2">
      <c r="A290" s="279"/>
      <c r="B290" s="29" t="s">
        <v>30</v>
      </c>
      <c r="C290" s="80" t="s">
        <v>541</v>
      </c>
      <c r="D290" s="119" t="s">
        <v>113</v>
      </c>
      <c r="E290" s="280"/>
      <c r="F290" s="298"/>
      <c r="G290" s="298"/>
      <c r="H290" s="298"/>
      <c r="I290" s="298"/>
      <c r="J290" s="298"/>
      <c r="K290" s="282"/>
      <c r="L290" s="283"/>
      <c r="M290" s="278"/>
    </row>
    <row r="291" spans="1:13" ht="15" x14ac:dyDescent="0.2">
      <c r="A291" s="279"/>
      <c r="B291" s="29" t="s">
        <v>30</v>
      </c>
      <c r="C291" s="80" t="s">
        <v>100</v>
      </c>
      <c r="D291" s="119" t="s">
        <v>1123</v>
      </c>
      <c r="E291" s="280"/>
      <c r="F291" s="298"/>
      <c r="G291" s="298"/>
      <c r="H291" s="298"/>
      <c r="I291" s="298"/>
      <c r="J291" s="298"/>
      <c r="K291" s="282"/>
      <c r="L291" s="283"/>
      <c r="M291" s="278"/>
    </row>
    <row r="292" spans="1:13" ht="15" x14ac:dyDescent="0.2">
      <c r="A292" s="279"/>
      <c r="B292" s="29" t="s">
        <v>30</v>
      </c>
      <c r="C292" s="80" t="s">
        <v>304</v>
      </c>
      <c r="D292" s="119" t="s">
        <v>75</v>
      </c>
      <c r="E292" s="280"/>
      <c r="F292" s="298"/>
      <c r="G292" s="298"/>
      <c r="H292" s="298"/>
      <c r="I292" s="298"/>
      <c r="J292" s="298"/>
      <c r="K292" s="282"/>
      <c r="L292" s="283"/>
      <c r="M292" s="278"/>
    </row>
    <row r="293" spans="1:13" ht="15" x14ac:dyDescent="0.2">
      <c r="A293" s="279"/>
      <c r="B293" s="29" t="s">
        <v>30</v>
      </c>
      <c r="C293" s="80" t="s">
        <v>278</v>
      </c>
      <c r="D293" s="119" t="s">
        <v>1123</v>
      </c>
      <c r="E293" s="280"/>
      <c r="F293" s="298"/>
      <c r="G293" s="298"/>
      <c r="H293" s="298"/>
      <c r="I293" s="298"/>
      <c r="J293" s="298"/>
      <c r="K293" s="282"/>
      <c r="L293" s="283"/>
      <c r="M293" s="278"/>
    </row>
    <row r="294" spans="1:13" ht="15" x14ac:dyDescent="0.2">
      <c r="A294" s="279"/>
      <c r="B294" s="138" t="s">
        <v>1166</v>
      </c>
      <c r="C294" s="144" t="s">
        <v>327</v>
      </c>
      <c r="D294" s="168" t="s">
        <v>205</v>
      </c>
      <c r="E294" s="280"/>
      <c r="F294" s="298"/>
      <c r="G294" s="298"/>
      <c r="H294" s="298"/>
      <c r="I294" s="298"/>
      <c r="J294" s="298"/>
      <c r="K294" s="282"/>
      <c r="L294" s="283"/>
      <c r="M294" s="278"/>
    </row>
    <row r="295" spans="1:13" ht="15" x14ac:dyDescent="0.2">
      <c r="A295" s="279"/>
      <c r="B295" s="138" t="s">
        <v>769</v>
      </c>
      <c r="C295" s="144" t="s">
        <v>310</v>
      </c>
      <c r="D295" s="168" t="s">
        <v>155</v>
      </c>
      <c r="E295" s="280"/>
      <c r="F295" s="298"/>
      <c r="G295" s="298"/>
      <c r="H295" s="298"/>
      <c r="I295" s="298"/>
      <c r="J295" s="298"/>
      <c r="K295" s="282"/>
      <c r="L295" s="283"/>
      <c r="M295" s="278"/>
    </row>
    <row r="296" spans="1:13" ht="15" x14ac:dyDescent="0.2">
      <c r="A296" s="279"/>
      <c r="B296" s="138" t="s">
        <v>370</v>
      </c>
      <c r="C296" s="144" t="s">
        <v>194</v>
      </c>
      <c r="D296" s="168" t="s">
        <v>155</v>
      </c>
      <c r="E296" s="280"/>
      <c r="F296" s="298"/>
      <c r="G296" s="298"/>
      <c r="H296" s="298"/>
      <c r="I296" s="298"/>
      <c r="J296" s="298"/>
      <c r="K296" s="282"/>
      <c r="L296" s="283"/>
      <c r="M296" s="278"/>
    </row>
    <row r="297" spans="1:13" ht="15" x14ac:dyDescent="0.2">
      <c r="A297" s="279"/>
      <c r="B297" s="138" t="s">
        <v>752</v>
      </c>
      <c r="C297" s="144" t="s">
        <v>1032</v>
      </c>
      <c r="D297" s="168" t="s">
        <v>205</v>
      </c>
      <c r="E297" s="280"/>
      <c r="F297" s="298"/>
      <c r="G297" s="298"/>
      <c r="H297" s="298"/>
      <c r="I297" s="298"/>
      <c r="J297" s="298"/>
      <c r="K297" s="282"/>
      <c r="L297" s="283"/>
      <c r="M297" s="278"/>
    </row>
    <row r="298" spans="1:13" ht="30" x14ac:dyDescent="0.2">
      <c r="A298" s="279"/>
      <c r="B298" s="138" t="s">
        <v>589</v>
      </c>
      <c r="C298" s="144" t="s">
        <v>786</v>
      </c>
      <c r="D298" s="168" t="s">
        <v>836</v>
      </c>
      <c r="E298" s="280"/>
      <c r="F298" s="298"/>
      <c r="G298" s="298"/>
      <c r="H298" s="298"/>
      <c r="I298" s="298"/>
      <c r="J298" s="298"/>
      <c r="K298" s="282"/>
      <c r="L298" s="283"/>
      <c r="M298" s="278"/>
    </row>
    <row r="299" spans="1:13" ht="15" x14ac:dyDescent="0.2">
      <c r="A299" s="279"/>
      <c r="B299" s="144"/>
      <c r="C299" s="130" t="s">
        <v>1097</v>
      </c>
      <c r="D299" s="168"/>
      <c r="E299" s="280"/>
      <c r="F299" s="298"/>
      <c r="G299" s="298"/>
      <c r="H299" s="298"/>
      <c r="I299" s="298"/>
      <c r="J299" s="298"/>
      <c r="K299" s="282"/>
      <c r="L299" s="283"/>
      <c r="M299" s="278"/>
    </row>
    <row r="300" spans="1:13" ht="15" x14ac:dyDescent="0.2">
      <c r="A300" s="279"/>
      <c r="B300" s="138" t="s">
        <v>250</v>
      </c>
      <c r="C300" s="144" t="s">
        <v>357</v>
      </c>
      <c r="D300" s="168" t="s">
        <v>227</v>
      </c>
      <c r="E300" s="280"/>
      <c r="F300" s="298"/>
      <c r="G300" s="298"/>
      <c r="H300" s="298"/>
      <c r="I300" s="298"/>
      <c r="J300" s="298"/>
      <c r="K300" s="282"/>
      <c r="L300" s="283"/>
      <c r="M300" s="278"/>
    </row>
    <row r="301" spans="1:13" ht="30" x14ac:dyDescent="0.2">
      <c r="A301" s="279"/>
      <c r="B301" s="138" t="s">
        <v>891</v>
      </c>
      <c r="C301" s="144" t="s">
        <v>1186</v>
      </c>
      <c r="D301" s="168" t="s">
        <v>1123</v>
      </c>
      <c r="E301" s="280"/>
      <c r="F301" s="298"/>
      <c r="G301" s="298"/>
      <c r="H301" s="298"/>
      <c r="I301" s="298"/>
      <c r="J301" s="298"/>
      <c r="K301" s="282"/>
      <c r="L301" s="283"/>
      <c r="M301" s="278"/>
    </row>
    <row r="302" spans="1:13" ht="15" x14ac:dyDescent="0.2">
      <c r="A302" s="279"/>
      <c r="B302" s="138" t="s">
        <v>452</v>
      </c>
      <c r="C302" s="144" t="s">
        <v>822</v>
      </c>
      <c r="D302" s="168" t="s">
        <v>1123</v>
      </c>
      <c r="E302" s="280"/>
      <c r="F302" s="298"/>
      <c r="G302" s="298"/>
      <c r="H302" s="298"/>
      <c r="I302" s="298"/>
      <c r="J302" s="298"/>
      <c r="K302" s="282"/>
      <c r="L302" s="283"/>
      <c r="M302" s="278"/>
    </row>
    <row r="303" spans="1:13" ht="15" x14ac:dyDescent="0.2">
      <c r="A303" s="279"/>
      <c r="B303" s="138" t="s">
        <v>1166</v>
      </c>
      <c r="C303" s="144" t="s">
        <v>327</v>
      </c>
      <c r="D303" s="168" t="s">
        <v>205</v>
      </c>
      <c r="E303" s="280"/>
      <c r="F303" s="298"/>
      <c r="G303" s="298"/>
      <c r="H303" s="298"/>
      <c r="I303" s="298"/>
      <c r="J303" s="298"/>
      <c r="K303" s="282"/>
      <c r="L303" s="283"/>
      <c r="M303" s="278"/>
    </row>
    <row r="304" spans="1:13" ht="15" x14ac:dyDescent="0.2">
      <c r="A304" s="279"/>
      <c r="B304" s="29" t="s">
        <v>30</v>
      </c>
      <c r="C304" s="80" t="s">
        <v>641</v>
      </c>
      <c r="D304" s="119" t="s">
        <v>1123</v>
      </c>
      <c r="E304" s="280"/>
      <c r="F304" s="298"/>
      <c r="G304" s="298"/>
      <c r="H304" s="298"/>
      <c r="I304" s="298"/>
      <c r="J304" s="298"/>
      <c r="K304" s="282"/>
      <c r="L304" s="283"/>
      <c r="M304" s="278"/>
    </row>
    <row r="305" spans="1:13" ht="15" x14ac:dyDescent="0.2">
      <c r="A305" s="279"/>
      <c r="B305" s="29" t="s">
        <v>30</v>
      </c>
      <c r="C305" s="80" t="s">
        <v>1174</v>
      </c>
      <c r="D305" s="119" t="s">
        <v>75</v>
      </c>
      <c r="E305" s="280"/>
      <c r="F305" s="298"/>
      <c r="G305" s="298"/>
      <c r="H305" s="298"/>
      <c r="I305" s="298"/>
      <c r="J305" s="298"/>
      <c r="K305" s="282"/>
      <c r="L305" s="283"/>
      <c r="M305" s="278"/>
    </row>
    <row r="306" spans="1:13" ht="15" x14ac:dyDescent="0.2">
      <c r="A306" s="279"/>
      <c r="B306" s="138" t="s">
        <v>769</v>
      </c>
      <c r="C306" s="144" t="s">
        <v>310</v>
      </c>
      <c r="D306" s="168" t="s">
        <v>155</v>
      </c>
      <c r="E306" s="280"/>
      <c r="F306" s="298"/>
      <c r="G306" s="298"/>
      <c r="H306" s="298"/>
      <c r="I306" s="298"/>
      <c r="J306" s="298"/>
      <c r="K306" s="282"/>
      <c r="L306" s="283"/>
      <c r="M306" s="278"/>
    </row>
    <row r="307" spans="1:13" ht="15" x14ac:dyDescent="0.2">
      <c r="A307" s="279"/>
      <c r="B307" s="138" t="s">
        <v>370</v>
      </c>
      <c r="C307" s="144" t="s">
        <v>194</v>
      </c>
      <c r="D307" s="168" t="s">
        <v>155</v>
      </c>
      <c r="E307" s="280"/>
      <c r="F307" s="298"/>
      <c r="G307" s="298"/>
      <c r="H307" s="298"/>
      <c r="I307" s="298"/>
      <c r="J307" s="298"/>
      <c r="K307" s="282"/>
      <c r="L307" s="283"/>
      <c r="M307" s="278"/>
    </row>
    <row r="308" spans="1:13" ht="30" x14ac:dyDescent="0.2">
      <c r="A308" s="279"/>
      <c r="B308" s="52" t="s">
        <v>309</v>
      </c>
      <c r="C308" s="144" t="s">
        <v>1067</v>
      </c>
      <c r="D308" s="168" t="s">
        <v>155</v>
      </c>
      <c r="E308" s="280"/>
      <c r="F308" s="298"/>
      <c r="G308" s="298"/>
      <c r="H308" s="298"/>
      <c r="I308" s="298"/>
      <c r="J308" s="298"/>
      <c r="K308" s="282"/>
      <c r="L308" s="283"/>
      <c r="M308" s="278"/>
    </row>
    <row r="309" spans="1:13" ht="30" x14ac:dyDescent="0.2">
      <c r="A309" s="279"/>
      <c r="B309" s="138" t="s">
        <v>589</v>
      </c>
      <c r="C309" s="144" t="s">
        <v>786</v>
      </c>
      <c r="D309" s="168" t="s">
        <v>836</v>
      </c>
      <c r="E309" s="280"/>
      <c r="F309" s="298"/>
      <c r="G309" s="298"/>
      <c r="H309" s="298"/>
      <c r="I309" s="298"/>
      <c r="J309" s="298"/>
      <c r="K309" s="282"/>
      <c r="L309" s="283"/>
      <c r="M309" s="278"/>
    </row>
    <row r="310" spans="1:13" ht="15" x14ac:dyDescent="0.2">
      <c r="A310" s="279"/>
      <c r="B310" s="144"/>
      <c r="C310" s="130" t="s">
        <v>754</v>
      </c>
      <c r="D310" s="168"/>
      <c r="E310" s="280"/>
      <c r="F310" s="298"/>
      <c r="G310" s="298"/>
      <c r="H310" s="298"/>
      <c r="I310" s="298"/>
      <c r="J310" s="298"/>
      <c r="K310" s="282"/>
      <c r="L310" s="283"/>
      <c r="M310" s="278"/>
    </row>
    <row r="311" spans="1:13" ht="30" x14ac:dyDescent="0.2">
      <c r="A311" s="279"/>
      <c r="B311" s="138" t="s">
        <v>344</v>
      </c>
      <c r="C311" s="144" t="s">
        <v>887</v>
      </c>
      <c r="D311" s="168" t="s">
        <v>155</v>
      </c>
      <c r="E311" s="280"/>
      <c r="F311" s="298"/>
      <c r="G311" s="298"/>
      <c r="H311" s="298"/>
      <c r="I311" s="298"/>
      <c r="J311" s="298"/>
      <c r="K311" s="282"/>
      <c r="L311" s="283"/>
      <c r="M311" s="278"/>
    </row>
    <row r="312" spans="1:13" ht="15" x14ac:dyDescent="0.2">
      <c r="A312" s="279"/>
      <c r="B312" s="138" t="s">
        <v>370</v>
      </c>
      <c r="C312" s="144" t="s">
        <v>194</v>
      </c>
      <c r="D312" s="168" t="s">
        <v>155</v>
      </c>
      <c r="E312" s="280"/>
      <c r="F312" s="298"/>
      <c r="G312" s="298"/>
      <c r="H312" s="298"/>
      <c r="I312" s="298"/>
      <c r="J312" s="298"/>
      <c r="K312" s="282"/>
      <c r="L312" s="283"/>
      <c r="M312" s="278"/>
    </row>
    <row r="313" spans="1:13" ht="15" x14ac:dyDescent="0.2">
      <c r="A313" s="279"/>
      <c r="B313" s="138" t="s">
        <v>1197</v>
      </c>
      <c r="C313" s="144" t="s">
        <v>923</v>
      </c>
      <c r="D313" s="168" t="s">
        <v>1172</v>
      </c>
      <c r="E313" s="280"/>
      <c r="F313" s="298"/>
      <c r="G313" s="298"/>
      <c r="H313" s="298"/>
      <c r="I313" s="298"/>
      <c r="J313" s="298"/>
      <c r="K313" s="282"/>
      <c r="L313" s="283"/>
      <c r="M313" s="278"/>
    </row>
    <row r="314" spans="1:13" ht="30" x14ac:dyDescent="0.2">
      <c r="A314" s="279"/>
      <c r="B314" s="138" t="s">
        <v>1133</v>
      </c>
      <c r="C314" s="144" t="s">
        <v>777</v>
      </c>
      <c r="D314" s="168" t="s">
        <v>1123</v>
      </c>
      <c r="E314" s="280"/>
      <c r="F314" s="298"/>
      <c r="G314" s="298"/>
      <c r="H314" s="298"/>
      <c r="I314" s="298"/>
      <c r="J314" s="298"/>
      <c r="K314" s="282"/>
      <c r="L314" s="283"/>
      <c r="M314" s="278"/>
    </row>
    <row r="315" spans="1:13" ht="15" x14ac:dyDescent="0.2">
      <c r="A315" s="279"/>
      <c r="B315" s="138" t="s">
        <v>1166</v>
      </c>
      <c r="C315" s="144" t="s">
        <v>327</v>
      </c>
      <c r="D315" s="168" t="s">
        <v>205</v>
      </c>
      <c r="E315" s="280"/>
      <c r="F315" s="298"/>
      <c r="G315" s="298"/>
      <c r="H315" s="298"/>
      <c r="I315" s="298"/>
      <c r="J315" s="298"/>
      <c r="K315" s="282"/>
      <c r="L315" s="283"/>
      <c r="M315" s="278"/>
    </row>
    <row r="316" spans="1:13" ht="30" x14ac:dyDescent="0.2">
      <c r="A316" s="279"/>
      <c r="B316" s="138" t="s">
        <v>589</v>
      </c>
      <c r="C316" s="144" t="s">
        <v>219</v>
      </c>
      <c r="D316" s="168" t="s">
        <v>836</v>
      </c>
      <c r="E316" s="280"/>
      <c r="F316" s="298"/>
      <c r="G316" s="298"/>
      <c r="H316" s="298"/>
      <c r="I316" s="298"/>
      <c r="J316" s="298"/>
      <c r="K316" s="282"/>
      <c r="L316" s="283"/>
      <c r="M316" s="278"/>
    </row>
    <row r="317" spans="1:13" ht="15" x14ac:dyDescent="0.2">
      <c r="A317" s="279"/>
      <c r="B317" s="52" t="s">
        <v>1051</v>
      </c>
      <c r="C317" s="144" t="s">
        <v>806</v>
      </c>
      <c r="D317" s="168" t="s">
        <v>155</v>
      </c>
      <c r="E317" s="280"/>
      <c r="F317" s="298"/>
      <c r="G317" s="298"/>
      <c r="H317" s="298"/>
      <c r="I317" s="298"/>
      <c r="J317" s="298"/>
      <c r="K317" s="282"/>
      <c r="L317" s="283"/>
      <c r="M317" s="278"/>
    </row>
    <row r="318" spans="1:13" ht="15" x14ac:dyDescent="0.2">
      <c r="A318" s="279"/>
      <c r="B318" s="144"/>
      <c r="C318" s="130" t="s">
        <v>1202</v>
      </c>
      <c r="D318" s="168"/>
      <c r="E318" s="280"/>
      <c r="F318" s="298"/>
      <c r="G318" s="298"/>
      <c r="H318" s="298"/>
      <c r="I318" s="298"/>
      <c r="J318" s="298"/>
      <c r="K318" s="282"/>
      <c r="L318" s="283"/>
      <c r="M318" s="278"/>
    </row>
    <row r="319" spans="1:13" ht="15" x14ac:dyDescent="0.2">
      <c r="A319" s="279"/>
      <c r="B319" s="138" t="s">
        <v>1208</v>
      </c>
      <c r="C319" s="144" t="s">
        <v>1203</v>
      </c>
      <c r="D319" s="168" t="s">
        <v>155</v>
      </c>
      <c r="E319" s="280"/>
      <c r="F319" s="298"/>
      <c r="G319" s="298"/>
      <c r="H319" s="298"/>
      <c r="I319" s="298"/>
      <c r="J319" s="298"/>
      <c r="K319" s="282"/>
      <c r="L319" s="283"/>
      <c r="M319" s="278"/>
    </row>
    <row r="320" spans="1:13" ht="15" x14ac:dyDescent="0.2">
      <c r="A320" s="279"/>
      <c r="B320" s="138" t="s">
        <v>910</v>
      </c>
      <c r="C320" s="144" t="s">
        <v>1204</v>
      </c>
      <c r="D320" s="168" t="s">
        <v>1172</v>
      </c>
      <c r="E320" s="280"/>
      <c r="F320" s="298"/>
      <c r="G320" s="298"/>
      <c r="H320" s="298"/>
      <c r="I320" s="298"/>
      <c r="J320" s="298"/>
      <c r="K320" s="282"/>
      <c r="L320" s="283"/>
      <c r="M320" s="278"/>
    </row>
    <row r="321" spans="1:13" ht="15" x14ac:dyDescent="0.2">
      <c r="A321" s="279"/>
      <c r="B321" s="138" t="s">
        <v>62</v>
      </c>
      <c r="C321" s="144" t="s">
        <v>1205</v>
      </c>
      <c r="D321" s="168" t="s">
        <v>1172</v>
      </c>
      <c r="E321" s="280"/>
      <c r="F321" s="298"/>
      <c r="G321" s="298"/>
      <c r="H321" s="298"/>
      <c r="I321" s="298"/>
      <c r="J321" s="298"/>
      <c r="K321" s="282"/>
      <c r="L321" s="283"/>
      <c r="M321" s="278"/>
    </row>
    <row r="322" spans="1:13" ht="30" x14ac:dyDescent="0.2">
      <c r="A322" s="279"/>
      <c r="B322" s="138" t="s">
        <v>1209</v>
      </c>
      <c r="C322" s="144" t="s">
        <v>1210</v>
      </c>
      <c r="D322" s="168" t="s">
        <v>836</v>
      </c>
      <c r="E322" s="280"/>
      <c r="F322" s="298"/>
      <c r="G322" s="298"/>
      <c r="H322" s="298"/>
      <c r="I322" s="298"/>
      <c r="J322" s="298"/>
      <c r="K322" s="282"/>
      <c r="L322" s="283"/>
      <c r="M322" s="278"/>
    </row>
    <row r="323" spans="1:13" ht="15" x14ac:dyDescent="0.2">
      <c r="A323" s="285"/>
      <c r="B323" s="138" t="s">
        <v>1211</v>
      </c>
      <c r="C323" s="24" t="s">
        <v>1206</v>
      </c>
      <c r="D323" s="168" t="s">
        <v>205</v>
      </c>
      <c r="E323" s="286"/>
      <c r="F323" s="299"/>
      <c r="G323" s="299"/>
      <c r="H323" s="299"/>
      <c r="I323" s="299"/>
      <c r="J323" s="299"/>
      <c r="K323" s="287"/>
      <c r="L323" s="288"/>
      <c r="M323" s="289"/>
    </row>
  </sheetData>
  <mergeCells count="4">
    <mergeCell ref="A4:A5"/>
    <mergeCell ref="B4:B5"/>
    <mergeCell ref="C4:C5"/>
    <mergeCell ref="D4:D5"/>
  </mergeCells>
  <printOptions horizontalCentered="1"/>
  <pageMargins left="0.24" right="0.2" top="0.4" bottom="0.55000000000000004" header="0.24" footer="0.16"/>
  <pageSetup orientation="landscape" r:id="rId1"/>
  <headerFooter alignWithMargins="0"/>
  <drawing r:id="rId2"/>
  <legacyDrawing r:id="rId3"/>
  <controls>
    <mc:AlternateContent xmlns:mc="http://schemas.openxmlformats.org/markup-compatibility/2006">
      <mc:Choice Requires="x14">
        <control shapeId="9217" r:id="rId4" name="CmdTinhLaiKhoiLuong">
          <controlPr defaultSize="0" print="0" autoLine="0" r:id="rId5">
            <anchor moveWithCells="1">
              <from>
                <xdr:col>11</xdr:col>
                <xdr:colOff>47625</xdr:colOff>
                <xdr:row>0</xdr:row>
                <xdr:rowOff>28575</xdr:rowOff>
              </from>
              <to>
                <xdr:col>12</xdr:col>
                <xdr:colOff>228600</xdr:colOff>
                <xdr:row>1</xdr:row>
                <xdr:rowOff>66675</xdr:rowOff>
              </to>
            </anchor>
          </controlPr>
        </control>
      </mc:Choice>
      <mc:Fallback>
        <control shapeId="9217" r:id="rId4" name="CmdTinhLaiKhoiLuong"/>
      </mc:Fallback>
    </mc:AlternateContent>
  </control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B342"/>
  <sheetViews>
    <sheetView showZeros="0" view="pageBreakPreview" topLeftCell="A3" zoomScale="85" zoomScaleNormal="100" zoomScaleSheetLayoutView="85" workbookViewId="0">
      <pane xSplit="13" ySplit="3" topLeftCell="N6" activePane="bottomRight" state="frozen"/>
      <selection activeCell="A3" sqref="A3"/>
      <selection pane="topRight" activeCell="L3" sqref="L3"/>
      <selection pane="bottomLeft" activeCell="A6" sqref="A6"/>
      <selection pane="bottomRight" activeCell="D323" sqref="D6:D323"/>
    </sheetView>
  </sheetViews>
  <sheetFormatPr defaultColWidth="9.140625" defaultRowHeight="48.95" customHeight="1" outlineLevelRow="1" x14ac:dyDescent="0.25"/>
  <cols>
    <col min="1" max="1" width="4.85546875" style="182" customWidth="1"/>
    <col min="2" max="2" width="10.140625" style="182" customWidth="1"/>
    <col min="3" max="3" width="40.140625" style="182" customWidth="1"/>
    <col min="4" max="4" width="8.42578125" style="182" bestFit="1" customWidth="1"/>
    <col min="5" max="5" width="7" style="182" bestFit="1" customWidth="1"/>
    <col min="6" max="6" width="9.28515625" style="182" bestFit="1" customWidth="1"/>
    <col min="7" max="7" width="6" style="182" bestFit="1" customWidth="1"/>
    <col min="8" max="9" width="4.7109375" style="182" bestFit="1" customWidth="1"/>
    <col min="10" max="10" width="9.5703125" style="182" bestFit="1" customWidth="1"/>
    <col min="11" max="11" width="13.7109375" style="222" bestFit="1" customWidth="1"/>
    <col min="12" max="12" width="11.42578125" style="228" bestFit="1" customWidth="1"/>
    <col min="13" max="13" width="11.28515625" style="182" customWidth="1"/>
    <col min="14" max="14" width="11.85546875" style="182" customWidth="1"/>
    <col min="15" max="15" width="13.140625" style="182" hidden="1" customWidth="1"/>
    <col min="16" max="16" width="11.85546875" style="182" customWidth="1"/>
    <col min="17" max="17" width="13.42578125" style="182" customWidth="1"/>
    <col min="18" max="18" width="16.85546875" style="182" customWidth="1"/>
    <col min="19" max="19" width="13.140625" style="182" hidden="1" customWidth="1"/>
    <col min="20" max="20" width="14.42578125" style="182" customWidth="1"/>
    <col min="21" max="21" width="14.140625" style="182" customWidth="1"/>
    <col min="22" max="22" width="5.85546875" style="182" hidden="1" customWidth="1"/>
    <col min="23" max="23" width="5.42578125" style="182" hidden="1" customWidth="1"/>
    <col min="24" max="24" width="5.140625" style="182" hidden="1" customWidth="1"/>
    <col min="25" max="26" width="17.7109375" style="182" hidden="1" customWidth="1"/>
    <col min="27" max="28" width="9.85546875" style="182" bestFit="1" customWidth="1"/>
    <col min="29" max="16384" width="9.140625" style="182"/>
  </cols>
  <sheetData>
    <row r="1" spans="1:26" ht="48.95" customHeight="1" x14ac:dyDescent="0.25">
      <c r="A1" s="300" t="s">
        <v>964</v>
      </c>
      <c r="B1" s="300"/>
      <c r="C1" s="300"/>
      <c r="D1" s="300"/>
      <c r="E1" s="300"/>
      <c r="F1" s="300"/>
      <c r="G1" s="300"/>
      <c r="H1" s="300"/>
      <c r="I1" s="300"/>
      <c r="J1" s="300"/>
      <c r="K1" s="300"/>
      <c r="L1" s="300"/>
      <c r="M1" s="300"/>
      <c r="N1" s="300"/>
      <c r="O1" s="300"/>
      <c r="P1" s="300"/>
      <c r="Q1" s="300"/>
      <c r="R1" s="300"/>
      <c r="S1" s="300"/>
      <c r="T1" s="300"/>
      <c r="U1" s="300"/>
      <c r="V1" s="189"/>
      <c r="W1" s="189"/>
      <c r="X1" s="189"/>
      <c r="Y1" s="189"/>
      <c r="Z1" s="188"/>
    </row>
    <row r="2" spans="1:26" ht="48.95" customHeight="1" x14ac:dyDescent="0.25">
      <c r="A2" s="301" t="s">
        <v>421</v>
      </c>
      <c r="B2" s="301"/>
      <c r="C2" s="301"/>
      <c r="D2" s="301"/>
      <c r="E2" s="301"/>
      <c r="F2" s="301"/>
      <c r="G2" s="301"/>
      <c r="H2" s="301"/>
      <c r="I2" s="301"/>
      <c r="J2" s="301"/>
      <c r="K2" s="301"/>
      <c r="L2" s="301"/>
      <c r="M2" s="301"/>
      <c r="N2" s="301"/>
      <c r="O2" s="301"/>
      <c r="P2" s="301"/>
      <c r="Q2" s="301"/>
      <c r="R2" s="301"/>
      <c r="S2" s="301"/>
      <c r="T2" s="301"/>
      <c r="U2" s="301"/>
      <c r="V2" s="189"/>
      <c r="W2" s="189"/>
      <c r="X2" s="189"/>
      <c r="Y2" s="189"/>
      <c r="Z2" s="188"/>
    </row>
    <row r="3" spans="1:26" ht="48.95" customHeight="1" x14ac:dyDescent="0.25">
      <c r="A3" s="302" t="s">
        <v>663</v>
      </c>
      <c r="B3" s="302"/>
      <c r="C3" s="302"/>
      <c r="D3" s="302"/>
      <c r="E3" s="302"/>
      <c r="F3" s="302"/>
      <c r="G3" s="302"/>
      <c r="H3" s="302"/>
      <c r="I3" s="302"/>
      <c r="J3" s="302"/>
      <c r="K3" s="302"/>
      <c r="L3" s="302"/>
      <c r="M3" s="302"/>
      <c r="N3" s="302"/>
      <c r="O3" s="302"/>
      <c r="P3" s="302"/>
      <c r="Q3" s="302"/>
      <c r="R3" s="302"/>
      <c r="S3" s="302"/>
      <c r="T3" s="302"/>
      <c r="U3" s="302"/>
      <c r="V3" s="189"/>
      <c r="W3" s="189"/>
      <c r="X3" s="189"/>
      <c r="Y3" s="189"/>
      <c r="Z3" s="188"/>
    </row>
    <row r="4" spans="1:26" ht="48.95" customHeight="1" x14ac:dyDescent="0.25">
      <c r="A4" s="303" t="s">
        <v>761</v>
      </c>
      <c r="B4" s="303" t="s">
        <v>15</v>
      </c>
      <c r="C4" s="304" t="s">
        <v>819</v>
      </c>
      <c r="D4" s="304" t="s">
        <v>971</v>
      </c>
      <c r="E4" s="305" t="s">
        <v>868</v>
      </c>
      <c r="F4" s="306" t="s">
        <v>988</v>
      </c>
      <c r="G4" s="306"/>
      <c r="H4" s="306"/>
      <c r="I4" s="306"/>
      <c r="J4" s="306" t="s">
        <v>172</v>
      </c>
      <c r="K4" s="325" t="s">
        <v>1213</v>
      </c>
      <c r="L4" s="326" t="s">
        <v>1109</v>
      </c>
      <c r="M4" s="307" t="s">
        <v>1212</v>
      </c>
      <c r="N4" s="305" t="s">
        <v>86</v>
      </c>
      <c r="O4" s="305"/>
      <c r="P4" s="305"/>
      <c r="Q4" s="305"/>
      <c r="R4" s="305" t="s">
        <v>563</v>
      </c>
      <c r="S4" s="305"/>
      <c r="T4" s="305"/>
      <c r="U4" s="305"/>
      <c r="V4" s="304" t="s">
        <v>991</v>
      </c>
      <c r="W4" s="304"/>
      <c r="X4" s="304"/>
      <c r="Y4" s="308" t="s">
        <v>86</v>
      </c>
      <c r="Z4" s="308" t="s">
        <v>171</v>
      </c>
    </row>
    <row r="5" spans="1:26" ht="48.95" customHeight="1" x14ac:dyDescent="0.25">
      <c r="A5" s="303"/>
      <c r="B5" s="303"/>
      <c r="C5" s="304"/>
      <c r="D5" s="304"/>
      <c r="E5" s="305"/>
      <c r="F5" s="184" t="s">
        <v>974</v>
      </c>
      <c r="G5" s="184" t="s">
        <v>352</v>
      </c>
      <c r="H5" s="211" t="s">
        <v>184</v>
      </c>
      <c r="I5" s="184" t="s">
        <v>1214</v>
      </c>
      <c r="J5" s="306"/>
      <c r="K5" s="325"/>
      <c r="L5" s="326"/>
      <c r="M5" s="307"/>
      <c r="N5" s="198" t="s">
        <v>479</v>
      </c>
      <c r="O5" s="198" t="s">
        <v>53</v>
      </c>
      <c r="P5" s="198" t="s">
        <v>202</v>
      </c>
      <c r="Q5" s="198" t="s">
        <v>378</v>
      </c>
      <c r="R5" s="185" t="s">
        <v>479</v>
      </c>
      <c r="S5" s="185" t="s">
        <v>53</v>
      </c>
      <c r="T5" s="185" t="s">
        <v>202</v>
      </c>
      <c r="U5" s="185" t="s">
        <v>378</v>
      </c>
      <c r="V5" s="186" t="s">
        <v>1114</v>
      </c>
      <c r="W5" s="186" t="s">
        <v>830</v>
      </c>
      <c r="X5" s="186" t="s">
        <v>609</v>
      </c>
      <c r="Y5" s="308"/>
      <c r="Z5" s="308"/>
    </row>
    <row r="6" spans="1:26" ht="48.95" customHeight="1" x14ac:dyDescent="0.25">
      <c r="A6" s="65"/>
      <c r="B6" s="31"/>
      <c r="C6" s="14" t="s">
        <v>350</v>
      </c>
      <c r="D6" s="65"/>
      <c r="E6" s="54"/>
      <c r="F6" s="98"/>
      <c r="G6" s="98"/>
      <c r="H6" s="98"/>
      <c r="I6" s="98"/>
      <c r="J6" s="98"/>
      <c r="K6" s="213"/>
      <c r="L6" s="223"/>
      <c r="M6" s="126"/>
      <c r="N6" s="54"/>
      <c r="O6" s="54"/>
      <c r="P6" s="54"/>
      <c r="Q6" s="54"/>
      <c r="R6" s="54"/>
      <c r="S6" s="54"/>
      <c r="T6" s="54"/>
      <c r="U6" s="54"/>
      <c r="V6" s="94"/>
      <c r="W6" s="94"/>
      <c r="X6" s="94"/>
      <c r="Y6" s="81"/>
      <c r="Z6" s="81"/>
    </row>
    <row r="7" spans="1:26" ht="48.95" customHeight="1" x14ac:dyDescent="0.25">
      <c r="A7" s="124">
        <v>1</v>
      </c>
      <c r="B7" s="138" t="s">
        <v>1090</v>
      </c>
      <c r="C7" s="144" t="s">
        <v>909</v>
      </c>
      <c r="D7" s="168" t="s">
        <v>155</v>
      </c>
      <c r="E7" s="142"/>
      <c r="F7" s="11"/>
      <c r="G7" s="11"/>
      <c r="H7" s="11"/>
      <c r="I7" s="11"/>
      <c r="J7" s="11"/>
      <c r="K7" s="214"/>
      <c r="L7" s="224"/>
      <c r="M7" s="45">
        <v>164.34</v>
      </c>
      <c r="N7" s="136">
        <v>1102139</v>
      </c>
      <c r="O7" s="136"/>
      <c r="P7" s="136">
        <v>384605</v>
      </c>
      <c r="Q7" s="136">
        <v>47495</v>
      </c>
      <c r="R7" s="166">
        <f t="shared" ref="R7:R16" si="0">ROUND(M7*N7,0)</f>
        <v>181125523</v>
      </c>
      <c r="S7" s="166">
        <f t="shared" ref="S7:S16" si="1">ROUND(M7*O7,0)</f>
        <v>0</v>
      </c>
      <c r="T7" s="166">
        <f t="shared" ref="T7:T16" si="2">ROUND(M7*P7,0)</f>
        <v>63205986</v>
      </c>
      <c r="U7" s="166">
        <f t="shared" ref="U7:U16" si="3">ROUND(M7*Q7,0)</f>
        <v>7805328</v>
      </c>
      <c r="V7" s="34"/>
      <c r="W7" s="34"/>
      <c r="X7" s="34"/>
      <c r="Y7" s="17" t="s">
        <v>82</v>
      </c>
      <c r="Z7" s="17" t="s">
        <v>321</v>
      </c>
    </row>
    <row r="8" spans="1:26" ht="48.95" customHeight="1" x14ac:dyDescent="0.25">
      <c r="A8" s="124">
        <v>2</v>
      </c>
      <c r="B8" s="138" t="s">
        <v>648</v>
      </c>
      <c r="C8" s="144" t="s">
        <v>402</v>
      </c>
      <c r="D8" s="168" t="s">
        <v>155</v>
      </c>
      <c r="E8" s="142"/>
      <c r="F8" s="11"/>
      <c r="G8" s="11"/>
      <c r="H8" s="11"/>
      <c r="I8" s="11"/>
      <c r="J8" s="11"/>
      <c r="K8" s="214"/>
      <c r="L8" s="224"/>
      <c r="M8" s="45">
        <v>160.66999999999999</v>
      </c>
      <c r="N8" s="136">
        <v>1128105</v>
      </c>
      <c r="O8" s="136"/>
      <c r="P8" s="136">
        <v>840781</v>
      </c>
      <c r="Q8" s="136">
        <v>109644</v>
      </c>
      <c r="R8" s="166">
        <f t="shared" si="0"/>
        <v>181252630</v>
      </c>
      <c r="S8" s="166">
        <f t="shared" si="1"/>
        <v>0</v>
      </c>
      <c r="T8" s="166">
        <f t="shared" si="2"/>
        <v>135088283</v>
      </c>
      <c r="U8" s="166">
        <f t="shared" si="3"/>
        <v>17616501</v>
      </c>
      <c r="V8" s="34"/>
      <c r="W8" s="34"/>
      <c r="X8" s="34"/>
      <c r="Y8" s="17" t="s">
        <v>82</v>
      </c>
      <c r="Z8" s="17" t="s">
        <v>321</v>
      </c>
    </row>
    <row r="9" spans="1:26" ht="48.95" customHeight="1" x14ac:dyDescent="0.25">
      <c r="A9" s="124">
        <v>3</v>
      </c>
      <c r="B9" s="138" t="s">
        <v>346</v>
      </c>
      <c r="C9" s="144" t="s">
        <v>471</v>
      </c>
      <c r="D9" s="168" t="s">
        <v>155</v>
      </c>
      <c r="E9" s="142"/>
      <c r="F9" s="11"/>
      <c r="G9" s="11"/>
      <c r="H9" s="11"/>
      <c r="I9" s="11"/>
      <c r="J9" s="11"/>
      <c r="K9" s="214"/>
      <c r="L9" s="224"/>
      <c r="M9" s="30">
        <v>260</v>
      </c>
      <c r="N9" s="136">
        <v>902489</v>
      </c>
      <c r="O9" s="136"/>
      <c r="P9" s="136">
        <v>308465</v>
      </c>
      <c r="Q9" s="136">
        <v>47209</v>
      </c>
      <c r="R9" s="166">
        <f t="shared" si="0"/>
        <v>234647140</v>
      </c>
      <c r="S9" s="166">
        <f t="shared" si="1"/>
        <v>0</v>
      </c>
      <c r="T9" s="166">
        <f t="shared" si="2"/>
        <v>80200900</v>
      </c>
      <c r="U9" s="166">
        <f t="shared" si="3"/>
        <v>12274340</v>
      </c>
      <c r="V9" s="34"/>
      <c r="W9" s="34"/>
      <c r="X9" s="34"/>
      <c r="Y9" s="17" t="s">
        <v>82</v>
      </c>
      <c r="Z9" s="17" t="s">
        <v>321</v>
      </c>
    </row>
    <row r="10" spans="1:26" ht="48.95" customHeight="1" x14ac:dyDescent="0.25">
      <c r="A10" s="124">
        <v>4</v>
      </c>
      <c r="B10" s="138" t="s">
        <v>361</v>
      </c>
      <c r="C10" s="144" t="s">
        <v>217</v>
      </c>
      <c r="D10" s="168" t="s">
        <v>155</v>
      </c>
      <c r="E10" s="142"/>
      <c r="F10" s="11"/>
      <c r="G10" s="11"/>
      <c r="H10" s="11"/>
      <c r="I10" s="11"/>
      <c r="J10" s="11"/>
      <c r="K10" s="214"/>
      <c r="L10" s="224"/>
      <c r="M10" s="45">
        <v>54.6</v>
      </c>
      <c r="N10" s="136">
        <v>819664</v>
      </c>
      <c r="O10" s="136"/>
      <c r="P10" s="136">
        <v>230373</v>
      </c>
      <c r="Q10" s="136">
        <v>47209</v>
      </c>
      <c r="R10" s="166">
        <f t="shared" si="0"/>
        <v>44753654</v>
      </c>
      <c r="S10" s="166">
        <f t="shared" si="1"/>
        <v>0</v>
      </c>
      <c r="T10" s="166">
        <f t="shared" si="2"/>
        <v>12578366</v>
      </c>
      <c r="U10" s="166">
        <f t="shared" si="3"/>
        <v>2577611</v>
      </c>
      <c r="V10" s="34"/>
      <c r="W10" s="34"/>
      <c r="X10" s="34"/>
      <c r="Y10" s="17" t="s">
        <v>82</v>
      </c>
      <c r="Z10" s="17" t="s">
        <v>321</v>
      </c>
    </row>
    <row r="11" spans="1:26" ht="48.95" customHeight="1" x14ac:dyDescent="0.25">
      <c r="A11" s="124">
        <v>5</v>
      </c>
      <c r="B11" s="138" t="s">
        <v>399</v>
      </c>
      <c r="C11" s="144" t="s">
        <v>365</v>
      </c>
      <c r="D11" s="168" t="s">
        <v>1172</v>
      </c>
      <c r="E11" s="142"/>
      <c r="F11" s="11"/>
      <c r="G11" s="11"/>
      <c r="H11" s="11"/>
      <c r="I11" s="11"/>
      <c r="J11" s="11"/>
      <c r="K11" s="214"/>
      <c r="L11" s="224"/>
      <c r="M11" s="30">
        <f>ROUND(9045.86/1000,4)</f>
        <v>9.0458999999999996</v>
      </c>
      <c r="N11" s="136">
        <v>14677642</v>
      </c>
      <c r="O11" s="136"/>
      <c r="P11" s="136">
        <v>1775219</v>
      </c>
      <c r="Q11" s="136">
        <v>451556</v>
      </c>
      <c r="R11" s="166">
        <f t="shared" si="0"/>
        <v>132772482</v>
      </c>
      <c r="S11" s="166">
        <f t="shared" si="1"/>
        <v>0</v>
      </c>
      <c r="T11" s="166">
        <f t="shared" si="2"/>
        <v>16058454</v>
      </c>
      <c r="U11" s="166">
        <f t="shared" si="3"/>
        <v>4084730</v>
      </c>
      <c r="V11" s="34"/>
      <c r="W11" s="34"/>
      <c r="X11" s="34"/>
      <c r="Y11" s="17" t="s">
        <v>82</v>
      </c>
      <c r="Z11" s="17" t="s">
        <v>321</v>
      </c>
    </row>
    <row r="12" spans="1:26" ht="48.95" customHeight="1" x14ac:dyDescent="0.25">
      <c r="A12" s="124">
        <v>6</v>
      </c>
      <c r="B12" s="138" t="s">
        <v>369</v>
      </c>
      <c r="C12" s="144" t="s">
        <v>835</v>
      </c>
      <c r="D12" s="168" t="s">
        <v>1172</v>
      </c>
      <c r="E12" s="142"/>
      <c r="F12" s="11"/>
      <c r="G12" s="11"/>
      <c r="H12" s="11"/>
      <c r="I12" s="11"/>
      <c r="J12" s="11"/>
      <c r="K12" s="214"/>
      <c r="L12" s="224"/>
      <c r="M12" s="45">
        <f>ROUND(2625.22/1000,4)</f>
        <v>2.6252</v>
      </c>
      <c r="N12" s="136">
        <v>14690242</v>
      </c>
      <c r="O12" s="136"/>
      <c r="P12" s="136">
        <v>1351636</v>
      </c>
      <c r="Q12" s="136">
        <v>465772</v>
      </c>
      <c r="R12" s="166">
        <f t="shared" si="0"/>
        <v>38564823</v>
      </c>
      <c r="S12" s="166">
        <f t="shared" si="1"/>
        <v>0</v>
      </c>
      <c r="T12" s="166">
        <f t="shared" si="2"/>
        <v>3548315</v>
      </c>
      <c r="U12" s="166">
        <f t="shared" si="3"/>
        <v>1222745</v>
      </c>
      <c r="V12" s="34"/>
      <c r="W12" s="34"/>
      <c r="X12" s="34"/>
      <c r="Y12" s="17" t="s">
        <v>82</v>
      </c>
      <c r="Z12" s="17" t="s">
        <v>321</v>
      </c>
    </row>
    <row r="13" spans="1:26" ht="48.95" customHeight="1" x14ac:dyDescent="0.25">
      <c r="A13" s="124">
        <v>7</v>
      </c>
      <c r="B13" s="138" t="s">
        <v>838</v>
      </c>
      <c r="C13" s="144" t="s">
        <v>257</v>
      </c>
      <c r="D13" s="168" t="s">
        <v>1172</v>
      </c>
      <c r="E13" s="142"/>
      <c r="F13" s="11"/>
      <c r="G13" s="11"/>
      <c r="H13" s="11"/>
      <c r="I13" s="11"/>
      <c r="J13" s="11"/>
      <c r="K13" s="214"/>
      <c r="L13" s="224"/>
      <c r="M13" s="45">
        <f>ROUND(7625.42/1000,4)</f>
        <v>7.6254</v>
      </c>
      <c r="N13" s="136">
        <v>14677642</v>
      </c>
      <c r="O13" s="136"/>
      <c r="P13" s="136">
        <v>2377602</v>
      </c>
      <c r="Q13" s="136">
        <v>451556</v>
      </c>
      <c r="R13" s="166">
        <f t="shared" si="0"/>
        <v>111922891</v>
      </c>
      <c r="S13" s="166">
        <f t="shared" si="1"/>
        <v>0</v>
      </c>
      <c r="T13" s="166">
        <f t="shared" si="2"/>
        <v>18130166</v>
      </c>
      <c r="U13" s="166">
        <f t="shared" si="3"/>
        <v>3443295</v>
      </c>
      <c r="V13" s="34"/>
      <c r="W13" s="34"/>
      <c r="X13" s="34"/>
      <c r="Y13" s="17" t="s">
        <v>82</v>
      </c>
      <c r="Z13" s="17" t="s">
        <v>321</v>
      </c>
    </row>
    <row r="14" spans="1:26" ht="48.95" customHeight="1" x14ac:dyDescent="0.25">
      <c r="A14" s="124">
        <v>8</v>
      </c>
      <c r="B14" s="138" t="s">
        <v>1195</v>
      </c>
      <c r="C14" s="144" t="s">
        <v>424</v>
      </c>
      <c r="D14" s="168" t="s">
        <v>1172</v>
      </c>
      <c r="E14" s="142"/>
      <c r="F14" s="11"/>
      <c r="G14" s="11"/>
      <c r="H14" s="11"/>
      <c r="I14" s="11"/>
      <c r="J14" s="11"/>
      <c r="K14" s="214"/>
      <c r="L14" s="224"/>
      <c r="M14" s="45">
        <f>ROUND(2951.99/1000,4)</f>
        <v>2.952</v>
      </c>
      <c r="N14" s="136">
        <v>14690242</v>
      </c>
      <c r="O14" s="136"/>
      <c r="P14" s="136">
        <v>1936990</v>
      </c>
      <c r="Q14" s="136">
        <v>465772</v>
      </c>
      <c r="R14" s="166">
        <f t="shared" si="0"/>
        <v>43365594</v>
      </c>
      <c r="S14" s="166">
        <f t="shared" si="1"/>
        <v>0</v>
      </c>
      <c r="T14" s="166">
        <f t="shared" si="2"/>
        <v>5717994</v>
      </c>
      <c r="U14" s="166">
        <f t="shared" si="3"/>
        <v>1374959</v>
      </c>
      <c r="V14" s="34"/>
      <c r="W14" s="34"/>
      <c r="X14" s="34"/>
      <c r="Y14" s="17" t="s">
        <v>82</v>
      </c>
      <c r="Z14" s="17" t="s">
        <v>321</v>
      </c>
    </row>
    <row r="15" spans="1:26" ht="48.95" customHeight="1" x14ac:dyDescent="0.25">
      <c r="A15" s="124">
        <v>9</v>
      </c>
      <c r="B15" s="138" t="s">
        <v>589</v>
      </c>
      <c r="C15" s="144" t="s">
        <v>799</v>
      </c>
      <c r="D15" s="168" t="s">
        <v>836</v>
      </c>
      <c r="E15" s="142"/>
      <c r="F15" s="11"/>
      <c r="G15" s="11"/>
      <c r="H15" s="11"/>
      <c r="I15" s="11"/>
      <c r="J15" s="11"/>
      <c r="K15" s="214"/>
      <c r="L15" s="224"/>
      <c r="M15" s="30">
        <f>ROUND(43.2/100,4)</f>
        <v>0.432</v>
      </c>
      <c r="N15" s="136">
        <v>1255185</v>
      </c>
      <c r="O15" s="136"/>
      <c r="P15" s="136">
        <v>2823392</v>
      </c>
      <c r="Q15" s="136"/>
      <c r="R15" s="166">
        <f t="shared" si="0"/>
        <v>542240</v>
      </c>
      <c r="S15" s="166">
        <f t="shared" si="1"/>
        <v>0</v>
      </c>
      <c r="T15" s="166">
        <f t="shared" si="2"/>
        <v>1219705</v>
      </c>
      <c r="U15" s="166">
        <f t="shared" si="3"/>
        <v>0</v>
      </c>
      <c r="V15" s="34"/>
      <c r="W15" s="34"/>
      <c r="X15" s="34"/>
      <c r="Y15" s="17" t="s">
        <v>82</v>
      </c>
      <c r="Z15" s="17" t="s">
        <v>321</v>
      </c>
    </row>
    <row r="16" spans="1:26" ht="48.95" customHeight="1" x14ac:dyDescent="0.25">
      <c r="A16" s="124">
        <v>10</v>
      </c>
      <c r="B16" s="138" t="s">
        <v>869</v>
      </c>
      <c r="C16" s="144" t="s">
        <v>673</v>
      </c>
      <c r="D16" s="168" t="s">
        <v>836</v>
      </c>
      <c r="E16" s="142"/>
      <c r="F16" s="11"/>
      <c r="G16" s="11"/>
      <c r="H16" s="11"/>
      <c r="I16" s="11"/>
      <c r="J16" s="11"/>
      <c r="K16" s="214"/>
      <c r="L16" s="224"/>
      <c r="M16" s="45">
        <f>ROUND(357.92/100,4)</f>
        <v>3.5792000000000002</v>
      </c>
      <c r="N16" s="136">
        <v>3284877</v>
      </c>
      <c r="O16" s="136"/>
      <c r="P16" s="136">
        <v>8822813</v>
      </c>
      <c r="Q16" s="100">
        <v>517171</v>
      </c>
      <c r="R16" s="166">
        <f t="shared" si="0"/>
        <v>11757232</v>
      </c>
      <c r="S16" s="166">
        <f t="shared" si="1"/>
        <v>0</v>
      </c>
      <c r="T16" s="166">
        <f t="shared" si="2"/>
        <v>31578612</v>
      </c>
      <c r="U16" s="166">
        <f t="shared" si="3"/>
        <v>1851058</v>
      </c>
      <c r="V16" s="34"/>
      <c r="W16" s="34"/>
      <c r="X16" s="34"/>
      <c r="Y16" s="17" t="s">
        <v>82</v>
      </c>
      <c r="Z16" s="17" t="s">
        <v>321</v>
      </c>
    </row>
    <row r="17" spans="1:26" ht="48.95" customHeight="1" x14ac:dyDescent="0.25">
      <c r="A17" s="168"/>
      <c r="B17" s="144"/>
      <c r="C17" s="130" t="s">
        <v>999</v>
      </c>
      <c r="D17" s="168"/>
      <c r="E17" s="166"/>
      <c r="F17" s="37"/>
      <c r="G17" s="37"/>
      <c r="H17" s="37"/>
      <c r="I17" s="37"/>
      <c r="J17" s="37"/>
      <c r="K17" s="215"/>
      <c r="L17" s="223"/>
      <c r="M17" s="60"/>
      <c r="N17" s="166"/>
      <c r="O17" s="166"/>
      <c r="P17" s="166"/>
      <c r="Q17" s="166"/>
      <c r="R17" s="166"/>
      <c r="S17" s="166"/>
      <c r="T17" s="166"/>
      <c r="U17" s="166"/>
      <c r="V17" s="34"/>
      <c r="W17" s="34"/>
      <c r="X17" s="34"/>
      <c r="Y17" s="17"/>
      <c r="Z17" s="17"/>
    </row>
    <row r="18" spans="1:26" ht="48.95" customHeight="1" x14ac:dyDescent="0.25">
      <c r="A18" s="124">
        <v>11</v>
      </c>
      <c r="B18" s="138" t="s">
        <v>1122</v>
      </c>
      <c r="C18" s="113" t="s">
        <v>226</v>
      </c>
      <c r="D18" s="168" t="s">
        <v>155</v>
      </c>
      <c r="E18" s="142"/>
      <c r="F18" s="11"/>
      <c r="G18" s="11"/>
      <c r="H18" s="11"/>
      <c r="I18" s="11"/>
      <c r="J18" s="11"/>
      <c r="K18" s="214"/>
      <c r="L18" s="224"/>
      <c r="M18" s="45">
        <v>64.81</v>
      </c>
      <c r="N18" s="136">
        <v>1049788</v>
      </c>
      <c r="O18" s="136"/>
      <c r="P18" s="136">
        <v>757767</v>
      </c>
      <c r="Q18" s="100">
        <v>68040</v>
      </c>
      <c r="R18" s="166">
        <f>ROUND(M18*N18,0)</f>
        <v>68036760</v>
      </c>
      <c r="S18" s="166">
        <f>ROUND(M18*O18,0)</f>
        <v>0</v>
      </c>
      <c r="T18" s="166">
        <f>ROUND(M18*P18,0)</f>
        <v>49110879</v>
      </c>
      <c r="U18" s="166">
        <f>ROUND(M18*Q18,0)</f>
        <v>4409672</v>
      </c>
      <c r="V18" s="34"/>
      <c r="W18" s="34"/>
      <c r="X18" s="34"/>
      <c r="Y18" s="17" t="s">
        <v>82</v>
      </c>
      <c r="Z18" s="17" t="s">
        <v>321</v>
      </c>
    </row>
    <row r="19" spans="1:26" ht="48.95" customHeight="1" x14ac:dyDescent="0.25">
      <c r="A19" s="124">
        <v>12</v>
      </c>
      <c r="B19" s="138" t="s">
        <v>869</v>
      </c>
      <c r="C19" s="113" t="s">
        <v>899</v>
      </c>
      <c r="D19" s="168" t="s">
        <v>836</v>
      </c>
      <c r="E19" s="142"/>
      <c r="F19" s="11"/>
      <c r="G19" s="11"/>
      <c r="H19" s="11"/>
      <c r="I19" s="11"/>
      <c r="J19" s="11"/>
      <c r="K19" s="214"/>
      <c r="L19" s="224"/>
      <c r="M19" s="45">
        <f>ROUND(325.91/100,4)</f>
        <v>3.2591000000000001</v>
      </c>
      <c r="N19" s="136">
        <v>3284877</v>
      </c>
      <c r="O19" s="136"/>
      <c r="P19" s="136">
        <v>8822813</v>
      </c>
      <c r="Q19" s="100">
        <v>517171</v>
      </c>
      <c r="R19" s="166">
        <f>ROUND(M19*N19,0)</f>
        <v>10705743</v>
      </c>
      <c r="S19" s="166">
        <f>ROUND(M19*O19,0)</f>
        <v>0</v>
      </c>
      <c r="T19" s="166">
        <f>ROUND(M19*P19,0)</f>
        <v>28754430</v>
      </c>
      <c r="U19" s="166">
        <f>ROUND(M19*Q19,0)</f>
        <v>1685512</v>
      </c>
      <c r="V19" s="34"/>
      <c r="W19" s="34"/>
      <c r="X19" s="34"/>
      <c r="Y19" s="17" t="s">
        <v>82</v>
      </c>
      <c r="Z19" s="17" t="s">
        <v>321</v>
      </c>
    </row>
    <row r="20" spans="1:26" ht="48.95" customHeight="1" x14ac:dyDescent="0.25">
      <c r="A20" s="124">
        <v>13</v>
      </c>
      <c r="B20" s="138" t="s">
        <v>910</v>
      </c>
      <c r="C20" s="144" t="s">
        <v>106</v>
      </c>
      <c r="D20" s="168" t="s">
        <v>1172</v>
      </c>
      <c r="E20" s="142"/>
      <c r="F20" s="11"/>
      <c r="G20" s="11"/>
      <c r="H20" s="11"/>
      <c r="I20" s="11"/>
      <c r="J20" s="11"/>
      <c r="K20" s="214"/>
      <c r="L20" s="224"/>
      <c r="M20" s="45">
        <f>ROUND(SUM(L21:L21),4)</f>
        <v>1.1047</v>
      </c>
      <c r="N20" s="136">
        <v>14603640</v>
      </c>
      <c r="O20" s="136"/>
      <c r="P20" s="136">
        <v>3448267</v>
      </c>
      <c r="Q20" s="136">
        <v>91218</v>
      </c>
      <c r="R20" s="166">
        <f>ROUND(M20*N20,0)</f>
        <v>16132641</v>
      </c>
      <c r="S20" s="166">
        <f>ROUND(M20*O20,0)</f>
        <v>0</v>
      </c>
      <c r="T20" s="166">
        <f>ROUND(M20*P20,0)</f>
        <v>3809301</v>
      </c>
      <c r="U20" s="166">
        <f>ROUND(M20*Q20,0)</f>
        <v>100769</v>
      </c>
      <c r="V20" s="34"/>
      <c r="W20" s="34"/>
      <c r="X20" s="34"/>
      <c r="Y20" s="17" t="s">
        <v>82</v>
      </c>
      <c r="Z20" s="17" t="s">
        <v>321</v>
      </c>
    </row>
    <row r="21" spans="1:26" ht="48.95" customHeight="1" x14ac:dyDescent="0.25">
      <c r="A21" s="161"/>
      <c r="B21" s="133"/>
      <c r="C21" s="133" t="s">
        <v>538</v>
      </c>
      <c r="D21" s="161"/>
      <c r="E21" s="156"/>
      <c r="F21" s="27"/>
      <c r="G21" s="27"/>
      <c r="H21" s="27"/>
      <c r="I21" s="27"/>
      <c r="J21" s="27"/>
      <c r="K21" s="215"/>
      <c r="L21" s="225">
        <v>1.1047</v>
      </c>
      <c r="M21" s="45"/>
      <c r="N21" s="156"/>
      <c r="O21" s="156"/>
      <c r="P21" s="156"/>
      <c r="Q21" s="156"/>
      <c r="R21" s="156"/>
      <c r="S21" s="156"/>
      <c r="T21" s="156"/>
      <c r="U21" s="156"/>
      <c r="V21" s="20"/>
      <c r="W21" s="20"/>
      <c r="X21" s="20"/>
      <c r="Y21" s="17"/>
      <c r="Z21" s="17"/>
    </row>
    <row r="22" spans="1:26" ht="48.95" customHeight="1" x14ac:dyDescent="0.25">
      <c r="A22" s="124">
        <v>14</v>
      </c>
      <c r="B22" s="138" t="s">
        <v>62</v>
      </c>
      <c r="C22" s="144" t="s">
        <v>1053</v>
      </c>
      <c r="D22" s="168" t="s">
        <v>1172</v>
      </c>
      <c r="E22" s="142"/>
      <c r="F22" s="11"/>
      <c r="G22" s="11"/>
      <c r="H22" s="11"/>
      <c r="I22" s="11"/>
      <c r="J22" s="11"/>
      <c r="K22" s="214"/>
      <c r="L22" s="224"/>
      <c r="M22" s="45">
        <f>ROUND(SUM(L23:L23),4)</f>
        <v>2.1598000000000002</v>
      </c>
      <c r="N22" s="136">
        <v>14678788</v>
      </c>
      <c r="O22" s="136"/>
      <c r="P22" s="136">
        <v>2137074</v>
      </c>
      <c r="Q22" s="136">
        <v>455951</v>
      </c>
      <c r="R22" s="166">
        <f>ROUND(M22*N22,0)</f>
        <v>31703246</v>
      </c>
      <c r="S22" s="166">
        <f>ROUND(M22*O22,0)</f>
        <v>0</v>
      </c>
      <c r="T22" s="166">
        <f>ROUND(M22*P22,0)</f>
        <v>4615652</v>
      </c>
      <c r="U22" s="166">
        <f>ROUND(M22*Q22,0)</f>
        <v>984763</v>
      </c>
      <c r="V22" s="34"/>
      <c r="W22" s="34"/>
      <c r="X22" s="34"/>
      <c r="Y22" s="17" t="s">
        <v>82</v>
      </c>
      <c r="Z22" s="17" t="s">
        <v>321</v>
      </c>
    </row>
    <row r="23" spans="1:26" ht="48.95" customHeight="1" x14ac:dyDescent="0.25">
      <c r="A23" s="161"/>
      <c r="B23" s="133"/>
      <c r="C23" s="133" t="s">
        <v>949</v>
      </c>
      <c r="D23" s="161"/>
      <c r="E23" s="156"/>
      <c r="F23" s="27"/>
      <c r="G23" s="27"/>
      <c r="H23" s="27"/>
      <c r="I23" s="27"/>
      <c r="J23" s="27"/>
      <c r="K23" s="215"/>
      <c r="L23" s="225">
        <v>2.1598000000000002</v>
      </c>
      <c r="M23" s="45"/>
      <c r="N23" s="156"/>
      <c r="O23" s="156"/>
      <c r="P23" s="156"/>
      <c r="Q23" s="156"/>
      <c r="R23" s="156"/>
      <c r="S23" s="156"/>
      <c r="T23" s="156"/>
      <c r="U23" s="156"/>
      <c r="V23" s="20"/>
      <c r="W23" s="20"/>
      <c r="X23" s="20"/>
      <c r="Y23" s="17"/>
      <c r="Z23" s="17"/>
    </row>
    <row r="24" spans="1:26" ht="48.95" customHeight="1" x14ac:dyDescent="0.25">
      <c r="A24" s="124">
        <v>15</v>
      </c>
      <c r="B24" s="138" t="s">
        <v>369</v>
      </c>
      <c r="C24" s="113" t="s">
        <v>145</v>
      </c>
      <c r="D24" s="168" t="s">
        <v>1172</v>
      </c>
      <c r="E24" s="142"/>
      <c r="F24" s="11"/>
      <c r="G24" s="11"/>
      <c r="H24" s="11"/>
      <c r="I24" s="11"/>
      <c r="J24" s="11"/>
      <c r="K24" s="214"/>
      <c r="L24" s="224"/>
      <c r="M24" s="45">
        <v>0.62080000000000002</v>
      </c>
      <c r="N24" s="136">
        <v>60180000</v>
      </c>
      <c r="O24" s="136"/>
      <c r="P24" s="136">
        <v>1351636</v>
      </c>
      <c r="Q24" s="136">
        <v>465772</v>
      </c>
      <c r="R24" s="166">
        <f>ROUND(M24*N24,0)</f>
        <v>37359744</v>
      </c>
      <c r="S24" s="166">
        <f>ROUND(M24*O24,0)</f>
        <v>0</v>
      </c>
      <c r="T24" s="166">
        <f>ROUND(M24*P24,0)</f>
        <v>839096</v>
      </c>
      <c r="U24" s="166">
        <f>ROUND(M24*Q24,0)</f>
        <v>289151</v>
      </c>
      <c r="V24" s="34"/>
      <c r="W24" s="34"/>
      <c r="X24" s="34"/>
      <c r="Y24" s="17" t="s">
        <v>82</v>
      </c>
      <c r="Z24" s="17" t="s">
        <v>321</v>
      </c>
    </row>
    <row r="25" spans="1:26" ht="48.95" customHeight="1" x14ac:dyDescent="0.25">
      <c r="A25" s="63">
        <v>16</v>
      </c>
      <c r="B25" s="29" t="s">
        <v>30</v>
      </c>
      <c r="C25" s="80" t="s">
        <v>824</v>
      </c>
      <c r="D25" s="119" t="s">
        <v>75</v>
      </c>
      <c r="E25" s="142"/>
      <c r="F25" s="11"/>
      <c r="G25" s="11"/>
      <c r="H25" s="11"/>
      <c r="I25" s="11"/>
      <c r="J25" s="11"/>
      <c r="K25" s="214"/>
      <c r="L25" s="224"/>
      <c r="M25" s="45">
        <v>8</v>
      </c>
      <c r="N25" s="71">
        <v>25000</v>
      </c>
      <c r="O25" s="71"/>
      <c r="P25" s="71"/>
      <c r="Q25" s="71"/>
      <c r="R25" s="166">
        <f>ROUND(M25*N25,0)</f>
        <v>200000</v>
      </c>
      <c r="S25" s="166">
        <f>ROUND(M25*O25,0)</f>
        <v>0</v>
      </c>
      <c r="T25" s="166">
        <f>ROUND(M25*P25,0)</f>
        <v>0</v>
      </c>
      <c r="U25" s="166">
        <f>ROUND(M25*Q25,0)</f>
        <v>0</v>
      </c>
      <c r="V25" s="152"/>
      <c r="W25" s="152"/>
      <c r="X25" s="152"/>
      <c r="Y25" s="17"/>
      <c r="Z25" s="17"/>
    </row>
    <row r="26" spans="1:26" ht="48.95" customHeight="1" x14ac:dyDescent="0.25">
      <c r="A26" s="124">
        <v>17</v>
      </c>
      <c r="B26" s="138" t="s">
        <v>333</v>
      </c>
      <c r="C26" s="144" t="s">
        <v>1086</v>
      </c>
      <c r="D26" s="168" t="s">
        <v>227</v>
      </c>
      <c r="E26" s="142"/>
      <c r="F26" s="11"/>
      <c r="G26" s="11"/>
      <c r="H26" s="11"/>
      <c r="I26" s="11"/>
      <c r="J26" s="11"/>
      <c r="K26" s="214"/>
      <c r="L26" s="224"/>
      <c r="M26" s="45">
        <f>ROUND(SUM(L27:L27),4)</f>
        <v>9.7200000000000006</v>
      </c>
      <c r="N26" s="100">
        <v>171224597</v>
      </c>
      <c r="O26" s="136"/>
      <c r="P26" s="136">
        <v>5299250</v>
      </c>
      <c r="Q26" s="136">
        <v>42888427</v>
      </c>
      <c r="R26" s="166">
        <f>ROUND(M26*N26,0)</f>
        <v>1664303083</v>
      </c>
      <c r="S26" s="166">
        <f>ROUND(M26*O26,0)</f>
        <v>0</v>
      </c>
      <c r="T26" s="166">
        <f>ROUND(M26*P26,0)</f>
        <v>51508710</v>
      </c>
      <c r="U26" s="166">
        <f>ROUND(M26*Q26,0)</f>
        <v>416875510</v>
      </c>
      <c r="V26" s="34"/>
      <c r="W26" s="34"/>
      <c r="X26" s="34"/>
      <c r="Y26" s="17" t="s">
        <v>82</v>
      </c>
      <c r="Z26" s="17" t="s">
        <v>321</v>
      </c>
    </row>
    <row r="27" spans="1:26" ht="48.95" customHeight="1" x14ac:dyDescent="0.25">
      <c r="A27" s="161"/>
      <c r="B27" s="133"/>
      <c r="C27" s="133" t="s">
        <v>1153</v>
      </c>
      <c r="D27" s="161"/>
      <c r="E27" s="156"/>
      <c r="F27" s="27"/>
      <c r="G27" s="27"/>
      <c r="H27" s="27"/>
      <c r="I27" s="27"/>
      <c r="J27" s="27"/>
      <c r="K27" s="215"/>
      <c r="L27" s="225">
        <v>9.7200000000000006</v>
      </c>
      <c r="M27" s="45"/>
      <c r="N27" s="156"/>
      <c r="O27" s="156"/>
      <c r="P27" s="156"/>
      <c r="Q27" s="156"/>
      <c r="R27" s="156"/>
      <c r="S27" s="156"/>
      <c r="T27" s="156"/>
      <c r="U27" s="156"/>
      <c r="V27" s="20"/>
      <c r="W27" s="20"/>
      <c r="X27" s="20"/>
      <c r="Y27" s="17"/>
      <c r="Z27" s="17"/>
    </row>
    <row r="28" spans="1:26" ht="48.95" customHeight="1" x14ac:dyDescent="0.25">
      <c r="A28" s="124">
        <v>18</v>
      </c>
      <c r="B28" s="138" t="s">
        <v>576</v>
      </c>
      <c r="C28" s="144" t="s">
        <v>27</v>
      </c>
      <c r="D28" s="168" t="s">
        <v>836</v>
      </c>
      <c r="E28" s="142"/>
      <c r="F28" s="11"/>
      <c r="G28" s="11"/>
      <c r="H28" s="11"/>
      <c r="I28" s="11"/>
      <c r="J28" s="11"/>
      <c r="K28" s="214"/>
      <c r="L28" s="224"/>
      <c r="M28" s="45">
        <f>ROUND(810/100,4)</f>
        <v>8.1</v>
      </c>
      <c r="N28" s="136">
        <v>2592044</v>
      </c>
      <c r="O28" s="136"/>
      <c r="P28" s="136">
        <v>258681</v>
      </c>
      <c r="Q28" s="136"/>
      <c r="R28" s="166">
        <f>ROUND(M28*N28,0)</f>
        <v>20995556</v>
      </c>
      <c r="S28" s="166">
        <f>ROUND(M28*O28,0)</f>
        <v>0</v>
      </c>
      <c r="T28" s="166">
        <f>ROUND(M28*P28,0)</f>
        <v>2095316</v>
      </c>
      <c r="U28" s="166">
        <f>ROUND(M28*Q28,0)</f>
        <v>0</v>
      </c>
      <c r="V28" s="34"/>
      <c r="W28" s="34"/>
      <c r="X28" s="34"/>
      <c r="Y28" s="17" t="s">
        <v>82</v>
      </c>
      <c r="Z28" s="17" t="s">
        <v>321</v>
      </c>
    </row>
    <row r="29" spans="1:26" ht="48.95" customHeight="1" x14ac:dyDescent="0.25">
      <c r="A29" s="168"/>
      <c r="B29" s="144"/>
      <c r="C29" s="130" t="s">
        <v>158</v>
      </c>
      <c r="D29" s="168"/>
      <c r="E29" s="166"/>
      <c r="F29" s="37"/>
      <c r="G29" s="37"/>
      <c r="H29" s="37"/>
      <c r="I29" s="37"/>
      <c r="J29" s="37"/>
      <c r="K29" s="215"/>
      <c r="L29" s="223"/>
      <c r="M29" s="60"/>
      <c r="N29" s="166"/>
      <c r="O29" s="166"/>
      <c r="P29" s="166"/>
      <c r="Q29" s="166"/>
      <c r="R29" s="166"/>
      <c r="S29" s="166"/>
      <c r="T29" s="166"/>
      <c r="U29" s="166"/>
      <c r="V29" s="34"/>
      <c r="W29" s="34"/>
      <c r="X29" s="34"/>
      <c r="Y29" s="17"/>
      <c r="Z29" s="17"/>
    </row>
    <row r="30" spans="1:26" ht="48.95" customHeight="1" x14ac:dyDescent="0.25">
      <c r="A30" s="124">
        <v>19</v>
      </c>
      <c r="B30" s="138" t="s">
        <v>724</v>
      </c>
      <c r="C30" s="144" t="s">
        <v>1121</v>
      </c>
      <c r="D30" s="168" t="s">
        <v>155</v>
      </c>
      <c r="E30" s="142"/>
      <c r="F30" s="11"/>
      <c r="G30" s="11"/>
      <c r="H30" s="11"/>
      <c r="I30" s="11"/>
      <c r="J30" s="11"/>
      <c r="K30" s="214"/>
      <c r="L30" s="224"/>
      <c r="M30" s="45">
        <v>26.18</v>
      </c>
      <c r="N30" s="136">
        <v>1167167</v>
      </c>
      <c r="O30" s="136"/>
      <c r="P30" s="136">
        <v>757767</v>
      </c>
      <c r="Q30" s="136">
        <v>68040</v>
      </c>
      <c r="R30" s="166">
        <f t="shared" ref="R30:R37" si="4">ROUND(M30*N30,0)</f>
        <v>30556432</v>
      </c>
      <c r="S30" s="166">
        <f t="shared" ref="S30:S37" si="5">ROUND(M30*O30,0)</f>
        <v>0</v>
      </c>
      <c r="T30" s="166">
        <f t="shared" ref="T30:T37" si="6">ROUND(M30*P30,0)</f>
        <v>19838340</v>
      </c>
      <c r="U30" s="166">
        <f t="shared" ref="U30:U37" si="7">ROUND(M30*Q30,0)</f>
        <v>1781287</v>
      </c>
      <c r="V30" s="34"/>
      <c r="W30" s="34"/>
      <c r="X30" s="34"/>
      <c r="Y30" s="17" t="s">
        <v>82</v>
      </c>
      <c r="Z30" s="17" t="s">
        <v>321</v>
      </c>
    </row>
    <row r="31" spans="1:26" ht="48.95" customHeight="1" x14ac:dyDescent="0.25">
      <c r="A31" s="124">
        <v>20</v>
      </c>
      <c r="B31" s="138" t="s">
        <v>869</v>
      </c>
      <c r="C31" s="144" t="s">
        <v>673</v>
      </c>
      <c r="D31" s="168" t="s">
        <v>836</v>
      </c>
      <c r="E31" s="142"/>
      <c r="F31" s="11"/>
      <c r="G31" s="11"/>
      <c r="H31" s="11"/>
      <c r="I31" s="11"/>
      <c r="J31" s="11"/>
      <c r="K31" s="214"/>
      <c r="L31" s="224"/>
      <c r="M31" s="45">
        <f>ROUND(116.36/100,4)</f>
        <v>1.1636</v>
      </c>
      <c r="N31" s="136">
        <v>3284877</v>
      </c>
      <c r="O31" s="136"/>
      <c r="P31" s="136">
        <v>8822813</v>
      </c>
      <c r="Q31" s="100">
        <v>517171</v>
      </c>
      <c r="R31" s="166">
        <f t="shared" si="4"/>
        <v>3822283</v>
      </c>
      <c r="S31" s="166">
        <f t="shared" si="5"/>
        <v>0</v>
      </c>
      <c r="T31" s="166">
        <f t="shared" si="6"/>
        <v>10266225</v>
      </c>
      <c r="U31" s="166">
        <f t="shared" si="7"/>
        <v>601780</v>
      </c>
      <c r="V31" s="34"/>
      <c r="W31" s="34"/>
      <c r="X31" s="34"/>
      <c r="Y31" s="17" t="s">
        <v>82</v>
      </c>
      <c r="Z31" s="17" t="s">
        <v>321</v>
      </c>
    </row>
    <row r="32" spans="1:26" ht="48.95" customHeight="1" x14ac:dyDescent="0.25">
      <c r="A32" s="124">
        <v>21</v>
      </c>
      <c r="B32" s="138" t="s">
        <v>430</v>
      </c>
      <c r="C32" s="144" t="s">
        <v>503</v>
      </c>
      <c r="D32" s="168" t="s">
        <v>1172</v>
      </c>
      <c r="E32" s="142"/>
      <c r="F32" s="11"/>
      <c r="G32" s="11"/>
      <c r="H32" s="11"/>
      <c r="I32" s="11"/>
      <c r="J32" s="11"/>
      <c r="K32" s="214"/>
      <c r="L32" s="224"/>
      <c r="M32" s="45">
        <f>ROUND(875.21/1000,4)</f>
        <v>0.87519999999999998</v>
      </c>
      <c r="N32" s="136">
        <v>14603640</v>
      </c>
      <c r="O32" s="136"/>
      <c r="P32" s="136">
        <v>2901227</v>
      </c>
      <c r="Q32" s="136">
        <v>91218</v>
      </c>
      <c r="R32" s="166">
        <f t="shared" si="4"/>
        <v>12781106</v>
      </c>
      <c r="S32" s="166">
        <f t="shared" si="5"/>
        <v>0</v>
      </c>
      <c r="T32" s="166">
        <f t="shared" si="6"/>
        <v>2539154</v>
      </c>
      <c r="U32" s="166">
        <f t="shared" si="7"/>
        <v>79834</v>
      </c>
      <c r="V32" s="34"/>
      <c r="W32" s="34"/>
      <c r="X32" s="34"/>
      <c r="Y32" s="17" t="s">
        <v>82</v>
      </c>
      <c r="Z32" s="17" t="s">
        <v>321</v>
      </c>
    </row>
    <row r="33" spans="1:26" ht="48.95" customHeight="1" x14ac:dyDescent="0.25">
      <c r="A33" s="124">
        <v>22</v>
      </c>
      <c r="B33" s="138" t="s">
        <v>838</v>
      </c>
      <c r="C33" s="144" t="s">
        <v>257</v>
      </c>
      <c r="D33" s="168" t="s">
        <v>1172</v>
      </c>
      <c r="E33" s="142"/>
      <c r="F33" s="11"/>
      <c r="G33" s="11"/>
      <c r="H33" s="11"/>
      <c r="I33" s="11"/>
      <c r="J33" s="11"/>
      <c r="K33" s="214"/>
      <c r="L33" s="224"/>
      <c r="M33" s="45">
        <f>ROUND(845.17/1000,4)</f>
        <v>0.84519999999999995</v>
      </c>
      <c r="N33" s="136">
        <v>14677642</v>
      </c>
      <c r="O33" s="136"/>
      <c r="P33" s="136">
        <v>2377602</v>
      </c>
      <c r="Q33" s="136">
        <v>451556</v>
      </c>
      <c r="R33" s="166">
        <f t="shared" si="4"/>
        <v>12405543</v>
      </c>
      <c r="S33" s="166">
        <f t="shared" si="5"/>
        <v>0</v>
      </c>
      <c r="T33" s="166">
        <f t="shared" si="6"/>
        <v>2009549</v>
      </c>
      <c r="U33" s="166">
        <f t="shared" si="7"/>
        <v>381655</v>
      </c>
      <c r="V33" s="34"/>
      <c r="W33" s="34"/>
      <c r="X33" s="34"/>
      <c r="Y33" s="17" t="s">
        <v>82</v>
      </c>
      <c r="Z33" s="17" t="s">
        <v>321</v>
      </c>
    </row>
    <row r="34" spans="1:26" ht="48.95" customHeight="1" x14ac:dyDescent="0.25">
      <c r="A34" s="124">
        <v>23</v>
      </c>
      <c r="B34" s="138" t="s">
        <v>1158</v>
      </c>
      <c r="C34" s="144" t="s">
        <v>785</v>
      </c>
      <c r="D34" s="168" t="s">
        <v>155</v>
      </c>
      <c r="E34" s="142"/>
      <c r="F34" s="11"/>
      <c r="G34" s="11"/>
      <c r="H34" s="11"/>
      <c r="I34" s="11"/>
      <c r="J34" s="11"/>
      <c r="K34" s="214"/>
      <c r="L34" s="224"/>
      <c r="M34" s="45">
        <v>10.32</v>
      </c>
      <c r="N34" s="136">
        <v>989296</v>
      </c>
      <c r="O34" s="136"/>
      <c r="P34" s="136">
        <v>757767</v>
      </c>
      <c r="Q34" s="100">
        <v>68040</v>
      </c>
      <c r="R34" s="166">
        <f t="shared" si="4"/>
        <v>10209535</v>
      </c>
      <c r="S34" s="166">
        <f t="shared" si="5"/>
        <v>0</v>
      </c>
      <c r="T34" s="166">
        <f t="shared" si="6"/>
        <v>7820155</v>
      </c>
      <c r="U34" s="166">
        <f t="shared" si="7"/>
        <v>702173</v>
      </c>
      <c r="V34" s="34"/>
      <c r="W34" s="34"/>
      <c r="X34" s="34"/>
      <c r="Y34" s="17" t="s">
        <v>82</v>
      </c>
      <c r="Z34" s="17" t="s">
        <v>321</v>
      </c>
    </row>
    <row r="35" spans="1:26" ht="48.95" customHeight="1" x14ac:dyDescent="0.25">
      <c r="A35" s="124">
        <v>24</v>
      </c>
      <c r="B35" s="138" t="s">
        <v>869</v>
      </c>
      <c r="C35" s="144" t="s">
        <v>730</v>
      </c>
      <c r="D35" s="168" t="s">
        <v>836</v>
      </c>
      <c r="E35" s="142"/>
      <c r="F35" s="11"/>
      <c r="G35" s="11"/>
      <c r="H35" s="11"/>
      <c r="I35" s="11"/>
      <c r="J35" s="11"/>
      <c r="K35" s="214"/>
      <c r="L35" s="224"/>
      <c r="M35" s="45">
        <f>ROUND(58.16/100,4)</f>
        <v>0.58160000000000001</v>
      </c>
      <c r="N35" s="136">
        <v>3284877</v>
      </c>
      <c r="O35" s="136"/>
      <c r="P35" s="136">
        <v>8822813</v>
      </c>
      <c r="Q35" s="100">
        <v>517171</v>
      </c>
      <c r="R35" s="166">
        <f t="shared" si="4"/>
        <v>1910484</v>
      </c>
      <c r="S35" s="166">
        <f t="shared" si="5"/>
        <v>0</v>
      </c>
      <c r="T35" s="166">
        <f t="shared" si="6"/>
        <v>5131348</v>
      </c>
      <c r="U35" s="166">
        <f t="shared" si="7"/>
        <v>300787</v>
      </c>
      <c r="V35" s="34"/>
      <c r="W35" s="34"/>
      <c r="X35" s="34"/>
      <c r="Y35" s="17" t="s">
        <v>82</v>
      </c>
      <c r="Z35" s="17" t="s">
        <v>321</v>
      </c>
    </row>
    <row r="36" spans="1:26" ht="48.95" customHeight="1" x14ac:dyDescent="0.25">
      <c r="A36" s="124">
        <v>25</v>
      </c>
      <c r="B36" s="138" t="s">
        <v>910</v>
      </c>
      <c r="C36" s="144" t="s">
        <v>106</v>
      </c>
      <c r="D36" s="168" t="s">
        <v>1172</v>
      </c>
      <c r="E36" s="142"/>
      <c r="F36" s="11"/>
      <c r="G36" s="11"/>
      <c r="H36" s="11"/>
      <c r="I36" s="11"/>
      <c r="J36" s="11"/>
      <c r="K36" s="214"/>
      <c r="L36" s="224"/>
      <c r="M36" s="45">
        <f>ROUND(375.8/1000,4)</f>
        <v>0.37580000000000002</v>
      </c>
      <c r="N36" s="136">
        <v>14603640</v>
      </c>
      <c r="O36" s="136"/>
      <c r="P36" s="136">
        <v>3448267</v>
      </c>
      <c r="Q36" s="100">
        <v>91218</v>
      </c>
      <c r="R36" s="166">
        <f t="shared" si="4"/>
        <v>5488048</v>
      </c>
      <c r="S36" s="166">
        <f t="shared" si="5"/>
        <v>0</v>
      </c>
      <c r="T36" s="166">
        <f t="shared" si="6"/>
        <v>1295859</v>
      </c>
      <c r="U36" s="166">
        <f t="shared" si="7"/>
        <v>34280</v>
      </c>
      <c r="V36" s="34"/>
      <c r="W36" s="34"/>
      <c r="X36" s="34"/>
      <c r="Y36" s="17" t="s">
        <v>82</v>
      </c>
      <c r="Z36" s="17" t="s">
        <v>321</v>
      </c>
    </row>
    <row r="37" spans="1:26" ht="48.95" customHeight="1" x14ac:dyDescent="0.25">
      <c r="A37" s="124">
        <v>26</v>
      </c>
      <c r="B37" s="138" t="s">
        <v>62</v>
      </c>
      <c r="C37" s="144" t="s">
        <v>1053</v>
      </c>
      <c r="D37" s="168" t="s">
        <v>1172</v>
      </c>
      <c r="E37" s="142"/>
      <c r="F37" s="11"/>
      <c r="G37" s="11"/>
      <c r="H37" s="11"/>
      <c r="I37" s="11"/>
      <c r="J37" s="11"/>
      <c r="K37" s="214"/>
      <c r="L37" s="224"/>
      <c r="M37" s="45">
        <f>ROUND(272.4/1000,4)</f>
        <v>0.27239999999999998</v>
      </c>
      <c r="N37" s="136">
        <v>14678788</v>
      </c>
      <c r="O37" s="136"/>
      <c r="P37" s="136">
        <v>2137074</v>
      </c>
      <c r="Q37" s="136">
        <v>455951</v>
      </c>
      <c r="R37" s="166">
        <f t="shared" si="4"/>
        <v>3998502</v>
      </c>
      <c r="S37" s="166">
        <f t="shared" si="5"/>
        <v>0</v>
      </c>
      <c r="T37" s="166">
        <f t="shared" si="6"/>
        <v>582139</v>
      </c>
      <c r="U37" s="166">
        <f t="shared" si="7"/>
        <v>124201</v>
      </c>
      <c r="V37" s="34"/>
      <c r="W37" s="34"/>
      <c r="X37" s="34"/>
      <c r="Y37" s="17" t="s">
        <v>82</v>
      </c>
      <c r="Z37" s="17" t="s">
        <v>321</v>
      </c>
    </row>
    <row r="38" spans="1:26" ht="48.95" customHeight="1" x14ac:dyDescent="0.25">
      <c r="A38" s="168"/>
      <c r="B38" s="144"/>
      <c r="C38" s="130" t="s">
        <v>381</v>
      </c>
      <c r="D38" s="168"/>
      <c r="E38" s="166"/>
      <c r="F38" s="37"/>
      <c r="G38" s="37"/>
      <c r="H38" s="37"/>
      <c r="I38" s="37"/>
      <c r="J38" s="37"/>
      <c r="K38" s="215"/>
      <c r="L38" s="223"/>
      <c r="M38" s="60"/>
      <c r="N38" s="166"/>
      <c r="O38" s="166"/>
      <c r="P38" s="166"/>
      <c r="Q38" s="166"/>
      <c r="R38" s="166"/>
      <c r="S38" s="166"/>
      <c r="T38" s="166"/>
      <c r="U38" s="166"/>
      <c r="V38" s="34"/>
      <c r="W38" s="34"/>
      <c r="X38" s="34"/>
      <c r="Y38" s="17"/>
      <c r="Z38" s="17"/>
    </row>
    <row r="39" spans="1:26" ht="48.95" customHeight="1" x14ac:dyDescent="0.25">
      <c r="A39" s="124">
        <v>27</v>
      </c>
      <c r="B39" s="52" t="s">
        <v>486</v>
      </c>
      <c r="C39" s="144" t="s">
        <v>74</v>
      </c>
      <c r="D39" s="168" t="s">
        <v>1172</v>
      </c>
      <c r="E39" s="142"/>
      <c r="F39" s="11"/>
      <c r="G39" s="11"/>
      <c r="H39" s="11"/>
      <c r="I39" s="11"/>
      <c r="J39" s="11"/>
      <c r="K39" s="214"/>
      <c r="L39" s="224"/>
      <c r="M39" s="45">
        <f>ROUND(10.37/1000,4)</f>
        <v>1.04E-2</v>
      </c>
      <c r="N39" s="136">
        <v>15447317</v>
      </c>
      <c r="O39" s="136"/>
      <c r="P39" s="136">
        <v>8769288</v>
      </c>
      <c r="Q39" s="136">
        <v>1842565</v>
      </c>
      <c r="R39" s="166">
        <f t="shared" ref="R39:R45" si="8">ROUND(M39*N39,0)</f>
        <v>160652</v>
      </c>
      <c r="S39" s="166">
        <f t="shared" ref="S39:S45" si="9">ROUND(M39*O39,0)</f>
        <v>0</v>
      </c>
      <c r="T39" s="166">
        <f t="shared" ref="T39:T45" si="10">ROUND(M39*P39,0)</f>
        <v>91201</v>
      </c>
      <c r="U39" s="166">
        <f t="shared" ref="U39:U45" si="11">ROUND(M39*Q39,0)</f>
        <v>19163</v>
      </c>
      <c r="V39" s="34"/>
      <c r="W39" s="34"/>
      <c r="X39" s="34"/>
      <c r="Y39" s="17" t="s">
        <v>82</v>
      </c>
      <c r="Z39" s="17" t="s">
        <v>321</v>
      </c>
    </row>
    <row r="40" spans="1:26" ht="48.95" customHeight="1" x14ac:dyDescent="0.25">
      <c r="A40" s="63">
        <v>28</v>
      </c>
      <c r="B40" s="29" t="s">
        <v>30</v>
      </c>
      <c r="C40" s="80" t="s">
        <v>1183</v>
      </c>
      <c r="D40" s="119" t="s">
        <v>75</v>
      </c>
      <c r="E40" s="142"/>
      <c r="F40" s="11"/>
      <c r="G40" s="11"/>
      <c r="H40" s="11"/>
      <c r="I40" s="11"/>
      <c r="J40" s="11"/>
      <c r="K40" s="214"/>
      <c r="L40" s="224"/>
      <c r="M40" s="45">
        <v>28</v>
      </c>
      <c r="N40" s="71">
        <v>12000</v>
      </c>
      <c r="O40" s="71"/>
      <c r="P40" s="71"/>
      <c r="Q40" s="71"/>
      <c r="R40" s="166">
        <f t="shared" si="8"/>
        <v>336000</v>
      </c>
      <c r="S40" s="166">
        <f t="shared" si="9"/>
        <v>0</v>
      </c>
      <c r="T40" s="166">
        <f t="shared" si="10"/>
        <v>0</v>
      </c>
      <c r="U40" s="166">
        <f t="shared" si="11"/>
        <v>0</v>
      </c>
      <c r="V40" s="152"/>
      <c r="W40" s="152"/>
      <c r="X40" s="152"/>
      <c r="Y40" s="17"/>
      <c r="Z40" s="17"/>
    </row>
    <row r="41" spans="1:26" ht="48.95" customHeight="1" x14ac:dyDescent="0.25">
      <c r="A41" s="63">
        <v>29</v>
      </c>
      <c r="B41" s="29" t="s">
        <v>30</v>
      </c>
      <c r="C41" s="80" t="s">
        <v>1157</v>
      </c>
      <c r="D41" s="119" t="s">
        <v>555</v>
      </c>
      <c r="E41" s="142"/>
      <c r="F41" s="11"/>
      <c r="G41" s="11"/>
      <c r="H41" s="11"/>
      <c r="I41" s="11"/>
      <c r="J41" s="11"/>
      <c r="K41" s="214"/>
      <c r="L41" s="224"/>
      <c r="M41" s="45">
        <v>11.75</v>
      </c>
      <c r="N41" s="71">
        <v>222600</v>
      </c>
      <c r="O41" s="71"/>
      <c r="P41" s="71"/>
      <c r="Q41" s="71"/>
      <c r="R41" s="166">
        <f t="shared" si="8"/>
        <v>2615550</v>
      </c>
      <c r="S41" s="166">
        <f t="shared" si="9"/>
        <v>0</v>
      </c>
      <c r="T41" s="166">
        <f t="shared" si="10"/>
        <v>0</v>
      </c>
      <c r="U41" s="166">
        <f t="shared" si="11"/>
        <v>0</v>
      </c>
      <c r="V41" s="152"/>
      <c r="W41" s="152"/>
      <c r="X41" s="152"/>
      <c r="Y41" s="17"/>
      <c r="Z41" s="17"/>
    </row>
    <row r="42" spans="1:26" ht="48.95" customHeight="1" x14ac:dyDescent="0.25">
      <c r="A42" s="124">
        <v>30</v>
      </c>
      <c r="B42" s="138" t="s">
        <v>1071</v>
      </c>
      <c r="C42" s="144" t="s">
        <v>738</v>
      </c>
      <c r="D42" s="168" t="s">
        <v>227</v>
      </c>
      <c r="E42" s="142"/>
      <c r="F42" s="11"/>
      <c r="G42" s="11"/>
      <c r="H42" s="11"/>
      <c r="I42" s="11"/>
      <c r="J42" s="11"/>
      <c r="K42" s="214"/>
      <c r="L42" s="224"/>
      <c r="M42" s="45">
        <f>ROUND(9*3/100,4)</f>
        <v>0.27</v>
      </c>
      <c r="N42" s="136">
        <v>767494</v>
      </c>
      <c r="O42" s="136"/>
      <c r="P42" s="136">
        <v>605983</v>
      </c>
      <c r="Q42" s="136"/>
      <c r="R42" s="166">
        <f t="shared" si="8"/>
        <v>207223</v>
      </c>
      <c r="S42" s="166">
        <f t="shared" si="9"/>
        <v>0</v>
      </c>
      <c r="T42" s="166">
        <f t="shared" si="10"/>
        <v>163615</v>
      </c>
      <c r="U42" s="166">
        <f t="shared" si="11"/>
        <v>0</v>
      </c>
      <c r="V42" s="34"/>
      <c r="W42" s="34"/>
      <c r="X42" s="34"/>
      <c r="Y42" s="17" t="s">
        <v>82</v>
      </c>
      <c r="Z42" s="17" t="s">
        <v>321</v>
      </c>
    </row>
    <row r="43" spans="1:26" ht="48.95" customHeight="1" x14ac:dyDescent="0.25">
      <c r="A43" s="124">
        <v>31</v>
      </c>
      <c r="B43" s="138" t="s">
        <v>370</v>
      </c>
      <c r="C43" s="144" t="s">
        <v>194</v>
      </c>
      <c r="D43" s="168" t="s">
        <v>155</v>
      </c>
      <c r="E43" s="142"/>
      <c r="F43" s="11"/>
      <c r="G43" s="11"/>
      <c r="H43" s="11"/>
      <c r="I43" s="11"/>
      <c r="J43" s="11"/>
      <c r="K43" s="214"/>
      <c r="L43" s="224"/>
      <c r="M43" s="45">
        <v>0.06</v>
      </c>
      <c r="N43" s="136">
        <v>926019</v>
      </c>
      <c r="O43" s="136"/>
      <c r="P43" s="136">
        <v>320179</v>
      </c>
      <c r="Q43" s="136">
        <v>47495</v>
      </c>
      <c r="R43" s="166">
        <f t="shared" si="8"/>
        <v>55561</v>
      </c>
      <c r="S43" s="166">
        <f t="shared" si="9"/>
        <v>0</v>
      </c>
      <c r="T43" s="166">
        <f t="shared" si="10"/>
        <v>19211</v>
      </c>
      <c r="U43" s="166">
        <f t="shared" si="11"/>
        <v>2850</v>
      </c>
      <c r="V43" s="34"/>
      <c r="W43" s="34"/>
      <c r="X43" s="34"/>
      <c r="Y43" s="17" t="s">
        <v>82</v>
      </c>
      <c r="Z43" s="17" t="s">
        <v>321</v>
      </c>
    </row>
    <row r="44" spans="1:26" ht="48.95" customHeight="1" x14ac:dyDescent="0.25">
      <c r="A44" s="124">
        <v>32</v>
      </c>
      <c r="B44" s="138" t="s">
        <v>769</v>
      </c>
      <c r="C44" s="144" t="s">
        <v>310</v>
      </c>
      <c r="D44" s="168" t="s">
        <v>155</v>
      </c>
      <c r="E44" s="142"/>
      <c r="F44" s="11"/>
      <c r="G44" s="11"/>
      <c r="H44" s="11"/>
      <c r="I44" s="11"/>
      <c r="J44" s="11"/>
      <c r="K44" s="214"/>
      <c r="L44" s="224"/>
      <c r="M44" s="45">
        <v>0.2</v>
      </c>
      <c r="N44" s="136">
        <v>989296</v>
      </c>
      <c r="O44" s="136"/>
      <c r="P44" s="136">
        <v>320179</v>
      </c>
      <c r="Q44" s="136">
        <v>47495</v>
      </c>
      <c r="R44" s="166">
        <f t="shared" si="8"/>
        <v>197859</v>
      </c>
      <c r="S44" s="166">
        <f t="shared" si="9"/>
        <v>0</v>
      </c>
      <c r="T44" s="166">
        <f t="shared" si="10"/>
        <v>64036</v>
      </c>
      <c r="U44" s="166">
        <f t="shared" si="11"/>
        <v>9499</v>
      </c>
      <c r="V44" s="34"/>
      <c r="W44" s="34"/>
      <c r="X44" s="34"/>
      <c r="Y44" s="17" t="s">
        <v>82</v>
      </c>
      <c r="Z44" s="17" t="s">
        <v>321</v>
      </c>
    </row>
    <row r="45" spans="1:26" ht="48.95" customHeight="1" x14ac:dyDescent="0.25">
      <c r="A45" s="124">
        <v>33</v>
      </c>
      <c r="B45" s="138" t="s">
        <v>667</v>
      </c>
      <c r="C45" s="144" t="s">
        <v>451</v>
      </c>
      <c r="D45" s="168" t="s">
        <v>205</v>
      </c>
      <c r="E45" s="142"/>
      <c r="F45" s="11"/>
      <c r="G45" s="11"/>
      <c r="H45" s="11"/>
      <c r="I45" s="11"/>
      <c r="J45" s="11"/>
      <c r="K45" s="214"/>
      <c r="L45" s="224"/>
      <c r="M45" s="45">
        <v>4</v>
      </c>
      <c r="N45" s="136">
        <v>16015</v>
      </c>
      <c r="O45" s="136"/>
      <c r="P45" s="136">
        <v>14048</v>
      </c>
      <c r="Q45" s="136"/>
      <c r="R45" s="166">
        <f t="shared" si="8"/>
        <v>64060</v>
      </c>
      <c r="S45" s="166">
        <f t="shared" si="9"/>
        <v>0</v>
      </c>
      <c r="T45" s="166">
        <f t="shared" si="10"/>
        <v>56192</v>
      </c>
      <c r="U45" s="166">
        <f t="shared" si="11"/>
        <v>0</v>
      </c>
      <c r="V45" s="34"/>
      <c r="W45" s="34"/>
      <c r="X45" s="34"/>
      <c r="Y45" s="17" t="s">
        <v>82</v>
      </c>
      <c r="Z45" s="17" t="s">
        <v>321</v>
      </c>
    </row>
    <row r="46" spans="1:26" ht="48.95" customHeight="1" x14ac:dyDescent="0.25">
      <c r="A46" s="168"/>
      <c r="B46" s="144"/>
      <c r="C46" s="130" t="s">
        <v>801</v>
      </c>
      <c r="D46" s="168"/>
      <c r="E46" s="166"/>
      <c r="F46" s="37"/>
      <c r="G46" s="37"/>
      <c r="H46" s="37"/>
      <c r="I46" s="37"/>
      <c r="J46" s="37"/>
      <c r="K46" s="215"/>
      <c r="L46" s="223"/>
      <c r="M46" s="60"/>
      <c r="N46" s="166"/>
      <c r="O46" s="166"/>
      <c r="P46" s="166"/>
      <c r="Q46" s="166"/>
      <c r="R46" s="166"/>
      <c r="S46" s="166"/>
      <c r="T46" s="166"/>
      <c r="U46" s="166"/>
      <c r="V46" s="34"/>
      <c r="W46" s="34"/>
      <c r="X46" s="34"/>
      <c r="Y46" s="17"/>
      <c r="Z46" s="17"/>
    </row>
    <row r="47" spans="1:26" ht="48.95" customHeight="1" x14ac:dyDescent="0.25">
      <c r="A47" s="124">
        <v>34</v>
      </c>
      <c r="B47" s="52" t="s">
        <v>865</v>
      </c>
      <c r="C47" s="113" t="s">
        <v>485</v>
      </c>
      <c r="D47" s="168" t="s">
        <v>326</v>
      </c>
      <c r="E47" s="142"/>
      <c r="F47" s="11"/>
      <c r="G47" s="11"/>
      <c r="H47" s="11"/>
      <c r="I47" s="11"/>
      <c r="J47" s="11"/>
      <c r="K47" s="214"/>
      <c r="L47" s="224"/>
      <c r="M47" s="30">
        <v>200</v>
      </c>
      <c r="N47" s="136">
        <v>843355</v>
      </c>
      <c r="O47" s="136"/>
      <c r="P47" s="100">
        <v>344507</v>
      </c>
      <c r="Q47" s="136"/>
      <c r="R47" s="166">
        <f>ROUND(M47*N47,0)</f>
        <v>168671000</v>
      </c>
      <c r="S47" s="166">
        <f>ROUND(M47*O47,0)</f>
        <v>0</v>
      </c>
      <c r="T47" s="166">
        <f>ROUND(M47*P47,0)</f>
        <v>68901400</v>
      </c>
      <c r="U47" s="166">
        <f>ROUND(M47*Q47,0)</f>
        <v>0</v>
      </c>
      <c r="V47" s="34"/>
      <c r="W47" s="34"/>
      <c r="X47" s="34"/>
      <c r="Y47" s="17" t="s">
        <v>699</v>
      </c>
      <c r="Z47" s="17" t="s">
        <v>708</v>
      </c>
    </row>
    <row r="48" spans="1:26" ht="48.95" customHeight="1" x14ac:dyDescent="0.25">
      <c r="A48" s="124">
        <v>35</v>
      </c>
      <c r="B48" s="52" t="s">
        <v>865</v>
      </c>
      <c r="C48" s="113" t="s">
        <v>5</v>
      </c>
      <c r="D48" s="168" t="s">
        <v>326</v>
      </c>
      <c r="E48" s="142"/>
      <c r="F48" s="11"/>
      <c r="G48" s="11"/>
      <c r="H48" s="11"/>
      <c r="I48" s="11"/>
      <c r="J48" s="11"/>
      <c r="K48" s="214"/>
      <c r="L48" s="224"/>
      <c r="M48" s="30">
        <f>ROUND(1979.17/2,4)</f>
        <v>989.58500000000004</v>
      </c>
      <c r="N48" s="136">
        <v>603987</v>
      </c>
      <c r="O48" s="136"/>
      <c r="P48" s="100">
        <v>206704</v>
      </c>
      <c r="Q48" s="136"/>
      <c r="R48" s="166">
        <f>ROUND(M48*N48,0)</f>
        <v>597696475</v>
      </c>
      <c r="S48" s="166">
        <f>ROUND(M48*O48,0)</f>
        <v>0</v>
      </c>
      <c r="T48" s="166">
        <f>ROUND(M48*P48,0)</f>
        <v>204551178</v>
      </c>
      <c r="U48" s="166">
        <f>ROUND(M48*Q48,0)</f>
        <v>0</v>
      </c>
      <c r="V48" s="34"/>
      <c r="W48" s="34"/>
      <c r="X48" s="34"/>
      <c r="Y48" s="17" t="s">
        <v>699</v>
      </c>
      <c r="Z48" s="17" t="s">
        <v>708</v>
      </c>
    </row>
    <row r="49" spans="1:26" ht="48.95" customHeight="1" x14ac:dyDescent="0.25">
      <c r="A49" s="124">
        <v>36</v>
      </c>
      <c r="B49" s="138" t="s">
        <v>576</v>
      </c>
      <c r="C49" s="144" t="s">
        <v>27</v>
      </c>
      <c r="D49" s="168" t="s">
        <v>836</v>
      </c>
      <c r="E49" s="142"/>
      <c r="F49" s="11"/>
      <c r="G49" s="11"/>
      <c r="H49" s="11"/>
      <c r="I49" s="11"/>
      <c r="J49" s="11"/>
      <c r="K49" s="214"/>
      <c r="L49" s="224"/>
      <c r="M49" s="45">
        <f>ROUND(2379.17/100,4)</f>
        <v>23.791699999999999</v>
      </c>
      <c r="N49" s="136">
        <v>2592044</v>
      </c>
      <c r="O49" s="136"/>
      <c r="P49" s="136">
        <v>258681</v>
      </c>
      <c r="Q49" s="136"/>
      <c r="R49" s="166">
        <f>ROUND(M49*N49,0)</f>
        <v>61669133</v>
      </c>
      <c r="S49" s="166">
        <f>ROUND(M49*O49,0)</f>
        <v>0</v>
      </c>
      <c r="T49" s="166">
        <f>ROUND(M49*P49,0)</f>
        <v>6154461</v>
      </c>
      <c r="U49" s="166">
        <f>ROUND(M49*Q49,0)</f>
        <v>0</v>
      </c>
      <c r="V49" s="34"/>
      <c r="W49" s="34"/>
      <c r="X49" s="34"/>
      <c r="Y49" s="17" t="s">
        <v>82</v>
      </c>
      <c r="Z49" s="17" t="s">
        <v>321</v>
      </c>
    </row>
    <row r="50" spans="1:26" ht="48.95" customHeight="1" x14ac:dyDescent="0.25">
      <c r="A50" s="124">
        <v>37</v>
      </c>
      <c r="B50" s="138" t="s">
        <v>1071</v>
      </c>
      <c r="C50" s="144" t="s">
        <v>738</v>
      </c>
      <c r="D50" s="168" t="s">
        <v>227</v>
      </c>
      <c r="E50" s="142"/>
      <c r="F50" s="11"/>
      <c r="G50" s="11"/>
      <c r="H50" s="11"/>
      <c r="I50" s="11"/>
      <c r="J50" s="11"/>
      <c r="K50" s="214"/>
      <c r="L50" s="224"/>
      <c r="M50" s="45">
        <f>ROUND(2973*4.5/100,4)</f>
        <v>133.785</v>
      </c>
      <c r="N50" s="136">
        <v>767494</v>
      </c>
      <c r="O50" s="136"/>
      <c r="P50" s="136">
        <v>605983</v>
      </c>
      <c r="Q50" s="136"/>
      <c r="R50" s="166">
        <f>ROUND(M50*N50,0)</f>
        <v>102679185</v>
      </c>
      <c r="S50" s="166">
        <f>ROUND(M50*O50,0)</f>
        <v>0</v>
      </c>
      <c r="T50" s="166">
        <f>ROUND(M50*P50,0)</f>
        <v>81071436</v>
      </c>
      <c r="U50" s="166">
        <f>ROUND(M50*Q50,0)</f>
        <v>0</v>
      </c>
      <c r="V50" s="34"/>
      <c r="W50" s="34"/>
      <c r="X50" s="34"/>
      <c r="Y50" s="17" t="s">
        <v>82</v>
      </c>
      <c r="Z50" s="17" t="s">
        <v>321</v>
      </c>
    </row>
    <row r="51" spans="1:26" ht="48.95" customHeight="1" x14ac:dyDescent="0.25">
      <c r="A51" s="168"/>
      <c r="B51" s="144"/>
      <c r="C51" s="130" t="s">
        <v>1091</v>
      </c>
      <c r="D51" s="168"/>
      <c r="E51" s="166"/>
      <c r="F51" s="37"/>
      <c r="G51" s="37"/>
      <c r="H51" s="37"/>
      <c r="I51" s="37"/>
      <c r="J51" s="37"/>
      <c r="K51" s="215"/>
      <c r="L51" s="223"/>
      <c r="M51" s="60"/>
      <c r="N51" s="166"/>
      <c r="O51" s="166"/>
      <c r="P51" s="166"/>
      <c r="Q51" s="166"/>
      <c r="R51" s="166"/>
      <c r="S51" s="166"/>
      <c r="T51" s="166"/>
      <c r="U51" s="166"/>
      <c r="V51" s="34"/>
      <c r="W51" s="34"/>
      <c r="X51" s="34"/>
      <c r="Y51" s="17"/>
      <c r="Z51" s="17"/>
    </row>
    <row r="52" spans="1:26" ht="48.95" customHeight="1" x14ac:dyDescent="0.25">
      <c r="A52" s="124">
        <v>38</v>
      </c>
      <c r="B52" s="138" t="s">
        <v>896</v>
      </c>
      <c r="C52" s="144" t="s">
        <v>653</v>
      </c>
      <c r="D52" s="168" t="s">
        <v>155</v>
      </c>
      <c r="E52" s="142"/>
      <c r="F52" s="11"/>
      <c r="G52" s="11"/>
      <c r="H52" s="11"/>
      <c r="I52" s="11"/>
      <c r="J52" s="11"/>
      <c r="K52" s="214"/>
      <c r="L52" s="224"/>
      <c r="M52" s="45">
        <f>ROUND(765.13*0.12,4)</f>
        <v>91.815600000000003</v>
      </c>
      <c r="N52" s="136">
        <v>912420</v>
      </c>
      <c r="O52" s="136"/>
      <c r="P52" s="136">
        <v>501744</v>
      </c>
      <c r="Q52" s="136">
        <v>27402</v>
      </c>
      <c r="R52" s="166">
        <f t="shared" ref="R52:R61" si="12">ROUND(M52*N52,0)</f>
        <v>83774390</v>
      </c>
      <c r="S52" s="166">
        <f t="shared" ref="S52:S61" si="13">ROUND(M52*O52,0)</f>
        <v>0</v>
      </c>
      <c r="T52" s="166">
        <f t="shared" ref="T52:T61" si="14">ROUND(M52*P52,0)</f>
        <v>46067926</v>
      </c>
      <c r="U52" s="166">
        <f t="shared" ref="U52:U61" si="15">ROUND(M52*Q52,0)</f>
        <v>2515931</v>
      </c>
      <c r="V52" s="34"/>
      <c r="W52" s="34"/>
      <c r="X52" s="34"/>
      <c r="Y52" s="17" t="s">
        <v>82</v>
      </c>
      <c r="Z52" s="17" t="s">
        <v>321</v>
      </c>
    </row>
    <row r="53" spans="1:26" ht="48.95" customHeight="1" x14ac:dyDescent="0.25">
      <c r="A53" s="124">
        <v>39</v>
      </c>
      <c r="B53" s="138" t="s">
        <v>576</v>
      </c>
      <c r="C53" s="144" t="s">
        <v>27</v>
      </c>
      <c r="D53" s="168" t="s">
        <v>836</v>
      </c>
      <c r="E53" s="142"/>
      <c r="F53" s="11"/>
      <c r="G53" s="11"/>
      <c r="H53" s="11"/>
      <c r="I53" s="11"/>
      <c r="J53" s="11"/>
      <c r="K53" s="214"/>
      <c r="L53" s="224"/>
      <c r="M53" s="45">
        <f>ROUND(765.13/100,4)</f>
        <v>7.6513</v>
      </c>
      <c r="N53" s="136">
        <v>2592044</v>
      </c>
      <c r="O53" s="136"/>
      <c r="P53" s="136">
        <v>258681</v>
      </c>
      <c r="Q53" s="136"/>
      <c r="R53" s="166">
        <f t="shared" si="12"/>
        <v>19832506</v>
      </c>
      <c r="S53" s="166">
        <f t="shared" si="13"/>
        <v>0</v>
      </c>
      <c r="T53" s="166">
        <f t="shared" si="14"/>
        <v>1979246</v>
      </c>
      <c r="U53" s="166">
        <f t="shared" si="15"/>
        <v>0</v>
      </c>
      <c r="V53" s="34"/>
      <c r="W53" s="34"/>
      <c r="X53" s="34"/>
      <c r="Y53" s="17" t="s">
        <v>82</v>
      </c>
      <c r="Z53" s="17" t="s">
        <v>321</v>
      </c>
    </row>
    <row r="54" spans="1:26" ht="48.95" customHeight="1" x14ac:dyDescent="0.25">
      <c r="A54" s="124">
        <v>40</v>
      </c>
      <c r="B54" s="138" t="s">
        <v>1154</v>
      </c>
      <c r="C54" s="144" t="s">
        <v>1145</v>
      </c>
      <c r="D54" s="168" t="s">
        <v>155</v>
      </c>
      <c r="E54" s="142"/>
      <c r="F54" s="11"/>
      <c r="G54" s="11"/>
      <c r="H54" s="11"/>
      <c r="I54" s="11"/>
      <c r="J54" s="11"/>
      <c r="K54" s="214"/>
      <c r="L54" s="224"/>
      <c r="M54" s="45">
        <v>38.26</v>
      </c>
      <c r="N54" s="136">
        <v>522648</v>
      </c>
      <c r="O54" s="136"/>
      <c r="P54" s="136">
        <v>87854</v>
      </c>
      <c r="Q54" s="136"/>
      <c r="R54" s="166">
        <f t="shared" si="12"/>
        <v>19996512</v>
      </c>
      <c r="S54" s="166">
        <f t="shared" si="13"/>
        <v>0</v>
      </c>
      <c r="T54" s="166">
        <f t="shared" si="14"/>
        <v>3361294</v>
      </c>
      <c r="U54" s="166">
        <f t="shared" si="15"/>
        <v>0</v>
      </c>
      <c r="V54" s="34"/>
      <c r="W54" s="34"/>
      <c r="X54" s="34"/>
      <c r="Y54" s="17" t="s">
        <v>82</v>
      </c>
      <c r="Z54" s="17" t="s">
        <v>321</v>
      </c>
    </row>
    <row r="55" spans="1:26" ht="48.95" customHeight="1" x14ac:dyDescent="0.25">
      <c r="A55" s="124">
        <v>41</v>
      </c>
      <c r="B55" s="138" t="s">
        <v>1133</v>
      </c>
      <c r="C55" s="144" t="s">
        <v>777</v>
      </c>
      <c r="D55" s="168" t="s">
        <v>1123</v>
      </c>
      <c r="E55" s="142"/>
      <c r="F55" s="11"/>
      <c r="G55" s="11"/>
      <c r="H55" s="11"/>
      <c r="I55" s="11"/>
      <c r="J55" s="11"/>
      <c r="K55" s="214"/>
      <c r="L55" s="224"/>
      <c r="M55" s="45">
        <f>ROUND(765.13/0.1584,4)</f>
        <v>4830.3662000000004</v>
      </c>
      <c r="N55" s="136">
        <v>3016</v>
      </c>
      <c r="O55" s="136"/>
      <c r="P55" s="136">
        <v>38775</v>
      </c>
      <c r="Q55" s="136"/>
      <c r="R55" s="166">
        <f t="shared" si="12"/>
        <v>14568384</v>
      </c>
      <c r="S55" s="166">
        <f t="shared" si="13"/>
        <v>0</v>
      </c>
      <c r="T55" s="166">
        <f t="shared" si="14"/>
        <v>187297449</v>
      </c>
      <c r="U55" s="166">
        <f t="shared" si="15"/>
        <v>0</v>
      </c>
      <c r="V55" s="34"/>
      <c r="W55" s="34"/>
      <c r="X55" s="34"/>
      <c r="Y55" s="17" t="s">
        <v>82</v>
      </c>
      <c r="Z55" s="17" t="s">
        <v>321</v>
      </c>
    </row>
    <row r="56" spans="1:26" ht="48.95" customHeight="1" x14ac:dyDescent="0.25">
      <c r="A56" s="124">
        <v>42</v>
      </c>
      <c r="B56" s="138" t="s">
        <v>635</v>
      </c>
      <c r="C56" s="144" t="s">
        <v>840</v>
      </c>
      <c r="D56" s="168" t="s">
        <v>836</v>
      </c>
      <c r="E56" s="142"/>
      <c r="F56" s="11"/>
      <c r="G56" s="11"/>
      <c r="H56" s="11"/>
      <c r="I56" s="11"/>
      <c r="J56" s="11"/>
      <c r="K56" s="214"/>
      <c r="L56" s="224"/>
      <c r="M56" s="45">
        <f>ROUND(M55*(0.25*4+0.36*2)*0.12/100,4)</f>
        <v>9.9699000000000009</v>
      </c>
      <c r="N56" s="136">
        <v>547752</v>
      </c>
      <c r="O56" s="136"/>
      <c r="P56" s="136">
        <v>4908459</v>
      </c>
      <c r="Q56" s="136">
        <v>159884</v>
      </c>
      <c r="R56" s="166">
        <f t="shared" si="12"/>
        <v>5461033</v>
      </c>
      <c r="S56" s="166">
        <f t="shared" si="13"/>
        <v>0</v>
      </c>
      <c r="T56" s="166">
        <f t="shared" si="14"/>
        <v>48936845</v>
      </c>
      <c r="U56" s="166">
        <f t="shared" si="15"/>
        <v>1594027</v>
      </c>
      <c r="V56" s="34"/>
      <c r="W56" s="34"/>
      <c r="X56" s="34"/>
      <c r="Y56" s="17" t="s">
        <v>82</v>
      </c>
      <c r="Z56" s="17" t="s">
        <v>321</v>
      </c>
    </row>
    <row r="57" spans="1:26" ht="48.95" customHeight="1" x14ac:dyDescent="0.25">
      <c r="A57" s="124">
        <v>43</v>
      </c>
      <c r="B57" s="138" t="s">
        <v>1158</v>
      </c>
      <c r="C57" s="144" t="s">
        <v>1020</v>
      </c>
      <c r="D57" s="168" t="s">
        <v>155</v>
      </c>
      <c r="E57" s="142"/>
      <c r="F57" s="11"/>
      <c r="G57" s="11"/>
      <c r="H57" s="11"/>
      <c r="I57" s="11"/>
      <c r="J57" s="11"/>
      <c r="K57" s="214"/>
      <c r="L57" s="224"/>
      <c r="M57" s="30">
        <v>34.869999999999997</v>
      </c>
      <c r="N57" s="136">
        <v>989296</v>
      </c>
      <c r="O57" s="136"/>
      <c r="P57" s="136">
        <v>757767</v>
      </c>
      <c r="Q57" s="100">
        <v>68040</v>
      </c>
      <c r="R57" s="166">
        <f t="shared" si="12"/>
        <v>34496752</v>
      </c>
      <c r="S57" s="166">
        <f t="shared" si="13"/>
        <v>0</v>
      </c>
      <c r="T57" s="166">
        <f t="shared" si="14"/>
        <v>26423335</v>
      </c>
      <c r="U57" s="166">
        <f t="shared" si="15"/>
        <v>2372555</v>
      </c>
      <c r="V57" s="34"/>
      <c r="W57" s="34"/>
      <c r="X57" s="34"/>
      <c r="Y57" s="17" t="s">
        <v>82</v>
      </c>
      <c r="Z57" s="17" t="s">
        <v>321</v>
      </c>
    </row>
    <row r="58" spans="1:26" ht="48.95" customHeight="1" x14ac:dyDescent="0.25">
      <c r="A58" s="124">
        <v>44</v>
      </c>
      <c r="B58" s="138" t="s">
        <v>752</v>
      </c>
      <c r="C58" s="144" t="s">
        <v>1032</v>
      </c>
      <c r="D58" s="168" t="s">
        <v>205</v>
      </c>
      <c r="E58" s="142"/>
      <c r="F58" s="11"/>
      <c r="G58" s="11"/>
      <c r="H58" s="11"/>
      <c r="I58" s="11"/>
      <c r="J58" s="11"/>
      <c r="K58" s="214"/>
      <c r="L58" s="224"/>
      <c r="M58" s="30">
        <f>ROUND(2.61513/0.03,4)</f>
        <v>87.171000000000006</v>
      </c>
      <c r="N58" s="136">
        <v>28745</v>
      </c>
      <c r="O58" s="136"/>
      <c r="P58" s="136">
        <v>24431</v>
      </c>
      <c r="Q58" s="136">
        <v>932</v>
      </c>
      <c r="R58" s="166">
        <f t="shared" si="12"/>
        <v>2505730</v>
      </c>
      <c r="S58" s="166">
        <f t="shared" si="13"/>
        <v>0</v>
      </c>
      <c r="T58" s="166">
        <f t="shared" si="14"/>
        <v>2129675</v>
      </c>
      <c r="U58" s="166">
        <f t="shared" si="15"/>
        <v>81243</v>
      </c>
      <c r="V58" s="34"/>
      <c r="W58" s="34"/>
      <c r="X58" s="34"/>
      <c r="Y58" s="17" t="s">
        <v>82</v>
      </c>
      <c r="Z58" s="17" t="s">
        <v>321</v>
      </c>
    </row>
    <row r="59" spans="1:26" ht="48.95" customHeight="1" x14ac:dyDescent="0.25">
      <c r="A59" s="124">
        <v>45</v>
      </c>
      <c r="B59" s="138" t="s">
        <v>869</v>
      </c>
      <c r="C59" s="144" t="s">
        <v>899</v>
      </c>
      <c r="D59" s="168" t="s">
        <v>836</v>
      </c>
      <c r="E59" s="142"/>
      <c r="F59" s="11"/>
      <c r="G59" s="11"/>
      <c r="H59" s="11"/>
      <c r="I59" s="11"/>
      <c r="J59" s="11"/>
      <c r="K59" s="214"/>
      <c r="L59" s="224"/>
      <c r="M59" s="30">
        <f>ROUND(230.54/100,4)</f>
        <v>2.3054000000000001</v>
      </c>
      <c r="N59" s="136">
        <v>3284877</v>
      </c>
      <c r="O59" s="136"/>
      <c r="P59" s="136">
        <v>8822813</v>
      </c>
      <c r="Q59" s="136">
        <v>517171</v>
      </c>
      <c r="R59" s="166">
        <f t="shared" si="12"/>
        <v>7572955</v>
      </c>
      <c r="S59" s="166">
        <f t="shared" si="13"/>
        <v>0</v>
      </c>
      <c r="T59" s="166">
        <f t="shared" si="14"/>
        <v>20340113</v>
      </c>
      <c r="U59" s="166">
        <f t="shared" si="15"/>
        <v>1192286</v>
      </c>
      <c r="V59" s="34"/>
      <c r="W59" s="34"/>
      <c r="X59" s="34"/>
      <c r="Y59" s="17" t="s">
        <v>82</v>
      </c>
      <c r="Z59" s="17" t="s">
        <v>321</v>
      </c>
    </row>
    <row r="60" spans="1:26" ht="48.95" customHeight="1" x14ac:dyDescent="0.25">
      <c r="A60" s="124">
        <v>46</v>
      </c>
      <c r="B60" s="138" t="s">
        <v>910</v>
      </c>
      <c r="C60" s="144" t="s">
        <v>106</v>
      </c>
      <c r="D60" s="168" t="s">
        <v>1172</v>
      </c>
      <c r="E60" s="142"/>
      <c r="F60" s="11"/>
      <c r="G60" s="11"/>
      <c r="H60" s="11"/>
      <c r="I60" s="11"/>
      <c r="J60" s="11"/>
      <c r="K60" s="214"/>
      <c r="L60" s="224"/>
      <c r="M60" s="30">
        <f>ROUND(421.94/1000,4)</f>
        <v>0.4219</v>
      </c>
      <c r="N60" s="136">
        <v>14603640</v>
      </c>
      <c r="O60" s="136"/>
      <c r="P60" s="136">
        <v>3448267</v>
      </c>
      <c r="Q60" s="136">
        <v>91218</v>
      </c>
      <c r="R60" s="166">
        <f t="shared" si="12"/>
        <v>6161276</v>
      </c>
      <c r="S60" s="166">
        <f t="shared" si="13"/>
        <v>0</v>
      </c>
      <c r="T60" s="166">
        <f t="shared" si="14"/>
        <v>1454824</v>
      </c>
      <c r="U60" s="166">
        <f t="shared" si="15"/>
        <v>38485</v>
      </c>
      <c r="V60" s="34"/>
      <c r="W60" s="34"/>
      <c r="X60" s="34"/>
      <c r="Y60" s="17" t="s">
        <v>82</v>
      </c>
      <c r="Z60" s="17" t="s">
        <v>321</v>
      </c>
    </row>
    <row r="61" spans="1:26" ht="48.95" customHeight="1" x14ac:dyDescent="0.25">
      <c r="A61" s="124">
        <v>47</v>
      </c>
      <c r="B61" s="138" t="s">
        <v>62</v>
      </c>
      <c r="C61" s="144" t="s">
        <v>1053</v>
      </c>
      <c r="D61" s="168" t="s">
        <v>1172</v>
      </c>
      <c r="E61" s="142"/>
      <c r="F61" s="11"/>
      <c r="G61" s="11"/>
      <c r="H61" s="11"/>
      <c r="I61" s="11"/>
      <c r="J61" s="11"/>
      <c r="K61" s="214"/>
      <c r="L61" s="224"/>
      <c r="M61" s="30">
        <f>ROUND(1829.98/1000,4)</f>
        <v>1.83</v>
      </c>
      <c r="N61" s="136">
        <v>14678788</v>
      </c>
      <c r="O61" s="136"/>
      <c r="P61" s="136">
        <v>2137074</v>
      </c>
      <c r="Q61" s="136">
        <v>455951</v>
      </c>
      <c r="R61" s="166">
        <f t="shared" si="12"/>
        <v>26862182</v>
      </c>
      <c r="S61" s="166">
        <f t="shared" si="13"/>
        <v>0</v>
      </c>
      <c r="T61" s="166">
        <f t="shared" si="14"/>
        <v>3910845</v>
      </c>
      <c r="U61" s="166">
        <f t="shared" si="15"/>
        <v>834390</v>
      </c>
      <c r="V61" s="34"/>
      <c r="W61" s="34"/>
      <c r="X61" s="34"/>
      <c r="Y61" s="17" t="s">
        <v>82</v>
      </c>
      <c r="Z61" s="17" t="s">
        <v>321</v>
      </c>
    </row>
    <row r="62" spans="1:26" ht="48.95" customHeight="1" x14ac:dyDescent="0.25">
      <c r="A62" s="168"/>
      <c r="B62" s="144"/>
      <c r="C62" s="130" t="s">
        <v>505</v>
      </c>
      <c r="D62" s="168"/>
      <c r="E62" s="166"/>
      <c r="F62" s="37"/>
      <c r="G62" s="37"/>
      <c r="H62" s="37"/>
      <c r="I62" s="37"/>
      <c r="J62" s="37"/>
      <c r="K62" s="215"/>
      <c r="L62" s="223"/>
      <c r="M62" s="60"/>
      <c r="N62" s="166"/>
      <c r="O62" s="166"/>
      <c r="P62" s="166"/>
      <c r="Q62" s="166"/>
      <c r="R62" s="166"/>
      <c r="S62" s="166"/>
      <c r="T62" s="166"/>
      <c r="U62" s="166"/>
      <c r="V62" s="34"/>
      <c r="W62" s="34"/>
      <c r="X62" s="34"/>
      <c r="Y62" s="17"/>
      <c r="Z62" s="17"/>
    </row>
    <row r="63" spans="1:26" ht="48.95" customHeight="1" x14ac:dyDescent="0.25">
      <c r="A63" s="124">
        <v>48</v>
      </c>
      <c r="B63" s="138" t="s">
        <v>727</v>
      </c>
      <c r="C63" s="144" t="s">
        <v>135</v>
      </c>
      <c r="D63" s="168" t="s">
        <v>155</v>
      </c>
      <c r="E63" s="142"/>
      <c r="F63" s="11"/>
      <c r="G63" s="11"/>
      <c r="H63" s="11"/>
      <c r="I63" s="11"/>
      <c r="J63" s="11"/>
      <c r="K63" s="214"/>
      <c r="L63" s="224"/>
      <c r="M63" s="45">
        <v>163.01</v>
      </c>
      <c r="N63" s="136">
        <v>1041647</v>
      </c>
      <c r="O63" s="136"/>
      <c r="P63" s="136">
        <v>384605</v>
      </c>
      <c r="Q63" s="136">
        <v>47495</v>
      </c>
      <c r="R63" s="166">
        <f>ROUND(M63*N63,0)</f>
        <v>169798877</v>
      </c>
      <c r="S63" s="166">
        <f>ROUND(M63*O63,0)</f>
        <v>0</v>
      </c>
      <c r="T63" s="166">
        <f>ROUND(M63*P63,0)</f>
        <v>62694461</v>
      </c>
      <c r="U63" s="166">
        <f>ROUND(M63*Q63,0)</f>
        <v>7742160</v>
      </c>
      <c r="V63" s="34"/>
      <c r="W63" s="34"/>
      <c r="X63" s="34"/>
      <c r="Y63" s="17" t="s">
        <v>82</v>
      </c>
      <c r="Z63" s="17" t="s">
        <v>321</v>
      </c>
    </row>
    <row r="64" spans="1:26" ht="48.95" customHeight="1" x14ac:dyDescent="0.25">
      <c r="A64" s="124">
        <v>49</v>
      </c>
      <c r="B64" s="138" t="s">
        <v>752</v>
      </c>
      <c r="C64" s="144" t="s">
        <v>1032</v>
      </c>
      <c r="D64" s="168" t="s">
        <v>205</v>
      </c>
      <c r="E64" s="142"/>
      <c r="F64" s="11"/>
      <c r="G64" s="11"/>
      <c r="H64" s="11"/>
      <c r="I64" s="11"/>
      <c r="J64" s="11"/>
      <c r="K64" s="214"/>
      <c r="L64" s="224"/>
      <c r="M64" s="45">
        <f>ROUND(40.75/0.03,4)</f>
        <v>1358.3333</v>
      </c>
      <c r="N64" s="136">
        <v>28745</v>
      </c>
      <c r="O64" s="136"/>
      <c r="P64" s="136">
        <v>24431</v>
      </c>
      <c r="Q64" s="136">
        <v>932</v>
      </c>
      <c r="R64" s="166">
        <f>ROUND(M64*N64,0)</f>
        <v>39045291</v>
      </c>
      <c r="S64" s="166">
        <f>ROUND(M64*O64,0)</f>
        <v>0</v>
      </c>
      <c r="T64" s="166">
        <f>ROUND(M64*P64,0)</f>
        <v>33185441</v>
      </c>
      <c r="U64" s="166">
        <f>ROUND(M64*Q64,0)</f>
        <v>1265967</v>
      </c>
      <c r="V64" s="34"/>
      <c r="W64" s="34"/>
      <c r="X64" s="34"/>
      <c r="Y64" s="17" t="s">
        <v>82</v>
      </c>
      <c r="Z64" s="17" t="s">
        <v>321</v>
      </c>
    </row>
    <row r="65" spans="1:26" ht="48.95" customHeight="1" x14ac:dyDescent="0.25">
      <c r="A65" s="124">
        <v>50</v>
      </c>
      <c r="B65" s="138" t="s">
        <v>589</v>
      </c>
      <c r="C65" s="144" t="s">
        <v>459</v>
      </c>
      <c r="D65" s="168" t="s">
        <v>836</v>
      </c>
      <c r="E65" s="142"/>
      <c r="F65" s="11"/>
      <c r="G65" s="11"/>
      <c r="H65" s="11"/>
      <c r="I65" s="11"/>
      <c r="J65" s="11"/>
      <c r="K65" s="214"/>
      <c r="L65" s="224"/>
      <c r="M65" s="45">
        <f>ROUND(93.3/100,4)</f>
        <v>0.93300000000000005</v>
      </c>
      <c r="N65" s="136">
        <v>4663446</v>
      </c>
      <c r="O65" s="136"/>
      <c r="P65" s="136">
        <v>2896970</v>
      </c>
      <c r="Q65" s="136"/>
      <c r="R65" s="166">
        <f>ROUND(M65*N65,0)</f>
        <v>4350995</v>
      </c>
      <c r="S65" s="166">
        <f>ROUND(M65*O65,0)</f>
        <v>0</v>
      </c>
      <c r="T65" s="166">
        <f>ROUND(M65*P65,0)</f>
        <v>2702873</v>
      </c>
      <c r="U65" s="166">
        <f>ROUND(M65*Q65,0)</f>
        <v>0</v>
      </c>
      <c r="V65" s="34"/>
      <c r="W65" s="34"/>
      <c r="X65" s="34"/>
      <c r="Y65" s="17" t="s">
        <v>82</v>
      </c>
      <c r="Z65" s="17" t="s">
        <v>321</v>
      </c>
    </row>
    <row r="66" spans="1:26" ht="48.95" customHeight="1" x14ac:dyDescent="0.25">
      <c r="A66" s="168"/>
      <c r="B66" s="144"/>
      <c r="C66" s="130" t="s">
        <v>384</v>
      </c>
      <c r="D66" s="168"/>
      <c r="E66" s="166"/>
      <c r="F66" s="37"/>
      <c r="G66" s="37"/>
      <c r="H66" s="37"/>
      <c r="I66" s="37"/>
      <c r="J66" s="37"/>
      <c r="K66" s="215"/>
      <c r="L66" s="223"/>
      <c r="M66" s="60"/>
      <c r="N66" s="166"/>
      <c r="O66" s="166"/>
      <c r="P66" s="166"/>
      <c r="Q66" s="166"/>
      <c r="R66" s="166"/>
      <c r="S66" s="166"/>
      <c r="T66" s="166"/>
      <c r="U66" s="166"/>
      <c r="V66" s="34"/>
      <c r="W66" s="34"/>
      <c r="X66" s="34"/>
      <c r="Y66" s="17"/>
      <c r="Z66" s="17"/>
    </row>
    <row r="67" spans="1:26" ht="48.95" customHeight="1" x14ac:dyDescent="0.25">
      <c r="A67" s="168"/>
      <c r="B67" s="144"/>
      <c r="C67" s="130" t="s">
        <v>750</v>
      </c>
      <c r="D67" s="168"/>
      <c r="E67" s="166"/>
      <c r="F67" s="37"/>
      <c r="G67" s="37"/>
      <c r="H67" s="37"/>
      <c r="I67" s="37"/>
      <c r="J67" s="37"/>
      <c r="K67" s="215"/>
      <c r="L67" s="223"/>
      <c r="M67" s="60"/>
      <c r="N67" s="166"/>
      <c r="O67" s="166"/>
      <c r="P67" s="166"/>
      <c r="Q67" s="166"/>
      <c r="R67" s="166"/>
      <c r="S67" s="166"/>
      <c r="T67" s="166"/>
      <c r="U67" s="166"/>
      <c r="V67" s="34"/>
      <c r="W67" s="34"/>
      <c r="X67" s="34"/>
      <c r="Y67" s="17"/>
      <c r="Z67" s="17"/>
    </row>
    <row r="68" spans="1:26" ht="48.95" customHeight="1" x14ac:dyDescent="0.25">
      <c r="A68" s="124">
        <v>51</v>
      </c>
      <c r="B68" s="138" t="s">
        <v>658</v>
      </c>
      <c r="C68" s="144" t="s">
        <v>90</v>
      </c>
      <c r="D68" s="168" t="s">
        <v>155</v>
      </c>
      <c r="E68" s="142"/>
      <c r="F68" s="11"/>
      <c r="G68" s="11"/>
      <c r="H68" s="11"/>
      <c r="I68" s="11"/>
      <c r="J68" s="11"/>
      <c r="K68" s="214"/>
      <c r="L68" s="224"/>
      <c r="M68" s="45">
        <v>71.41</v>
      </c>
      <c r="N68" s="136">
        <v>1095938</v>
      </c>
      <c r="O68" s="136"/>
      <c r="P68" s="136">
        <v>732116</v>
      </c>
      <c r="Q68" s="136">
        <v>59943</v>
      </c>
      <c r="R68" s="166">
        <f t="shared" ref="R68:R77" si="16">ROUND(M68*N68,0)</f>
        <v>78260933</v>
      </c>
      <c r="S68" s="166">
        <f t="shared" ref="S68:S77" si="17">ROUND(M68*O68,0)</f>
        <v>0</v>
      </c>
      <c r="T68" s="166">
        <f t="shared" ref="T68:T77" si="18">ROUND(M68*P68,0)</f>
        <v>52280404</v>
      </c>
      <c r="U68" s="166">
        <f t="shared" ref="U68:U77" si="19">ROUND(M68*Q68,0)</f>
        <v>4280530</v>
      </c>
      <c r="V68" s="34"/>
      <c r="W68" s="34"/>
      <c r="X68" s="34"/>
      <c r="Y68" s="17" t="s">
        <v>82</v>
      </c>
      <c r="Z68" s="17" t="s">
        <v>321</v>
      </c>
    </row>
    <row r="69" spans="1:26" ht="48.95" customHeight="1" x14ac:dyDescent="0.25">
      <c r="A69" s="124">
        <v>52</v>
      </c>
      <c r="B69" s="138" t="s">
        <v>847</v>
      </c>
      <c r="C69" s="144" t="s">
        <v>682</v>
      </c>
      <c r="D69" s="168" t="s">
        <v>1172</v>
      </c>
      <c r="E69" s="142"/>
      <c r="F69" s="11"/>
      <c r="G69" s="11"/>
      <c r="H69" s="11"/>
      <c r="I69" s="11"/>
      <c r="J69" s="11"/>
      <c r="K69" s="214"/>
      <c r="L69" s="224"/>
      <c r="M69" s="45">
        <f>ROUND(2303.68/1000,4)</f>
        <v>2.3037000000000001</v>
      </c>
      <c r="N69" s="136">
        <v>14603640</v>
      </c>
      <c r="O69" s="136"/>
      <c r="P69" s="136">
        <v>3033198</v>
      </c>
      <c r="Q69" s="136">
        <v>91218</v>
      </c>
      <c r="R69" s="166">
        <f t="shared" si="16"/>
        <v>33642405</v>
      </c>
      <c r="S69" s="166">
        <f t="shared" si="17"/>
        <v>0</v>
      </c>
      <c r="T69" s="166">
        <f t="shared" si="18"/>
        <v>6987578</v>
      </c>
      <c r="U69" s="166">
        <f t="shared" si="19"/>
        <v>210139</v>
      </c>
      <c r="V69" s="34"/>
      <c r="W69" s="34"/>
      <c r="X69" s="34"/>
      <c r="Y69" s="17" t="s">
        <v>82</v>
      </c>
      <c r="Z69" s="17" t="s">
        <v>321</v>
      </c>
    </row>
    <row r="70" spans="1:26" ht="48.95" customHeight="1" x14ac:dyDescent="0.25">
      <c r="A70" s="124">
        <v>53</v>
      </c>
      <c r="B70" s="138" t="s">
        <v>9</v>
      </c>
      <c r="C70" s="144" t="s">
        <v>111</v>
      </c>
      <c r="D70" s="168" t="s">
        <v>1172</v>
      </c>
      <c r="E70" s="142"/>
      <c r="F70" s="11"/>
      <c r="G70" s="11"/>
      <c r="H70" s="11"/>
      <c r="I70" s="11"/>
      <c r="J70" s="11"/>
      <c r="K70" s="214"/>
      <c r="L70" s="224"/>
      <c r="M70" s="45">
        <f>ROUND(420.16/1000,4)</f>
        <v>0.42020000000000002</v>
      </c>
      <c r="N70" s="136">
        <v>14678788</v>
      </c>
      <c r="O70" s="136"/>
      <c r="P70" s="136">
        <v>1664534</v>
      </c>
      <c r="Q70" s="136">
        <v>455951</v>
      </c>
      <c r="R70" s="166">
        <f t="shared" si="16"/>
        <v>6168027</v>
      </c>
      <c r="S70" s="166">
        <f t="shared" si="17"/>
        <v>0</v>
      </c>
      <c r="T70" s="166">
        <f t="shared" si="18"/>
        <v>699437</v>
      </c>
      <c r="U70" s="166">
        <f t="shared" si="19"/>
        <v>191591</v>
      </c>
      <c r="V70" s="34"/>
      <c r="W70" s="34"/>
      <c r="X70" s="34"/>
      <c r="Y70" s="17" t="s">
        <v>82</v>
      </c>
      <c r="Z70" s="17" t="s">
        <v>321</v>
      </c>
    </row>
    <row r="71" spans="1:26" ht="48.95" customHeight="1" x14ac:dyDescent="0.25">
      <c r="A71" s="124">
        <v>54</v>
      </c>
      <c r="B71" s="138" t="s">
        <v>412</v>
      </c>
      <c r="C71" s="144" t="s">
        <v>640</v>
      </c>
      <c r="D71" s="168" t="s">
        <v>1172</v>
      </c>
      <c r="E71" s="142"/>
      <c r="F71" s="11"/>
      <c r="G71" s="11"/>
      <c r="H71" s="11"/>
      <c r="I71" s="11"/>
      <c r="J71" s="11"/>
      <c r="K71" s="214"/>
      <c r="L71" s="224"/>
      <c r="M71" s="45">
        <f>ROUND(12558.08/1000,4)</f>
        <v>12.5581</v>
      </c>
      <c r="N71" s="136">
        <v>14678788</v>
      </c>
      <c r="O71" s="136"/>
      <c r="P71" s="136">
        <v>1594291</v>
      </c>
      <c r="Q71" s="136">
        <v>405943</v>
      </c>
      <c r="R71" s="166">
        <f t="shared" si="16"/>
        <v>184337688</v>
      </c>
      <c r="S71" s="166">
        <f t="shared" si="17"/>
        <v>0</v>
      </c>
      <c r="T71" s="166">
        <f t="shared" si="18"/>
        <v>20021266</v>
      </c>
      <c r="U71" s="166">
        <f t="shared" si="19"/>
        <v>5097873</v>
      </c>
      <c r="V71" s="34"/>
      <c r="W71" s="34"/>
      <c r="X71" s="34"/>
      <c r="Y71" s="17" t="s">
        <v>82</v>
      </c>
      <c r="Z71" s="17" t="s">
        <v>321</v>
      </c>
    </row>
    <row r="72" spans="1:26" ht="48.95" customHeight="1" x14ac:dyDescent="0.25">
      <c r="A72" s="124">
        <v>55</v>
      </c>
      <c r="B72" s="138" t="s">
        <v>486</v>
      </c>
      <c r="C72" s="144" t="s">
        <v>74</v>
      </c>
      <c r="D72" s="168" t="s">
        <v>1172</v>
      </c>
      <c r="E72" s="142"/>
      <c r="F72" s="11"/>
      <c r="G72" s="11"/>
      <c r="H72" s="11"/>
      <c r="I72" s="11"/>
      <c r="J72" s="11"/>
      <c r="K72" s="214"/>
      <c r="L72" s="224"/>
      <c r="M72" s="45">
        <f>ROUND(1084.801/1000,4)</f>
        <v>1.0848</v>
      </c>
      <c r="N72" s="136">
        <v>15447317</v>
      </c>
      <c r="O72" s="136"/>
      <c r="P72" s="136">
        <v>8769288</v>
      </c>
      <c r="Q72" s="136">
        <v>1842565</v>
      </c>
      <c r="R72" s="166">
        <f t="shared" si="16"/>
        <v>16757249</v>
      </c>
      <c r="S72" s="166">
        <f t="shared" si="17"/>
        <v>0</v>
      </c>
      <c r="T72" s="166">
        <f t="shared" si="18"/>
        <v>9512924</v>
      </c>
      <c r="U72" s="166">
        <f t="shared" si="19"/>
        <v>1998815</v>
      </c>
      <c r="V72" s="34"/>
      <c r="W72" s="34"/>
      <c r="X72" s="34"/>
      <c r="Y72" s="17" t="s">
        <v>82</v>
      </c>
      <c r="Z72" s="17" t="s">
        <v>321</v>
      </c>
    </row>
    <row r="73" spans="1:26" ht="48.95" customHeight="1" x14ac:dyDescent="0.25">
      <c r="A73" s="124">
        <v>56</v>
      </c>
      <c r="B73" s="138" t="s">
        <v>564</v>
      </c>
      <c r="C73" s="144" t="s">
        <v>593</v>
      </c>
      <c r="D73" s="168" t="s">
        <v>836</v>
      </c>
      <c r="E73" s="142"/>
      <c r="F73" s="11"/>
      <c r="G73" s="11"/>
      <c r="H73" s="11"/>
      <c r="I73" s="11"/>
      <c r="J73" s="11"/>
      <c r="K73" s="214"/>
      <c r="L73" s="224"/>
      <c r="M73" s="45">
        <f>ROUND(414.4/100,4)</f>
        <v>4.1440000000000001</v>
      </c>
      <c r="N73" s="136">
        <v>704451</v>
      </c>
      <c r="O73" s="136"/>
      <c r="P73" s="136">
        <v>5500199</v>
      </c>
      <c r="Q73" s="136">
        <v>163602</v>
      </c>
      <c r="R73" s="166">
        <f t="shared" si="16"/>
        <v>2919245</v>
      </c>
      <c r="S73" s="166">
        <f t="shared" si="17"/>
        <v>0</v>
      </c>
      <c r="T73" s="166">
        <f t="shared" si="18"/>
        <v>22792825</v>
      </c>
      <c r="U73" s="166">
        <f t="shared" si="19"/>
        <v>677967</v>
      </c>
      <c r="V73" s="34"/>
      <c r="W73" s="34"/>
      <c r="X73" s="34"/>
      <c r="Y73" s="17" t="s">
        <v>82</v>
      </c>
      <c r="Z73" s="17" t="s">
        <v>321</v>
      </c>
    </row>
    <row r="74" spans="1:26" ht="48.95" customHeight="1" x14ac:dyDescent="0.25">
      <c r="A74" s="124">
        <v>57</v>
      </c>
      <c r="B74" s="138" t="s">
        <v>286</v>
      </c>
      <c r="C74" s="144" t="s">
        <v>775</v>
      </c>
      <c r="D74" s="168" t="s">
        <v>1172</v>
      </c>
      <c r="E74" s="142"/>
      <c r="F74" s="11"/>
      <c r="G74" s="11"/>
      <c r="H74" s="11"/>
      <c r="I74" s="11"/>
      <c r="J74" s="11"/>
      <c r="K74" s="214"/>
      <c r="L74" s="224"/>
      <c r="M74" s="45">
        <f>ROUND( 2633.92 /1000,4)</f>
        <v>2.6339000000000001</v>
      </c>
      <c r="N74" s="136">
        <v>16318605</v>
      </c>
      <c r="O74" s="136"/>
      <c r="P74" s="136">
        <v>6570684</v>
      </c>
      <c r="Q74" s="136">
        <v>1989622</v>
      </c>
      <c r="R74" s="166">
        <f t="shared" si="16"/>
        <v>42981574</v>
      </c>
      <c r="S74" s="166">
        <f t="shared" si="17"/>
        <v>0</v>
      </c>
      <c r="T74" s="166">
        <f t="shared" si="18"/>
        <v>17306525</v>
      </c>
      <c r="U74" s="166">
        <f t="shared" si="19"/>
        <v>5240465</v>
      </c>
      <c r="V74" s="34"/>
      <c r="W74" s="34"/>
      <c r="X74" s="34"/>
      <c r="Y74" s="17" t="s">
        <v>82</v>
      </c>
      <c r="Z74" s="17" t="s">
        <v>321</v>
      </c>
    </row>
    <row r="75" spans="1:26" ht="48.95" customHeight="1" x14ac:dyDescent="0.25">
      <c r="A75" s="124">
        <v>58</v>
      </c>
      <c r="B75" s="138" t="s">
        <v>701</v>
      </c>
      <c r="C75" s="144" t="s">
        <v>1161</v>
      </c>
      <c r="D75" s="168" t="s">
        <v>227</v>
      </c>
      <c r="E75" s="142"/>
      <c r="F75" s="11"/>
      <c r="G75" s="11"/>
      <c r="H75" s="11"/>
      <c r="I75" s="11"/>
      <c r="J75" s="11"/>
      <c r="K75" s="214"/>
      <c r="L75" s="224"/>
      <c r="M75" s="45">
        <f>ROUND(512/100,4)</f>
        <v>5.12</v>
      </c>
      <c r="N75" s="136">
        <v>0</v>
      </c>
      <c r="O75" s="136"/>
      <c r="P75" s="136">
        <v>1628729</v>
      </c>
      <c r="Q75" s="136">
        <v>22609136</v>
      </c>
      <c r="R75" s="166">
        <f t="shared" si="16"/>
        <v>0</v>
      </c>
      <c r="S75" s="166">
        <f t="shared" si="17"/>
        <v>0</v>
      </c>
      <c r="T75" s="166">
        <f t="shared" si="18"/>
        <v>8339092</v>
      </c>
      <c r="U75" s="166">
        <f t="shared" si="19"/>
        <v>115758776</v>
      </c>
      <c r="V75" s="34"/>
      <c r="W75" s="34"/>
      <c r="X75" s="34"/>
      <c r="Y75" s="17" t="s">
        <v>82</v>
      </c>
      <c r="Z75" s="17" t="s">
        <v>321</v>
      </c>
    </row>
    <row r="76" spans="1:26" ht="48.95" customHeight="1" x14ac:dyDescent="0.25">
      <c r="A76" s="124">
        <v>59</v>
      </c>
      <c r="B76" s="138" t="s">
        <v>177</v>
      </c>
      <c r="C76" s="144" t="s">
        <v>742</v>
      </c>
      <c r="D76" s="168" t="s">
        <v>859</v>
      </c>
      <c r="E76" s="142"/>
      <c r="F76" s="11"/>
      <c r="G76" s="11"/>
      <c r="H76" s="11"/>
      <c r="I76" s="11"/>
      <c r="J76" s="11"/>
      <c r="K76" s="214"/>
      <c r="L76" s="224"/>
      <c r="M76" s="45">
        <v>32</v>
      </c>
      <c r="N76" s="136">
        <v>82784</v>
      </c>
      <c r="O76" s="136"/>
      <c r="P76" s="136">
        <v>209385</v>
      </c>
      <c r="Q76" s="136">
        <v>62669</v>
      </c>
      <c r="R76" s="166">
        <f t="shared" si="16"/>
        <v>2649088</v>
      </c>
      <c r="S76" s="166">
        <f t="shared" si="17"/>
        <v>0</v>
      </c>
      <c r="T76" s="166">
        <f t="shared" si="18"/>
        <v>6700320</v>
      </c>
      <c r="U76" s="166">
        <f t="shared" si="19"/>
        <v>2005408</v>
      </c>
      <c r="V76" s="34"/>
      <c r="W76" s="34"/>
      <c r="X76" s="34"/>
      <c r="Y76" s="17" t="s">
        <v>82</v>
      </c>
      <c r="Z76" s="17" t="s">
        <v>321</v>
      </c>
    </row>
    <row r="77" spans="1:26" ht="48.95" customHeight="1" x14ac:dyDescent="0.25">
      <c r="A77" s="124">
        <v>60</v>
      </c>
      <c r="B77" s="138" t="s">
        <v>567</v>
      </c>
      <c r="C77" s="144" t="s">
        <v>644</v>
      </c>
      <c r="D77" s="168" t="s">
        <v>155</v>
      </c>
      <c r="E77" s="142"/>
      <c r="F77" s="11"/>
      <c r="G77" s="11"/>
      <c r="H77" s="11"/>
      <c r="I77" s="11"/>
      <c r="J77" s="11"/>
      <c r="K77" s="214"/>
      <c r="L77" s="224"/>
      <c r="M77" s="45">
        <f>ROUND(32*0.35*0.35*0.5,4)</f>
        <v>1.96</v>
      </c>
      <c r="N77" s="136">
        <v>0</v>
      </c>
      <c r="O77" s="136"/>
      <c r="P77" s="136">
        <v>186120</v>
      </c>
      <c r="Q77" s="136">
        <v>574150</v>
      </c>
      <c r="R77" s="166">
        <f t="shared" si="16"/>
        <v>0</v>
      </c>
      <c r="S77" s="166">
        <f t="shared" si="17"/>
        <v>0</v>
      </c>
      <c r="T77" s="166">
        <f t="shared" si="18"/>
        <v>364795</v>
      </c>
      <c r="U77" s="166">
        <f t="shared" si="19"/>
        <v>1125334</v>
      </c>
      <c r="V77" s="34"/>
      <c r="W77" s="34"/>
      <c r="X77" s="34"/>
      <c r="Y77" s="17" t="s">
        <v>82</v>
      </c>
      <c r="Z77" s="17" t="s">
        <v>321</v>
      </c>
    </row>
    <row r="78" spans="1:26" ht="48.95" customHeight="1" x14ac:dyDescent="0.25">
      <c r="A78" s="168"/>
      <c r="B78" s="144"/>
      <c r="C78" s="130" t="s">
        <v>394</v>
      </c>
      <c r="D78" s="168"/>
      <c r="E78" s="166"/>
      <c r="F78" s="37"/>
      <c r="G78" s="37"/>
      <c r="H78" s="37"/>
      <c r="I78" s="37"/>
      <c r="J78" s="37"/>
      <c r="K78" s="215"/>
      <c r="L78" s="223"/>
      <c r="M78" s="60"/>
      <c r="N78" s="166"/>
      <c r="O78" s="166"/>
      <c r="P78" s="166"/>
      <c r="Q78" s="166"/>
      <c r="R78" s="166"/>
      <c r="S78" s="166"/>
      <c r="T78" s="166"/>
      <c r="U78" s="166"/>
      <c r="V78" s="34"/>
      <c r="W78" s="34"/>
      <c r="X78" s="34"/>
      <c r="Y78" s="17"/>
      <c r="Z78" s="17"/>
    </row>
    <row r="79" spans="1:26" ht="48.95" customHeight="1" x14ac:dyDescent="0.25">
      <c r="A79" s="124">
        <v>61</v>
      </c>
      <c r="B79" s="138" t="s">
        <v>658</v>
      </c>
      <c r="C79" s="144" t="s">
        <v>90</v>
      </c>
      <c r="D79" s="168" t="s">
        <v>155</v>
      </c>
      <c r="E79" s="142"/>
      <c r="F79" s="11"/>
      <c r="G79" s="11"/>
      <c r="H79" s="11"/>
      <c r="I79" s="11"/>
      <c r="J79" s="11"/>
      <c r="K79" s="214"/>
      <c r="L79" s="224"/>
      <c r="M79" s="45">
        <v>27.97</v>
      </c>
      <c r="N79" s="136">
        <v>1095938</v>
      </c>
      <c r="O79" s="136"/>
      <c r="P79" s="136">
        <v>732116</v>
      </c>
      <c r="Q79" s="136">
        <v>59943</v>
      </c>
      <c r="R79" s="166">
        <f t="shared" ref="R79:R88" si="20">ROUND(M79*N79,0)</f>
        <v>30653386</v>
      </c>
      <c r="S79" s="166">
        <f t="shared" ref="S79:S88" si="21">ROUND(M79*O79,0)</f>
        <v>0</v>
      </c>
      <c r="T79" s="166">
        <f t="shared" ref="T79:T88" si="22">ROUND(M79*P79,0)</f>
        <v>20477285</v>
      </c>
      <c r="U79" s="166">
        <f t="shared" ref="U79:U88" si="23">ROUND(M79*Q79,0)</f>
        <v>1676606</v>
      </c>
      <c r="V79" s="34"/>
      <c r="W79" s="34"/>
      <c r="X79" s="34"/>
      <c r="Y79" s="17" t="s">
        <v>82</v>
      </c>
      <c r="Z79" s="17" t="s">
        <v>321</v>
      </c>
    </row>
    <row r="80" spans="1:26" ht="48.95" customHeight="1" x14ac:dyDescent="0.25">
      <c r="A80" s="124">
        <v>62</v>
      </c>
      <c r="B80" s="138" t="s">
        <v>847</v>
      </c>
      <c r="C80" s="144" t="s">
        <v>682</v>
      </c>
      <c r="D80" s="168" t="s">
        <v>1172</v>
      </c>
      <c r="E80" s="142"/>
      <c r="F80" s="11"/>
      <c r="G80" s="11"/>
      <c r="H80" s="11"/>
      <c r="I80" s="11"/>
      <c r="J80" s="11"/>
      <c r="K80" s="214"/>
      <c r="L80" s="224"/>
      <c r="M80" s="45">
        <f>ROUND(1183.04/1000,4)</f>
        <v>1.1830000000000001</v>
      </c>
      <c r="N80" s="136">
        <v>14603640</v>
      </c>
      <c r="O80" s="136"/>
      <c r="P80" s="136">
        <v>3033198</v>
      </c>
      <c r="Q80" s="136">
        <v>91218</v>
      </c>
      <c r="R80" s="166">
        <f t="shared" si="20"/>
        <v>17276106</v>
      </c>
      <c r="S80" s="166">
        <f t="shared" si="21"/>
        <v>0</v>
      </c>
      <c r="T80" s="166">
        <f t="shared" si="22"/>
        <v>3588273</v>
      </c>
      <c r="U80" s="166">
        <f t="shared" si="23"/>
        <v>107911</v>
      </c>
      <c r="V80" s="34"/>
      <c r="W80" s="34"/>
      <c r="X80" s="34"/>
      <c r="Y80" s="17" t="s">
        <v>82</v>
      </c>
      <c r="Z80" s="17" t="s">
        <v>321</v>
      </c>
    </row>
    <row r="81" spans="1:28" ht="48.95" customHeight="1" x14ac:dyDescent="0.25">
      <c r="A81" s="124">
        <v>63</v>
      </c>
      <c r="B81" s="138" t="s">
        <v>9</v>
      </c>
      <c r="C81" s="144" t="s">
        <v>111</v>
      </c>
      <c r="D81" s="168" t="s">
        <v>1172</v>
      </c>
      <c r="E81" s="142"/>
      <c r="F81" s="11"/>
      <c r="G81" s="11"/>
      <c r="H81" s="11"/>
      <c r="I81" s="11"/>
      <c r="J81" s="11"/>
      <c r="K81" s="214"/>
      <c r="L81" s="224"/>
      <c r="M81" s="45">
        <f>ROUND(228.64/1000,4)</f>
        <v>0.2286</v>
      </c>
      <c r="N81" s="136">
        <v>14678788</v>
      </c>
      <c r="O81" s="136"/>
      <c r="P81" s="136">
        <v>1664534</v>
      </c>
      <c r="Q81" s="136">
        <v>455951</v>
      </c>
      <c r="R81" s="166">
        <f t="shared" si="20"/>
        <v>3355571</v>
      </c>
      <c r="S81" s="166">
        <f t="shared" si="21"/>
        <v>0</v>
      </c>
      <c r="T81" s="166">
        <f t="shared" si="22"/>
        <v>380512</v>
      </c>
      <c r="U81" s="166">
        <f t="shared" si="23"/>
        <v>104230</v>
      </c>
      <c r="V81" s="34"/>
      <c r="W81" s="34"/>
      <c r="X81" s="34"/>
      <c r="Y81" s="17" t="s">
        <v>82</v>
      </c>
      <c r="Z81" s="17" t="s">
        <v>321</v>
      </c>
    </row>
    <row r="82" spans="1:28" ht="48.95" customHeight="1" x14ac:dyDescent="0.25">
      <c r="A82" s="124">
        <v>64</v>
      </c>
      <c r="B82" s="138" t="s">
        <v>412</v>
      </c>
      <c r="C82" s="144" t="s">
        <v>640</v>
      </c>
      <c r="D82" s="168" t="s">
        <v>1172</v>
      </c>
      <c r="E82" s="142"/>
      <c r="F82" s="11"/>
      <c r="G82" s="11"/>
      <c r="H82" s="11"/>
      <c r="I82" s="11"/>
      <c r="J82" s="11"/>
      <c r="K82" s="214"/>
      <c r="L82" s="224"/>
      <c r="M82" s="45">
        <f>ROUND(6638.88/1000,4)</f>
        <v>6.6388999999999996</v>
      </c>
      <c r="N82" s="136">
        <v>14678788</v>
      </c>
      <c r="O82" s="136"/>
      <c r="P82" s="136">
        <v>1594291</v>
      </c>
      <c r="Q82" s="136">
        <v>405943</v>
      </c>
      <c r="R82" s="166">
        <f t="shared" si="20"/>
        <v>97451006</v>
      </c>
      <c r="S82" s="166">
        <f t="shared" si="21"/>
        <v>0</v>
      </c>
      <c r="T82" s="166">
        <f t="shared" si="22"/>
        <v>10584339</v>
      </c>
      <c r="U82" s="166">
        <f t="shared" si="23"/>
        <v>2695015</v>
      </c>
      <c r="V82" s="34"/>
      <c r="W82" s="34"/>
      <c r="X82" s="34"/>
      <c r="Y82" s="17" t="s">
        <v>82</v>
      </c>
      <c r="Z82" s="17" t="s">
        <v>321</v>
      </c>
    </row>
    <row r="83" spans="1:28" ht="48.95" customHeight="1" x14ac:dyDescent="0.25">
      <c r="A83" s="124">
        <v>65</v>
      </c>
      <c r="B83" s="138" t="s">
        <v>486</v>
      </c>
      <c r="C83" s="144" t="s">
        <v>74</v>
      </c>
      <c r="D83" s="168" t="s">
        <v>1172</v>
      </c>
      <c r="E83" s="142"/>
      <c r="F83" s="11"/>
      <c r="G83" s="11"/>
      <c r="H83" s="11"/>
      <c r="I83" s="11"/>
      <c r="J83" s="11"/>
      <c r="K83" s="214"/>
      <c r="L83" s="224"/>
      <c r="M83" s="45">
        <f>ROUND(512.32/1000,4)</f>
        <v>0.51229999999999998</v>
      </c>
      <c r="N83" s="136">
        <v>15447317</v>
      </c>
      <c r="O83" s="136"/>
      <c r="P83" s="136">
        <v>8769288</v>
      </c>
      <c r="Q83" s="136">
        <v>1842565</v>
      </c>
      <c r="R83" s="166">
        <f t="shared" si="20"/>
        <v>7913660</v>
      </c>
      <c r="S83" s="166">
        <f t="shared" si="21"/>
        <v>0</v>
      </c>
      <c r="T83" s="166">
        <f t="shared" si="22"/>
        <v>4492506</v>
      </c>
      <c r="U83" s="166">
        <f t="shared" si="23"/>
        <v>943946</v>
      </c>
      <c r="V83" s="34"/>
      <c r="W83" s="34"/>
      <c r="X83" s="34"/>
      <c r="Y83" s="17" t="s">
        <v>82</v>
      </c>
      <c r="Z83" s="17" t="s">
        <v>321</v>
      </c>
    </row>
    <row r="84" spans="1:28" ht="48.95" customHeight="1" x14ac:dyDescent="0.25">
      <c r="A84" s="124">
        <v>66</v>
      </c>
      <c r="B84" s="138" t="s">
        <v>564</v>
      </c>
      <c r="C84" s="144" t="s">
        <v>593</v>
      </c>
      <c r="D84" s="168" t="s">
        <v>836</v>
      </c>
      <c r="E84" s="142"/>
      <c r="F84" s="11"/>
      <c r="G84" s="11"/>
      <c r="H84" s="11"/>
      <c r="I84" s="11"/>
      <c r="J84" s="11"/>
      <c r="K84" s="214"/>
      <c r="L84" s="224"/>
      <c r="M84" s="45">
        <f>ROUND(187.52/100,4)</f>
        <v>1.8752</v>
      </c>
      <c r="N84" s="136">
        <v>704451</v>
      </c>
      <c r="O84" s="136"/>
      <c r="P84" s="136">
        <v>5500199</v>
      </c>
      <c r="Q84" s="136">
        <v>163602</v>
      </c>
      <c r="R84" s="166">
        <f t="shared" si="20"/>
        <v>1320987</v>
      </c>
      <c r="S84" s="166">
        <f t="shared" si="21"/>
        <v>0</v>
      </c>
      <c r="T84" s="166">
        <f t="shared" si="22"/>
        <v>10313973</v>
      </c>
      <c r="U84" s="166">
        <f t="shared" si="23"/>
        <v>306786</v>
      </c>
      <c r="V84" s="34"/>
      <c r="W84" s="34"/>
      <c r="X84" s="34"/>
      <c r="Y84" s="17" t="s">
        <v>82</v>
      </c>
      <c r="Z84" s="17" t="s">
        <v>321</v>
      </c>
    </row>
    <row r="85" spans="1:28" ht="48.95" customHeight="1" x14ac:dyDescent="0.25">
      <c r="A85" s="124">
        <v>67</v>
      </c>
      <c r="B85" s="138" t="s">
        <v>286</v>
      </c>
      <c r="C85" s="144" t="s">
        <v>775</v>
      </c>
      <c r="D85" s="168" t="s">
        <v>1172</v>
      </c>
      <c r="E85" s="142"/>
      <c r="F85" s="11"/>
      <c r="G85" s="11"/>
      <c r="H85" s="11"/>
      <c r="I85" s="11"/>
      <c r="J85" s="11"/>
      <c r="K85" s="214"/>
      <c r="L85" s="224"/>
      <c r="M85" s="45">
        <f>ROUND( 1145.6/1000,4)</f>
        <v>1.1456</v>
      </c>
      <c r="N85" s="136">
        <v>16318605</v>
      </c>
      <c r="O85" s="136"/>
      <c r="P85" s="136">
        <v>6570684</v>
      </c>
      <c r="Q85" s="136">
        <v>1989622</v>
      </c>
      <c r="R85" s="166">
        <f t="shared" si="20"/>
        <v>18694594</v>
      </c>
      <c r="S85" s="166">
        <f t="shared" si="21"/>
        <v>0</v>
      </c>
      <c r="T85" s="166">
        <f t="shared" si="22"/>
        <v>7527376</v>
      </c>
      <c r="U85" s="166">
        <f t="shared" si="23"/>
        <v>2279311</v>
      </c>
      <c r="V85" s="34"/>
      <c r="W85" s="34"/>
      <c r="X85" s="34"/>
      <c r="Y85" s="17" t="s">
        <v>82</v>
      </c>
      <c r="Z85" s="17" t="s">
        <v>321</v>
      </c>
    </row>
    <row r="86" spans="1:28" ht="48.95" customHeight="1" x14ac:dyDescent="0.25">
      <c r="A86" s="124">
        <v>68</v>
      </c>
      <c r="B86" s="138" t="s">
        <v>315</v>
      </c>
      <c r="C86" s="144" t="s">
        <v>1080</v>
      </c>
      <c r="D86" s="168" t="s">
        <v>227</v>
      </c>
      <c r="E86" s="142"/>
      <c r="F86" s="11"/>
      <c r="G86" s="11"/>
      <c r="H86" s="11"/>
      <c r="I86" s="11"/>
      <c r="J86" s="11"/>
      <c r="K86" s="214"/>
      <c r="L86" s="224"/>
      <c r="M86" s="45">
        <f>ROUND(288/100,4)</f>
        <v>2.88</v>
      </c>
      <c r="N86" s="136">
        <v>0</v>
      </c>
      <c r="O86" s="136"/>
      <c r="P86" s="136">
        <v>1468251</v>
      </c>
      <c r="Q86" s="136">
        <v>20341990</v>
      </c>
      <c r="R86" s="166">
        <f t="shared" si="20"/>
        <v>0</v>
      </c>
      <c r="S86" s="166">
        <f t="shared" si="21"/>
        <v>0</v>
      </c>
      <c r="T86" s="166">
        <f t="shared" si="22"/>
        <v>4228563</v>
      </c>
      <c r="U86" s="166">
        <f t="shared" si="23"/>
        <v>58584931</v>
      </c>
      <c r="V86" s="34"/>
      <c r="W86" s="34"/>
      <c r="X86" s="34"/>
      <c r="Y86" s="17" t="s">
        <v>82</v>
      </c>
      <c r="Z86" s="17" t="s">
        <v>321</v>
      </c>
    </row>
    <row r="87" spans="1:28" ht="48.95" customHeight="1" x14ac:dyDescent="0.25">
      <c r="A87" s="124">
        <v>69</v>
      </c>
      <c r="B87" s="52" t="s">
        <v>208</v>
      </c>
      <c r="C87" s="144" t="s">
        <v>481</v>
      </c>
      <c r="D87" s="168" t="s">
        <v>859</v>
      </c>
      <c r="E87" s="142"/>
      <c r="F87" s="11"/>
      <c r="G87" s="11"/>
      <c r="H87" s="11"/>
      <c r="I87" s="11"/>
      <c r="J87" s="11"/>
      <c r="K87" s="214"/>
      <c r="L87" s="224"/>
      <c r="M87" s="45">
        <v>8</v>
      </c>
      <c r="N87" s="136">
        <v>41884</v>
      </c>
      <c r="O87" s="136"/>
      <c r="P87" s="136">
        <v>199045</v>
      </c>
      <c r="Q87" s="136">
        <v>52224</v>
      </c>
      <c r="R87" s="166">
        <f t="shared" si="20"/>
        <v>335072</v>
      </c>
      <c r="S87" s="166">
        <f t="shared" si="21"/>
        <v>0</v>
      </c>
      <c r="T87" s="166">
        <f t="shared" si="22"/>
        <v>1592360</v>
      </c>
      <c r="U87" s="166">
        <f t="shared" si="23"/>
        <v>417792</v>
      </c>
      <c r="V87" s="34"/>
      <c r="W87" s="34"/>
      <c r="X87" s="34"/>
      <c r="Y87" s="17" t="s">
        <v>82</v>
      </c>
      <c r="Z87" s="17" t="s">
        <v>321</v>
      </c>
    </row>
    <row r="88" spans="1:28" ht="48.95" customHeight="1" x14ac:dyDescent="0.25">
      <c r="A88" s="124">
        <v>70</v>
      </c>
      <c r="B88" s="138" t="s">
        <v>567</v>
      </c>
      <c r="C88" s="144" t="s">
        <v>644</v>
      </c>
      <c r="D88" s="168" t="s">
        <v>155</v>
      </c>
      <c r="E88" s="142"/>
      <c r="F88" s="11"/>
      <c r="G88" s="11"/>
      <c r="H88" s="11"/>
      <c r="I88" s="11"/>
      <c r="J88" s="11"/>
      <c r="K88" s="214"/>
      <c r="L88" s="224"/>
      <c r="M88" s="45">
        <v>0.57999999999999996</v>
      </c>
      <c r="N88" s="136">
        <v>0</v>
      </c>
      <c r="O88" s="136"/>
      <c r="P88" s="136">
        <v>186120</v>
      </c>
      <c r="Q88" s="136">
        <v>574150</v>
      </c>
      <c r="R88" s="166">
        <f t="shared" si="20"/>
        <v>0</v>
      </c>
      <c r="S88" s="166">
        <f t="shared" si="21"/>
        <v>0</v>
      </c>
      <c r="T88" s="166">
        <f t="shared" si="22"/>
        <v>107950</v>
      </c>
      <c r="U88" s="166">
        <f t="shared" si="23"/>
        <v>333007</v>
      </c>
      <c r="V88" s="34"/>
      <c r="W88" s="34"/>
      <c r="X88" s="34"/>
      <c r="Y88" s="17" t="s">
        <v>82</v>
      </c>
      <c r="Z88" s="17" t="s">
        <v>321</v>
      </c>
    </row>
    <row r="89" spans="1:28" ht="48.95" customHeight="1" x14ac:dyDescent="0.25">
      <c r="A89" s="168"/>
      <c r="B89" s="144"/>
      <c r="C89" s="183" t="s">
        <v>1200</v>
      </c>
      <c r="D89" s="168"/>
      <c r="E89" s="166"/>
      <c r="F89" s="37"/>
      <c r="G89" s="37"/>
      <c r="H89" s="37"/>
      <c r="I89" s="37"/>
      <c r="J89" s="37"/>
      <c r="K89" s="215"/>
      <c r="L89" s="223"/>
      <c r="M89" s="60"/>
      <c r="N89" s="166"/>
      <c r="O89" s="166"/>
      <c r="P89" s="166"/>
      <c r="Q89" s="166"/>
      <c r="R89" s="166"/>
      <c r="S89" s="166"/>
      <c r="T89" s="166"/>
      <c r="U89" s="166"/>
      <c r="V89" s="34"/>
      <c r="W89" s="34"/>
      <c r="X89" s="34"/>
      <c r="Y89" s="17"/>
      <c r="Z89" s="17"/>
    </row>
    <row r="90" spans="1:28" s="209" customFormat="1" ht="48.95" customHeight="1" x14ac:dyDescent="0.25">
      <c r="A90" s="199">
        <v>71</v>
      </c>
      <c r="B90" s="200" t="s">
        <v>658</v>
      </c>
      <c r="C90" s="201" t="s">
        <v>90</v>
      </c>
      <c r="D90" s="202" t="s">
        <v>155</v>
      </c>
      <c r="E90" s="203"/>
      <c r="F90" s="204"/>
      <c r="G90" s="204"/>
      <c r="H90" s="204"/>
      <c r="I90" s="204"/>
      <c r="J90" s="204"/>
      <c r="K90" s="216"/>
      <c r="L90" s="226"/>
      <c r="M90" s="205">
        <v>22.3674</v>
      </c>
      <c r="N90" s="206">
        <v>1149260</v>
      </c>
      <c r="O90" s="206"/>
      <c r="P90" s="206">
        <v>732116</v>
      </c>
      <c r="Q90" s="206">
        <v>59943</v>
      </c>
      <c r="R90" s="207">
        <f t="shared" ref="R90:R99" si="24">ROUND(M90*N90,0)</f>
        <v>25705958</v>
      </c>
      <c r="S90" s="207">
        <f t="shared" ref="S90:S99" si="25">ROUND(M90*O90,0)</f>
        <v>0</v>
      </c>
      <c r="T90" s="207">
        <f t="shared" ref="T90:T99" si="26">ROUND(M90*P90,0)</f>
        <v>16375531</v>
      </c>
      <c r="U90" s="207">
        <f t="shared" ref="U90:U99" si="27">ROUND(M90*Q90,0)</f>
        <v>1340769</v>
      </c>
      <c r="V90" s="69"/>
      <c r="W90" s="69"/>
      <c r="X90" s="69"/>
      <c r="Y90" s="208" t="s">
        <v>82</v>
      </c>
      <c r="Z90" s="208" t="s">
        <v>321</v>
      </c>
      <c r="AB90" s="210">
        <f>SUM(N90:Q90)</f>
        <v>1941319</v>
      </c>
    </row>
    <row r="91" spans="1:28" ht="48.95" customHeight="1" x14ac:dyDescent="0.25">
      <c r="A91" s="124">
        <v>72</v>
      </c>
      <c r="B91" s="138" t="s">
        <v>847</v>
      </c>
      <c r="C91" s="144" t="s">
        <v>682</v>
      </c>
      <c r="D91" s="168" t="s">
        <v>1172</v>
      </c>
      <c r="E91" s="142"/>
      <c r="F91" s="11"/>
      <c r="G91" s="11"/>
      <c r="H91" s="11"/>
      <c r="I91" s="11"/>
      <c r="J91" s="11"/>
      <c r="K91" s="214"/>
      <c r="L91" s="224"/>
      <c r="M91" s="45">
        <v>0.66349999999999998</v>
      </c>
      <c r="N91" s="136">
        <v>14648865</v>
      </c>
      <c r="O91" s="136"/>
      <c r="P91" s="136">
        <v>3033198</v>
      </c>
      <c r="Q91" s="136">
        <v>91218</v>
      </c>
      <c r="R91" s="166">
        <f t="shared" si="24"/>
        <v>9719522</v>
      </c>
      <c r="S91" s="166">
        <f t="shared" si="25"/>
        <v>0</v>
      </c>
      <c r="T91" s="166">
        <f t="shared" si="26"/>
        <v>2012527</v>
      </c>
      <c r="U91" s="166">
        <f t="shared" si="27"/>
        <v>60523</v>
      </c>
      <c r="V91" s="34"/>
      <c r="W91" s="34"/>
      <c r="X91" s="34"/>
      <c r="Y91" s="17" t="s">
        <v>82</v>
      </c>
      <c r="Z91" s="17" t="s">
        <v>321</v>
      </c>
      <c r="AB91" s="210">
        <f t="shared" ref="AB91:AB99" si="28">SUM(N91:Q91)</f>
        <v>17773281</v>
      </c>
    </row>
    <row r="92" spans="1:28" ht="48.95" customHeight="1" x14ac:dyDescent="0.25">
      <c r="A92" s="124">
        <v>73</v>
      </c>
      <c r="B92" s="138" t="s">
        <v>9</v>
      </c>
      <c r="C92" s="144" t="s">
        <v>111</v>
      </c>
      <c r="D92" s="168" t="s">
        <v>1172</v>
      </c>
      <c r="E92" s="142"/>
      <c r="F92" s="11"/>
      <c r="G92" s="11"/>
      <c r="H92" s="11"/>
      <c r="I92" s="11"/>
      <c r="J92" s="11"/>
      <c r="K92" s="214"/>
      <c r="L92" s="224"/>
      <c r="M92" s="45"/>
      <c r="N92" s="136">
        <v>14724688</v>
      </c>
      <c r="O92" s="136"/>
      <c r="P92" s="136">
        <v>1664534</v>
      </c>
      <c r="Q92" s="136">
        <v>455951</v>
      </c>
      <c r="R92" s="166">
        <f t="shared" si="24"/>
        <v>0</v>
      </c>
      <c r="S92" s="166">
        <f t="shared" si="25"/>
        <v>0</v>
      </c>
      <c r="T92" s="166">
        <f t="shared" si="26"/>
        <v>0</v>
      </c>
      <c r="U92" s="166">
        <f t="shared" si="27"/>
        <v>0</v>
      </c>
      <c r="V92" s="34"/>
      <c r="W92" s="34"/>
      <c r="X92" s="34"/>
      <c r="Y92" s="17" t="s">
        <v>82</v>
      </c>
      <c r="Z92" s="17" t="s">
        <v>321</v>
      </c>
      <c r="AB92" s="210">
        <f t="shared" si="28"/>
        <v>16845173</v>
      </c>
    </row>
    <row r="93" spans="1:28" ht="48.95" customHeight="1" x14ac:dyDescent="0.25">
      <c r="A93" s="124">
        <v>74</v>
      </c>
      <c r="B93" s="138" t="s">
        <v>412</v>
      </c>
      <c r="C93" s="144" t="s">
        <v>640</v>
      </c>
      <c r="D93" s="168" t="s">
        <v>1172</v>
      </c>
      <c r="E93" s="142"/>
      <c r="F93" s="11"/>
      <c r="G93" s="11"/>
      <c r="H93" s="11"/>
      <c r="I93" s="11"/>
      <c r="J93" s="11"/>
      <c r="K93" s="214"/>
      <c r="L93" s="224"/>
      <c r="M93" s="45">
        <v>4.4622999999999999</v>
      </c>
      <c r="N93" s="136">
        <v>14724688</v>
      </c>
      <c r="O93" s="136"/>
      <c r="P93" s="136">
        <v>1594291</v>
      </c>
      <c r="Q93" s="136">
        <v>405943</v>
      </c>
      <c r="R93" s="166">
        <f t="shared" si="24"/>
        <v>65705975</v>
      </c>
      <c r="S93" s="166">
        <f t="shared" si="25"/>
        <v>0</v>
      </c>
      <c r="T93" s="166">
        <f t="shared" si="26"/>
        <v>7114205</v>
      </c>
      <c r="U93" s="166">
        <f t="shared" si="27"/>
        <v>1811439</v>
      </c>
      <c r="V93" s="34"/>
      <c r="W93" s="34"/>
      <c r="X93" s="34"/>
      <c r="Y93" s="17" t="s">
        <v>82</v>
      </c>
      <c r="Z93" s="17" t="s">
        <v>321</v>
      </c>
      <c r="AB93" s="210">
        <f t="shared" si="28"/>
        <v>16724922</v>
      </c>
    </row>
    <row r="94" spans="1:28" ht="48.95" customHeight="1" x14ac:dyDescent="0.25">
      <c r="A94" s="124">
        <v>75</v>
      </c>
      <c r="B94" s="138" t="s">
        <v>486</v>
      </c>
      <c r="C94" s="144" t="s">
        <v>74</v>
      </c>
      <c r="D94" s="168" t="s">
        <v>1172</v>
      </c>
      <c r="E94" s="142"/>
      <c r="F94" s="11"/>
      <c r="G94" s="11"/>
      <c r="H94" s="11"/>
      <c r="I94" s="11"/>
      <c r="J94" s="11"/>
      <c r="K94" s="214"/>
      <c r="L94" s="224"/>
      <c r="M94" s="45">
        <v>0.2177</v>
      </c>
      <c r="N94" s="136">
        <v>15538668</v>
      </c>
      <c r="O94" s="136"/>
      <c r="P94" s="136">
        <v>8769288</v>
      </c>
      <c r="Q94" s="136">
        <v>1842565</v>
      </c>
      <c r="R94" s="166">
        <f t="shared" si="24"/>
        <v>3382768</v>
      </c>
      <c r="S94" s="166">
        <f t="shared" si="25"/>
        <v>0</v>
      </c>
      <c r="T94" s="166">
        <f t="shared" si="26"/>
        <v>1909074</v>
      </c>
      <c r="U94" s="166">
        <f t="shared" si="27"/>
        <v>401126</v>
      </c>
      <c r="V94" s="34"/>
      <c r="W94" s="34"/>
      <c r="X94" s="34"/>
      <c r="Y94" s="17" t="s">
        <v>82</v>
      </c>
      <c r="Z94" s="17" t="s">
        <v>321</v>
      </c>
      <c r="AB94" s="210">
        <f t="shared" si="28"/>
        <v>26150521</v>
      </c>
    </row>
    <row r="95" spans="1:28" ht="48.95" customHeight="1" x14ac:dyDescent="0.25">
      <c r="A95" s="124">
        <v>76</v>
      </c>
      <c r="B95" s="138" t="s">
        <v>564</v>
      </c>
      <c r="C95" s="144" t="s">
        <v>593</v>
      </c>
      <c r="D95" s="168" t="s">
        <v>836</v>
      </c>
      <c r="E95" s="142"/>
      <c r="F95" s="11"/>
      <c r="G95" s="11"/>
      <c r="H95" s="11"/>
      <c r="I95" s="11"/>
      <c r="J95" s="11"/>
      <c r="K95" s="214"/>
      <c r="L95" s="224"/>
      <c r="M95" s="45">
        <v>0.63</v>
      </c>
      <c r="N95" s="136">
        <v>708483</v>
      </c>
      <c r="O95" s="136"/>
      <c r="P95" s="136">
        <v>5500199</v>
      </c>
      <c r="Q95" s="136">
        <v>163602</v>
      </c>
      <c r="R95" s="166">
        <f t="shared" si="24"/>
        <v>446344</v>
      </c>
      <c r="S95" s="166">
        <f t="shared" si="25"/>
        <v>0</v>
      </c>
      <c r="T95" s="166">
        <f t="shared" si="26"/>
        <v>3465125</v>
      </c>
      <c r="U95" s="166">
        <f t="shared" si="27"/>
        <v>103069</v>
      </c>
      <c r="V95" s="34"/>
      <c r="W95" s="34"/>
      <c r="X95" s="34"/>
      <c r="Y95" s="17" t="s">
        <v>82</v>
      </c>
      <c r="Z95" s="17" t="s">
        <v>321</v>
      </c>
      <c r="AB95" s="210">
        <f t="shared" si="28"/>
        <v>6372284</v>
      </c>
    </row>
    <row r="96" spans="1:28" ht="48.95" customHeight="1" x14ac:dyDescent="0.25">
      <c r="A96" s="124">
        <v>77</v>
      </c>
      <c r="B96" s="138" t="s">
        <v>286</v>
      </c>
      <c r="C96" s="144" t="s">
        <v>965</v>
      </c>
      <c r="D96" s="168" t="s">
        <v>1172</v>
      </c>
      <c r="E96" s="142"/>
      <c r="F96" s="11"/>
      <c r="G96" s="11"/>
      <c r="H96" s="11"/>
      <c r="I96" s="11"/>
      <c r="J96" s="11"/>
      <c r="K96" s="214"/>
      <c r="L96" s="224"/>
      <c r="M96" s="45">
        <v>0.87609999999999999</v>
      </c>
      <c r="N96" s="136">
        <v>16379040</v>
      </c>
      <c r="O96" s="136"/>
      <c r="P96" s="136">
        <v>6570684</v>
      </c>
      <c r="Q96" s="136">
        <v>1989622</v>
      </c>
      <c r="R96" s="166">
        <f t="shared" si="24"/>
        <v>14349677</v>
      </c>
      <c r="S96" s="166">
        <f t="shared" si="25"/>
        <v>0</v>
      </c>
      <c r="T96" s="166">
        <f t="shared" si="26"/>
        <v>5756576</v>
      </c>
      <c r="U96" s="166">
        <f t="shared" si="27"/>
        <v>1743108</v>
      </c>
      <c r="V96" s="34"/>
      <c r="W96" s="34"/>
      <c r="X96" s="34"/>
      <c r="Y96" s="17" t="s">
        <v>82</v>
      </c>
      <c r="Z96" s="17" t="s">
        <v>321</v>
      </c>
      <c r="AB96" s="210">
        <f t="shared" si="28"/>
        <v>24939346</v>
      </c>
    </row>
    <row r="97" spans="1:28" ht="48.95" customHeight="1" x14ac:dyDescent="0.25">
      <c r="A97" s="124">
        <v>78</v>
      </c>
      <c r="B97" s="138" t="s">
        <v>701</v>
      </c>
      <c r="C97" s="144" t="s">
        <v>1161</v>
      </c>
      <c r="D97" s="168" t="s">
        <v>227</v>
      </c>
      <c r="E97" s="142"/>
      <c r="F97" s="11"/>
      <c r="G97" s="11"/>
      <c r="H97" s="11"/>
      <c r="I97" s="11"/>
      <c r="J97" s="11"/>
      <c r="K97" s="214"/>
      <c r="L97" s="224"/>
      <c r="M97" s="45">
        <v>1.8</v>
      </c>
      <c r="N97" s="136">
        <v>0</v>
      </c>
      <c r="O97" s="136"/>
      <c r="P97" s="136">
        <v>1628729</v>
      </c>
      <c r="Q97" s="136">
        <v>22609136</v>
      </c>
      <c r="R97" s="166">
        <f t="shared" si="24"/>
        <v>0</v>
      </c>
      <c r="S97" s="166">
        <f t="shared" si="25"/>
        <v>0</v>
      </c>
      <c r="T97" s="166">
        <f t="shared" si="26"/>
        <v>2931712</v>
      </c>
      <c r="U97" s="166">
        <f t="shared" si="27"/>
        <v>40696445</v>
      </c>
      <c r="V97" s="34"/>
      <c r="W97" s="34"/>
      <c r="X97" s="34"/>
      <c r="Y97" s="17" t="s">
        <v>82</v>
      </c>
      <c r="Z97" s="17" t="s">
        <v>321</v>
      </c>
      <c r="AB97" s="210">
        <f t="shared" si="28"/>
        <v>24237865</v>
      </c>
    </row>
    <row r="98" spans="1:28" ht="48.95" customHeight="1" x14ac:dyDescent="0.25">
      <c r="A98" s="124">
        <v>79</v>
      </c>
      <c r="B98" s="138" t="s">
        <v>177</v>
      </c>
      <c r="C98" s="144" t="s">
        <v>742</v>
      </c>
      <c r="D98" s="168" t="s">
        <v>859</v>
      </c>
      <c r="E98" s="142"/>
      <c r="F98" s="11"/>
      <c r="G98" s="11"/>
      <c r="H98" s="11"/>
      <c r="I98" s="11"/>
      <c r="J98" s="11"/>
      <c r="K98" s="214"/>
      <c r="L98" s="224"/>
      <c r="M98" s="45">
        <v>12</v>
      </c>
      <c r="N98" s="136">
        <v>82784</v>
      </c>
      <c r="O98" s="136"/>
      <c r="P98" s="136">
        <v>209385</v>
      </c>
      <c r="Q98" s="136">
        <v>62669</v>
      </c>
      <c r="R98" s="166">
        <f t="shared" si="24"/>
        <v>993408</v>
      </c>
      <c r="S98" s="166">
        <f t="shared" si="25"/>
        <v>0</v>
      </c>
      <c r="T98" s="166">
        <f t="shared" si="26"/>
        <v>2512620</v>
      </c>
      <c r="U98" s="166">
        <f t="shared" si="27"/>
        <v>752028</v>
      </c>
      <c r="V98" s="34"/>
      <c r="W98" s="34"/>
      <c r="X98" s="34"/>
      <c r="Y98" s="17" t="s">
        <v>82</v>
      </c>
      <c r="Z98" s="17" t="s">
        <v>321</v>
      </c>
      <c r="AB98" s="210">
        <f t="shared" si="28"/>
        <v>354838</v>
      </c>
    </row>
    <row r="99" spans="1:28" ht="48.95" customHeight="1" x14ac:dyDescent="0.25">
      <c r="A99" s="124">
        <v>80</v>
      </c>
      <c r="B99" s="138" t="s">
        <v>1207</v>
      </c>
      <c r="C99" s="144" t="s">
        <v>1201</v>
      </c>
      <c r="D99" s="168" t="s">
        <v>155</v>
      </c>
      <c r="E99" s="142"/>
      <c r="F99" s="11"/>
      <c r="G99" s="11"/>
      <c r="H99" s="11"/>
      <c r="I99" s="11"/>
      <c r="J99" s="11"/>
      <c r="K99" s="214"/>
      <c r="L99" s="224"/>
      <c r="M99" s="45">
        <v>0.73499999999999999</v>
      </c>
      <c r="N99" s="136">
        <v>0</v>
      </c>
      <c r="O99" s="136"/>
      <c r="P99" s="136">
        <v>271425</v>
      </c>
      <c r="Q99" s="136">
        <v>813234</v>
      </c>
      <c r="R99" s="166">
        <f t="shared" si="24"/>
        <v>0</v>
      </c>
      <c r="S99" s="166">
        <f t="shared" si="25"/>
        <v>0</v>
      </c>
      <c r="T99" s="166">
        <f t="shared" si="26"/>
        <v>199497</v>
      </c>
      <c r="U99" s="166">
        <f t="shared" si="27"/>
        <v>597727</v>
      </c>
      <c r="V99" s="34"/>
      <c r="W99" s="34"/>
      <c r="X99" s="34"/>
      <c r="Y99" s="17" t="s">
        <v>82</v>
      </c>
      <c r="Z99" s="17" t="s">
        <v>321</v>
      </c>
      <c r="AB99" s="210">
        <f t="shared" si="28"/>
        <v>1084659</v>
      </c>
    </row>
    <row r="100" spans="1:28" ht="48.95" customHeight="1" x14ac:dyDescent="0.25">
      <c r="A100" s="168"/>
      <c r="B100" s="144"/>
      <c r="C100" s="130" t="s">
        <v>470</v>
      </c>
      <c r="D100" s="168"/>
      <c r="E100" s="166"/>
      <c r="F100" s="37"/>
      <c r="G100" s="37"/>
      <c r="H100" s="37"/>
      <c r="I100" s="37"/>
      <c r="J100" s="37"/>
      <c r="K100" s="215"/>
      <c r="L100" s="223"/>
      <c r="M100" s="60"/>
      <c r="N100" s="166"/>
      <c r="O100" s="166"/>
      <c r="P100" s="166"/>
      <c r="Q100" s="166"/>
      <c r="R100" s="166"/>
      <c r="S100" s="166"/>
      <c r="T100" s="166"/>
      <c r="U100" s="166"/>
      <c r="V100" s="34"/>
      <c r="W100" s="34"/>
      <c r="X100" s="34"/>
      <c r="Y100" s="17"/>
      <c r="Z100" s="17"/>
    </row>
    <row r="101" spans="1:28" ht="48.95" customHeight="1" x14ac:dyDescent="0.25">
      <c r="A101" s="168"/>
      <c r="B101" s="144"/>
      <c r="C101" s="130" t="s">
        <v>200</v>
      </c>
      <c r="D101" s="168"/>
      <c r="E101" s="166"/>
      <c r="F101" s="37"/>
      <c r="G101" s="37"/>
      <c r="H101" s="37"/>
      <c r="I101" s="37"/>
      <c r="J101" s="37"/>
      <c r="K101" s="215"/>
      <c r="L101" s="223"/>
      <c r="M101" s="60"/>
      <c r="N101" s="166"/>
      <c r="O101" s="166"/>
      <c r="P101" s="166"/>
      <c r="Q101" s="166"/>
      <c r="R101" s="166"/>
      <c r="S101" s="166"/>
      <c r="T101" s="166"/>
      <c r="U101" s="166"/>
      <c r="V101" s="34"/>
      <c r="W101" s="34"/>
      <c r="X101" s="34"/>
      <c r="Y101" s="17"/>
      <c r="Z101" s="17"/>
    </row>
    <row r="102" spans="1:28" ht="48.95" customHeight="1" x14ac:dyDescent="0.25">
      <c r="A102" s="124">
        <v>81</v>
      </c>
      <c r="B102" s="52" t="s">
        <v>1039</v>
      </c>
      <c r="C102" s="144" t="s">
        <v>1113</v>
      </c>
      <c r="D102" s="168" t="s">
        <v>793</v>
      </c>
      <c r="E102" s="142"/>
      <c r="F102" s="11"/>
      <c r="G102" s="11"/>
      <c r="H102" s="11"/>
      <c r="I102" s="11"/>
      <c r="J102" s="11"/>
      <c r="K102" s="214"/>
      <c r="L102" s="224"/>
      <c r="M102" s="45">
        <f>ROUND(995/100,4)</f>
        <v>9.9499999999999993</v>
      </c>
      <c r="N102" s="136"/>
      <c r="O102" s="136"/>
      <c r="P102" s="136">
        <v>144471</v>
      </c>
      <c r="Q102" s="136">
        <v>465532</v>
      </c>
      <c r="R102" s="166">
        <f>ROUND(M102*N102,0)</f>
        <v>0</v>
      </c>
      <c r="S102" s="166">
        <f>ROUND(M102*O102,0)</f>
        <v>0</v>
      </c>
      <c r="T102" s="166">
        <f>ROUND(M102*P102,0)</f>
        <v>1437486</v>
      </c>
      <c r="U102" s="166">
        <f>ROUND(M102*Q102,0)</f>
        <v>4632043</v>
      </c>
      <c r="V102" s="34"/>
      <c r="W102" s="34"/>
      <c r="X102" s="34"/>
      <c r="Y102" s="17" t="s">
        <v>82</v>
      </c>
      <c r="Z102" s="17" t="s">
        <v>321</v>
      </c>
    </row>
    <row r="103" spans="1:28" ht="48.95" customHeight="1" x14ac:dyDescent="0.25">
      <c r="A103" s="124">
        <v>82</v>
      </c>
      <c r="B103" s="138" t="s">
        <v>361</v>
      </c>
      <c r="C103" s="144" t="s">
        <v>1146</v>
      </c>
      <c r="D103" s="168" t="s">
        <v>155</v>
      </c>
      <c r="E103" s="142"/>
      <c r="F103" s="11"/>
      <c r="G103" s="11"/>
      <c r="H103" s="11"/>
      <c r="I103" s="11"/>
      <c r="J103" s="11"/>
      <c r="K103" s="214"/>
      <c r="L103" s="224"/>
      <c r="M103" s="45">
        <v>103</v>
      </c>
      <c r="N103" s="136">
        <v>819664</v>
      </c>
      <c r="O103" s="136"/>
      <c r="P103" s="136">
        <v>230373</v>
      </c>
      <c r="Q103" s="136">
        <v>47209</v>
      </c>
      <c r="R103" s="166">
        <f>ROUND(M103*N103,0)</f>
        <v>84425392</v>
      </c>
      <c r="S103" s="166">
        <f>ROUND(M103*O103,0)</f>
        <v>0</v>
      </c>
      <c r="T103" s="166">
        <f>ROUND(M103*P103,0)</f>
        <v>23728419</v>
      </c>
      <c r="U103" s="166">
        <f>ROUND(M103*Q103,0)</f>
        <v>4862527</v>
      </c>
      <c r="V103" s="34"/>
      <c r="W103" s="34"/>
      <c r="X103" s="34"/>
      <c r="Y103" s="17" t="s">
        <v>82</v>
      </c>
      <c r="Z103" s="17" t="s">
        <v>321</v>
      </c>
    </row>
    <row r="104" spans="1:28" ht="48.95" customHeight="1" x14ac:dyDescent="0.25">
      <c r="A104" s="124">
        <v>83</v>
      </c>
      <c r="B104" s="138" t="s">
        <v>715</v>
      </c>
      <c r="C104" s="144" t="s">
        <v>282</v>
      </c>
      <c r="D104" s="168" t="s">
        <v>793</v>
      </c>
      <c r="E104" s="142"/>
      <c r="F104" s="11"/>
      <c r="G104" s="11"/>
      <c r="H104" s="11"/>
      <c r="I104" s="11"/>
      <c r="J104" s="11"/>
      <c r="K104" s="214"/>
      <c r="L104" s="224"/>
      <c r="M104" s="45">
        <v>0.7</v>
      </c>
      <c r="N104" s="136">
        <v>29093244</v>
      </c>
      <c r="O104" s="136"/>
      <c r="P104" s="136">
        <v>1008150</v>
      </c>
      <c r="Q104" s="136">
        <v>2681964</v>
      </c>
      <c r="R104" s="166">
        <f>ROUND(M104*N104,0)</f>
        <v>20365271</v>
      </c>
      <c r="S104" s="166">
        <f>ROUND(M104*O104,0)</f>
        <v>0</v>
      </c>
      <c r="T104" s="166">
        <f>ROUND(M104*P104,0)</f>
        <v>705705</v>
      </c>
      <c r="U104" s="166">
        <f>ROUND(M104*Q104,0)</f>
        <v>1877375</v>
      </c>
      <c r="V104" s="34"/>
      <c r="W104" s="34"/>
      <c r="X104" s="34"/>
      <c r="Y104" s="17" t="s">
        <v>82</v>
      </c>
      <c r="Z104" s="17" t="s">
        <v>321</v>
      </c>
    </row>
    <row r="105" spans="1:28" ht="48.95" customHeight="1" x14ac:dyDescent="0.25">
      <c r="A105" s="168"/>
      <c r="B105" s="144"/>
      <c r="C105" s="130" t="s">
        <v>8</v>
      </c>
      <c r="D105" s="168"/>
      <c r="E105" s="166"/>
      <c r="F105" s="37"/>
      <c r="G105" s="37"/>
      <c r="H105" s="37"/>
      <c r="I105" s="37"/>
      <c r="J105" s="37"/>
      <c r="K105" s="215"/>
      <c r="L105" s="223"/>
      <c r="M105" s="60"/>
      <c r="N105" s="166"/>
      <c r="O105" s="166"/>
      <c r="P105" s="166"/>
      <c r="Q105" s="166"/>
      <c r="R105" s="166"/>
      <c r="S105" s="166"/>
      <c r="T105" s="166"/>
      <c r="U105" s="166"/>
      <c r="V105" s="34"/>
      <c r="W105" s="34"/>
      <c r="X105" s="34"/>
      <c r="Y105" s="17"/>
      <c r="Z105" s="17"/>
    </row>
    <row r="106" spans="1:28" ht="48.95" customHeight="1" x14ac:dyDescent="0.25">
      <c r="A106" s="124">
        <v>84</v>
      </c>
      <c r="B106" s="52" t="s">
        <v>1163</v>
      </c>
      <c r="C106" s="144" t="s">
        <v>26</v>
      </c>
      <c r="D106" s="168" t="s">
        <v>227</v>
      </c>
      <c r="E106" s="142"/>
      <c r="F106" s="11"/>
      <c r="G106" s="11"/>
      <c r="H106" s="11"/>
      <c r="I106" s="11"/>
      <c r="J106" s="11"/>
      <c r="K106" s="214"/>
      <c r="L106" s="224"/>
      <c r="M106" s="45">
        <v>3.12</v>
      </c>
      <c r="N106" s="136">
        <v>3681825</v>
      </c>
      <c r="O106" s="136"/>
      <c r="P106" s="136">
        <v>702425</v>
      </c>
      <c r="Q106" s="136">
        <v>823538</v>
      </c>
      <c r="R106" s="166">
        <f t="shared" ref="R106:R113" si="29">ROUND(M106*N106,0)</f>
        <v>11487294</v>
      </c>
      <c r="S106" s="166">
        <f t="shared" ref="S106:S113" si="30">ROUND(M106*O106,0)</f>
        <v>0</v>
      </c>
      <c r="T106" s="166">
        <f t="shared" ref="T106:T113" si="31">ROUND(M106*P106,0)</f>
        <v>2191566</v>
      </c>
      <c r="U106" s="166">
        <f t="shared" ref="U106:U113" si="32">ROUND(M106*Q106,0)</f>
        <v>2569439</v>
      </c>
      <c r="V106" s="34"/>
      <c r="W106" s="34"/>
      <c r="X106" s="34"/>
      <c r="Y106" s="17" t="s">
        <v>458</v>
      </c>
      <c r="Z106" s="17" t="s">
        <v>1028</v>
      </c>
    </row>
    <row r="107" spans="1:28" ht="48.95" customHeight="1" x14ac:dyDescent="0.25">
      <c r="A107" s="124">
        <v>85</v>
      </c>
      <c r="B107" s="52" t="s">
        <v>1071</v>
      </c>
      <c r="C107" s="144" t="s">
        <v>738</v>
      </c>
      <c r="D107" s="168" t="s">
        <v>227</v>
      </c>
      <c r="E107" s="142"/>
      <c r="F107" s="11"/>
      <c r="G107" s="11"/>
      <c r="H107" s="11"/>
      <c r="I107" s="11"/>
      <c r="J107" s="11"/>
      <c r="K107" s="214"/>
      <c r="L107" s="224"/>
      <c r="M107" s="45">
        <f>ROUND(480*4.5/100,4)</f>
        <v>21.6</v>
      </c>
      <c r="N107" s="136">
        <v>767494</v>
      </c>
      <c r="O107" s="136"/>
      <c r="P107" s="136">
        <v>605983</v>
      </c>
      <c r="Q107" s="136"/>
      <c r="R107" s="166">
        <f t="shared" si="29"/>
        <v>16577870</v>
      </c>
      <c r="S107" s="166">
        <f t="shared" si="30"/>
        <v>0</v>
      </c>
      <c r="T107" s="166">
        <f t="shared" si="31"/>
        <v>13089233</v>
      </c>
      <c r="U107" s="166">
        <f t="shared" si="32"/>
        <v>0</v>
      </c>
      <c r="V107" s="34"/>
      <c r="W107" s="34"/>
      <c r="X107" s="34"/>
      <c r="Y107" s="17" t="s">
        <v>82</v>
      </c>
      <c r="Z107" s="17" t="s">
        <v>321</v>
      </c>
    </row>
    <row r="108" spans="1:28" ht="48.95" customHeight="1" x14ac:dyDescent="0.25">
      <c r="A108" s="124">
        <v>86</v>
      </c>
      <c r="B108" s="52" t="s">
        <v>576</v>
      </c>
      <c r="C108" s="144" t="s">
        <v>27</v>
      </c>
      <c r="D108" s="168" t="s">
        <v>836</v>
      </c>
      <c r="E108" s="142"/>
      <c r="F108" s="11"/>
      <c r="G108" s="11"/>
      <c r="H108" s="11"/>
      <c r="I108" s="11"/>
      <c r="J108" s="11"/>
      <c r="K108" s="214"/>
      <c r="L108" s="224"/>
      <c r="M108" s="45">
        <v>4.92</v>
      </c>
      <c r="N108" s="136">
        <v>2592044</v>
      </c>
      <c r="O108" s="136"/>
      <c r="P108" s="136">
        <v>258681</v>
      </c>
      <c r="Q108" s="136"/>
      <c r="R108" s="166">
        <f t="shared" si="29"/>
        <v>12752856</v>
      </c>
      <c r="S108" s="166">
        <f t="shared" si="30"/>
        <v>0</v>
      </c>
      <c r="T108" s="166">
        <f t="shared" si="31"/>
        <v>1272711</v>
      </c>
      <c r="U108" s="166">
        <f t="shared" si="32"/>
        <v>0</v>
      </c>
      <c r="V108" s="34"/>
      <c r="W108" s="34"/>
      <c r="X108" s="34"/>
      <c r="Y108" s="17" t="s">
        <v>82</v>
      </c>
      <c r="Z108" s="17" t="s">
        <v>321</v>
      </c>
    </row>
    <row r="109" spans="1:28" ht="48.95" customHeight="1" x14ac:dyDescent="0.25">
      <c r="A109" s="124">
        <v>87</v>
      </c>
      <c r="B109" s="138" t="s">
        <v>715</v>
      </c>
      <c r="C109" s="144" t="s">
        <v>282</v>
      </c>
      <c r="D109" s="168" t="s">
        <v>793</v>
      </c>
      <c r="E109" s="142"/>
      <c r="F109" s="11"/>
      <c r="G109" s="11"/>
      <c r="H109" s="11"/>
      <c r="I109" s="11"/>
      <c r="J109" s="11"/>
      <c r="K109" s="214"/>
      <c r="L109" s="224"/>
      <c r="M109" s="45">
        <v>0.6</v>
      </c>
      <c r="N109" s="136">
        <v>29093244</v>
      </c>
      <c r="O109" s="136"/>
      <c r="P109" s="136">
        <v>1008150</v>
      </c>
      <c r="Q109" s="136">
        <v>2681964</v>
      </c>
      <c r="R109" s="166">
        <f t="shared" si="29"/>
        <v>17455946</v>
      </c>
      <c r="S109" s="166">
        <f t="shared" si="30"/>
        <v>0</v>
      </c>
      <c r="T109" s="166">
        <f t="shared" si="31"/>
        <v>604890</v>
      </c>
      <c r="U109" s="166">
        <f t="shared" si="32"/>
        <v>1609178</v>
      </c>
      <c r="V109" s="34"/>
      <c r="W109" s="34"/>
      <c r="X109" s="34"/>
      <c r="Y109" s="17" t="s">
        <v>82</v>
      </c>
      <c r="Z109" s="17" t="s">
        <v>321</v>
      </c>
    </row>
    <row r="110" spans="1:28" ht="48.95" customHeight="1" x14ac:dyDescent="0.25">
      <c r="A110" s="63">
        <v>88</v>
      </c>
      <c r="B110" s="29" t="s">
        <v>30</v>
      </c>
      <c r="C110" s="80" t="s">
        <v>148</v>
      </c>
      <c r="D110" s="119" t="s">
        <v>155</v>
      </c>
      <c r="E110" s="142"/>
      <c r="F110" s="11"/>
      <c r="G110" s="11"/>
      <c r="H110" s="11"/>
      <c r="I110" s="11"/>
      <c r="J110" s="11"/>
      <c r="K110" s="214"/>
      <c r="L110" s="224"/>
      <c r="M110" s="45">
        <v>46</v>
      </c>
      <c r="N110" s="100">
        <v>339240</v>
      </c>
      <c r="O110" s="71"/>
      <c r="P110" s="71">
        <v>296751</v>
      </c>
      <c r="Q110" s="71"/>
      <c r="R110" s="166">
        <f t="shared" si="29"/>
        <v>15605040</v>
      </c>
      <c r="S110" s="166">
        <f t="shared" si="30"/>
        <v>0</v>
      </c>
      <c r="T110" s="166">
        <f t="shared" si="31"/>
        <v>13650546</v>
      </c>
      <c r="U110" s="166">
        <f t="shared" si="32"/>
        <v>0</v>
      </c>
      <c r="V110" s="152"/>
      <c r="W110" s="152"/>
      <c r="X110" s="152"/>
      <c r="Y110" s="17"/>
      <c r="Z110" s="17"/>
    </row>
    <row r="111" spans="1:28" ht="48.95" customHeight="1" x14ac:dyDescent="0.25">
      <c r="A111" s="124">
        <v>89</v>
      </c>
      <c r="B111" s="138" t="s">
        <v>233</v>
      </c>
      <c r="C111" s="144" t="s">
        <v>345</v>
      </c>
      <c r="D111" s="168" t="s">
        <v>793</v>
      </c>
      <c r="E111" s="142"/>
      <c r="F111" s="11"/>
      <c r="G111" s="11"/>
      <c r="H111" s="11"/>
      <c r="I111" s="11"/>
      <c r="J111" s="11"/>
      <c r="K111" s="214"/>
      <c r="L111" s="224"/>
      <c r="M111" s="45">
        <f>ROUND( 368.4/100,4)</f>
        <v>3.6840000000000002</v>
      </c>
      <c r="N111" s="136">
        <v>27450000</v>
      </c>
      <c r="O111" s="136"/>
      <c r="P111" s="136">
        <v>292847</v>
      </c>
      <c r="Q111" s="136">
        <v>700909</v>
      </c>
      <c r="R111" s="166">
        <f t="shared" si="29"/>
        <v>101125800</v>
      </c>
      <c r="S111" s="166">
        <f t="shared" si="30"/>
        <v>0</v>
      </c>
      <c r="T111" s="166">
        <f t="shared" si="31"/>
        <v>1078848</v>
      </c>
      <c r="U111" s="166">
        <f t="shared" si="32"/>
        <v>2582149</v>
      </c>
      <c r="V111" s="34"/>
      <c r="W111" s="34"/>
      <c r="X111" s="34"/>
      <c r="Y111" s="17" t="s">
        <v>82</v>
      </c>
      <c r="Z111" s="17" t="s">
        <v>321</v>
      </c>
    </row>
    <row r="112" spans="1:28" ht="48.95" customHeight="1" x14ac:dyDescent="0.25">
      <c r="A112" s="124">
        <v>90</v>
      </c>
      <c r="B112" s="52" t="s">
        <v>1197</v>
      </c>
      <c r="C112" s="144" t="s">
        <v>923</v>
      </c>
      <c r="D112" s="168" t="s">
        <v>1172</v>
      </c>
      <c r="E112" s="142"/>
      <c r="F112" s="11"/>
      <c r="G112" s="11"/>
      <c r="H112" s="11"/>
      <c r="I112" s="11"/>
      <c r="J112" s="11"/>
      <c r="K112" s="214"/>
      <c r="L112" s="224"/>
      <c r="M112" s="45">
        <f>ROUND(98.56/1000,4)</f>
        <v>9.8599999999999993E-2</v>
      </c>
      <c r="N112" s="136">
        <v>14603640</v>
      </c>
      <c r="O112" s="136"/>
      <c r="P112" s="136">
        <v>2409530</v>
      </c>
      <c r="Q112" s="136">
        <v>91218</v>
      </c>
      <c r="R112" s="166">
        <f t="shared" si="29"/>
        <v>1439919</v>
      </c>
      <c r="S112" s="166">
        <f t="shared" si="30"/>
        <v>0</v>
      </c>
      <c r="T112" s="166">
        <f t="shared" si="31"/>
        <v>237580</v>
      </c>
      <c r="U112" s="166">
        <f t="shared" si="32"/>
        <v>8994</v>
      </c>
      <c r="V112" s="34"/>
      <c r="W112" s="34"/>
      <c r="X112" s="34"/>
      <c r="Y112" s="17" t="s">
        <v>82</v>
      </c>
      <c r="Z112" s="17" t="s">
        <v>321</v>
      </c>
    </row>
    <row r="113" spans="1:26" ht="48.95" customHeight="1" x14ac:dyDescent="0.25">
      <c r="A113" s="63">
        <v>91</v>
      </c>
      <c r="B113" s="29" t="s">
        <v>30</v>
      </c>
      <c r="C113" s="80" t="s">
        <v>1000</v>
      </c>
      <c r="D113" s="119" t="s">
        <v>1123</v>
      </c>
      <c r="E113" s="142"/>
      <c r="F113" s="11"/>
      <c r="G113" s="11"/>
      <c r="H113" s="11"/>
      <c r="I113" s="11"/>
      <c r="J113" s="11"/>
      <c r="K113" s="214"/>
      <c r="L113" s="224"/>
      <c r="M113" s="45">
        <v>14</v>
      </c>
      <c r="N113" s="71">
        <v>12500</v>
      </c>
      <c r="O113" s="71"/>
      <c r="P113" s="71"/>
      <c r="Q113" s="71"/>
      <c r="R113" s="166">
        <f t="shared" si="29"/>
        <v>175000</v>
      </c>
      <c r="S113" s="166">
        <f t="shared" si="30"/>
        <v>0</v>
      </c>
      <c r="T113" s="166">
        <f t="shared" si="31"/>
        <v>0</v>
      </c>
      <c r="U113" s="166">
        <f t="shared" si="32"/>
        <v>0</v>
      </c>
      <c r="V113" s="152"/>
      <c r="W113" s="152"/>
      <c r="X113" s="152"/>
      <c r="Y113" s="17"/>
      <c r="Z113" s="17"/>
    </row>
    <row r="114" spans="1:26" ht="48.95" customHeight="1" x14ac:dyDescent="0.25">
      <c r="A114" s="168"/>
      <c r="B114" s="144"/>
      <c r="C114" s="130" t="s">
        <v>37</v>
      </c>
      <c r="D114" s="168"/>
      <c r="E114" s="166"/>
      <c r="F114" s="37"/>
      <c r="G114" s="37"/>
      <c r="H114" s="37"/>
      <c r="I114" s="37"/>
      <c r="J114" s="37"/>
      <c r="K114" s="215"/>
      <c r="L114" s="223"/>
      <c r="M114" s="60"/>
      <c r="N114" s="166"/>
      <c r="O114" s="166"/>
      <c r="P114" s="166"/>
      <c r="Q114" s="166"/>
      <c r="R114" s="166"/>
      <c r="S114" s="166"/>
      <c r="T114" s="166"/>
      <c r="U114" s="166"/>
      <c r="V114" s="34"/>
      <c r="W114" s="34"/>
      <c r="X114" s="34"/>
      <c r="Y114" s="17"/>
      <c r="Z114" s="17"/>
    </row>
    <row r="115" spans="1:26" ht="48.95" customHeight="1" x14ac:dyDescent="0.25">
      <c r="A115" s="124">
        <v>92</v>
      </c>
      <c r="B115" s="138" t="s">
        <v>455</v>
      </c>
      <c r="C115" s="144" t="s">
        <v>1061</v>
      </c>
      <c r="D115" s="168" t="s">
        <v>1172</v>
      </c>
      <c r="E115" s="142"/>
      <c r="F115" s="11"/>
      <c r="G115" s="11"/>
      <c r="H115" s="11"/>
      <c r="I115" s="11"/>
      <c r="J115" s="11"/>
      <c r="K115" s="214"/>
      <c r="L115" s="224"/>
      <c r="M115" s="45">
        <f>ROUND(2237.11/1000,4)</f>
        <v>2.2370999999999999</v>
      </c>
      <c r="N115" s="136">
        <v>346051</v>
      </c>
      <c r="O115" s="136"/>
      <c r="P115" s="136">
        <v>2189570</v>
      </c>
      <c r="Q115" s="136">
        <v>1600485</v>
      </c>
      <c r="R115" s="166">
        <f>ROUND(M115*N115,0)</f>
        <v>774151</v>
      </c>
      <c r="S115" s="166">
        <f>ROUND(M115*O115,0)</f>
        <v>0</v>
      </c>
      <c r="T115" s="166">
        <f>ROUND(M115*P115,0)</f>
        <v>4898287</v>
      </c>
      <c r="U115" s="166">
        <f>ROUND(M115*Q115,0)</f>
        <v>3580445</v>
      </c>
      <c r="V115" s="34"/>
      <c r="W115" s="34"/>
      <c r="X115" s="34"/>
      <c r="Y115" s="17" t="s">
        <v>82</v>
      </c>
      <c r="Z115" s="17" t="s">
        <v>321</v>
      </c>
    </row>
    <row r="116" spans="1:26" ht="48.95" customHeight="1" x14ac:dyDescent="0.25">
      <c r="A116" s="124">
        <v>93</v>
      </c>
      <c r="B116" s="138" t="s">
        <v>455</v>
      </c>
      <c r="C116" s="144" t="s">
        <v>917</v>
      </c>
      <c r="D116" s="168" t="s">
        <v>1172</v>
      </c>
      <c r="E116" s="142"/>
      <c r="F116" s="11"/>
      <c r="G116" s="11"/>
      <c r="H116" s="11"/>
      <c r="I116" s="11"/>
      <c r="J116" s="11"/>
      <c r="K116" s="214"/>
      <c r="L116" s="224"/>
      <c r="M116" s="45">
        <f>ROUND(M115,4)</f>
        <v>2.2370999999999999</v>
      </c>
      <c r="N116" s="136">
        <v>16347071</v>
      </c>
      <c r="O116" s="136"/>
      <c r="P116" s="136"/>
      <c r="Q116" s="136"/>
      <c r="R116" s="166">
        <f>ROUND(M116*N116,0)</f>
        <v>36570033</v>
      </c>
      <c r="S116" s="166">
        <f>ROUND(M116*O116,0)</f>
        <v>0</v>
      </c>
      <c r="T116" s="166">
        <f>ROUND(M116*P116,0)</f>
        <v>0</v>
      </c>
      <c r="U116" s="166">
        <f>ROUND(M116*Q116,0)</f>
        <v>0</v>
      </c>
      <c r="V116" s="34"/>
      <c r="W116" s="34"/>
      <c r="X116" s="34"/>
      <c r="Y116" s="17" t="s">
        <v>82</v>
      </c>
      <c r="Z116" s="17" t="s">
        <v>321</v>
      </c>
    </row>
    <row r="117" spans="1:26" ht="48.95" customHeight="1" x14ac:dyDescent="0.25">
      <c r="A117" s="161"/>
      <c r="B117" s="133"/>
      <c r="C117" s="133" t="s">
        <v>689</v>
      </c>
      <c r="D117" s="161"/>
      <c r="E117" s="156"/>
      <c r="F117" s="27"/>
      <c r="G117" s="27"/>
      <c r="H117" s="27"/>
      <c r="I117" s="27"/>
      <c r="J117" s="27"/>
      <c r="K117" s="215"/>
      <c r="L117" s="225">
        <v>3.1581000000000001</v>
      </c>
      <c r="M117" s="45"/>
      <c r="N117" s="156"/>
      <c r="O117" s="156"/>
      <c r="P117" s="156"/>
      <c r="Q117" s="156"/>
      <c r="R117" s="156"/>
      <c r="S117" s="156"/>
      <c r="T117" s="156"/>
      <c r="U117" s="156"/>
      <c r="V117" s="20"/>
      <c r="W117" s="20"/>
      <c r="X117" s="20"/>
      <c r="Y117" s="17"/>
      <c r="Z117" s="17"/>
    </row>
    <row r="118" spans="1:26" ht="48.95" customHeight="1" x14ac:dyDescent="0.25">
      <c r="A118" s="124">
        <v>94</v>
      </c>
      <c r="B118" s="138" t="s">
        <v>701</v>
      </c>
      <c r="C118" s="144" t="s">
        <v>83</v>
      </c>
      <c r="D118" s="168" t="s">
        <v>227</v>
      </c>
      <c r="E118" s="142"/>
      <c r="F118" s="11"/>
      <c r="G118" s="11"/>
      <c r="H118" s="11"/>
      <c r="I118" s="11"/>
      <c r="J118" s="11"/>
      <c r="K118" s="214"/>
      <c r="L118" s="224"/>
      <c r="M118" s="45">
        <v>2</v>
      </c>
      <c r="N118" s="136">
        <v>0</v>
      </c>
      <c r="O118" s="136"/>
      <c r="P118" s="100">
        <v>1710166</v>
      </c>
      <c r="Q118" s="100">
        <v>23727137</v>
      </c>
      <c r="R118" s="166">
        <f>ROUND(M118*N118,0)</f>
        <v>0</v>
      </c>
      <c r="S118" s="166">
        <f>ROUND(M118*O118,0)</f>
        <v>0</v>
      </c>
      <c r="T118" s="166">
        <f>ROUND(M118*P118,0)</f>
        <v>3420332</v>
      </c>
      <c r="U118" s="166">
        <f>ROUND(M118*Q118,0)</f>
        <v>47454274</v>
      </c>
      <c r="V118" s="34"/>
      <c r="W118" s="34"/>
      <c r="X118" s="34"/>
      <c r="Y118" s="17" t="s">
        <v>82</v>
      </c>
      <c r="Z118" s="17" t="s">
        <v>321</v>
      </c>
    </row>
    <row r="119" spans="1:26" ht="48.95" customHeight="1" x14ac:dyDescent="0.25">
      <c r="A119" s="168"/>
      <c r="B119" s="144"/>
      <c r="C119" s="130" t="s">
        <v>1135</v>
      </c>
      <c r="D119" s="168"/>
      <c r="E119" s="166"/>
      <c r="F119" s="37"/>
      <c r="G119" s="37"/>
      <c r="H119" s="37"/>
      <c r="I119" s="37"/>
      <c r="J119" s="37"/>
      <c r="K119" s="215"/>
      <c r="L119" s="223"/>
      <c r="M119" s="60"/>
      <c r="N119" s="166"/>
      <c r="O119" s="166"/>
      <c r="P119" s="166"/>
      <c r="Q119" s="166"/>
      <c r="R119" s="166"/>
      <c r="S119" s="166"/>
      <c r="T119" s="166"/>
      <c r="U119" s="166"/>
      <c r="V119" s="34"/>
      <c r="W119" s="34"/>
      <c r="X119" s="34"/>
      <c r="Y119" s="17"/>
      <c r="Z119" s="17"/>
    </row>
    <row r="120" spans="1:26" ht="48.95" customHeight="1" x14ac:dyDescent="0.25">
      <c r="A120" s="124">
        <v>95</v>
      </c>
      <c r="B120" s="138" t="s">
        <v>719</v>
      </c>
      <c r="C120" s="144" t="s">
        <v>886</v>
      </c>
      <c r="D120" s="168" t="s">
        <v>1172</v>
      </c>
      <c r="E120" s="142"/>
      <c r="F120" s="11"/>
      <c r="G120" s="11"/>
      <c r="H120" s="11"/>
      <c r="I120" s="11"/>
      <c r="J120" s="11"/>
      <c r="K120" s="214"/>
      <c r="L120" s="224"/>
      <c r="M120" s="45">
        <f>ROUND( 2526.2 /1000,4)</f>
        <v>2.5261999999999998</v>
      </c>
      <c r="N120" s="136">
        <v>766340</v>
      </c>
      <c r="O120" s="136"/>
      <c r="P120" s="136">
        <v>5211175</v>
      </c>
      <c r="Q120" s="136">
        <v>2229025</v>
      </c>
      <c r="R120" s="166">
        <f>ROUND(M120*N120,0)</f>
        <v>1935928</v>
      </c>
      <c r="S120" s="166">
        <f>ROUND(M120*O120,0)</f>
        <v>0</v>
      </c>
      <c r="T120" s="166">
        <f>ROUND(M120*P120,0)</f>
        <v>13164470</v>
      </c>
      <c r="U120" s="166">
        <f>ROUND(M120*Q120,0)</f>
        <v>5630963</v>
      </c>
      <c r="V120" s="34"/>
      <c r="W120" s="34"/>
      <c r="X120" s="34"/>
      <c r="Y120" s="17" t="s">
        <v>82</v>
      </c>
      <c r="Z120" s="17" t="s">
        <v>321</v>
      </c>
    </row>
    <row r="121" spans="1:26" ht="48.95" customHeight="1" x14ac:dyDescent="0.25">
      <c r="A121" s="63">
        <v>96</v>
      </c>
      <c r="B121" s="29" t="s">
        <v>30</v>
      </c>
      <c r="C121" s="80" t="s">
        <v>413</v>
      </c>
      <c r="D121" s="119" t="s">
        <v>1172</v>
      </c>
      <c r="E121" s="142"/>
      <c r="F121" s="11"/>
      <c r="G121" s="11"/>
      <c r="H121" s="11"/>
      <c r="I121" s="11"/>
      <c r="J121" s="11"/>
      <c r="K121" s="214"/>
      <c r="L121" s="224"/>
      <c r="M121" s="45">
        <f>ROUND(SUM(L122:L122),4)</f>
        <v>0.93469999999999998</v>
      </c>
      <c r="N121" s="71">
        <v>15985723</v>
      </c>
      <c r="O121" s="71"/>
      <c r="P121" s="71"/>
      <c r="Q121" s="71"/>
      <c r="R121" s="166">
        <f>ROUND(M121*N121,0)</f>
        <v>14941855</v>
      </c>
      <c r="S121" s="166">
        <f>ROUND(M121*O121,0)</f>
        <v>0</v>
      </c>
      <c r="T121" s="166">
        <f>ROUND(M121*P121,0)</f>
        <v>0</v>
      </c>
      <c r="U121" s="166">
        <f>ROUND(M121*Q121,0)</f>
        <v>0</v>
      </c>
      <c r="V121" s="152"/>
      <c r="W121" s="152"/>
      <c r="X121" s="152"/>
      <c r="Y121" s="17"/>
      <c r="Z121" s="17"/>
    </row>
    <row r="122" spans="1:26" ht="48.95" customHeight="1" x14ac:dyDescent="0.25">
      <c r="A122" s="161"/>
      <c r="B122" s="133"/>
      <c r="C122" s="133" t="s">
        <v>20</v>
      </c>
      <c r="D122" s="161"/>
      <c r="E122" s="156"/>
      <c r="F122" s="27"/>
      <c r="G122" s="27"/>
      <c r="H122" s="27"/>
      <c r="I122" s="27"/>
      <c r="J122" s="27"/>
      <c r="K122" s="215"/>
      <c r="L122" s="225">
        <v>0.93469999999999998</v>
      </c>
      <c r="M122" s="45"/>
      <c r="N122" s="156"/>
      <c r="O122" s="156"/>
      <c r="P122" s="156"/>
      <c r="Q122" s="156"/>
      <c r="R122" s="156"/>
      <c r="S122" s="156"/>
      <c r="T122" s="156"/>
      <c r="U122" s="156"/>
      <c r="V122" s="20"/>
      <c r="W122" s="20"/>
      <c r="X122" s="20"/>
      <c r="Y122" s="17"/>
      <c r="Z122" s="17"/>
    </row>
    <row r="123" spans="1:26" ht="48.95" customHeight="1" x14ac:dyDescent="0.25">
      <c r="A123" s="124">
        <v>97</v>
      </c>
      <c r="B123" s="138" t="s">
        <v>954</v>
      </c>
      <c r="C123" s="144" t="s">
        <v>751</v>
      </c>
      <c r="D123" s="168" t="s">
        <v>1172</v>
      </c>
      <c r="E123" s="142"/>
      <c r="F123" s="11"/>
      <c r="G123" s="11"/>
      <c r="H123" s="11"/>
      <c r="I123" s="11"/>
      <c r="J123" s="11"/>
      <c r="K123" s="214"/>
      <c r="L123" s="224"/>
      <c r="M123" s="45">
        <f>ROUND(M120*5,4)</f>
        <v>12.631</v>
      </c>
      <c r="N123" s="136">
        <v>373772</v>
      </c>
      <c r="O123" s="136"/>
      <c r="P123" s="136">
        <v>2189570</v>
      </c>
      <c r="Q123" s="136">
        <v>1660581</v>
      </c>
      <c r="R123" s="166">
        <f>ROUND(M123*N123,0)</f>
        <v>4721114</v>
      </c>
      <c r="S123" s="166">
        <f>ROUND(M123*O123,0)</f>
        <v>0</v>
      </c>
      <c r="T123" s="166">
        <f>ROUND(M123*P123,0)</f>
        <v>27656459</v>
      </c>
      <c r="U123" s="166">
        <f>ROUND(M123*Q123,0)</f>
        <v>20974799</v>
      </c>
      <c r="V123" s="34"/>
      <c r="W123" s="34"/>
      <c r="X123" s="34"/>
      <c r="Y123" s="17" t="s">
        <v>82</v>
      </c>
      <c r="Z123" s="17" t="s">
        <v>321</v>
      </c>
    </row>
    <row r="124" spans="1:26" ht="48.95" customHeight="1" x14ac:dyDescent="0.25">
      <c r="A124" s="124">
        <v>98</v>
      </c>
      <c r="B124" s="138" t="s">
        <v>954</v>
      </c>
      <c r="C124" s="153" t="s">
        <v>264</v>
      </c>
      <c r="D124" s="168" t="s">
        <v>1172</v>
      </c>
      <c r="E124" s="142"/>
      <c r="F124" s="11"/>
      <c r="G124" s="11"/>
      <c r="H124" s="11"/>
      <c r="I124" s="11"/>
      <c r="J124" s="11"/>
      <c r="K124" s="214"/>
      <c r="L124" s="224"/>
      <c r="M124" s="45">
        <f>ROUND(M123,4)</f>
        <v>12.631</v>
      </c>
      <c r="N124" s="136">
        <v>224263</v>
      </c>
      <c r="O124" s="136"/>
      <c r="P124" s="136">
        <v>1313742</v>
      </c>
      <c r="Q124" s="136">
        <v>996348</v>
      </c>
      <c r="R124" s="166">
        <f>ROUND(M124*N124,0)</f>
        <v>2832666</v>
      </c>
      <c r="S124" s="166">
        <f>ROUND(M124*O124,0)</f>
        <v>0</v>
      </c>
      <c r="T124" s="166">
        <f>ROUND(M124*P124,0)</f>
        <v>16593875</v>
      </c>
      <c r="U124" s="166">
        <f>ROUND(M124*Q124,0)</f>
        <v>12584872</v>
      </c>
      <c r="V124" s="34"/>
      <c r="W124" s="34"/>
      <c r="X124" s="34"/>
      <c r="Y124" s="17" t="s">
        <v>82</v>
      </c>
      <c r="Z124" s="17" t="s">
        <v>321</v>
      </c>
    </row>
    <row r="125" spans="1:26" ht="48.95" customHeight="1" x14ac:dyDescent="0.25">
      <c r="A125" s="124">
        <v>99</v>
      </c>
      <c r="B125" s="138" t="s">
        <v>203</v>
      </c>
      <c r="C125" s="144" t="s">
        <v>220</v>
      </c>
      <c r="D125" s="168" t="s">
        <v>227</v>
      </c>
      <c r="E125" s="142"/>
      <c r="F125" s="11"/>
      <c r="G125" s="11"/>
      <c r="H125" s="11"/>
      <c r="I125" s="11"/>
      <c r="J125" s="11"/>
      <c r="K125" s="214"/>
      <c r="L125" s="224"/>
      <c r="M125" s="45">
        <f>ROUND(0.38*5,4)</f>
        <v>1.9</v>
      </c>
      <c r="N125" s="136">
        <v>0</v>
      </c>
      <c r="O125" s="136"/>
      <c r="P125" s="136">
        <v>1737120</v>
      </c>
      <c r="Q125" s="136">
        <v>5353673</v>
      </c>
      <c r="R125" s="166">
        <f>ROUND(M125*N125,0)</f>
        <v>0</v>
      </c>
      <c r="S125" s="166">
        <f>ROUND(M125*O125,0)</f>
        <v>0</v>
      </c>
      <c r="T125" s="166">
        <f>ROUND(M125*P125,0)</f>
        <v>3300528</v>
      </c>
      <c r="U125" s="166">
        <f>ROUND(M125*Q125,0)</f>
        <v>10171979</v>
      </c>
      <c r="V125" s="34"/>
      <c r="W125" s="34"/>
      <c r="X125" s="34"/>
      <c r="Y125" s="17" t="s">
        <v>82</v>
      </c>
      <c r="Z125" s="17" t="s">
        <v>321</v>
      </c>
    </row>
    <row r="126" spans="1:26" ht="48.95" customHeight="1" x14ac:dyDescent="0.25">
      <c r="A126" s="124">
        <v>100</v>
      </c>
      <c r="B126" s="138" t="s">
        <v>203</v>
      </c>
      <c r="C126" s="144" t="s">
        <v>107</v>
      </c>
      <c r="D126" s="168" t="s">
        <v>227</v>
      </c>
      <c r="E126" s="142"/>
      <c r="F126" s="11"/>
      <c r="G126" s="11"/>
      <c r="H126" s="11"/>
      <c r="I126" s="11"/>
      <c r="J126" s="11"/>
      <c r="K126" s="214"/>
      <c r="L126" s="224"/>
      <c r="M126" s="45">
        <f>ROUND(0.18*5,4)</f>
        <v>0.9</v>
      </c>
      <c r="N126" s="136">
        <v>0</v>
      </c>
      <c r="O126" s="136"/>
      <c r="P126" s="136">
        <v>1496715</v>
      </c>
      <c r="Q126" s="136">
        <v>4015255</v>
      </c>
      <c r="R126" s="166">
        <f>ROUND(M126*N126,0)</f>
        <v>0</v>
      </c>
      <c r="S126" s="166">
        <f>ROUND(M126*O126,0)</f>
        <v>0</v>
      </c>
      <c r="T126" s="166">
        <f>ROUND(M126*P126,0)</f>
        <v>1347044</v>
      </c>
      <c r="U126" s="166">
        <f>ROUND(M126*Q126,0)</f>
        <v>3613730</v>
      </c>
      <c r="V126" s="34"/>
      <c r="W126" s="34"/>
      <c r="X126" s="34"/>
      <c r="Y126" s="17" t="s">
        <v>82</v>
      </c>
      <c r="Z126" s="17" t="s">
        <v>321</v>
      </c>
    </row>
    <row r="127" spans="1:26" ht="48.95" customHeight="1" x14ac:dyDescent="0.25">
      <c r="A127" s="63">
        <v>101</v>
      </c>
      <c r="B127" s="29" t="s">
        <v>30</v>
      </c>
      <c r="C127" s="80" t="s">
        <v>717</v>
      </c>
      <c r="D127" s="119" t="s">
        <v>227</v>
      </c>
      <c r="E127" s="142"/>
      <c r="F127" s="11"/>
      <c r="G127" s="11"/>
      <c r="H127" s="11"/>
      <c r="I127" s="11"/>
      <c r="J127" s="11"/>
      <c r="K127" s="214"/>
      <c r="L127" s="224"/>
      <c r="M127" s="45">
        <f>ROUND(SUM(L128:L128),4)</f>
        <v>0.1046</v>
      </c>
      <c r="N127" s="71">
        <v>184830000</v>
      </c>
      <c r="O127" s="71"/>
      <c r="P127" s="71"/>
      <c r="Q127" s="71"/>
      <c r="R127" s="166">
        <f>ROUND(M127*N127,0)</f>
        <v>19333218</v>
      </c>
      <c r="S127" s="166">
        <f>ROUND(M127*O127,0)</f>
        <v>0</v>
      </c>
      <c r="T127" s="166">
        <f>ROUND(M127*P127,0)</f>
        <v>0</v>
      </c>
      <c r="U127" s="166">
        <f>ROUND(M127*Q127,0)</f>
        <v>0</v>
      </c>
      <c r="V127" s="152"/>
      <c r="W127" s="152"/>
      <c r="X127" s="152"/>
      <c r="Y127" s="17"/>
      <c r="Z127" s="17"/>
    </row>
    <row r="128" spans="1:26" ht="48.95" customHeight="1" x14ac:dyDescent="0.25">
      <c r="A128" s="161"/>
      <c r="B128" s="133"/>
      <c r="C128" s="133" t="s">
        <v>97</v>
      </c>
      <c r="D128" s="161"/>
      <c r="E128" s="156"/>
      <c r="F128" s="27"/>
      <c r="G128" s="27"/>
      <c r="H128" s="27"/>
      <c r="I128" s="27"/>
      <c r="J128" s="27"/>
      <c r="K128" s="215"/>
      <c r="L128" s="223">
        <v>0.1046</v>
      </c>
      <c r="M128" s="45"/>
      <c r="N128" s="156"/>
      <c r="O128" s="156"/>
      <c r="P128" s="156"/>
      <c r="Q128" s="156"/>
      <c r="R128" s="166"/>
      <c r="S128" s="166"/>
      <c r="T128" s="166"/>
      <c r="U128" s="166"/>
      <c r="V128" s="20"/>
      <c r="W128" s="20"/>
      <c r="X128" s="20"/>
      <c r="Y128" s="17"/>
      <c r="Z128" s="17"/>
    </row>
    <row r="129" spans="1:26" ht="48.95" customHeight="1" x14ac:dyDescent="0.25">
      <c r="A129" s="124">
        <v>102</v>
      </c>
      <c r="B129" s="138" t="s">
        <v>157</v>
      </c>
      <c r="C129" s="144" t="s">
        <v>306</v>
      </c>
      <c r="D129" s="168" t="s">
        <v>227</v>
      </c>
      <c r="E129" s="142"/>
      <c r="F129" s="11"/>
      <c r="G129" s="11"/>
      <c r="H129" s="11"/>
      <c r="I129" s="11"/>
      <c r="J129" s="11"/>
      <c r="K129" s="214"/>
      <c r="L129" s="224"/>
      <c r="M129" s="45">
        <f>ROUND(M125+M126,4)</f>
        <v>2.8</v>
      </c>
      <c r="N129" s="136"/>
      <c r="O129" s="136"/>
      <c r="P129" s="136">
        <v>687610</v>
      </c>
      <c r="Q129" s="136">
        <v>3852512</v>
      </c>
      <c r="R129" s="166">
        <f>ROUND(M129*N129,0)</f>
        <v>0</v>
      </c>
      <c r="S129" s="166">
        <f>ROUND(M129*O129,0)</f>
        <v>0</v>
      </c>
      <c r="T129" s="166">
        <f>ROUND(M129*P129,0)</f>
        <v>1925308</v>
      </c>
      <c r="U129" s="166">
        <f>ROUND(M129*Q129,0)</f>
        <v>10787034</v>
      </c>
      <c r="V129" s="34"/>
      <c r="W129" s="34"/>
      <c r="X129" s="34"/>
      <c r="Y129" s="17" t="s">
        <v>82</v>
      </c>
      <c r="Z129" s="17" t="s">
        <v>321</v>
      </c>
    </row>
    <row r="130" spans="1:26" ht="48.95" customHeight="1" x14ac:dyDescent="0.25">
      <c r="A130" s="168"/>
      <c r="B130" s="144"/>
      <c r="C130" s="130" t="s">
        <v>42</v>
      </c>
      <c r="D130" s="168"/>
      <c r="E130" s="166"/>
      <c r="F130" s="37"/>
      <c r="G130" s="37"/>
      <c r="H130" s="37"/>
      <c r="I130" s="37"/>
      <c r="J130" s="37"/>
      <c r="K130" s="215"/>
      <c r="L130" s="223"/>
      <c r="M130" s="60"/>
      <c r="N130" s="166"/>
      <c r="O130" s="166"/>
      <c r="P130" s="166"/>
      <c r="Q130" s="166"/>
      <c r="R130" s="166"/>
      <c r="S130" s="166"/>
      <c r="T130" s="166"/>
      <c r="U130" s="166"/>
      <c r="V130" s="34"/>
      <c r="W130" s="34"/>
      <c r="X130" s="34"/>
      <c r="Y130" s="17"/>
      <c r="Z130" s="17"/>
    </row>
    <row r="131" spans="1:26" ht="48.95" customHeight="1" x14ac:dyDescent="0.25">
      <c r="A131" s="124">
        <v>103</v>
      </c>
      <c r="B131" s="138" t="s">
        <v>719</v>
      </c>
      <c r="C131" s="144" t="s">
        <v>886</v>
      </c>
      <c r="D131" s="168" t="s">
        <v>1172</v>
      </c>
      <c r="E131" s="142"/>
      <c r="F131" s="11"/>
      <c r="G131" s="11"/>
      <c r="H131" s="11"/>
      <c r="I131" s="11"/>
      <c r="J131" s="11"/>
      <c r="K131" s="214"/>
      <c r="L131" s="224"/>
      <c r="M131" s="45">
        <f>ROUND(5205.45/1000,4)</f>
        <v>5.2054999999999998</v>
      </c>
      <c r="N131" s="136">
        <v>766340</v>
      </c>
      <c r="O131" s="136"/>
      <c r="P131" s="136">
        <v>5211175</v>
      </c>
      <c r="Q131" s="136">
        <v>2229025</v>
      </c>
      <c r="R131" s="166">
        <f>ROUND(M131*N131,0)</f>
        <v>3989183</v>
      </c>
      <c r="S131" s="166">
        <f>ROUND(M131*O131,0)</f>
        <v>0</v>
      </c>
      <c r="T131" s="166">
        <f>ROUND(M131*P131,0)</f>
        <v>27126771</v>
      </c>
      <c r="U131" s="166">
        <f>ROUND(M131*Q131,0)</f>
        <v>11603190</v>
      </c>
      <c r="V131" s="34"/>
      <c r="W131" s="34"/>
      <c r="X131" s="34"/>
      <c r="Y131" s="17" t="s">
        <v>82</v>
      </c>
      <c r="Z131" s="17" t="s">
        <v>321</v>
      </c>
    </row>
    <row r="132" spans="1:26" ht="48.95" customHeight="1" x14ac:dyDescent="0.25">
      <c r="A132" s="63">
        <v>104</v>
      </c>
      <c r="B132" s="29" t="s">
        <v>30</v>
      </c>
      <c r="C132" s="80" t="s">
        <v>118</v>
      </c>
      <c r="D132" s="119" t="s">
        <v>1172</v>
      </c>
      <c r="E132" s="142"/>
      <c r="F132" s="11"/>
      <c r="G132" s="11"/>
      <c r="H132" s="11"/>
      <c r="I132" s="11"/>
      <c r="J132" s="11"/>
      <c r="K132" s="214"/>
      <c r="L132" s="224"/>
      <c r="M132" s="45">
        <f>ROUND(SUM(L133:L133),4)</f>
        <v>1.5608</v>
      </c>
      <c r="N132" s="71">
        <v>15985723</v>
      </c>
      <c r="O132" s="71"/>
      <c r="P132" s="71"/>
      <c r="Q132" s="71"/>
      <c r="R132" s="166">
        <f>ROUND(M132*N132,0)</f>
        <v>24950516</v>
      </c>
      <c r="S132" s="166">
        <f>ROUND(M132*O132,0)</f>
        <v>0</v>
      </c>
      <c r="T132" s="166">
        <f>ROUND(M132*P132,0)</f>
        <v>0</v>
      </c>
      <c r="U132" s="166">
        <f>ROUND(M132*Q132,0)</f>
        <v>0</v>
      </c>
      <c r="V132" s="152"/>
      <c r="W132" s="152"/>
      <c r="X132" s="152"/>
      <c r="Y132" s="17"/>
      <c r="Z132" s="17"/>
    </row>
    <row r="133" spans="1:26" ht="48.95" customHeight="1" x14ac:dyDescent="0.25">
      <c r="A133" s="161"/>
      <c r="B133" s="133"/>
      <c r="C133" s="133" t="s">
        <v>1098</v>
      </c>
      <c r="D133" s="161"/>
      <c r="E133" s="156"/>
      <c r="F133" s="27"/>
      <c r="G133" s="27"/>
      <c r="H133" s="27"/>
      <c r="I133" s="27"/>
      <c r="J133" s="27"/>
      <c r="K133" s="215"/>
      <c r="L133" s="223">
        <v>1.5608</v>
      </c>
      <c r="M133" s="45"/>
      <c r="N133" s="156"/>
      <c r="O133" s="156"/>
      <c r="P133" s="156"/>
      <c r="Q133" s="156"/>
      <c r="R133" s="166"/>
      <c r="S133" s="166"/>
      <c r="T133" s="166"/>
      <c r="U133" s="166"/>
      <c r="V133" s="20"/>
      <c r="W133" s="20"/>
      <c r="X133" s="20"/>
      <c r="Y133" s="17"/>
      <c r="Z133" s="17"/>
    </row>
    <row r="134" spans="1:26" ht="48.95" customHeight="1" x14ac:dyDescent="0.25">
      <c r="A134" s="124">
        <v>105</v>
      </c>
      <c r="B134" s="138" t="s">
        <v>954</v>
      </c>
      <c r="C134" s="144" t="s">
        <v>751</v>
      </c>
      <c r="D134" s="168" t="s">
        <v>1172</v>
      </c>
      <c r="E134" s="142"/>
      <c r="F134" s="11"/>
      <c r="G134" s="11"/>
      <c r="H134" s="11"/>
      <c r="I134" s="11"/>
      <c r="J134" s="11"/>
      <c r="K134" s="214"/>
      <c r="L134" s="224"/>
      <c r="M134" s="45">
        <f>ROUND(M131,4)</f>
        <v>5.2054999999999998</v>
      </c>
      <c r="N134" s="136">
        <v>373772</v>
      </c>
      <c r="O134" s="136"/>
      <c r="P134" s="136">
        <v>2189570</v>
      </c>
      <c r="Q134" s="136">
        <v>1660581</v>
      </c>
      <c r="R134" s="166">
        <f>ROUND(M134*N134,0)</f>
        <v>1945670</v>
      </c>
      <c r="S134" s="166">
        <f>ROUND(M134*O134,0)</f>
        <v>0</v>
      </c>
      <c r="T134" s="166">
        <f>ROUND(M134*P134,0)</f>
        <v>11397807</v>
      </c>
      <c r="U134" s="166">
        <f>ROUND(M134*Q134,0)</f>
        <v>8644154</v>
      </c>
      <c r="V134" s="34"/>
      <c r="W134" s="34"/>
      <c r="X134" s="34"/>
      <c r="Y134" s="17" t="s">
        <v>82</v>
      </c>
      <c r="Z134" s="17" t="s">
        <v>321</v>
      </c>
    </row>
    <row r="135" spans="1:26" ht="48.95" customHeight="1" x14ac:dyDescent="0.25">
      <c r="A135" s="124">
        <v>106</v>
      </c>
      <c r="B135" s="138" t="s">
        <v>954</v>
      </c>
      <c r="C135" s="153" t="s">
        <v>264</v>
      </c>
      <c r="D135" s="168" t="s">
        <v>1172</v>
      </c>
      <c r="E135" s="142"/>
      <c r="F135" s="11"/>
      <c r="G135" s="11"/>
      <c r="H135" s="11"/>
      <c r="I135" s="11"/>
      <c r="J135" s="11"/>
      <c r="K135" s="214"/>
      <c r="L135" s="224"/>
      <c r="M135" s="45">
        <f>ROUND(M134,4)</f>
        <v>5.2054999999999998</v>
      </c>
      <c r="N135" s="136">
        <v>224263</v>
      </c>
      <c r="O135" s="136"/>
      <c r="P135" s="136">
        <v>1313742</v>
      </c>
      <c r="Q135" s="136">
        <v>996348</v>
      </c>
      <c r="R135" s="166">
        <f>ROUND(M135*N135,0)</f>
        <v>1167401</v>
      </c>
      <c r="S135" s="166">
        <f>ROUND(M135*O135,0)</f>
        <v>0</v>
      </c>
      <c r="T135" s="166">
        <f>ROUND(M135*P135,0)</f>
        <v>6838684</v>
      </c>
      <c r="U135" s="166">
        <f>ROUND(M135*Q135,0)</f>
        <v>5186490</v>
      </c>
      <c r="V135" s="34"/>
      <c r="W135" s="34"/>
      <c r="X135" s="34"/>
      <c r="Y135" s="17" t="s">
        <v>82</v>
      </c>
      <c r="Z135" s="17" t="s">
        <v>321</v>
      </c>
    </row>
    <row r="136" spans="1:26" ht="48.95" customHeight="1" x14ac:dyDescent="0.25">
      <c r="A136" s="124">
        <v>107</v>
      </c>
      <c r="B136" s="138" t="s">
        <v>203</v>
      </c>
      <c r="C136" s="144" t="s">
        <v>220</v>
      </c>
      <c r="D136" s="168" t="s">
        <v>227</v>
      </c>
      <c r="E136" s="142"/>
      <c r="F136" s="11"/>
      <c r="G136" s="11"/>
      <c r="H136" s="11"/>
      <c r="I136" s="11"/>
      <c r="J136" s="11"/>
      <c r="K136" s="214"/>
      <c r="L136" s="224"/>
      <c r="M136" s="45">
        <v>0.34</v>
      </c>
      <c r="N136" s="136">
        <v>0</v>
      </c>
      <c r="O136" s="136"/>
      <c r="P136" s="136">
        <v>1737120</v>
      </c>
      <c r="Q136" s="136">
        <v>5353673</v>
      </c>
      <c r="R136" s="166">
        <f>ROUND(M136*N136,0)</f>
        <v>0</v>
      </c>
      <c r="S136" s="166">
        <f>ROUND(M136*O136,0)</f>
        <v>0</v>
      </c>
      <c r="T136" s="166">
        <f>ROUND(M136*P136,0)</f>
        <v>590621</v>
      </c>
      <c r="U136" s="166">
        <f>ROUND(M136*Q136,0)</f>
        <v>1820249</v>
      </c>
      <c r="V136" s="34"/>
      <c r="W136" s="34"/>
      <c r="X136" s="34"/>
      <c r="Y136" s="17" t="s">
        <v>82</v>
      </c>
      <c r="Z136" s="17" t="s">
        <v>321</v>
      </c>
    </row>
    <row r="137" spans="1:26" ht="48.95" customHeight="1" x14ac:dyDescent="0.25">
      <c r="A137" s="124">
        <v>108</v>
      </c>
      <c r="B137" s="138" t="s">
        <v>203</v>
      </c>
      <c r="C137" s="144" t="s">
        <v>107</v>
      </c>
      <c r="D137" s="168" t="s">
        <v>227</v>
      </c>
      <c r="E137" s="142"/>
      <c r="F137" s="11"/>
      <c r="G137" s="11"/>
      <c r="H137" s="11"/>
      <c r="I137" s="11"/>
      <c r="J137" s="11"/>
      <c r="K137" s="214"/>
      <c r="L137" s="224"/>
      <c r="M137" s="45">
        <v>0.14000000000000001</v>
      </c>
      <c r="N137" s="136">
        <v>0</v>
      </c>
      <c r="O137" s="136"/>
      <c r="P137" s="136">
        <v>1496715</v>
      </c>
      <c r="Q137" s="136">
        <v>4015255</v>
      </c>
      <c r="R137" s="166">
        <f>ROUND(M137*N137,0)</f>
        <v>0</v>
      </c>
      <c r="S137" s="166">
        <f>ROUND(M137*O137,0)</f>
        <v>0</v>
      </c>
      <c r="T137" s="166">
        <f>ROUND(M137*P137,0)</f>
        <v>209540</v>
      </c>
      <c r="U137" s="166">
        <f>ROUND(M137*Q137,0)</f>
        <v>562136</v>
      </c>
      <c r="V137" s="34"/>
      <c r="W137" s="34"/>
      <c r="X137" s="34"/>
      <c r="Y137" s="17" t="s">
        <v>82</v>
      </c>
      <c r="Z137" s="17" t="s">
        <v>321</v>
      </c>
    </row>
    <row r="138" spans="1:26" ht="48.95" customHeight="1" x14ac:dyDescent="0.25">
      <c r="A138" s="63">
        <v>109</v>
      </c>
      <c r="B138" s="29" t="s">
        <v>30</v>
      </c>
      <c r="C138" s="80" t="s">
        <v>717</v>
      </c>
      <c r="D138" s="119" t="s">
        <v>227</v>
      </c>
      <c r="E138" s="142"/>
      <c r="F138" s="11"/>
      <c r="G138" s="11"/>
      <c r="H138" s="11"/>
      <c r="I138" s="11"/>
      <c r="J138" s="11"/>
      <c r="K138" s="214"/>
      <c r="L138" s="224"/>
      <c r="M138" s="45">
        <f>ROUND(SUM(L139:L139),4)</f>
        <v>7.2800000000000004E-2</v>
      </c>
      <c r="N138" s="71">
        <v>184830000</v>
      </c>
      <c r="O138" s="71"/>
      <c r="P138" s="71"/>
      <c r="Q138" s="71"/>
      <c r="R138" s="166">
        <f>ROUND(M138*N138,0)</f>
        <v>13455624</v>
      </c>
      <c r="S138" s="166">
        <f>ROUND(M138*O138,0)</f>
        <v>0</v>
      </c>
      <c r="T138" s="166">
        <f>ROUND(M138*P138,0)</f>
        <v>0</v>
      </c>
      <c r="U138" s="166">
        <f>ROUND(M138*Q138,0)</f>
        <v>0</v>
      </c>
      <c r="V138" s="152"/>
      <c r="W138" s="152"/>
      <c r="X138" s="152"/>
      <c r="Y138" s="17"/>
      <c r="Z138" s="17"/>
    </row>
    <row r="139" spans="1:26" ht="48.95" customHeight="1" x14ac:dyDescent="0.25">
      <c r="A139" s="161"/>
      <c r="B139" s="133"/>
      <c r="C139" s="133" t="s">
        <v>1054</v>
      </c>
      <c r="D139" s="161"/>
      <c r="E139" s="156"/>
      <c r="F139" s="27"/>
      <c r="G139" s="27"/>
      <c r="H139" s="27"/>
      <c r="I139" s="27"/>
      <c r="J139" s="27"/>
      <c r="K139" s="215"/>
      <c r="L139" s="223">
        <v>7.2800000000000004E-2</v>
      </c>
      <c r="M139" s="45"/>
      <c r="N139" s="156"/>
      <c r="O139" s="156"/>
      <c r="P139" s="156"/>
      <c r="Q139" s="156"/>
      <c r="R139" s="166"/>
      <c r="S139" s="166"/>
      <c r="T139" s="166"/>
      <c r="U139" s="166"/>
      <c r="V139" s="20"/>
      <c r="W139" s="20"/>
      <c r="X139" s="20"/>
      <c r="Y139" s="17"/>
      <c r="Z139" s="17"/>
    </row>
    <row r="140" spans="1:26" ht="48.95" customHeight="1" x14ac:dyDescent="0.25">
      <c r="A140" s="124">
        <v>110</v>
      </c>
      <c r="B140" s="138" t="s">
        <v>157</v>
      </c>
      <c r="C140" s="144" t="s">
        <v>306</v>
      </c>
      <c r="D140" s="168" t="s">
        <v>227</v>
      </c>
      <c r="E140" s="142"/>
      <c r="F140" s="11"/>
      <c r="G140" s="11"/>
      <c r="H140" s="11"/>
      <c r="I140" s="11"/>
      <c r="J140" s="11"/>
      <c r="K140" s="214"/>
      <c r="L140" s="224"/>
      <c r="M140" s="45">
        <f>ROUND(M136+M137,4)</f>
        <v>0.48</v>
      </c>
      <c r="N140" s="136"/>
      <c r="O140" s="136"/>
      <c r="P140" s="136">
        <v>687610</v>
      </c>
      <c r="Q140" s="136">
        <v>3852512</v>
      </c>
      <c r="R140" s="166">
        <f>ROUND(M140*N140,0)</f>
        <v>0</v>
      </c>
      <c r="S140" s="166">
        <f>ROUND(M140*O140,0)</f>
        <v>0</v>
      </c>
      <c r="T140" s="166">
        <f>ROUND(M140*P140,0)</f>
        <v>330053</v>
      </c>
      <c r="U140" s="166">
        <f>ROUND(M140*Q140,0)</f>
        <v>1849206</v>
      </c>
      <c r="V140" s="34"/>
      <c r="W140" s="34"/>
      <c r="X140" s="34"/>
      <c r="Y140" s="17" t="s">
        <v>82</v>
      </c>
      <c r="Z140" s="17" t="s">
        <v>321</v>
      </c>
    </row>
    <row r="141" spans="1:26" ht="48.95" customHeight="1" outlineLevel="1" x14ac:dyDescent="0.25">
      <c r="A141" s="229"/>
      <c r="B141" s="230"/>
      <c r="C141" s="231" t="s">
        <v>270</v>
      </c>
      <c r="D141" s="229"/>
      <c r="E141" s="232"/>
      <c r="F141" s="233"/>
      <c r="G141" s="233"/>
      <c r="H141" s="233"/>
      <c r="I141" s="233"/>
      <c r="J141" s="233"/>
      <c r="K141" s="234"/>
      <c r="L141" s="235"/>
      <c r="M141" s="236"/>
      <c r="N141" s="166"/>
      <c r="O141" s="166"/>
      <c r="P141" s="166"/>
      <c r="Q141" s="166"/>
      <c r="R141" s="166"/>
      <c r="S141" s="166"/>
      <c r="T141" s="166"/>
      <c r="U141" s="166"/>
      <c r="V141" s="34"/>
      <c r="W141" s="34"/>
      <c r="X141" s="34"/>
      <c r="Y141" s="17"/>
      <c r="Z141" s="17"/>
    </row>
    <row r="142" spans="1:26" ht="48.95" customHeight="1" outlineLevel="1" x14ac:dyDescent="0.25">
      <c r="A142" s="124">
        <v>111</v>
      </c>
      <c r="B142" s="138" t="s">
        <v>73</v>
      </c>
      <c r="C142" s="144" t="s">
        <v>556</v>
      </c>
      <c r="D142" s="168" t="s">
        <v>227</v>
      </c>
      <c r="E142" s="142">
        <f>(2129+1430)*2/40</f>
        <v>177.95</v>
      </c>
      <c r="F142" s="11">
        <v>18</v>
      </c>
      <c r="G142" s="11"/>
      <c r="H142" s="11"/>
      <c r="I142" s="11"/>
      <c r="J142" s="11">
        <f>15.5/18</f>
        <v>0.86111111111111116</v>
      </c>
      <c r="K142" s="214" t="e">
        <f>D142/H142</f>
        <v>#VALUE!</v>
      </c>
      <c r="L142" s="224"/>
      <c r="M142" s="45">
        <f>ROUND((2335.5+54)/100,4)</f>
        <v>23.895</v>
      </c>
      <c r="N142" s="136">
        <v>0</v>
      </c>
      <c r="O142" s="136"/>
      <c r="P142" s="136">
        <v>3153700</v>
      </c>
      <c r="Q142" s="136">
        <v>12469104</v>
      </c>
      <c r="R142" s="166">
        <f>ROUND(M142*N142,0)</f>
        <v>0</v>
      </c>
      <c r="S142" s="166">
        <f>ROUND(M142*O142,0)</f>
        <v>0</v>
      </c>
      <c r="T142" s="166">
        <f>ROUND(M142*P142,0)</f>
        <v>75357662</v>
      </c>
      <c r="U142" s="166">
        <f>ROUND(M142*Q142,0)</f>
        <v>297949240</v>
      </c>
      <c r="V142" s="34"/>
      <c r="W142" s="34"/>
      <c r="X142" s="34"/>
      <c r="Y142" s="17" t="s">
        <v>82</v>
      </c>
      <c r="Z142" s="17" t="s">
        <v>321</v>
      </c>
    </row>
    <row r="143" spans="1:26" ht="48.95" customHeight="1" outlineLevel="1" x14ac:dyDescent="0.25">
      <c r="A143" s="124">
        <v>112</v>
      </c>
      <c r="B143" s="138" t="s">
        <v>73</v>
      </c>
      <c r="C143" s="144" t="s">
        <v>332</v>
      </c>
      <c r="D143" s="168" t="s">
        <v>227</v>
      </c>
      <c r="E143" s="142">
        <f>(2129+1430)*2/40</f>
        <v>177.95</v>
      </c>
      <c r="F143" s="11">
        <v>18</v>
      </c>
      <c r="G143" s="11"/>
      <c r="H143" s="11"/>
      <c r="I143" s="11"/>
      <c r="J143" s="11">
        <f>2.5/18</f>
        <v>0.1388888888888889</v>
      </c>
      <c r="K143" s="214" t="e">
        <f>D143/H143</f>
        <v>#VALUE!</v>
      </c>
      <c r="L143" s="224"/>
      <c r="M143" s="59">
        <f>ROUND((778.5+18 ) /100,4)</f>
        <v>7.9649999999999999</v>
      </c>
      <c r="N143" s="136">
        <v>0</v>
      </c>
      <c r="O143" s="136"/>
      <c r="P143" s="136">
        <v>2365275</v>
      </c>
      <c r="Q143" s="136">
        <v>9351827</v>
      </c>
      <c r="R143" s="166">
        <f>ROUND(M143*N143,0)</f>
        <v>0</v>
      </c>
      <c r="S143" s="166">
        <f>ROUND(M143*O143,0)</f>
        <v>0</v>
      </c>
      <c r="T143" s="166">
        <f>ROUND(M143*P143,0)</f>
        <v>18839415</v>
      </c>
      <c r="U143" s="166">
        <f>ROUND(M143*Q143,0)</f>
        <v>74487302</v>
      </c>
      <c r="V143" s="34"/>
      <c r="W143" s="34"/>
      <c r="X143" s="34"/>
      <c r="Y143" s="17" t="s">
        <v>82</v>
      </c>
      <c r="Z143" s="17" t="s">
        <v>321</v>
      </c>
    </row>
    <row r="144" spans="1:26" ht="48.95" customHeight="1" outlineLevel="1" x14ac:dyDescent="0.25">
      <c r="A144" s="63">
        <v>113</v>
      </c>
      <c r="B144" s="29" t="s">
        <v>30</v>
      </c>
      <c r="C144" s="80" t="s">
        <v>427</v>
      </c>
      <c r="D144" s="119" t="s">
        <v>227</v>
      </c>
      <c r="E144" s="142"/>
      <c r="F144" s="11"/>
      <c r="G144" s="11"/>
      <c r="H144" s="11"/>
      <c r="I144" s="11"/>
      <c r="J144" s="11"/>
      <c r="K144" s="214"/>
      <c r="L144" s="224"/>
      <c r="M144" s="59">
        <f>ROUND(SUM(L145:L145),4)</f>
        <v>2.2334000000000001</v>
      </c>
      <c r="N144" s="71">
        <v>116794367</v>
      </c>
      <c r="O144" s="71"/>
      <c r="P144" s="71"/>
      <c r="Q144" s="71"/>
      <c r="R144" s="166">
        <f>ROUND(M144*N144,0)</f>
        <v>260848539</v>
      </c>
      <c r="S144" s="166">
        <f>ROUND(M144*O144,0)</f>
        <v>0</v>
      </c>
      <c r="T144" s="166">
        <f>ROUND(M144*P144,0)</f>
        <v>0</v>
      </c>
      <c r="U144" s="166">
        <f>ROUND(M144*Q144,0)</f>
        <v>0</v>
      </c>
      <c r="V144" s="152"/>
      <c r="W144" s="152"/>
      <c r="X144" s="152"/>
      <c r="Y144" s="17"/>
      <c r="Z144" s="17"/>
    </row>
    <row r="145" spans="1:26" ht="48.95" customHeight="1" outlineLevel="1" x14ac:dyDescent="0.25">
      <c r="A145" s="161"/>
      <c r="B145" s="133"/>
      <c r="C145" s="133" t="s">
        <v>959</v>
      </c>
      <c r="D145" s="161"/>
      <c r="E145" s="156"/>
      <c r="F145" s="27"/>
      <c r="G145" s="27"/>
      <c r="H145" s="27"/>
      <c r="I145" s="27"/>
      <c r="J145" s="27"/>
      <c r="K145" s="215"/>
      <c r="L145" s="225">
        <v>2.2334000000000001</v>
      </c>
      <c r="M145" s="45"/>
      <c r="N145" s="156"/>
      <c r="O145" s="156"/>
      <c r="P145" s="156"/>
      <c r="Q145" s="156"/>
      <c r="R145" s="156"/>
      <c r="S145" s="156"/>
      <c r="T145" s="156"/>
      <c r="U145" s="156"/>
      <c r="V145" s="20"/>
      <c r="W145" s="20"/>
      <c r="X145" s="20"/>
      <c r="Y145" s="17"/>
      <c r="Z145" s="17"/>
    </row>
    <row r="146" spans="1:26" ht="48.95" customHeight="1" outlineLevel="1" x14ac:dyDescent="0.25">
      <c r="A146" s="124">
        <v>114</v>
      </c>
      <c r="B146" s="52" t="s">
        <v>619</v>
      </c>
      <c r="C146" s="144" t="s">
        <v>813</v>
      </c>
      <c r="D146" s="168" t="s">
        <v>227</v>
      </c>
      <c r="E146" s="142"/>
      <c r="F146" s="11"/>
      <c r="G146" s="11"/>
      <c r="H146" s="11"/>
      <c r="I146" s="11"/>
      <c r="J146" s="11"/>
      <c r="K146" s="214"/>
      <c r="L146" s="224"/>
      <c r="M146" s="45">
        <f>ROUND(M142+M143,4)</f>
        <v>31.86</v>
      </c>
      <c r="N146" s="136"/>
      <c r="O146" s="136"/>
      <c r="P146" s="136">
        <v>1848275</v>
      </c>
      <c r="Q146" s="136">
        <v>9384220</v>
      </c>
      <c r="R146" s="166">
        <f>ROUND(M146*N146,0)</f>
        <v>0</v>
      </c>
      <c r="S146" s="166">
        <f>ROUND(M146*O146,0)</f>
        <v>0</v>
      </c>
      <c r="T146" s="166">
        <f>ROUND(M146*P146,0)</f>
        <v>58886042</v>
      </c>
      <c r="U146" s="166">
        <f>ROUND(M146*Q146,0)</f>
        <v>298981249</v>
      </c>
      <c r="V146" s="34"/>
      <c r="W146" s="34"/>
      <c r="X146" s="34"/>
      <c r="Y146" s="17" t="s">
        <v>82</v>
      </c>
      <c r="Z146" s="17" t="s">
        <v>321</v>
      </c>
    </row>
    <row r="147" spans="1:26" ht="48.95" customHeight="1" outlineLevel="1" x14ac:dyDescent="0.25">
      <c r="A147" s="124">
        <v>115</v>
      </c>
      <c r="B147" s="138" t="s">
        <v>719</v>
      </c>
      <c r="C147" s="144" t="s">
        <v>886</v>
      </c>
      <c r="D147" s="168" t="s">
        <v>1172</v>
      </c>
      <c r="E147" s="142"/>
      <c r="F147" s="11"/>
      <c r="G147" s="11"/>
      <c r="H147" s="11"/>
      <c r="I147" s="11"/>
      <c r="J147" s="11"/>
      <c r="K147" s="214"/>
      <c r="L147" s="224"/>
      <c r="M147" s="59">
        <f>ROUND( 82426.37 /1000,4)</f>
        <v>82.426400000000001</v>
      </c>
      <c r="N147" s="136">
        <v>766340</v>
      </c>
      <c r="O147" s="136"/>
      <c r="P147" s="136">
        <v>5211175</v>
      </c>
      <c r="Q147" s="136">
        <v>2229025</v>
      </c>
      <c r="R147" s="166">
        <f>ROUND(M147*N147,0)</f>
        <v>63166647</v>
      </c>
      <c r="S147" s="166">
        <f>ROUND(M147*O147,0)</f>
        <v>0</v>
      </c>
      <c r="T147" s="166">
        <f>ROUND(M147*P147,0)</f>
        <v>429538395</v>
      </c>
      <c r="U147" s="166">
        <f>ROUND(M147*Q147,0)</f>
        <v>183730506</v>
      </c>
      <c r="V147" s="34"/>
      <c r="W147" s="34"/>
      <c r="X147" s="34"/>
      <c r="Y147" s="17" t="s">
        <v>82</v>
      </c>
      <c r="Z147" s="17" t="s">
        <v>321</v>
      </c>
    </row>
    <row r="148" spans="1:26" ht="48.95" customHeight="1" outlineLevel="1" x14ac:dyDescent="0.25">
      <c r="A148" s="63">
        <v>116</v>
      </c>
      <c r="B148" s="29" t="s">
        <v>30</v>
      </c>
      <c r="C148" s="80" t="s">
        <v>476</v>
      </c>
      <c r="D148" s="119" t="s">
        <v>1172</v>
      </c>
      <c r="E148" s="142"/>
      <c r="F148" s="11"/>
      <c r="G148" s="11"/>
      <c r="H148" s="11"/>
      <c r="I148" s="11"/>
      <c r="J148" s="11"/>
      <c r="K148" s="214"/>
      <c r="L148" s="224"/>
      <c r="M148" s="45">
        <f>ROUND(SUM(L149:L149),4)</f>
        <v>10.715400000000001</v>
      </c>
      <c r="N148" s="71">
        <v>15985723</v>
      </c>
      <c r="O148" s="71"/>
      <c r="P148" s="71"/>
      <c r="Q148" s="71"/>
      <c r="R148" s="166">
        <f>ROUND(M148*N148,0)</f>
        <v>171293416</v>
      </c>
      <c r="S148" s="166">
        <f>ROUND(M148*O148,0)</f>
        <v>0</v>
      </c>
      <c r="T148" s="166">
        <f>ROUND(M148*P148,0)</f>
        <v>0</v>
      </c>
      <c r="U148" s="166">
        <f>ROUND(M148*Q148,0)</f>
        <v>0</v>
      </c>
      <c r="V148" s="152"/>
      <c r="W148" s="152"/>
      <c r="X148" s="152"/>
      <c r="Y148" s="17"/>
      <c r="Z148" s="17"/>
    </row>
    <row r="149" spans="1:26" ht="48.95" customHeight="1" outlineLevel="1" x14ac:dyDescent="0.25">
      <c r="A149" s="161"/>
      <c r="B149" s="133"/>
      <c r="C149" s="133" t="s">
        <v>1151</v>
      </c>
      <c r="D149" s="161"/>
      <c r="E149" s="156"/>
      <c r="F149" s="27"/>
      <c r="G149" s="27"/>
      <c r="H149" s="27"/>
      <c r="I149" s="27"/>
      <c r="J149" s="27"/>
      <c r="K149" s="215"/>
      <c r="L149" s="225">
        <v>10.715400000000001</v>
      </c>
      <c r="M149" s="45"/>
      <c r="N149" s="156"/>
      <c r="O149" s="156"/>
      <c r="P149" s="156"/>
      <c r="Q149" s="156"/>
      <c r="R149" s="156"/>
      <c r="S149" s="156"/>
      <c r="T149" s="156"/>
      <c r="U149" s="156"/>
      <c r="V149" s="20"/>
      <c r="W149" s="20"/>
      <c r="X149" s="20"/>
      <c r="Y149" s="17"/>
      <c r="Z149" s="17"/>
    </row>
    <row r="150" spans="1:26" ht="48.95" customHeight="1" outlineLevel="1" x14ac:dyDescent="0.25">
      <c r="A150" s="124">
        <v>117</v>
      </c>
      <c r="B150" s="138" t="s">
        <v>954</v>
      </c>
      <c r="C150" s="144" t="s">
        <v>751</v>
      </c>
      <c r="D150" s="168" t="s">
        <v>1172</v>
      </c>
      <c r="E150" s="142"/>
      <c r="F150" s="11"/>
      <c r="G150" s="11"/>
      <c r="H150" s="11"/>
      <c r="I150" s="11"/>
      <c r="J150" s="11"/>
      <c r="K150" s="214"/>
      <c r="L150" s="224"/>
      <c r="M150" s="45">
        <f>ROUND(M147,4)</f>
        <v>82.426400000000001</v>
      </c>
      <c r="N150" s="136">
        <v>373772</v>
      </c>
      <c r="O150" s="136"/>
      <c r="P150" s="136">
        <v>2189570</v>
      </c>
      <c r="Q150" s="136">
        <v>1660581</v>
      </c>
      <c r="R150" s="166">
        <f t="shared" ref="R150:R155" si="33">ROUND(M150*N150,0)</f>
        <v>30808680</v>
      </c>
      <c r="S150" s="166">
        <f t="shared" ref="S150:S155" si="34">ROUND(M150*O150,0)</f>
        <v>0</v>
      </c>
      <c r="T150" s="166">
        <f t="shared" ref="T150:T155" si="35">ROUND(M150*P150,0)</f>
        <v>180478373</v>
      </c>
      <c r="U150" s="166">
        <f t="shared" ref="U150:U155" si="36">ROUND(M150*Q150,0)</f>
        <v>136875714</v>
      </c>
      <c r="V150" s="34"/>
      <c r="W150" s="34"/>
      <c r="X150" s="34"/>
      <c r="Y150" s="17" t="s">
        <v>82</v>
      </c>
      <c r="Z150" s="17" t="s">
        <v>321</v>
      </c>
    </row>
    <row r="151" spans="1:26" ht="48.95" customHeight="1" outlineLevel="1" x14ac:dyDescent="0.25">
      <c r="A151" s="124">
        <v>118</v>
      </c>
      <c r="B151" s="138" t="s">
        <v>954</v>
      </c>
      <c r="C151" s="153" t="s">
        <v>264</v>
      </c>
      <c r="D151" s="168" t="s">
        <v>1172</v>
      </c>
      <c r="E151" s="142"/>
      <c r="F151" s="11"/>
      <c r="G151" s="11"/>
      <c r="H151" s="11"/>
      <c r="I151" s="11"/>
      <c r="J151" s="11"/>
      <c r="K151" s="214"/>
      <c r="L151" s="224"/>
      <c r="M151" s="45">
        <f>ROUND(M150,4)</f>
        <v>82.426400000000001</v>
      </c>
      <c r="N151" s="136">
        <v>224263</v>
      </c>
      <c r="O151" s="136"/>
      <c r="P151" s="136">
        <v>1313742</v>
      </c>
      <c r="Q151" s="136">
        <v>996348</v>
      </c>
      <c r="R151" s="166">
        <f t="shared" si="33"/>
        <v>18485192</v>
      </c>
      <c r="S151" s="166">
        <f t="shared" si="34"/>
        <v>0</v>
      </c>
      <c r="T151" s="166">
        <f t="shared" si="35"/>
        <v>108287024</v>
      </c>
      <c r="U151" s="166">
        <f t="shared" si="36"/>
        <v>82125379</v>
      </c>
      <c r="V151" s="34"/>
      <c r="W151" s="34"/>
      <c r="X151" s="34"/>
      <c r="Y151" s="17" t="s">
        <v>82</v>
      </c>
      <c r="Z151" s="17" t="s">
        <v>321</v>
      </c>
    </row>
    <row r="152" spans="1:26" ht="48.95" customHeight="1" outlineLevel="1" x14ac:dyDescent="0.25">
      <c r="A152" s="63">
        <v>119</v>
      </c>
      <c r="B152" s="29" t="s">
        <v>30</v>
      </c>
      <c r="C152" s="80" t="s">
        <v>770</v>
      </c>
      <c r="D152" s="119" t="s">
        <v>75</v>
      </c>
      <c r="E152" s="142"/>
      <c r="F152" s="11"/>
      <c r="G152" s="11"/>
      <c r="H152" s="11"/>
      <c r="I152" s="11"/>
      <c r="J152" s="11"/>
      <c r="K152" s="214"/>
      <c r="L152" s="224"/>
      <c r="M152" s="45">
        <v>1952</v>
      </c>
      <c r="N152" s="71">
        <v>21000</v>
      </c>
      <c r="O152" s="71"/>
      <c r="P152" s="71"/>
      <c r="Q152" s="71"/>
      <c r="R152" s="166">
        <f t="shared" si="33"/>
        <v>40992000</v>
      </c>
      <c r="S152" s="166">
        <f t="shared" si="34"/>
        <v>0</v>
      </c>
      <c r="T152" s="166">
        <f t="shared" si="35"/>
        <v>0</v>
      </c>
      <c r="U152" s="166">
        <f t="shared" si="36"/>
        <v>0</v>
      </c>
      <c r="V152" s="152"/>
      <c r="W152" s="152"/>
      <c r="X152" s="152"/>
      <c r="Y152" s="17"/>
      <c r="Z152" s="17"/>
    </row>
    <row r="153" spans="1:26" ht="48.95" customHeight="1" outlineLevel="1" x14ac:dyDescent="0.25">
      <c r="A153" s="124">
        <v>120</v>
      </c>
      <c r="B153" s="138" t="s">
        <v>203</v>
      </c>
      <c r="C153" s="144" t="s">
        <v>220</v>
      </c>
      <c r="D153" s="168" t="s">
        <v>227</v>
      </c>
      <c r="E153" s="142"/>
      <c r="F153" s="11"/>
      <c r="G153" s="11"/>
      <c r="H153" s="11"/>
      <c r="I153" s="11"/>
      <c r="J153" s="11"/>
      <c r="K153" s="214"/>
      <c r="L153" s="224"/>
      <c r="M153" s="45">
        <f>ROUND(270/100,4)</f>
        <v>2.7</v>
      </c>
      <c r="N153" s="136">
        <v>0</v>
      </c>
      <c r="O153" s="136"/>
      <c r="P153" s="136">
        <v>1737120</v>
      </c>
      <c r="Q153" s="136">
        <v>5353673</v>
      </c>
      <c r="R153" s="166">
        <f t="shared" si="33"/>
        <v>0</v>
      </c>
      <c r="S153" s="166">
        <f t="shared" si="34"/>
        <v>0</v>
      </c>
      <c r="T153" s="166">
        <f t="shared" si="35"/>
        <v>4690224</v>
      </c>
      <c r="U153" s="166">
        <f t="shared" si="36"/>
        <v>14454917</v>
      </c>
      <c r="V153" s="34"/>
      <c r="W153" s="34"/>
      <c r="X153" s="34"/>
      <c r="Y153" s="17" t="s">
        <v>82</v>
      </c>
      <c r="Z153" s="17" t="s">
        <v>321</v>
      </c>
    </row>
    <row r="154" spans="1:26" ht="48.95" customHeight="1" outlineLevel="1" x14ac:dyDescent="0.25">
      <c r="A154" s="124">
        <v>121</v>
      </c>
      <c r="B154" s="138" t="s">
        <v>203</v>
      </c>
      <c r="C154" s="144" t="s">
        <v>107</v>
      </c>
      <c r="D154" s="168" t="s">
        <v>227</v>
      </c>
      <c r="E154" s="142"/>
      <c r="F154" s="11"/>
      <c r="G154" s="11"/>
      <c r="H154" s="11"/>
      <c r="I154" s="11"/>
      <c r="J154" s="11"/>
      <c r="K154" s="214"/>
      <c r="L154" s="224"/>
      <c r="M154" s="45">
        <v>0.9</v>
      </c>
      <c r="N154" s="136">
        <v>0</v>
      </c>
      <c r="O154" s="136"/>
      <c r="P154" s="136">
        <v>1496715</v>
      </c>
      <c r="Q154" s="136">
        <v>4015255</v>
      </c>
      <c r="R154" s="166">
        <f t="shared" si="33"/>
        <v>0</v>
      </c>
      <c r="S154" s="166">
        <f t="shared" si="34"/>
        <v>0</v>
      </c>
      <c r="T154" s="166">
        <f t="shared" si="35"/>
        <v>1347044</v>
      </c>
      <c r="U154" s="166">
        <f t="shared" si="36"/>
        <v>3613730</v>
      </c>
      <c r="V154" s="34"/>
      <c r="W154" s="34"/>
      <c r="X154" s="34"/>
      <c r="Y154" s="17" t="s">
        <v>82</v>
      </c>
      <c r="Z154" s="17" t="s">
        <v>321</v>
      </c>
    </row>
    <row r="155" spans="1:26" ht="48.95" customHeight="1" outlineLevel="1" x14ac:dyDescent="0.25">
      <c r="A155" s="63">
        <v>122</v>
      </c>
      <c r="B155" s="29" t="s">
        <v>30</v>
      </c>
      <c r="C155" s="80" t="s">
        <v>717</v>
      </c>
      <c r="D155" s="119" t="s">
        <v>227</v>
      </c>
      <c r="E155" s="142"/>
      <c r="F155" s="11"/>
      <c r="G155" s="11"/>
      <c r="H155" s="11"/>
      <c r="I155" s="11"/>
      <c r="J155" s="11"/>
      <c r="K155" s="214"/>
      <c r="L155" s="224"/>
      <c r="M155" s="45">
        <f>ROUND(SUM(L156:L156),4)</f>
        <v>0.25240000000000001</v>
      </c>
      <c r="N155" s="71">
        <v>156370220</v>
      </c>
      <c r="O155" s="71"/>
      <c r="P155" s="71"/>
      <c r="Q155" s="71"/>
      <c r="R155" s="166">
        <f t="shared" si="33"/>
        <v>39467844</v>
      </c>
      <c r="S155" s="166">
        <f t="shared" si="34"/>
        <v>0</v>
      </c>
      <c r="T155" s="166">
        <f t="shared" si="35"/>
        <v>0</v>
      </c>
      <c r="U155" s="166">
        <f t="shared" si="36"/>
        <v>0</v>
      </c>
      <c r="V155" s="152"/>
      <c r="W155" s="152"/>
      <c r="X155" s="152"/>
      <c r="Y155" s="17"/>
      <c r="Z155" s="17"/>
    </row>
    <row r="156" spans="1:26" ht="48.95" customHeight="1" outlineLevel="1" x14ac:dyDescent="0.25">
      <c r="A156" s="161"/>
      <c r="B156" s="133"/>
      <c r="C156" s="133" t="s">
        <v>911</v>
      </c>
      <c r="D156" s="161"/>
      <c r="E156" s="156"/>
      <c r="F156" s="27"/>
      <c r="G156" s="27"/>
      <c r="H156" s="27"/>
      <c r="I156" s="27"/>
      <c r="J156" s="27"/>
      <c r="K156" s="215"/>
      <c r="L156" s="223">
        <v>0.25240000000000001</v>
      </c>
      <c r="M156" s="45"/>
      <c r="N156" s="156"/>
      <c r="O156" s="156"/>
      <c r="P156" s="156"/>
      <c r="Q156" s="156"/>
      <c r="R156" s="166"/>
      <c r="S156" s="166"/>
      <c r="T156" s="166"/>
      <c r="U156" s="166"/>
      <c r="V156" s="20"/>
      <c r="W156" s="20"/>
      <c r="X156" s="20"/>
      <c r="Y156" s="17"/>
      <c r="Z156" s="17"/>
    </row>
    <row r="157" spans="1:26" ht="48.95" customHeight="1" outlineLevel="1" x14ac:dyDescent="0.25">
      <c r="A157" s="124">
        <v>123</v>
      </c>
      <c r="B157" s="138" t="s">
        <v>157</v>
      </c>
      <c r="C157" s="144" t="s">
        <v>306</v>
      </c>
      <c r="D157" s="168" t="s">
        <v>227</v>
      </c>
      <c r="E157" s="142"/>
      <c r="F157" s="11"/>
      <c r="G157" s="11"/>
      <c r="H157" s="11"/>
      <c r="I157" s="11"/>
      <c r="J157" s="11"/>
      <c r="K157" s="214"/>
      <c r="L157" s="224"/>
      <c r="M157" s="45">
        <v>3.6</v>
      </c>
      <c r="N157" s="136"/>
      <c r="O157" s="136"/>
      <c r="P157" s="136">
        <v>687610</v>
      </c>
      <c r="Q157" s="136">
        <v>3852512</v>
      </c>
      <c r="R157" s="166">
        <f t="shared" ref="R157:R166" si="37">ROUND(M157*N157,0)</f>
        <v>0</v>
      </c>
      <c r="S157" s="166">
        <f t="shared" ref="S157:S166" si="38">ROUND(M157*O157,0)</f>
        <v>0</v>
      </c>
      <c r="T157" s="166">
        <f t="shared" ref="T157:T166" si="39">ROUND(M157*P157,0)</f>
        <v>2475396</v>
      </c>
      <c r="U157" s="166">
        <f t="shared" ref="U157:U166" si="40">ROUND(M157*Q157,0)</f>
        <v>13869043</v>
      </c>
      <c r="V157" s="34"/>
      <c r="W157" s="34"/>
      <c r="X157" s="34"/>
      <c r="Y157" s="17" t="s">
        <v>82</v>
      </c>
      <c r="Z157" s="17" t="s">
        <v>321</v>
      </c>
    </row>
    <row r="158" spans="1:26" ht="48.95" customHeight="1" outlineLevel="1" x14ac:dyDescent="0.25">
      <c r="A158" s="124">
        <v>124</v>
      </c>
      <c r="B158" s="52" t="s">
        <v>598</v>
      </c>
      <c r="C158" s="144" t="s">
        <v>193</v>
      </c>
      <c r="D158" s="168" t="s">
        <v>1172</v>
      </c>
      <c r="E158" s="142"/>
      <c r="F158" s="11"/>
      <c r="G158" s="11"/>
      <c r="H158" s="11"/>
      <c r="I158" s="11"/>
      <c r="J158" s="11"/>
      <c r="K158" s="214"/>
      <c r="L158" s="224"/>
      <c r="M158" s="45">
        <f>ROUND(74.06/1000,4)</f>
        <v>7.4099999999999999E-2</v>
      </c>
      <c r="N158" s="136">
        <v>15882071</v>
      </c>
      <c r="O158" s="136"/>
      <c r="P158" s="136">
        <v>6303730</v>
      </c>
      <c r="Q158" s="136">
        <v>2549508</v>
      </c>
      <c r="R158" s="166">
        <f t="shared" si="37"/>
        <v>1176861</v>
      </c>
      <c r="S158" s="166">
        <f t="shared" si="38"/>
        <v>0</v>
      </c>
      <c r="T158" s="166">
        <f t="shared" si="39"/>
        <v>467106</v>
      </c>
      <c r="U158" s="166">
        <f t="shared" si="40"/>
        <v>188919</v>
      </c>
      <c r="V158" s="34"/>
      <c r="W158" s="34"/>
      <c r="X158" s="34"/>
      <c r="Y158" s="17" t="s">
        <v>82</v>
      </c>
      <c r="Z158" s="17" t="s">
        <v>321</v>
      </c>
    </row>
    <row r="159" spans="1:26" ht="48.95" customHeight="1" outlineLevel="1" x14ac:dyDescent="0.25">
      <c r="A159" s="124">
        <v>125</v>
      </c>
      <c r="B159" s="138" t="s">
        <v>389</v>
      </c>
      <c r="C159" s="144" t="s">
        <v>154</v>
      </c>
      <c r="D159" s="168" t="s">
        <v>1172</v>
      </c>
      <c r="E159" s="142"/>
      <c r="F159" s="11"/>
      <c r="G159" s="11"/>
      <c r="H159" s="11"/>
      <c r="I159" s="11"/>
      <c r="J159" s="11"/>
      <c r="K159" s="214"/>
      <c r="L159" s="224"/>
      <c r="M159" s="45">
        <f>ROUND(M158,4)</f>
        <v>7.4099999999999999E-2</v>
      </c>
      <c r="N159" s="136">
        <v>429547</v>
      </c>
      <c r="O159" s="136"/>
      <c r="P159" s="136">
        <v>2660999</v>
      </c>
      <c r="Q159" s="136">
        <v>1921545</v>
      </c>
      <c r="R159" s="166">
        <f t="shared" si="37"/>
        <v>31829</v>
      </c>
      <c r="S159" s="166">
        <f t="shared" si="38"/>
        <v>0</v>
      </c>
      <c r="T159" s="166">
        <f t="shared" si="39"/>
        <v>197180</v>
      </c>
      <c r="U159" s="166">
        <f t="shared" si="40"/>
        <v>142386</v>
      </c>
      <c r="V159" s="34"/>
      <c r="W159" s="34"/>
      <c r="X159" s="34"/>
      <c r="Y159" s="17" t="s">
        <v>82</v>
      </c>
      <c r="Z159" s="17" t="s">
        <v>321</v>
      </c>
    </row>
    <row r="160" spans="1:26" ht="48.95" customHeight="1" outlineLevel="1" x14ac:dyDescent="0.25">
      <c r="A160" s="124">
        <v>126</v>
      </c>
      <c r="B160" s="138" t="s">
        <v>1071</v>
      </c>
      <c r="C160" s="144" t="s">
        <v>738</v>
      </c>
      <c r="D160" s="168" t="s">
        <v>227</v>
      </c>
      <c r="E160" s="142"/>
      <c r="F160" s="11"/>
      <c r="G160" s="11"/>
      <c r="H160" s="11"/>
      <c r="I160" s="11"/>
      <c r="J160" s="11"/>
      <c r="K160" s="214"/>
      <c r="L160" s="224"/>
      <c r="M160" s="45">
        <f>ROUND(705*3/100,4)</f>
        <v>21.15</v>
      </c>
      <c r="N160" s="136">
        <v>767494</v>
      </c>
      <c r="O160" s="136"/>
      <c r="P160" s="136">
        <v>605983</v>
      </c>
      <c r="Q160" s="136"/>
      <c r="R160" s="166">
        <f t="shared" si="37"/>
        <v>16232498</v>
      </c>
      <c r="S160" s="166">
        <f t="shared" si="38"/>
        <v>0</v>
      </c>
      <c r="T160" s="166">
        <f t="shared" si="39"/>
        <v>12816540</v>
      </c>
      <c r="U160" s="166">
        <f t="shared" si="40"/>
        <v>0</v>
      </c>
      <c r="V160" s="34"/>
      <c r="W160" s="34"/>
      <c r="X160" s="34"/>
      <c r="Y160" s="17" t="s">
        <v>82</v>
      </c>
      <c r="Z160" s="17" t="s">
        <v>321</v>
      </c>
    </row>
    <row r="161" spans="1:26" ht="48.95" customHeight="1" outlineLevel="1" x14ac:dyDescent="0.25">
      <c r="A161" s="124">
        <v>127</v>
      </c>
      <c r="B161" s="138" t="s">
        <v>576</v>
      </c>
      <c r="C161" s="144" t="s">
        <v>27</v>
      </c>
      <c r="D161" s="168" t="s">
        <v>836</v>
      </c>
      <c r="E161" s="142"/>
      <c r="F161" s="11"/>
      <c r="G161" s="11"/>
      <c r="H161" s="11"/>
      <c r="I161" s="11"/>
      <c r="J161" s="11"/>
      <c r="K161" s="214"/>
      <c r="L161" s="224"/>
      <c r="M161" s="45">
        <f>ROUND(73.21/100,4)</f>
        <v>0.73209999999999997</v>
      </c>
      <c r="N161" s="136">
        <v>2592044</v>
      </c>
      <c r="O161" s="136"/>
      <c r="P161" s="136">
        <v>258681</v>
      </c>
      <c r="Q161" s="136"/>
      <c r="R161" s="166">
        <f t="shared" si="37"/>
        <v>1897635</v>
      </c>
      <c r="S161" s="166">
        <f t="shared" si="38"/>
        <v>0</v>
      </c>
      <c r="T161" s="166">
        <f t="shared" si="39"/>
        <v>189380</v>
      </c>
      <c r="U161" s="166">
        <f t="shared" si="40"/>
        <v>0</v>
      </c>
      <c r="V161" s="34"/>
      <c r="W161" s="34"/>
      <c r="X161" s="34"/>
      <c r="Y161" s="17" t="s">
        <v>82</v>
      </c>
      <c r="Z161" s="17" t="s">
        <v>321</v>
      </c>
    </row>
    <row r="162" spans="1:26" ht="48.95" customHeight="1" outlineLevel="1" x14ac:dyDescent="0.25">
      <c r="A162" s="63">
        <v>128</v>
      </c>
      <c r="B162" s="29" t="s">
        <v>30</v>
      </c>
      <c r="C162" s="80" t="s">
        <v>487</v>
      </c>
      <c r="D162" s="119" t="s">
        <v>155</v>
      </c>
      <c r="E162" s="142"/>
      <c r="F162" s="11"/>
      <c r="G162" s="11"/>
      <c r="H162" s="11"/>
      <c r="I162" s="11"/>
      <c r="J162" s="11"/>
      <c r="K162" s="214"/>
      <c r="L162" s="224"/>
      <c r="M162" s="45">
        <v>7.43</v>
      </c>
      <c r="N162" s="71">
        <v>440281</v>
      </c>
      <c r="O162" s="71"/>
      <c r="P162" s="71">
        <v>459343</v>
      </c>
      <c r="Q162" s="71"/>
      <c r="R162" s="166">
        <f t="shared" si="37"/>
        <v>3271288</v>
      </c>
      <c r="S162" s="166">
        <f t="shared" si="38"/>
        <v>0</v>
      </c>
      <c r="T162" s="166">
        <f t="shared" si="39"/>
        <v>3412918</v>
      </c>
      <c r="U162" s="166">
        <f t="shared" si="40"/>
        <v>0</v>
      </c>
      <c r="V162" s="152"/>
      <c r="W162" s="152"/>
      <c r="X162" s="152"/>
      <c r="Y162" s="17"/>
      <c r="Z162" s="17"/>
    </row>
    <row r="163" spans="1:26" ht="48.95" customHeight="1" outlineLevel="1" x14ac:dyDescent="0.25">
      <c r="A163" s="124">
        <v>129</v>
      </c>
      <c r="B163" s="138" t="s">
        <v>1154</v>
      </c>
      <c r="C163" s="144" t="s">
        <v>1145</v>
      </c>
      <c r="D163" s="168" t="s">
        <v>155</v>
      </c>
      <c r="E163" s="142"/>
      <c r="F163" s="11"/>
      <c r="G163" s="11"/>
      <c r="H163" s="11"/>
      <c r="I163" s="11"/>
      <c r="J163" s="11"/>
      <c r="K163" s="214"/>
      <c r="L163" s="224"/>
      <c r="M163" s="45">
        <v>4.96</v>
      </c>
      <c r="N163" s="136">
        <v>279990</v>
      </c>
      <c r="O163" s="136"/>
      <c r="P163" s="136">
        <v>87854</v>
      </c>
      <c r="Q163" s="136"/>
      <c r="R163" s="166">
        <f t="shared" si="37"/>
        <v>1388750</v>
      </c>
      <c r="S163" s="166">
        <f t="shared" si="38"/>
        <v>0</v>
      </c>
      <c r="T163" s="166">
        <f t="shared" si="39"/>
        <v>435756</v>
      </c>
      <c r="U163" s="166">
        <f t="shared" si="40"/>
        <v>0</v>
      </c>
      <c r="V163" s="34"/>
      <c r="W163" s="34"/>
      <c r="X163" s="34"/>
      <c r="Y163" s="17" t="s">
        <v>82</v>
      </c>
      <c r="Z163" s="17" t="s">
        <v>321</v>
      </c>
    </row>
    <row r="164" spans="1:26" ht="48.95" customHeight="1" outlineLevel="1" x14ac:dyDescent="0.25">
      <c r="A164" s="124">
        <v>130</v>
      </c>
      <c r="B164" s="52" t="s">
        <v>958</v>
      </c>
      <c r="C164" s="153" t="s">
        <v>57</v>
      </c>
      <c r="D164" s="168" t="s">
        <v>793</v>
      </c>
      <c r="E164" s="142"/>
      <c r="F164" s="11"/>
      <c r="G164" s="11"/>
      <c r="H164" s="11"/>
      <c r="I164" s="11"/>
      <c r="J164" s="11"/>
      <c r="K164" s="214"/>
      <c r="L164" s="224"/>
      <c r="M164" s="45">
        <f>ROUND(5761.79/100,4)</f>
        <v>57.617899999999999</v>
      </c>
      <c r="N164" s="136"/>
      <c r="O164" s="136"/>
      <c r="P164" s="136">
        <v>345722</v>
      </c>
      <c r="Q164" s="136">
        <v>2703558</v>
      </c>
      <c r="R164" s="166">
        <f t="shared" si="37"/>
        <v>0</v>
      </c>
      <c r="S164" s="166">
        <f t="shared" si="38"/>
        <v>0</v>
      </c>
      <c r="T164" s="166">
        <f t="shared" si="39"/>
        <v>19919776</v>
      </c>
      <c r="U164" s="166">
        <f t="shared" si="40"/>
        <v>155773334</v>
      </c>
      <c r="V164" s="34"/>
      <c r="W164" s="34"/>
      <c r="X164" s="34"/>
      <c r="Y164" s="17" t="s">
        <v>82</v>
      </c>
      <c r="Z164" s="17" t="s">
        <v>321</v>
      </c>
    </row>
    <row r="165" spans="1:26" ht="48.95" customHeight="1" outlineLevel="1" x14ac:dyDescent="0.25">
      <c r="A165" s="124">
        <v>131</v>
      </c>
      <c r="B165" s="52" t="s">
        <v>800</v>
      </c>
      <c r="C165" s="144" t="s">
        <v>973</v>
      </c>
      <c r="D165" s="168" t="s">
        <v>155</v>
      </c>
      <c r="E165" s="142"/>
      <c r="F165" s="11"/>
      <c r="G165" s="11"/>
      <c r="H165" s="11"/>
      <c r="I165" s="11"/>
      <c r="J165" s="11"/>
      <c r="K165" s="214"/>
      <c r="L165" s="224"/>
      <c r="M165" s="59">
        <v>271.7</v>
      </c>
      <c r="N165" s="136">
        <v>6542</v>
      </c>
      <c r="O165" s="136"/>
      <c r="P165" s="136">
        <v>149220</v>
      </c>
      <c r="Q165" s="136">
        <v>893511</v>
      </c>
      <c r="R165" s="166">
        <f t="shared" si="37"/>
        <v>1777461</v>
      </c>
      <c r="S165" s="166">
        <f t="shared" si="38"/>
        <v>0</v>
      </c>
      <c r="T165" s="166">
        <f t="shared" si="39"/>
        <v>40543074</v>
      </c>
      <c r="U165" s="166">
        <f t="shared" si="40"/>
        <v>242766939</v>
      </c>
      <c r="V165" s="34"/>
      <c r="W165" s="34"/>
      <c r="X165" s="34"/>
      <c r="Y165" s="17" t="s">
        <v>82</v>
      </c>
      <c r="Z165" s="17" t="s">
        <v>321</v>
      </c>
    </row>
    <row r="166" spans="1:26" ht="48.95" customHeight="1" outlineLevel="1" x14ac:dyDescent="0.25">
      <c r="A166" s="124">
        <v>132</v>
      </c>
      <c r="B166" s="52" t="s">
        <v>1077</v>
      </c>
      <c r="C166" s="144" t="s">
        <v>680</v>
      </c>
      <c r="D166" s="168" t="s">
        <v>793</v>
      </c>
      <c r="E166" s="142"/>
      <c r="F166" s="11"/>
      <c r="G166" s="11"/>
      <c r="H166" s="11"/>
      <c r="I166" s="11"/>
      <c r="J166" s="11"/>
      <c r="K166" s="214"/>
      <c r="L166" s="224"/>
      <c r="M166" s="45">
        <f>ROUND(1507.96/100,4)</f>
        <v>15.079599999999999</v>
      </c>
      <c r="N166" s="136"/>
      <c r="O166" s="136"/>
      <c r="P166" s="136">
        <v>2037452</v>
      </c>
      <c r="Q166" s="136">
        <v>1401980</v>
      </c>
      <c r="R166" s="166">
        <f t="shared" si="37"/>
        <v>0</v>
      </c>
      <c r="S166" s="166">
        <f t="shared" si="38"/>
        <v>0</v>
      </c>
      <c r="T166" s="166">
        <f t="shared" si="39"/>
        <v>30723961</v>
      </c>
      <c r="U166" s="166">
        <f t="shared" si="40"/>
        <v>21141298</v>
      </c>
      <c r="V166" s="34"/>
      <c r="W166" s="34"/>
      <c r="X166" s="34"/>
      <c r="Y166" s="17" t="s">
        <v>82</v>
      </c>
      <c r="Z166" s="17" t="s">
        <v>321</v>
      </c>
    </row>
    <row r="167" spans="1:26" ht="48.95" customHeight="1" x14ac:dyDescent="0.25">
      <c r="A167" s="168"/>
      <c r="B167" s="144"/>
      <c r="C167" s="130" t="s">
        <v>736</v>
      </c>
      <c r="D167" s="168"/>
      <c r="E167" s="166"/>
      <c r="F167" s="37"/>
      <c r="G167" s="37"/>
      <c r="H167" s="37"/>
      <c r="I167" s="37"/>
      <c r="J167" s="37"/>
      <c r="K167" s="215"/>
      <c r="L167" s="223"/>
      <c r="M167" s="60"/>
      <c r="N167" s="166"/>
      <c r="O167" s="166"/>
      <c r="P167" s="166"/>
      <c r="Q167" s="166"/>
      <c r="R167" s="166"/>
      <c r="S167" s="166"/>
      <c r="T167" s="166"/>
      <c r="U167" s="166"/>
      <c r="V167" s="34"/>
      <c r="W167" s="34"/>
      <c r="X167" s="34"/>
      <c r="Y167" s="17"/>
      <c r="Z167" s="17"/>
    </row>
    <row r="168" spans="1:26" ht="48.95" customHeight="1" x14ac:dyDescent="0.25">
      <c r="A168" s="124">
        <v>133</v>
      </c>
      <c r="B168" s="138" t="s">
        <v>719</v>
      </c>
      <c r="C168" s="144" t="s">
        <v>354</v>
      </c>
      <c r="D168" s="168" t="s">
        <v>1172</v>
      </c>
      <c r="E168" s="142"/>
      <c r="F168" s="11"/>
      <c r="G168" s="11"/>
      <c r="H168" s="11"/>
      <c r="I168" s="11"/>
      <c r="J168" s="11"/>
      <c r="K168" s="214"/>
      <c r="L168" s="224"/>
      <c r="M168" s="45">
        <f>ROUND(40184.87/1000,4)</f>
        <v>40.184899999999999</v>
      </c>
      <c r="N168" s="136">
        <v>766340</v>
      </c>
      <c r="O168" s="136"/>
      <c r="P168" s="136">
        <v>5211175</v>
      </c>
      <c r="Q168" s="136">
        <v>2229025</v>
      </c>
      <c r="R168" s="166">
        <f>ROUND(M168*N168,0)</f>
        <v>30795296</v>
      </c>
      <c r="S168" s="166">
        <f>ROUND(M168*O168,0)</f>
        <v>0</v>
      </c>
      <c r="T168" s="166">
        <f>ROUND(M168*P168,0)</f>
        <v>209410546</v>
      </c>
      <c r="U168" s="166">
        <f>ROUND(M168*Q168,0)</f>
        <v>89573147</v>
      </c>
      <c r="V168" s="34"/>
      <c r="W168" s="34"/>
      <c r="X168" s="34"/>
      <c r="Y168" s="17" t="s">
        <v>82</v>
      </c>
      <c r="Z168" s="17" t="s">
        <v>321</v>
      </c>
    </row>
    <row r="169" spans="1:26" ht="48.95" customHeight="1" x14ac:dyDescent="0.25">
      <c r="A169" s="63">
        <v>134</v>
      </c>
      <c r="B169" s="29" t="s">
        <v>30</v>
      </c>
      <c r="C169" s="80" t="s">
        <v>476</v>
      </c>
      <c r="D169" s="119" t="s">
        <v>1172</v>
      </c>
      <c r="E169" s="142"/>
      <c r="F169" s="11"/>
      <c r="G169" s="11"/>
      <c r="H169" s="11"/>
      <c r="I169" s="11"/>
      <c r="J169" s="11"/>
      <c r="K169" s="214"/>
      <c r="L169" s="224"/>
      <c r="M169" s="45">
        <f>ROUND(SUM(L170:L170),4)</f>
        <v>5.2240000000000002</v>
      </c>
      <c r="N169" s="71">
        <v>15985723</v>
      </c>
      <c r="O169" s="71"/>
      <c r="P169" s="71"/>
      <c r="Q169" s="71"/>
      <c r="R169" s="166">
        <f>ROUND(M169*N169,0)</f>
        <v>83509417</v>
      </c>
      <c r="S169" s="166">
        <f>ROUND(M169*O169,0)</f>
        <v>0</v>
      </c>
      <c r="T169" s="166">
        <f>ROUND(M169*P169,0)</f>
        <v>0</v>
      </c>
      <c r="U169" s="166">
        <f>ROUND(M169*Q169,0)</f>
        <v>0</v>
      </c>
      <c r="V169" s="152"/>
      <c r="W169" s="152"/>
      <c r="X169" s="152"/>
      <c r="Y169" s="17"/>
      <c r="Z169" s="17"/>
    </row>
    <row r="170" spans="1:26" ht="48.95" customHeight="1" x14ac:dyDescent="0.25">
      <c r="A170" s="161"/>
      <c r="B170" s="133"/>
      <c r="C170" s="133" t="s">
        <v>198</v>
      </c>
      <c r="D170" s="161"/>
      <c r="E170" s="156"/>
      <c r="F170" s="27"/>
      <c r="G170" s="27"/>
      <c r="H170" s="27"/>
      <c r="I170" s="27"/>
      <c r="J170" s="27"/>
      <c r="K170" s="215"/>
      <c r="L170" s="225">
        <v>5.2240000000000002</v>
      </c>
      <c r="M170" s="45"/>
      <c r="N170" s="156"/>
      <c r="O170" s="156"/>
      <c r="P170" s="156"/>
      <c r="Q170" s="156"/>
      <c r="R170" s="156"/>
      <c r="S170" s="156"/>
      <c r="T170" s="156"/>
      <c r="U170" s="156"/>
      <c r="V170" s="20"/>
      <c r="W170" s="20"/>
      <c r="X170" s="20"/>
      <c r="Y170" s="17"/>
      <c r="Z170" s="17"/>
    </row>
    <row r="171" spans="1:26" ht="48.95" customHeight="1" x14ac:dyDescent="0.25">
      <c r="A171" s="124">
        <v>135</v>
      </c>
      <c r="B171" s="138" t="s">
        <v>954</v>
      </c>
      <c r="C171" s="144" t="s">
        <v>751</v>
      </c>
      <c r="D171" s="168" t="s">
        <v>1172</v>
      </c>
      <c r="E171" s="142"/>
      <c r="F171" s="11"/>
      <c r="G171" s="11"/>
      <c r="H171" s="11"/>
      <c r="I171" s="11"/>
      <c r="J171" s="11"/>
      <c r="K171" s="214"/>
      <c r="L171" s="224"/>
      <c r="M171" s="45">
        <f>ROUND(M168,4)</f>
        <v>40.184899999999999</v>
      </c>
      <c r="N171" s="136">
        <v>373772</v>
      </c>
      <c r="O171" s="136"/>
      <c r="P171" s="136">
        <v>2189570</v>
      </c>
      <c r="Q171" s="136">
        <v>1660581</v>
      </c>
      <c r="R171" s="166">
        <f>ROUND(M171*N171,0)</f>
        <v>15019990</v>
      </c>
      <c r="S171" s="166">
        <f>ROUND(M171*O171,0)</f>
        <v>0</v>
      </c>
      <c r="T171" s="166">
        <f>ROUND(M171*P171,0)</f>
        <v>87987651</v>
      </c>
      <c r="U171" s="166">
        <f>ROUND(M171*Q171,0)</f>
        <v>66730281</v>
      </c>
      <c r="V171" s="34"/>
      <c r="W171" s="34"/>
      <c r="X171" s="34"/>
      <c r="Y171" s="17" t="s">
        <v>82</v>
      </c>
      <c r="Z171" s="17" t="s">
        <v>321</v>
      </c>
    </row>
    <row r="172" spans="1:26" ht="48.95" customHeight="1" x14ac:dyDescent="0.25">
      <c r="A172" s="124">
        <v>136</v>
      </c>
      <c r="B172" s="138" t="s">
        <v>954</v>
      </c>
      <c r="C172" s="153" t="s">
        <v>264</v>
      </c>
      <c r="D172" s="168" t="s">
        <v>1172</v>
      </c>
      <c r="E172" s="142"/>
      <c r="F172" s="11"/>
      <c r="G172" s="11"/>
      <c r="H172" s="11"/>
      <c r="I172" s="11"/>
      <c r="J172" s="11"/>
      <c r="K172" s="214"/>
      <c r="L172" s="224"/>
      <c r="M172" s="45">
        <f>ROUND(M171,4)</f>
        <v>40.184899999999999</v>
      </c>
      <c r="N172" s="136">
        <v>224263</v>
      </c>
      <c r="O172" s="136"/>
      <c r="P172" s="136">
        <v>1313742</v>
      </c>
      <c r="Q172" s="136">
        <v>996348</v>
      </c>
      <c r="R172" s="166">
        <f>ROUND(M172*N172,0)</f>
        <v>9011986</v>
      </c>
      <c r="S172" s="166">
        <f>ROUND(M172*O172,0)</f>
        <v>0</v>
      </c>
      <c r="T172" s="166">
        <f>ROUND(M172*P172,0)</f>
        <v>52792591</v>
      </c>
      <c r="U172" s="166">
        <f>ROUND(M172*Q172,0)</f>
        <v>40038145</v>
      </c>
      <c r="V172" s="34"/>
      <c r="W172" s="34"/>
      <c r="X172" s="34"/>
      <c r="Y172" s="17" t="s">
        <v>82</v>
      </c>
      <c r="Z172" s="17" t="s">
        <v>321</v>
      </c>
    </row>
    <row r="173" spans="1:26" ht="48.95" customHeight="1" x14ac:dyDescent="0.25">
      <c r="A173" s="124">
        <v>137</v>
      </c>
      <c r="B173" s="138" t="s">
        <v>203</v>
      </c>
      <c r="C173" s="144" t="s">
        <v>823</v>
      </c>
      <c r="D173" s="168" t="s">
        <v>227</v>
      </c>
      <c r="E173" s="142"/>
      <c r="F173" s="11"/>
      <c r="G173" s="11"/>
      <c r="H173" s="11"/>
      <c r="I173" s="11"/>
      <c r="J173" s="11"/>
      <c r="K173" s="214"/>
      <c r="L173" s="224"/>
      <c r="M173" s="45">
        <f>ROUND(28*11/100,4)</f>
        <v>3.08</v>
      </c>
      <c r="N173" s="136">
        <v>0</v>
      </c>
      <c r="O173" s="136"/>
      <c r="P173" s="136">
        <v>1737120</v>
      </c>
      <c r="Q173" s="136">
        <v>5353673</v>
      </c>
      <c r="R173" s="166">
        <f>ROUND(M173*N173,0)</f>
        <v>0</v>
      </c>
      <c r="S173" s="166">
        <f>ROUND(M173*O173,0)</f>
        <v>0</v>
      </c>
      <c r="T173" s="166">
        <f>ROUND(M173*P173,0)</f>
        <v>5350330</v>
      </c>
      <c r="U173" s="166">
        <f>ROUND(M173*Q173,0)</f>
        <v>16489313</v>
      </c>
      <c r="V173" s="34"/>
      <c r="W173" s="34"/>
      <c r="X173" s="34"/>
      <c r="Y173" s="17" t="s">
        <v>82</v>
      </c>
      <c r="Z173" s="17" t="s">
        <v>321</v>
      </c>
    </row>
    <row r="174" spans="1:26" ht="48.95" customHeight="1" x14ac:dyDescent="0.25">
      <c r="A174" s="124">
        <v>138</v>
      </c>
      <c r="B174" s="138" t="s">
        <v>203</v>
      </c>
      <c r="C174" s="144" t="s">
        <v>853</v>
      </c>
      <c r="D174" s="168" t="s">
        <v>227</v>
      </c>
      <c r="E174" s="142"/>
      <c r="F174" s="11"/>
      <c r="G174" s="11"/>
      <c r="H174" s="11"/>
      <c r="I174" s="11"/>
      <c r="J174" s="11"/>
      <c r="K174" s="214"/>
      <c r="L174" s="224"/>
      <c r="M174" s="45">
        <f>ROUND(28*3/100,4)</f>
        <v>0.84</v>
      </c>
      <c r="N174" s="136">
        <v>0</v>
      </c>
      <c r="O174" s="136"/>
      <c r="P174" s="136">
        <v>1496715</v>
      </c>
      <c r="Q174" s="136">
        <v>4015255</v>
      </c>
      <c r="R174" s="166">
        <f>ROUND(M174*N174,0)</f>
        <v>0</v>
      </c>
      <c r="S174" s="166">
        <f>ROUND(M174*O174,0)</f>
        <v>0</v>
      </c>
      <c r="T174" s="166">
        <f>ROUND(M174*P174,0)</f>
        <v>1257241</v>
      </c>
      <c r="U174" s="166">
        <f>ROUND(M174*Q174,0)</f>
        <v>3372814</v>
      </c>
      <c r="V174" s="34"/>
      <c r="W174" s="34"/>
      <c r="X174" s="34"/>
      <c r="Y174" s="17" t="s">
        <v>82</v>
      </c>
      <c r="Z174" s="17" t="s">
        <v>321</v>
      </c>
    </row>
    <row r="175" spans="1:26" ht="48.95" customHeight="1" x14ac:dyDescent="0.25">
      <c r="A175" s="63">
        <v>139</v>
      </c>
      <c r="B175" s="29" t="s">
        <v>30</v>
      </c>
      <c r="C175" s="80" t="s">
        <v>717</v>
      </c>
      <c r="D175" s="119" t="s">
        <v>227</v>
      </c>
      <c r="E175" s="142"/>
      <c r="F175" s="11"/>
      <c r="G175" s="11"/>
      <c r="H175" s="11"/>
      <c r="I175" s="11"/>
      <c r="J175" s="11"/>
      <c r="K175" s="214"/>
      <c r="L175" s="224"/>
      <c r="M175" s="45">
        <f>ROUND(SUM(L176:L176),4)</f>
        <v>0.27479999999999999</v>
      </c>
      <c r="N175" s="71">
        <v>184830000</v>
      </c>
      <c r="O175" s="71"/>
      <c r="P175" s="71"/>
      <c r="Q175" s="71"/>
      <c r="R175" s="166">
        <f>ROUND(M175*N175,0)</f>
        <v>50791284</v>
      </c>
      <c r="S175" s="166">
        <f>ROUND(M175*O175,0)</f>
        <v>0</v>
      </c>
      <c r="T175" s="166">
        <f>ROUND(M175*P175,0)</f>
        <v>0</v>
      </c>
      <c r="U175" s="166">
        <f>ROUND(M175*Q175,0)</f>
        <v>0</v>
      </c>
      <c r="V175" s="152"/>
      <c r="W175" s="152"/>
      <c r="X175" s="152"/>
      <c r="Y175" s="17"/>
      <c r="Z175" s="17"/>
    </row>
    <row r="176" spans="1:26" ht="48.95" customHeight="1" x14ac:dyDescent="0.25">
      <c r="A176" s="161"/>
      <c r="B176" s="133"/>
      <c r="C176" s="133" t="s">
        <v>597</v>
      </c>
      <c r="D176" s="161"/>
      <c r="E176" s="156"/>
      <c r="F176" s="27"/>
      <c r="G176" s="27"/>
      <c r="H176" s="27"/>
      <c r="I176" s="27"/>
      <c r="J176" s="27"/>
      <c r="K176" s="215"/>
      <c r="L176" s="225">
        <v>0.27479999999999999</v>
      </c>
      <c r="M176" s="45"/>
      <c r="N176" s="156"/>
      <c r="O176" s="156"/>
      <c r="P176" s="156"/>
      <c r="Q176" s="156"/>
      <c r="R176" s="156"/>
      <c r="S176" s="156"/>
      <c r="T176" s="156"/>
      <c r="U176" s="156"/>
      <c r="V176" s="20"/>
      <c r="W176" s="20"/>
      <c r="X176" s="20"/>
      <c r="Y176" s="17"/>
      <c r="Z176" s="17"/>
    </row>
    <row r="177" spans="1:26" ht="48.95" customHeight="1" x14ac:dyDescent="0.25">
      <c r="A177" s="124">
        <v>140</v>
      </c>
      <c r="B177" s="138" t="s">
        <v>157</v>
      </c>
      <c r="C177" s="144" t="s">
        <v>306</v>
      </c>
      <c r="D177" s="168" t="s">
        <v>227</v>
      </c>
      <c r="E177" s="142"/>
      <c r="F177" s="11"/>
      <c r="G177" s="11"/>
      <c r="H177" s="11"/>
      <c r="I177" s="11"/>
      <c r="J177" s="11"/>
      <c r="K177" s="214"/>
      <c r="L177" s="224"/>
      <c r="M177" s="45">
        <f>ROUND(M173+M174,4)</f>
        <v>3.92</v>
      </c>
      <c r="N177" s="136"/>
      <c r="O177" s="136"/>
      <c r="P177" s="136">
        <v>687610</v>
      </c>
      <c r="Q177" s="136">
        <v>3852512</v>
      </c>
      <c r="R177" s="166">
        <f t="shared" ref="R177:R182" si="41">ROUND(M177*N177,0)</f>
        <v>0</v>
      </c>
      <c r="S177" s="166">
        <f t="shared" ref="S177:S182" si="42">ROUND(M177*O177,0)</f>
        <v>0</v>
      </c>
      <c r="T177" s="166">
        <f t="shared" ref="T177:T182" si="43">ROUND(M177*P177,0)</f>
        <v>2695431</v>
      </c>
      <c r="U177" s="166">
        <f t="shared" ref="U177:U182" si="44">ROUND(M177*Q177,0)</f>
        <v>15101847</v>
      </c>
      <c r="V177" s="34"/>
      <c r="W177" s="34"/>
      <c r="X177" s="34"/>
      <c r="Y177" s="17" t="s">
        <v>82</v>
      </c>
      <c r="Z177" s="17" t="s">
        <v>321</v>
      </c>
    </row>
    <row r="178" spans="1:26" ht="48.95" customHeight="1" x14ac:dyDescent="0.25">
      <c r="A178" s="124">
        <v>141</v>
      </c>
      <c r="B178" s="138" t="s">
        <v>845</v>
      </c>
      <c r="C178" s="144" t="s">
        <v>1025</v>
      </c>
      <c r="D178" s="168" t="s">
        <v>155</v>
      </c>
      <c r="E178" s="142"/>
      <c r="F178" s="11"/>
      <c r="G178" s="11"/>
      <c r="H178" s="11"/>
      <c r="I178" s="11"/>
      <c r="J178" s="11"/>
      <c r="K178" s="214"/>
      <c r="L178" s="224"/>
      <c r="M178" s="45">
        <v>8.7799999999999994</v>
      </c>
      <c r="N178" s="136">
        <v>974811</v>
      </c>
      <c r="O178" s="136"/>
      <c r="P178" s="136">
        <v>501744</v>
      </c>
      <c r="Q178" s="136">
        <v>27402</v>
      </c>
      <c r="R178" s="166">
        <f t="shared" si="41"/>
        <v>8558841</v>
      </c>
      <c r="S178" s="166">
        <f t="shared" si="42"/>
        <v>0</v>
      </c>
      <c r="T178" s="166">
        <f t="shared" si="43"/>
        <v>4405312</v>
      </c>
      <c r="U178" s="166">
        <f t="shared" si="44"/>
        <v>240590</v>
      </c>
      <c r="V178" s="34"/>
      <c r="W178" s="34"/>
      <c r="X178" s="34"/>
      <c r="Y178" s="17" t="s">
        <v>82</v>
      </c>
      <c r="Z178" s="17" t="s">
        <v>321</v>
      </c>
    </row>
    <row r="179" spans="1:26" ht="48.95" customHeight="1" x14ac:dyDescent="0.25">
      <c r="A179" s="124">
        <v>142</v>
      </c>
      <c r="B179" s="138" t="s">
        <v>926</v>
      </c>
      <c r="C179" s="144" t="s">
        <v>11</v>
      </c>
      <c r="D179" s="168" t="s">
        <v>836</v>
      </c>
      <c r="E179" s="142"/>
      <c r="F179" s="11"/>
      <c r="G179" s="11"/>
      <c r="H179" s="11"/>
      <c r="I179" s="11"/>
      <c r="J179" s="11"/>
      <c r="K179" s="214"/>
      <c r="L179" s="224"/>
      <c r="M179" s="45">
        <f>ROUND(31.72/100,4)</f>
        <v>0.31719999999999998</v>
      </c>
      <c r="N179" s="136">
        <v>527481</v>
      </c>
      <c r="O179" s="136"/>
      <c r="P179" s="136">
        <v>7320077</v>
      </c>
      <c r="Q179" s="136">
        <v>268219</v>
      </c>
      <c r="R179" s="166">
        <f t="shared" si="41"/>
        <v>167317</v>
      </c>
      <c r="S179" s="166">
        <f t="shared" si="42"/>
        <v>0</v>
      </c>
      <c r="T179" s="166">
        <f t="shared" si="43"/>
        <v>2321928</v>
      </c>
      <c r="U179" s="166">
        <f t="shared" si="44"/>
        <v>85079</v>
      </c>
      <c r="V179" s="34"/>
      <c r="W179" s="34"/>
      <c r="X179" s="34"/>
      <c r="Y179" s="17" t="s">
        <v>82</v>
      </c>
      <c r="Z179" s="17" t="s">
        <v>321</v>
      </c>
    </row>
    <row r="180" spans="1:26" ht="48.95" customHeight="1" x14ac:dyDescent="0.25">
      <c r="A180" s="124">
        <v>143</v>
      </c>
      <c r="B180" s="138" t="s">
        <v>695</v>
      </c>
      <c r="C180" s="144" t="s">
        <v>562</v>
      </c>
      <c r="D180" s="168" t="s">
        <v>1123</v>
      </c>
      <c r="E180" s="142"/>
      <c r="F180" s="11"/>
      <c r="G180" s="11"/>
      <c r="H180" s="11"/>
      <c r="I180" s="11"/>
      <c r="J180" s="11"/>
      <c r="K180" s="214"/>
      <c r="L180" s="224"/>
      <c r="M180" s="45">
        <v>61</v>
      </c>
      <c r="N180" s="136">
        <v>10100</v>
      </c>
      <c r="O180" s="136"/>
      <c r="P180" s="136">
        <v>219725</v>
      </c>
      <c r="Q180" s="136"/>
      <c r="R180" s="166">
        <f t="shared" si="41"/>
        <v>616100</v>
      </c>
      <c r="S180" s="166">
        <f t="shared" si="42"/>
        <v>0</v>
      </c>
      <c r="T180" s="166">
        <f t="shared" si="43"/>
        <v>13403225</v>
      </c>
      <c r="U180" s="166">
        <f t="shared" si="44"/>
        <v>0</v>
      </c>
      <c r="V180" s="34"/>
      <c r="W180" s="34"/>
      <c r="X180" s="34"/>
      <c r="Y180" s="17" t="s">
        <v>82</v>
      </c>
      <c r="Z180" s="17" t="s">
        <v>321</v>
      </c>
    </row>
    <row r="181" spans="1:26" ht="48.95" customHeight="1" x14ac:dyDescent="0.25">
      <c r="A181" s="124">
        <v>144</v>
      </c>
      <c r="B181" s="52" t="s">
        <v>865</v>
      </c>
      <c r="C181" s="144" t="s">
        <v>485</v>
      </c>
      <c r="D181" s="168" t="s">
        <v>326</v>
      </c>
      <c r="E181" s="142"/>
      <c r="F181" s="11"/>
      <c r="G181" s="11"/>
      <c r="H181" s="11"/>
      <c r="I181" s="11"/>
      <c r="J181" s="11"/>
      <c r="K181" s="214"/>
      <c r="L181" s="224"/>
      <c r="M181" s="45">
        <v>24</v>
      </c>
      <c r="N181" s="136">
        <v>843355</v>
      </c>
      <c r="O181" s="136"/>
      <c r="P181" s="100">
        <v>344507</v>
      </c>
      <c r="Q181" s="136"/>
      <c r="R181" s="166">
        <f t="shared" si="41"/>
        <v>20240520</v>
      </c>
      <c r="S181" s="166">
        <f t="shared" si="42"/>
        <v>0</v>
      </c>
      <c r="T181" s="166">
        <f t="shared" si="43"/>
        <v>8268168</v>
      </c>
      <c r="U181" s="166">
        <f t="shared" si="44"/>
        <v>0</v>
      </c>
      <c r="V181" s="34"/>
      <c r="W181" s="34"/>
      <c r="X181" s="34"/>
      <c r="Y181" s="17" t="s">
        <v>699</v>
      </c>
      <c r="Z181" s="17" t="s">
        <v>708</v>
      </c>
    </row>
    <row r="182" spans="1:26" ht="48.95" customHeight="1" x14ac:dyDescent="0.25">
      <c r="A182" s="124">
        <v>145</v>
      </c>
      <c r="B182" s="52" t="s">
        <v>213</v>
      </c>
      <c r="C182" s="144" t="s">
        <v>683</v>
      </c>
      <c r="D182" s="168" t="s">
        <v>155</v>
      </c>
      <c r="E182" s="142"/>
      <c r="F182" s="11"/>
      <c r="G182" s="11"/>
      <c r="H182" s="11"/>
      <c r="I182" s="11"/>
      <c r="J182" s="11"/>
      <c r="K182" s="214"/>
      <c r="L182" s="224"/>
      <c r="M182" s="45">
        <v>8.16</v>
      </c>
      <c r="N182" s="136"/>
      <c r="O182" s="136"/>
      <c r="P182" s="136">
        <v>130805</v>
      </c>
      <c r="Q182" s="136"/>
      <c r="R182" s="166">
        <f t="shared" si="41"/>
        <v>0</v>
      </c>
      <c r="S182" s="166">
        <f t="shared" si="42"/>
        <v>0</v>
      </c>
      <c r="T182" s="166">
        <f t="shared" si="43"/>
        <v>1067369</v>
      </c>
      <c r="U182" s="166">
        <f t="shared" si="44"/>
        <v>0</v>
      </c>
      <c r="V182" s="34"/>
      <c r="W182" s="34"/>
      <c r="X182" s="34"/>
      <c r="Y182" s="17" t="s">
        <v>82</v>
      </c>
      <c r="Z182" s="17" t="s">
        <v>321</v>
      </c>
    </row>
    <row r="183" spans="1:26" ht="48.95" customHeight="1" x14ac:dyDescent="0.25">
      <c r="A183" s="168"/>
      <c r="B183" s="144"/>
      <c r="C183" s="130" t="s">
        <v>621</v>
      </c>
      <c r="D183" s="168"/>
      <c r="E183" s="166"/>
      <c r="F183" s="37"/>
      <c r="G183" s="37"/>
      <c r="H183" s="37"/>
      <c r="I183" s="37"/>
      <c r="J183" s="37"/>
      <c r="K183" s="215"/>
      <c r="L183" s="223"/>
      <c r="M183" s="60"/>
      <c r="N183" s="166"/>
      <c r="O183" s="166"/>
      <c r="P183" s="166"/>
      <c r="Q183" s="166"/>
      <c r="R183" s="166"/>
      <c r="S183" s="166"/>
      <c r="T183" s="166"/>
      <c r="U183" s="166"/>
      <c r="V183" s="34"/>
      <c r="W183" s="34"/>
      <c r="X183" s="34"/>
      <c r="Y183" s="17"/>
      <c r="Z183" s="17"/>
    </row>
    <row r="184" spans="1:26" ht="48.95" customHeight="1" x14ac:dyDescent="0.25">
      <c r="A184" s="168"/>
      <c r="B184" s="144"/>
      <c r="C184" s="130" t="s">
        <v>40</v>
      </c>
      <c r="D184" s="168"/>
      <c r="E184" s="166"/>
      <c r="F184" s="37"/>
      <c r="G184" s="37"/>
      <c r="H184" s="37"/>
      <c r="I184" s="37"/>
      <c r="J184" s="37"/>
      <c r="K184" s="215"/>
      <c r="L184" s="223"/>
      <c r="M184" s="60"/>
      <c r="N184" s="166"/>
      <c r="O184" s="166"/>
      <c r="P184" s="166"/>
      <c r="Q184" s="166"/>
      <c r="R184" s="166"/>
      <c r="S184" s="166"/>
      <c r="T184" s="166"/>
      <c r="U184" s="166"/>
      <c r="V184" s="34"/>
      <c r="W184" s="34"/>
      <c r="X184" s="34"/>
      <c r="Y184" s="17"/>
      <c r="Z184" s="17"/>
    </row>
    <row r="185" spans="1:26" ht="48.95" customHeight="1" x14ac:dyDescent="0.25">
      <c r="A185" s="124">
        <v>146</v>
      </c>
      <c r="B185" s="138" t="s">
        <v>234</v>
      </c>
      <c r="C185" s="144" t="s">
        <v>1149</v>
      </c>
      <c r="D185" s="168" t="s">
        <v>155</v>
      </c>
      <c r="E185" s="142"/>
      <c r="F185" s="11"/>
      <c r="G185" s="11"/>
      <c r="H185" s="11"/>
      <c r="I185" s="11"/>
      <c r="J185" s="11"/>
      <c r="K185" s="214"/>
      <c r="L185" s="224"/>
      <c r="M185" s="30">
        <f>ROUND(116.47-M186,4)</f>
        <v>98.47</v>
      </c>
      <c r="N185" s="136">
        <v>1123217</v>
      </c>
      <c r="O185" s="136"/>
      <c r="P185" s="136">
        <v>670700</v>
      </c>
      <c r="Q185" s="136">
        <v>134677</v>
      </c>
      <c r="R185" s="166">
        <f t="shared" ref="R185:R195" si="45">ROUND(M185*N185,0)</f>
        <v>110603178</v>
      </c>
      <c r="S185" s="166">
        <f t="shared" ref="S185:S195" si="46">ROUND(M185*O185,0)</f>
        <v>0</v>
      </c>
      <c r="T185" s="166">
        <f t="shared" ref="T185:T195" si="47">ROUND(M185*P185,0)</f>
        <v>66043829</v>
      </c>
      <c r="U185" s="166">
        <f t="shared" ref="U185:U195" si="48">ROUND(M185*Q185,0)</f>
        <v>13261644</v>
      </c>
      <c r="V185" s="34"/>
      <c r="W185" s="34"/>
      <c r="X185" s="34"/>
      <c r="Y185" s="17" t="s">
        <v>82</v>
      </c>
      <c r="Z185" s="17" t="s">
        <v>321</v>
      </c>
    </row>
    <row r="186" spans="1:26" ht="48.95" customHeight="1" x14ac:dyDescent="0.25">
      <c r="A186" s="124">
        <v>147</v>
      </c>
      <c r="B186" s="138" t="s">
        <v>1034</v>
      </c>
      <c r="C186" s="144" t="s">
        <v>80</v>
      </c>
      <c r="D186" s="168" t="s">
        <v>155</v>
      </c>
      <c r="E186" s="142"/>
      <c r="F186" s="11"/>
      <c r="G186" s="11"/>
      <c r="H186" s="11"/>
      <c r="I186" s="11"/>
      <c r="J186" s="11"/>
      <c r="K186" s="214"/>
      <c r="L186" s="224"/>
      <c r="M186" s="45">
        <v>18</v>
      </c>
      <c r="N186" s="136">
        <v>1164556</v>
      </c>
      <c r="O186" s="136"/>
      <c r="P186" s="136">
        <v>384605</v>
      </c>
      <c r="Q186" s="136">
        <v>47495</v>
      </c>
      <c r="R186" s="166">
        <f t="shared" si="45"/>
        <v>20962008</v>
      </c>
      <c r="S186" s="166">
        <f t="shared" si="46"/>
        <v>0</v>
      </c>
      <c r="T186" s="166">
        <f t="shared" si="47"/>
        <v>6922890</v>
      </c>
      <c r="U186" s="166">
        <f t="shared" si="48"/>
        <v>854910</v>
      </c>
      <c r="V186" s="34"/>
      <c r="W186" s="34"/>
      <c r="X186" s="34"/>
      <c r="Y186" s="17" t="s">
        <v>82</v>
      </c>
      <c r="Z186" s="17" t="s">
        <v>321</v>
      </c>
    </row>
    <row r="187" spans="1:26" ht="48.95" customHeight="1" x14ac:dyDescent="0.25">
      <c r="A187" s="124">
        <v>148</v>
      </c>
      <c r="B187" s="138" t="s">
        <v>697</v>
      </c>
      <c r="C187" s="153" t="s">
        <v>395</v>
      </c>
      <c r="D187" s="168" t="s">
        <v>205</v>
      </c>
      <c r="E187" s="142"/>
      <c r="F187" s="11"/>
      <c r="G187" s="11"/>
      <c r="H187" s="11"/>
      <c r="I187" s="11"/>
      <c r="J187" s="11"/>
      <c r="K187" s="214"/>
      <c r="L187" s="224"/>
      <c r="M187" s="45">
        <f>ROUND( 0.14112/0.03,4)</f>
        <v>4.7039999999999997</v>
      </c>
      <c r="N187" s="136">
        <v>32158</v>
      </c>
      <c r="O187" s="136"/>
      <c r="P187" s="136">
        <v>24431</v>
      </c>
      <c r="Q187" s="136">
        <v>932</v>
      </c>
      <c r="R187" s="166">
        <f t="shared" si="45"/>
        <v>151271</v>
      </c>
      <c r="S187" s="166">
        <f t="shared" si="46"/>
        <v>0</v>
      </c>
      <c r="T187" s="166">
        <f t="shared" si="47"/>
        <v>114923</v>
      </c>
      <c r="U187" s="166">
        <f t="shared" si="48"/>
        <v>4384</v>
      </c>
      <c r="V187" s="34"/>
      <c r="W187" s="34"/>
      <c r="X187" s="34"/>
      <c r="Y187" s="17" t="s">
        <v>82</v>
      </c>
      <c r="Z187" s="17" t="s">
        <v>321</v>
      </c>
    </row>
    <row r="188" spans="1:26" ht="48.95" customHeight="1" x14ac:dyDescent="0.25">
      <c r="A188" s="124">
        <v>149</v>
      </c>
      <c r="B188" s="138" t="s">
        <v>361</v>
      </c>
      <c r="C188" s="144" t="s">
        <v>217</v>
      </c>
      <c r="D188" s="168" t="s">
        <v>155</v>
      </c>
      <c r="E188" s="142"/>
      <c r="F188" s="11"/>
      <c r="G188" s="11"/>
      <c r="H188" s="11"/>
      <c r="I188" s="11"/>
      <c r="J188" s="11"/>
      <c r="K188" s="214"/>
      <c r="L188" s="224"/>
      <c r="M188" s="45">
        <v>8.27</v>
      </c>
      <c r="N188" s="136">
        <v>819664</v>
      </c>
      <c r="O188" s="136"/>
      <c r="P188" s="136">
        <v>230373</v>
      </c>
      <c r="Q188" s="136">
        <v>47209</v>
      </c>
      <c r="R188" s="166">
        <f t="shared" si="45"/>
        <v>6778621</v>
      </c>
      <c r="S188" s="166">
        <f t="shared" si="46"/>
        <v>0</v>
      </c>
      <c r="T188" s="166">
        <f t="shared" si="47"/>
        <v>1905185</v>
      </c>
      <c r="U188" s="166">
        <f t="shared" si="48"/>
        <v>390418</v>
      </c>
      <c r="V188" s="34"/>
      <c r="W188" s="34"/>
      <c r="X188" s="34"/>
      <c r="Y188" s="17" t="s">
        <v>82</v>
      </c>
      <c r="Z188" s="17" t="s">
        <v>321</v>
      </c>
    </row>
    <row r="189" spans="1:26" ht="48.95" customHeight="1" x14ac:dyDescent="0.25">
      <c r="A189" s="124">
        <v>150</v>
      </c>
      <c r="B189" s="138" t="s">
        <v>1188</v>
      </c>
      <c r="C189" s="144" t="s">
        <v>610</v>
      </c>
      <c r="D189" s="168" t="s">
        <v>1123</v>
      </c>
      <c r="E189" s="142"/>
      <c r="F189" s="11"/>
      <c r="G189" s="11"/>
      <c r="H189" s="11"/>
      <c r="I189" s="11"/>
      <c r="J189" s="11"/>
      <c r="K189" s="214"/>
      <c r="L189" s="224"/>
      <c r="M189" s="45">
        <v>12</v>
      </c>
      <c r="N189" s="136">
        <v>353500</v>
      </c>
      <c r="O189" s="136"/>
      <c r="P189" s="136">
        <v>904750</v>
      </c>
      <c r="Q189" s="136"/>
      <c r="R189" s="166">
        <f t="shared" si="45"/>
        <v>4242000</v>
      </c>
      <c r="S189" s="166">
        <f t="shared" si="46"/>
        <v>0</v>
      </c>
      <c r="T189" s="166">
        <f t="shared" si="47"/>
        <v>10857000</v>
      </c>
      <c r="U189" s="166">
        <f t="shared" si="48"/>
        <v>0</v>
      </c>
      <c r="V189" s="34"/>
      <c r="W189" s="34"/>
      <c r="X189" s="34"/>
      <c r="Y189" s="17" t="s">
        <v>82</v>
      </c>
      <c r="Z189" s="17" t="s">
        <v>321</v>
      </c>
    </row>
    <row r="190" spans="1:26" ht="48.95" customHeight="1" x14ac:dyDescent="0.25">
      <c r="A190" s="124">
        <v>151</v>
      </c>
      <c r="B190" s="138" t="s">
        <v>506</v>
      </c>
      <c r="C190" s="144" t="s">
        <v>1182</v>
      </c>
      <c r="D190" s="168" t="s">
        <v>836</v>
      </c>
      <c r="E190" s="142"/>
      <c r="F190" s="11"/>
      <c r="G190" s="11"/>
      <c r="H190" s="11"/>
      <c r="I190" s="11"/>
      <c r="J190" s="11"/>
      <c r="K190" s="214"/>
      <c r="L190" s="224"/>
      <c r="M190" s="45">
        <f>ROUND(ROUND(172.75/100,4)-M191,4)</f>
        <v>1.5395000000000001</v>
      </c>
      <c r="N190" s="136">
        <v>1435786</v>
      </c>
      <c r="O190" s="136"/>
      <c r="P190" s="136">
        <v>7721114</v>
      </c>
      <c r="Q190" s="136">
        <v>4063955</v>
      </c>
      <c r="R190" s="166">
        <f t="shared" si="45"/>
        <v>2210393</v>
      </c>
      <c r="S190" s="166">
        <f t="shared" si="46"/>
        <v>0</v>
      </c>
      <c r="T190" s="166">
        <f t="shared" si="47"/>
        <v>11886655</v>
      </c>
      <c r="U190" s="166">
        <f t="shared" si="48"/>
        <v>6256459</v>
      </c>
      <c r="V190" s="34"/>
      <c r="W190" s="34"/>
      <c r="X190" s="34"/>
      <c r="Y190" s="17" t="s">
        <v>82</v>
      </c>
      <c r="Z190" s="17" t="s">
        <v>321</v>
      </c>
    </row>
    <row r="191" spans="1:26" ht="48.95" customHeight="1" x14ac:dyDescent="0.25">
      <c r="A191" s="124">
        <v>152</v>
      </c>
      <c r="B191" s="138" t="s">
        <v>589</v>
      </c>
      <c r="C191" s="144" t="s">
        <v>1030</v>
      </c>
      <c r="D191" s="168" t="s">
        <v>836</v>
      </c>
      <c r="E191" s="142"/>
      <c r="F191" s="11"/>
      <c r="G191" s="11"/>
      <c r="H191" s="11"/>
      <c r="I191" s="11"/>
      <c r="J191" s="11"/>
      <c r="K191" s="214"/>
      <c r="L191" s="224"/>
      <c r="M191" s="45">
        <f>ROUND(18.8/100,4)</f>
        <v>0.188</v>
      </c>
      <c r="N191" s="136">
        <v>1255185</v>
      </c>
      <c r="O191" s="136"/>
      <c r="P191" s="136">
        <v>2823392</v>
      </c>
      <c r="Q191" s="136"/>
      <c r="R191" s="166">
        <f t="shared" si="45"/>
        <v>235975</v>
      </c>
      <c r="S191" s="166">
        <f t="shared" si="46"/>
        <v>0</v>
      </c>
      <c r="T191" s="166">
        <f t="shared" si="47"/>
        <v>530798</v>
      </c>
      <c r="U191" s="166">
        <f t="shared" si="48"/>
        <v>0</v>
      </c>
      <c r="V191" s="34"/>
      <c r="W191" s="34"/>
      <c r="X191" s="34"/>
      <c r="Y191" s="17" t="s">
        <v>82</v>
      </c>
      <c r="Z191" s="17" t="s">
        <v>321</v>
      </c>
    </row>
    <row r="192" spans="1:26" ht="48.95" customHeight="1" x14ac:dyDescent="0.25">
      <c r="A192" s="124">
        <v>153</v>
      </c>
      <c r="B192" s="138" t="s">
        <v>408</v>
      </c>
      <c r="C192" s="144" t="s">
        <v>945</v>
      </c>
      <c r="D192" s="168" t="s">
        <v>1172</v>
      </c>
      <c r="E192" s="142"/>
      <c r="F192" s="11"/>
      <c r="G192" s="11"/>
      <c r="H192" s="11"/>
      <c r="I192" s="11"/>
      <c r="J192" s="11"/>
      <c r="K192" s="214"/>
      <c r="L192" s="224"/>
      <c r="M192" s="30">
        <f>ROUND(( 4036.56+ 244.45 )/1000,4)</f>
        <v>4.2809999999999997</v>
      </c>
      <c r="N192" s="136">
        <v>14713152</v>
      </c>
      <c r="O192" s="136"/>
      <c r="P192" s="136">
        <v>2701237</v>
      </c>
      <c r="Q192" s="136">
        <v>829313</v>
      </c>
      <c r="R192" s="166">
        <f t="shared" si="45"/>
        <v>62987004</v>
      </c>
      <c r="S192" s="166">
        <f t="shared" si="46"/>
        <v>0</v>
      </c>
      <c r="T192" s="166">
        <f t="shared" si="47"/>
        <v>11563996</v>
      </c>
      <c r="U192" s="166">
        <f t="shared" si="48"/>
        <v>3550289</v>
      </c>
      <c r="V192" s="34"/>
      <c r="W192" s="34"/>
      <c r="X192" s="34"/>
      <c r="Y192" s="17" t="s">
        <v>82</v>
      </c>
      <c r="Z192" s="17" t="s">
        <v>321</v>
      </c>
    </row>
    <row r="193" spans="1:26" ht="48.95" customHeight="1" x14ac:dyDescent="0.25">
      <c r="A193" s="124">
        <v>154</v>
      </c>
      <c r="B193" s="138" t="s">
        <v>825</v>
      </c>
      <c r="C193" s="144" t="s">
        <v>231</v>
      </c>
      <c r="D193" s="168" t="s">
        <v>1172</v>
      </c>
      <c r="E193" s="142"/>
      <c r="F193" s="11"/>
      <c r="G193" s="11"/>
      <c r="H193" s="11"/>
      <c r="I193" s="11"/>
      <c r="J193" s="11"/>
      <c r="K193" s="214"/>
      <c r="L193" s="224"/>
      <c r="M193" s="45">
        <f>ROUND( 4745.54 /1000,4)</f>
        <v>4.7454999999999998</v>
      </c>
      <c r="N193" s="136">
        <v>14721361</v>
      </c>
      <c r="O193" s="136"/>
      <c r="P193" s="136">
        <v>2247190</v>
      </c>
      <c r="Q193" s="136">
        <v>812824</v>
      </c>
      <c r="R193" s="166">
        <f t="shared" si="45"/>
        <v>69860219</v>
      </c>
      <c r="S193" s="166">
        <f t="shared" si="46"/>
        <v>0</v>
      </c>
      <c r="T193" s="166">
        <f t="shared" si="47"/>
        <v>10664040</v>
      </c>
      <c r="U193" s="166">
        <f t="shared" si="48"/>
        <v>3857256</v>
      </c>
      <c r="V193" s="34"/>
      <c r="W193" s="34"/>
      <c r="X193" s="34"/>
      <c r="Y193" s="17" t="s">
        <v>82</v>
      </c>
      <c r="Z193" s="17" t="s">
        <v>321</v>
      </c>
    </row>
    <row r="194" spans="1:26" ht="48.95" customHeight="1" x14ac:dyDescent="0.25">
      <c r="A194" s="124">
        <v>155</v>
      </c>
      <c r="B194" s="138" t="s">
        <v>1197</v>
      </c>
      <c r="C194" s="144" t="s">
        <v>180</v>
      </c>
      <c r="D194" s="168" t="s">
        <v>1172</v>
      </c>
      <c r="E194" s="142"/>
      <c r="F194" s="11"/>
      <c r="G194" s="11"/>
      <c r="H194" s="11"/>
      <c r="I194" s="11"/>
      <c r="J194" s="11"/>
      <c r="K194" s="214"/>
      <c r="L194" s="224"/>
      <c r="M194" s="45">
        <f>ROUND(13.32/1000,4)</f>
        <v>1.3299999999999999E-2</v>
      </c>
      <c r="N194" s="136">
        <v>14603640</v>
      </c>
      <c r="O194" s="136"/>
      <c r="P194" s="136">
        <v>2409530</v>
      </c>
      <c r="Q194" s="136">
        <v>91218</v>
      </c>
      <c r="R194" s="166">
        <f t="shared" si="45"/>
        <v>194228</v>
      </c>
      <c r="S194" s="166">
        <f t="shared" si="46"/>
        <v>0</v>
      </c>
      <c r="T194" s="166">
        <f t="shared" si="47"/>
        <v>32047</v>
      </c>
      <c r="U194" s="166">
        <f t="shared" si="48"/>
        <v>1213</v>
      </c>
      <c r="V194" s="34"/>
      <c r="W194" s="34"/>
      <c r="X194" s="34"/>
      <c r="Y194" s="17" t="s">
        <v>82</v>
      </c>
      <c r="Z194" s="17" t="s">
        <v>321</v>
      </c>
    </row>
    <row r="195" spans="1:26" ht="48.95" customHeight="1" x14ac:dyDescent="0.25">
      <c r="A195" s="124">
        <v>156</v>
      </c>
      <c r="B195" s="138" t="s">
        <v>399</v>
      </c>
      <c r="C195" s="144" t="s">
        <v>852</v>
      </c>
      <c r="D195" s="168" t="s">
        <v>1172</v>
      </c>
      <c r="E195" s="142"/>
      <c r="F195" s="11"/>
      <c r="G195" s="11"/>
      <c r="H195" s="11"/>
      <c r="I195" s="11"/>
      <c r="J195" s="11"/>
      <c r="K195" s="214"/>
      <c r="L195" s="224"/>
      <c r="M195" s="45">
        <f>ROUND(994.73/1000,4)</f>
        <v>0.99470000000000003</v>
      </c>
      <c r="N195" s="136">
        <v>14677642</v>
      </c>
      <c r="O195" s="136"/>
      <c r="P195" s="136">
        <v>1775219</v>
      </c>
      <c r="Q195" s="136">
        <v>451556</v>
      </c>
      <c r="R195" s="166">
        <f t="shared" si="45"/>
        <v>14599850</v>
      </c>
      <c r="S195" s="166">
        <f t="shared" si="46"/>
        <v>0</v>
      </c>
      <c r="T195" s="166">
        <f t="shared" si="47"/>
        <v>1765810</v>
      </c>
      <c r="U195" s="166">
        <f t="shared" si="48"/>
        <v>449163</v>
      </c>
      <c r="V195" s="34"/>
      <c r="W195" s="34"/>
      <c r="X195" s="34"/>
      <c r="Y195" s="17" t="s">
        <v>82</v>
      </c>
      <c r="Z195" s="17" t="s">
        <v>321</v>
      </c>
    </row>
    <row r="196" spans="1:26" ht="48.95" customHeight="1" x14ac:dyDescent="0.25">
      <c r="A196" s="168"/>
      <c r="B196" s="144"/>
      <c r="C196" s="130" t="s">
        <v>707</v>
      </c>
      <c r="D196" s="168"/>
      <c r="E196" s="166"/>
      <c r="F196" s="37"/>
      <c r="G196" s="37"/>
      <c r="H196" s="37"/>
      <c r="I196" s="37"/>
      <c r="J196" s="37"/>
      <c r="K196" s="215"/>
      <c r="L196" s="223"/>
      <c r="M196" s="60"/>
      <c r="N196" s="166"/>
      <c r="O196" s="166"/>
      <c r="P196" s="166"/>
      <c r="Q196" s="166"/>
      <c r="R196" s="166"/>
      <c r="S196" s="166"/>
      <c r="T196" s="166"/>
      <c r="U196" s="166"/>
      <c r="V196" s="34"/>
      <c r="W196" s="34"/>
      <c r="X196" s="34"/>
      <c r="Y196" s="17"/>
      <c r="Z196" s="17"/>
    </row>
    <row r="197" spans="1:26" ht="48.95" customHeight="1" x14ac:dyDescent="0.25">
      <c r="A197" s="124">
        <v>157</v>
      </c>
      <c r="B197" s="138" t="s">
        <v>234</v>
      </c>
      <c r="C197" s="144" t="s">
        <v>1149</v>
      </c>
      <c r="D197" s="168" t="s">
        <v>155</v>
      </c>
      <c r="E197" s="142"/>
      <c r="F197" s="11"/>
      <c r="G197" s="11"/>
      <c r="H197" s="11"/>
      <c r="I197" s="11"/>
      <c r="J197" s="11"/>
      <c r="K197" s="214"/>
      <c r="L197" s="224"/>
      <c r="M197" s="45">
        <v>3.52</v>
      </c>
      <c r="N197" s="136">
        <v>1123217</v>
      </c>
      <c r="O197" s="136"/>
      <c r="P197" s="136">
        <v>670700</v>
      </c>
      <c r="Q197" s="136">
        <v>134677</v>
      </c>
      <c r="R197" s="166">
        <f t="shared" ref="R197:R202" si="49">ROUND(M197*N197,0)</f>
        <v>3953724</v>
      </c>
      <c r="S197" s="166">
        <f t="shared" ref="S197:S202" si="50">ROUND(M197*O197,0)</f>
        <v>0</v>
      </c>
      <c r="T197" s="166">
        <f t="shared" ref="T197:T202" si="51">ROUND(M197*P197,0)</f>
        <v>2360864</v>
      </c>
      <c r="U197" s="166">
        <f t="shared" ref="U197:U202" si="52">ROUND(M197*Q197,0)</f>
        <v>474063</v>
      </c>
      <c r="V197" s="34"/>
      <c r="W197" s="34"/>
      <c r="X197" s="34"/>
      <c r="Y197" s="17" t="s">
        <v>82</v>
      </c>
      <c r="Z197" s="17" t="s">
        <v>321</v>
      </c>
    </row>
    <row r="198" spans="1:26" ht="48.95" customHeight="1" x14ac:dyDescent="0.25">
      <c r="A198" s="124">
        <v>158</v>
      </c>
      <c r="B198" s="138" t="s">
        <v>697</v>
      </c>
      <c r="C198" s="144" t="s">
        <v>1062</v>
      </c>
      <c r="D198" s="168" t="s">
        <v>205</v>
      </c>
      <c r="E198" s="142"/>
      <c r="F198" s="11"/>
      <c r="G198" s="11"/>
      <c r="H198" s="11"/>
      <c r="I198" s="11"/>
      <c r="J198" s="11"/>
      <c r="K198" s="214"/>
      <c r="L198" s="224"/>
      <c r="M198" s="45">
        <f>ROUND( 0.0288/0.03,4)</f>
        <v>0.96</v>
      </c>
      <c r="N198" s="136">
        <v>32158</v>
      </c>
      <c r="O198" s="136"/>
      <c r="P198" s="136">
        <v>24431</v>
      </c>
      <c r="Q198" s="136">
        <v>932</v>
      </c>
      <c r="R198" s="166">
        <f t="shared" si="49"/>
        <v>30872</v>
      </c>
      <c r="S198" s="166">
        <f t="shared" si="50"/>
        <v>0</v>
      </c>
      <c r="T198" s="166">
        <f t="shared" si="51"/>
        <v>23454</v>
      </c>
      <c r="U198" s="166">
        <f t="shared" si="52"/>
        <v>895</v>
      </c>
      <c r="V198" s="34"/>
      <c r="W198" s="34"/>
      <c r="X198" s="34"/>
      <c r="Y198" s="17" t="s">
        <v>82</v>
      </c>
      <c r="Z198" s="17" t="s">
        <v>321</v>
      </c>
    </row>
    <row r="199" spans="1:26" ht="48.95" customHeight="1" x14ac:dyDescent="0.25">
      <c r="A199" s="124">
        <v>159</v>
      </c>
      <c r="B199" s="138" t="s">
        <v>1188</v>
      </c>
      <c r="C199" s="144" t="s">
        <v>610</v>
      </c>
      <c r="D199" s="168" t="s">
        <v>1123</v>
      </c>
      <c r="E199" s="142"/>
      <c r="F199" s="11"/>
      <c r="G199" s="11"/>
      <c r="H199" s="11"/>
      <c r="I199" s="11"/>
      <c r="J199" s="11"/>
      <c r="K199" s="214"/>
      <c r="L199" s="224"/>
      <c r="M199" s="45">
        <v>24</v>
      </c>
      <c r="N199" s="136">
        <v>353500</v>
      </c>
      <c r="O199" s="136"/>
      <c r="P199" s="136">
        <v>904750</v>
      </c>
      <c r="Q199" s="136"/>
      <c r="R199" s="166">
        <f t="shared" si="49"/>
        <v>8484000</v>
      </c>
      <c r="S199" s="166">
        <f t="shared" si="50"/>
        <v>0</v>
      </c>
      <c r="T199" s="166">
        <f t="shared" si="51"/>
        <v>21714000</v>
      </c>
      <c r="U199" s="166">
        <f t="shared" si="52"/>
        <v>0</v>
      </c>
      <c r="V199" s="34"/>
      <c r="W199" s="34"/>
      <c r="X199" s="34"/>
      <c r="Y199" s="17" t="s">
        <v>82</v>
      </c>
      <c r="Z199" s="17" t="s">
        <v>321</v>
      </c>
    </row>
    <row r="200" spans="1:26" ht="48.95" customHeight="1" x14ac:dyDescent="0.25">
      <c r="A200" s="124">
        <v>160</v>
      </c>
      <c r="B200" s="138" t="s">
        <v>506</v>
      </c>
      <c r="C200" s="144" t="s">
        <v>1182</v>
      </c>
      <c r="D200" s="168" t="s">
        <v>836</v>
      </c>
      <c r="E200" s="142"/>
      <c r="F200" s="11"/>
      <c r="G200" s="11"/>
      <c r="H200" s="11"/>
      <c r="I200" s="11"/>
      <c r="J200" s="11"/>
      <c r="K200" s="214"/>
      <c r="L200" s="224"/>
      <c r="M200" s="45">
        <f>ROUND(44.11/100,4)</f>
        <v>0.44109999999999999</v>
      </c>
      <c r="N200" s="136">
        <v>1435786</v>
      </c>
      <c r="O200" s="136"/>
      <c r="P200" s="136">
        <v>7721114</v>
      </c>
      <c r="Q200" s="136">
        <v>4063955</v>
      </c>
      <c r="R200" s="166">
        <f t="shared" si="49"/>
        <v>633325</v>
      </c>
      <c r="S200" s="166">
        <f t="shared" si="50"/>
        <v>0</v>
      </c>
      <c r="T200" s="166">
        <f t="shared" si="51"/>
        <v>3405783</v>
      </c>
      <c r="U200" s="166">
        <f t="shared" si="52"/>
        <v>1792611</v>
      </c>
      <c r="V200" s="34"/>
      <c r="W200" s="34"/>
      <c r="X200" s="34"/>
      <c r="Y200" s="17" t="s">
        <v>82</v>
      </c>
      <c r="Z200" s="17" t="s">
        <v>321</v>
      </c>
    </row>
    <row r="201" spans="1:26" ht="48.95" customHeight="1" x14ac:dyDescent="0.25">
      <c r="A201" s="124">
        <v>161</v>
      </c>
      <c r="B201" s="138" t="s">
        <v>408</v>
      </c>
      <c r="C201" s="144" t="s">
        <v>945</v>
      </c>
      <c r="D201" s="168" t="s">
        <v>1172</v>
      </c>
      <c r="E201" s="142"/>
      <c r="F201" s="11"/>
      <c r="G201" s="11"/>
      <c r="H201" s="11"/>
      <c r="I201" s="11"/>
      <c r="J201" s="11"/>
      <c r="K201" s="214"/>
      <c r="L201" s="224"/>
      <c r="M201" s="45">
        <f>ROUND( 494.77 /1000,4)</f>
        <v>0.49480000000000002</v>
      </c>
      <c r="N201" s="136">
        <v>14713152</v>
      </c>
      <c r="O201" s="136"/>
      <c r="P201" s="136">
        <v>2701237</v>
      </c>
      <c r="Q201" s="136">
        <v>829313</v>
      </c>
      <c r="R201" s="166">
        <f t="shared" si="49"/>
        <v>7280068</v>
      </c>
      <c r="S201" s="166">
        <f t="shared" si="50"/>
        <v>0</v>
      </c>
      <c r="T201" s="166">
        <f t="shared" si="51"/>
        <v>1336572</v>
      </c>
      <c r="U201" s="166">
        <f t="shared" si="52"/>
        <v>410344</v>
      </c>
      <c r="V201" s="34"/>
      <c r="W201" s="34"/>
      <c r="X201" s="34"/>
      <c r="Y201" s="17" t="s">
        <v>82</v>
      </c>
      <c r="Z201" s="17" t="s">
        <v>321</v>
      </c>
    </row>
    <row r="202" spans="1:26" ht="48.95" customHeight="1" x14ac:dyDescent="0.25">
      <c r="A202" s="124">
        <v>162</v>
      </c>
      <c r="B202" s="138" t="s">
        <v>825</v>
      </c>
      <c r="C202" s="144" t="s">
        <v>231</v>
      </c>
      <c r="D202" s="168" t="s">
        <v>1172</v>
      </c>
      <c r="E202" s="142"/>
      <c r="F202" s="11"/>
      <c r="G202" s="11"/>
      <c r="H202" s="11"/>
      <c r="I202" s="11"/>
      <c r="J202" s="11"/>
      <c r="K202" s="214"/>
      <c r="L202" s="224"/>
      <c r="M202" s="45">
        <f>ROUND( 1891.04 /1000,4)</f>
        <v>1.891</v>
      </c>
      <c r="N202" s="136">
        <v>14721361</v>
      </c>
      <c r="O202" s="136"/>
      <c r="P202" s="136">
        <v>2247190</v>
      </c>
      <c r="Q202" s="136">
        <v>812824</v>
      </c>
      <c r="R202" s="166">
        <f t="shared" si="49"/>
        <v>27838094</v>
      </c>
      <c r="S202" s="166">
        <f t="shared" si="50"/>
        <v>0</v>
      </c>
      <c r="T202" s="166">
        <f t="shared" si="51"/>
        <v>4249436</v>
      </c>
      <c r="U202" s="166">
        <f t="shared" si="52"/>
        <v>1537050</v>
      </c>
      <c r="V202" s="34"/>
      <c r="W202" s="34"/>
      <c r="X202" s="34"/>
      <c r="Y202" s="17" t="s">
        <v>82</v>
      </c>
      <c r="Z202" s="17" t="s">
        <v>321</v>
      </c>
    </row>
    <row r="203" spans="1:26" ht="48.95" customHeight="1" x14ac:dyDescent="0.25">
      <c r="A203" s="168"/>
      <c r="B203" s="144"/>
      <c r="C203" s="130" t="s">
        <v>500</v>
      </c>
      <c r="D203" s="168"/>
      <c r="E203" s="166"/>
      <c r="F203" s="37"/>
      <c r="G203" s="37"/>
      <c r="H203" s="37"/>
      <c r="I203" s="37"/>
      <c r="J203" s="37"/>
      <c r="K203" s="215"/>
      <c r="L203" s="223"/>
      <c r="M203" s="60"/>
      <c r="N203" s="166"/>
      <c r="O203" s="166"/>
      <c r="P203" s="166"/>
      <c r="Q203" s="166"/>
      <c r="R203" s="166"/>
      <c r="S203" s="166"/>
      <c r="T203" s="166"/>
      <c r="U203" s="166"/>
      <c r="V203" s="34"/>
      <c r="W203" s="34"/>
      <c r="X203" s="34"/>
      <c r="Y203" s="17"/>
      <c r="Z203" s="17"/>
    </row>
    <row r="204" spans="1:26" ht="48.95" customHeight="1" x14ac:dyDescent="0.25">
      <c r="A204" s="63">
        <v>163</v>
      </c>
      <c r="B204" s="29" t="s">
        <v>30</v>
      </c>
      <c r="C204" s="80" t="s">
        <v>815</v>
      </c>
      <c r="D204" s="119" t="s">
        <v>818</v>
      </c>
      <c r="E204" s="142"/>
      <c r="F204" s="11"/>
      <c r="G204" s="11"/>
      <c r="H204" s="11"/>
      <c r="I204" s="11"/>
      <c r="J204" s="11"/>
      <c r="K204" s="214"/>
      <c r="L204" s="224"/>
      <c r="M204" s="45">
        <v>18</v>
      </c>
      <c r="N204" s="71">
        <v>371373</v>
      </c>
      <c r="O204" s="71"/>
      <c r="P204" s="71">
        <v>472386</v>
      </c>
      <c r="Q204" s="71">
        <v>1502282</v>
      </c>
      <c r="R204" s="109">
        <f t="shared" ref="R204:R213" si="53">ROUND(M204*N204,0)</f>
        <v>6684714</v>
      </c>
      <c r="S204" s="109">
        <f t="shared" ref="S204:S213" si="54">ROUND(M204*O204,0)</f>
        <v>0</v>
      </c>
      <c r="T204" s="109">
        <f t="shared" ref="T204:T213" si="55">ROUND(M204*P204,0)</f>
        <v>8502948</v>
      </c>
      <c r="U204" s="109">
        <f t="shared" ref="U204:U213" si="56">ROUND(M204*Q204,0)</f>
        <v>27041076</v>
      </c>
      <c r="V204" s="152"/>
      <c r="W204" s="152"/>
      <c r="X204" s="152"/>
      <c r="Y204" s="17"/>
      <c r="Z204" s="17"/>
    </row>
    <row r="205" spans="1:26" ht="48.95" customHeight="1" x14ac:dyDescent="0.25">
      <c r="A205" s="63">
        <v>164</v>
      </c>
      <c r="B205" s="29" t="s">
        <v>30</v>
      </c>
      <c r="C205" s="80" t="s">
        <v>94</v>
      </c>
      <c r="D205" s="119" t="s">
        <v>818</v>
      </c>
      <c r="E205" s="142"/>
      <c r="F205" s="11"/>
      <c r="G205" s="11"/>
      <c r="H205" s="11"/>
      <c r="I205" s="11"/>
      <c r="J205" s="11"/>
      <c r="K205" s="214"/>
      <c r="L205" s="224"/>
      <c r="M205" s="45">
        <v>12</v>
      </c>
      <c r="N205" s="71">
        <v>22500000</v>
      </c>
      <c r="O205" s="71"/>
      <c r="P205" s="71"/>
      <c r="Q205" s="71"/>
      <c r="R205" s="166">
        <f t="shared" si="53"/>
        <v>270000000</v>
      </c>
      <c r="S205" s="166">
        <f t="shared" si="54"/>
        <v>0</v>
      </c>
      <c r="T205" s="166">
        <f t="shared" si="55"/>
        <v>0</v>
      </c>
      <c r="U205" s="166">
        <f t="shared" si="56"/>
        <v>0</v>
      </c>
      <c r="V205" s="152"/>
      <c r="W205" s="152"/>
      <c r="X205" s="152"/>
      <c r="Y205" s="17"/>
      <c r="Z205" s="17"/>
    </row>
    <row r="206" spans="1:26" ht="48.95" customHeight="1" x14ac:dyDescent="0.25">
      <c r="A206" s="63">
        <v>165</v>
      </c>
      <c r="B206" s="29" t="s">
        <v>30</v>
      </c>
      <c r="C206" s="80" t="s">
        <v>1178</v>
      </c>
      <c r="D206" s="119" t="s">
        <v>818</v>
      </c>
      <c r="E206" s="142"/>
      <c r="F206" s="11"/>
      <c r="G206" s="11"/>
      <c r="H206" s="11"/>
      <c r="I206" s="11"/>
      <c r="J206" s="11"/>
      <c r="K206" s="214"/>
      <c r="L206" s="224"/>
      <c r="M206" s="45">
        <v>6</v>
      </c>
      <c r="N206" s="71">
        <v>8952556</v>
      </c>
      <c r="O206" s="71"/>
      <c r="P206" s="71"/>
      <c r="Q206" s="71"/>
      <c r="R206" s="166">
        <f t="shared" si="53"/>
        <v>53715336</v>
      </c>
      <c r="S206" s="166">
        <f t="shared" si="54"/>
        <v>0</v>
      </c>
      <c r="T206" s="166">
        <f t="shared" si="55"/>
        <v>0</v>
      </c>
      <c r="U206" s="166">
        <f t="shared" si="56"/>
        <v>0</v>
      </c>
      <c r="V206" s="152"/>
      <c r="W206" s="152"/>
      <c r="X206" s="152"/>
      <c r="Y206" s="17"/>
      <c r="Z206" s="17"/>
    </row>
    <row r="207" spans="1:26" ht="48.95" customHeight="1" x14ac:dyDescent="0.25">
      <c r="A207" s="124">
        <v>166</v>
      </c>
      <c r="B207" s="138" t="s">
        <v>709</v>
      </c>
      <c r="C207" s="144" t="s">
        <v>659</v>
      </c>
      <c r="D207" s="168" t="s">
        <v>155</v>
      </c>
      <c r="E207" s="142"/>
      <c r="F207" s="11"/>
      <c r="G207" s="11"/>
      <c r="H207" s="11"/>
      <c r="I207" s="11"/>
      <c r="J207" s="11"/>
      <c r="K207" s="214"/>
      <c r="L207" s="224"/>
      <c r="M207" s="45">
        <v>56.26</v>
      </c>
      <c r="N207" s="136">
        <v>1607685</v>
      </c>
      <c r="O207" s="136"/>
      <c r="P207" s="136">
        <v>595997</v>
      </c>
      <c r="Q207" s="136">
        <v>49569</v>
      </c>
      <c r="R207" s="166">
        <f t="shared" si="53"/>
        <v>90448358</v>
      </c>
      <c r="S207" s="166">
        <f t="shared" si="54"/>
        <v>0</v>
      </c>
      <c r="T207" s="166">
        <f t="shared" si="55"/>
        <v>33530791</v>
      </c>
      <c r="U207" s="166">
        <f t="shared" si="56"/>
        <v>2788752</v>
      </c>
      <c r="V207" s="34"/>
      <c r="W207" s="34"/>
      <c r="X207" s="34"/>
      <c r="Y207" s="17" t="s">
        <v>82</v>
      </c>
      <c r="Z207" s="17" t="s">
        <v>321</v>
      </c>
    </row>
    <row r="208" spans="1:26" ht="48.95" customHeight="1" x14ac:dyDescent="0.25">
      <c r="A208" s="124">
        <v>167</v>
      </c>
      <c r="B208" s="138" t="s">
        <v>280</v>
      </c>
      <c r="C208" s="144" t="s">
        <v>553</v>
      </c>
      <c r="D208" s="168" t="s">
        <v>155</v>
      </c>
      <c r="E208" s="142"/>
      <c r="F208" s="11"/>
      <c r="G208" s="11"/>
      <c r="H208" s="11"/>
      <c r="I208" s="11"/>
      <c r="J208" s="11"/>
      <c r="K208" s="214"/>
      <c r="L208" s="224"/>
      <c r="M208" s="45">
        <v>3.07</v>
      </c>
      <c r="N208" s="136">
        <v>1112205</v>
      </c>
      <c r="O208" s="136"/>
      <c r="P208" s="136">
        <v>571593</v>
      </c>
      <c r="Q208" s="136">
        <v>305854</v>
      </c>
      <c r="R208" s="166">
        <f t="shared" si="53"/>
        <v>3414469</v>
      </c>
      <c r="S208" s="166">
        <f t="shared" si="54"/>
        <v>0</v>
      </c>
      <c r="T208" s="166">
        <f t="shared" si="55"/>
        <v>1754791</v>
      </c>
      <c r="U208" s="166">
        <f t="shared" si="56"/>
        <v>938972</v>
      </c>
      <c r="V208" s="34"/>
      <c r="W208" s="34"/>
      <c r="X208" s="34"/>
      <c r="Y208" s="17" t="s">
        <v>82</v>
      </c>
      <c r="Z208" s="17" t="s">
        <v>321</v>
      </c>
    </row>
    <row r="209" spans="1:26" ht="48.95" customHeight="1" x14ac:dyDescent="0.25">
      <c r="A209" s="63">
        <v>168</v>
      </c>
      <c r="B209" s="73" t="s">
        <v>30</v>
      </c>
      <c r="C209" s="111" t="s">
        <v>439</v>
      </c>
      <c r="D209" s="119" t="s">
        <v>205</v>
      </c>
      <c r="E209" s="142"/>
      <c r="F209" s="11"/>
      <c r="G209" s="11"/>
      <c r="H209" s="11"/>
      <c r="I209" s="11"/>
      <c r="J209" s="11"/>
      <c r="K209" s="214"/>
      <c r="L209" s="224"/>
      <c r="M209" s="45">
        <v>267.89999999999998</v>
      </c>
      <c r="N209" s="71">
        <v>141159</v>
      </c>
      <c r="O209" s="71"/>
      <c r="P209" s="71">
        <v>56929</v>
      </c>
      <c r="Q209" s="71">
        <v>2097</v>
      </c>
      <c r="R209" s="109">
        <f t="shared" si="53"/>
        <v>37816496</v>
      </c>
      <c r="S209" s="109">
        <f t="shared" si="54"/>
        <v>0</v>
      </c>
      <c r="T209" s="109">
        <f t="shared" si="55"/>
        <v>15251279</v>
      </c>
      <c r="U209" s="109">
        <f t="shared" si="56"/>
        <v>561786</v>
      </c>
      <c r="V209" s="152"/>
      <c r="W209" s="152"/>
      <c r="X209" s="152"/>
      <c r="Y209" s="17"/>
      <c r="Z209" s="17"/>
    </row>
    <row r="210" spans="1:26" ht="48.95" customHeight="1" x14ac:dyDescent="0.25">
      <c r="A210" s="63">
        <v>169</v>
      </c>
      <c r="B210" s="29" t="s">
        <v>30</v>
      </c>
      <c r="C210" s="80" t="s">
        <v>1164</v>
      </c>
      <c r="D210" s="119" t="s">
        <v>205</v>
      </c>
      <c r="E210" s="142"/>
      <c r="F210" s="11"/>
      <c r="G210" s="11"/>
      <c r="H210" s="11"/>
      <c r="I210" s="11"/>
      <c r="J210" s="11"/>
      <c r="K210" s="214"/>
      <c r="L210" s="224"/>
      <c r="M210" s="45">
        <v>16.2</v>
      </c>
      <c r="N210" s="71">
        <v>75000</v>
      </c>
      <c r="O210" s="71"/>
      <c r="P210" s="71"/>
      <c r="Q210" s="71"/>
      <c r="R210" s="166">
        <f t="shared" si="53"/>
        <v>1215000</v>
      </c>
      <c r="S210" s="166">
        <f t="shared" si="54"/>
        <v>0</v>
      </c>
      <c r="T210" s="166">
        <f t="shared" si="55"/>
        <v>0</v>
      </c>
      <c r="U210" s="166">
        <f t="shared" si="56"/>
        <v>0</v>
      </c>
      <c r="V210" s="152"/>
      <c r="W210" s="152"/>
      <c r="X210" s="152"/>
      <c r="Y210" s="17"/>
      <c r="Z210" s="17"/>
    </row>
    <row r="211" spans="1:26" ht="48.95" customHeight="1" x14ac:dyDescent="0.25">
      <c r="A211" s="124">
        <v>170</v>
      </c>
      <c r="B211" s="138" t="s">
        <v>869</v>
      </c>
      <c r="C211" s="144" t="s">
        <v>573</v>
      </c>
      <c r="D211" s="168" t="s">
        <v>836</v>
      </c>
      <c r="E211" s="142"/>
      <c r="F211" s="11"/>
      <c r="G211" s="11"/>
      <c r="H211" s="11"/>
      <c r="I211" s="11"/>
      <c r="J211" s="11"/>
      <c r="K211" s="214"/>
      <c r="L211" s="224"/>
      <c r="M211" s="45">
        <f>ROUND( 38.7 /100,4)</f>
        <v>0.38700000000000001</v>
      </c>
      <c r="N211" s="136">
        <v>3284877</v>
      </c>
      <c r="O211" s="136"/>
      <c r="P211" s="136">
        <v>8822813</v>
      </c>
      <c r="Q211" s="136">
        <v>517171</v>
      </c>
      <c r="R211" s="166">
        <f t="shared" si="53"/>
        <v>1271247</v>
      </c>
      <c r="S211" s="166">
        <f t="shared" si="54"/>
        <v>0</v>
      </c>
      <c r="T211" s="166">
        <f t="shared" si="55"/>
        <v>3414429</v>
      </c>
      <c r="U211" s="166">
        <f t="shared" si="56"/>
        <v>200145</v>
      </c>
      <c r="V211" s="34"/>
      <c r="W211" s="34"/>
      <c r="X211" s="34"/>
      <c r="Y211" s="17" t="s">
        <v>82</v>
      </c>
      <c r="Z211" s="17" t="s">
        <v>321</v>
      </c>
    </row>
    <row r="212" spans="1:26" ht="48.95" customHeight="1" x14ac:dyDescent="0.25">
      <c r="A212" s="124">
        <v>171</v>
      </c>
      <c r="B212" s="138" t="s">
        <v>96</v>
      </c>
      <c r="C212" s="144" t="s">
        <v>307</v>
      </c>
      <c r="D212" s="168" t="s">
        <v>836</v>
      </c>
      <c r="E212" s="142"/>
      <c r="F212" s="11"/>
      <c r="G212" s="11"/>
      <c r="H212" s="11"/>
      <c r="I212" s="11"/>
      <c r="J212" s="11"/>
      <c r="K212" s="214"/>
      <c r="L212" s="224"/>
      <c r="M212" s="45">
        <f>ROUND(252.72/100,4)</f>
        <v>2.5272000000000001</v>
      </c>
      <c r="N212" s="136">
        <v>3743235</v>
      </c>
      <c r="O212" s="136"/>
      <c r="P212" s="136">
        <v>7490633</v>
      </c>
      <c r="Q212" s="136">
        <v>517171</v>
      </c>
      <c r="R212" s="166">
        <f t="shared" si="53"/>
        <v>9459903</v>
      </c>
      <c r="S212" s="166">
        <f t="shared" si="54"/>
        <v>0</v>
      </c>
      <c r="T212" s="166">
        <f t="shared" si="55"/>
        <v>18930328</v>
      </c>
      <c r="U212" s="166">
        <f t="shared" si="56"/>
        <v>1306995</v>
      </c>
      <c r="V212" s="34"/>
      <c r="W212" s="34"/>
      <c r="X212" s="34"/>
      <c r="Y212" s="17" t="s">
        <v>82</v>
      </c>
      <c r="Z212" s="17" t="s">
        <v>321</v>
      </c>
    </row>
    <row r="213" spans="1:26" ht="48.95" customHeight="1" x14ac:dyDescent="0.25">
      <c r="A213" s="124">
        <v>172</v>
      </c>
      <c r="B213" s="138" t="s">
        <v>146</v>
      </c>
      <c r="C213" s="144" t="s">
        <v>968</v>
      </c>
      <c r="D213" s="168" t="s">
        <v>1172</v>
      </c>
      <c r="E213" s="142"/>
      <c r="F213" s="11"/>
      <c r="G213" s="11"/>
      <c r="H213" s="11"/>
      <c r="I213" s="11"/>
      <c r="J213" s="11"/>
      <c r="K213" s="214"/>
      <c r="L213" s="224"/>
      <c r="M213" s="45">
        <f>ROUND(SUM(L214:L214),4)</f>
        <v>8.5599999999999996E-2</v>
      </c>
      <c r="N213" s="136">
        <v>14603640</v>
      </c>
      <c r="O213" s="136"/>
      <c r="P213" s="136">
        <v>3114083</v>
      </c>
      <c r="Q213" s="136">
        <v>93042</v>
      </c>
      <c r="R213" s="166">
        <f t="shared" si="53"/>
        <v>1250072</v>
      </c>
      <c r="S213" s="166">
        <f t="shared" si="54"/>
        <v>0</v>
      </c>
      <c r="T213" s="166">
        <f t="shared" si="55"/>
        <v>266566</v>
      </c>
      <c r="U213" s="166">
        <f t="shared" si="56"/>
        <v>7964</v>
      </c>
      <c r="V213" s="34"/>
      <c r="W213" s="34"/>
      <c r="X213" s="34"/>
      <c r="Y213" s="17" t="s">
        <v>82</v>
      </c>
      <c r="Z213" s="17" t="s">
        <v>321</v>
      </c>
    </row>
    <row r="214" spans="1:26" ht="48.95" customHeight="1" x14ac:dyDescent="0.25">
      <c r="A214" s="161"/>
      <c r="B214" s="133"/>
      <c r="C214" s="133" t="s">
        <v>890</v>
      </c>
      <c r="D214" s="161"/>
      <c r="E214" s="156"/>
      <c r="F214" s="27"/>
      <c r="G214" s="27"/>
      <c r="H214" s="27"/>
      <c r="I214" s="27"/>
      <c r="J214" s="27"/>
      <c r="K214" s="215"/>
      <c r="L214" s="225">
        <v>8.5599999999999996E-2</v>
      </c>
      <c r="M214" s="45"/>
      <c r="N214" s="156"/>
      <c r="O214" s="156"/>
      <c r="P214" s="156"/>
      <c r="Q214" s="156"/>
      <c r="R214" s="156"/>
      <c r="S214" s="156"/>
      <c r="T214" s="156"/>
      <c r="U214" s="156"/>
      <c r="V214" s="20"/>
      <c r="W214" s="20"/>
      <c r="X214" s="20"/>
      <c r="Y214" s="17"/>
      <c r="Z214" s="17"/>
    </row>
    <row r="215" spans="1:26" ht="48.95" customHeight="1" x14ac:dyDescent="0.25">
      <c r="A215" s="124">
        <v>173</v>
      </c>
      <c r="B215" s="138" t="s">
        <v>551</v>
      </c>
      <c r="C215" s="144" t="s">
        <v>1027</v>
      </c>
      <c r="D215" s="168" t="s">
        <v>1172</v>
      </c>
      <c r="E215" s="142"/>
      <c r="F215" s="11"/>
      <c r="G215" s="11"/>
      <c r="H215" s="11"/>
      <c r="I215" s="11"/>
      <c r="J215" s="11"/>
      <c r="K215" s="214"/>
      <c r="L215" s="224"/>
      <c r="M215" s="45">
        <f>ROUND(SUM(L216:L216),4)</f>
        <v>10.3314</v>
      </c>
      <c r="N215" s="136">
        <v>14677203</v>
      </c>
      <c r="O215" s="136"/>
      <c r="P215" s="136">
        <v>2322259</v>
      </c>
      <c r="Q215" s="136">
        <v>461621</v>
      </c>
      <c r="R215" s="166">
        <f>ROUND(M215*N215,0)</f>
        <v>151636055</v>
      </c>
      <c r="S215" s="166">
        <f>ROUND(M215*O215,0)</f>
        <v>0</v>
      </c>
      <c r="T215" s="166">
        <f>ROUND(M215*P215,0)</f>
        <v>23992187</v>
      </c>
      <c r="U215" s="166">
        <f>ROUND(M215*Q215,0)</f>
        <v>4769191</v>
      </c>
      <c r="V215" s="34"/>
      <c r="W215" s="34"/>
      <c r="X215" s="34"/>
      <c r="Y215" s="17" t="s">
        <v>82</v>
      </c>
      <c r="Z215" s="17" t="s">
        <v>321</v>
      </c>
    </row>
    <row r="216" spans="1:26" ht="48.95" customHeight="1" x14ac:dyDescent="0.25">
      <c r="A216" s="161"/>
      <c r="B216" s="133"/>
      <c r="C216" s="133" t="s">
        <v>368</v>
      </c>
      <c r="D216" s="161"/>
      <c r="E216" s="156"/>
      <c r="F216" s="27"/>
      <c r="G216" s="27"/>
      <c r="H216" s="27"/>
      <c r="I216" s="27"/>
      <c r="J216" s="27"/>
      <c r="K216" s="215"/>
      <c r="L216" s="225">
        <v>10.3314</v>
      </c>
      <c r="M216" s="45"/>
      <c r="N216" s="156"/>
      <c r="O216" s="156"/>
      <c r="P216" s="156"/>
      <c r="Q216" s="156"/>
      <c r="R216" s="156"/>
      <c r="S216" s="156"/>
      <c r="T216" s="156"/>
      <c r="U216" s="156"/>
      <c r="V216" s="20"/>
      <c r="W216" s="20"/>
      <c r="X216" s="20"/>
      <c r="Y216" s="17"/>
      <c r="Z216" s="17"/>
    </row>
    <row r="217" spans="1:26" ht="48.95" customHeight="1" x14ac:dyDescent="0.25">
      <c r="A217" s="124">
        <v>174</v>
      </c>
      <c r="B217" s="138" t="s">
        <v>931</v>
      </c>
      <c r="C217" s="144" t="s">
        <v>375</v>
      </c>
      <c r="D217" s="168" t="s">
        <v>1172</v>
      </c>
      <c r="E217" s="142"/>
      <c r="F217" s="11"/>
      <c r="G217" s="11"/>
      <c r="H217" s="11"/>
      <c r="I217" s="11"/>
      <c r="J217" s="11"/>
      <c r="K217" s="214"/>
      <c r="L217" s="224"/>
      <c r="M217" s="45">
        <f>ROUND(SUM(L218:L218),4)</f>
        <v>0.27810000000000001</v>
      </c>
      <c r="N217" s="136">
        <v>14603640</v>
      </c>
      <c r="O217" s="136"/>
      <c r="P217" s="136">
        <v>4644192</v>
      </c>
      <c r="Q217" s="136">
        <v>441595</v>
      </c>
      <c r="R217" s="166">
        <f>ROUND(M217*N217,0)</f>
        <v>4061272</v>
      </c>
      <c r="S217" s="166">
        <f>ROUND(M217*O217,0)</f>
        <v>0</v>
      </c>
      <c r="T217" s="166">
        <f>ROUND(M217*P217,0)</f>
        <v>1291550</v>
      </c>
      <c r="U217" s="166">
        <f>ROUND(M217*Q217,0)</f>
        <v>122808</v>
      </c>
      <c r="V217" s="34"/>
      <c r="W217" s="34"/>
      <c r="X217" s="34"/>
      <c r="Y217" s="17" t="s">
        <v>82</v>
      </c>
      <c r="Z217" s="17" t="s">
        <v>321</v>
      </c>
    </row>
    <row r="218" spans="1:26" ht="48.95" customHeight="1" x14ac:dyDescent="0.25">
      <c r="A218" s="161"/>
      <c r="B218" s="133"/>
      <c r="C218" s="133" t="s">
        <v>612</v>
      </c>
      <c r="D218" s="161"/>
      <c r="E218" s="156"/>
      <c r="F218" s="27"/>
      <c r="G218" s="27"/>
      <c r="H218" s="27"/>
      <c r="I218" s="27"/>
      <c r="J218" s="27"/>
      <c r="K218" s="215"/>
      <c r="L218" s="225">
        <v>0.27810000000000001</v>
      </c>
      <c r="M218" s="45"/>
      <c r="N218" s="156"/>
      <c r="O218" s="156"/>
      <c r="P218" s="156"/>
      <c r="Q218" s="156"/>
      <c r="R218" s="156"/>
      <c r="S218" s="156"/>
      <c r="T218" s="156"/>
      <c r="U218" s="156"/>
      <c r="V218" s="20"/>
      <c r="W218" s="20"/>
      <c r="X218" s="20"/>
      <c r="Y218" s="17"/>
      <c r="Z218" s="17"/>
    </row>
    <row r="219" spans="1:26" ht="48.95" customHeight="1" x14ac:dyDescent="0.25">
      <c r="A219" s="124">
        <v>175</v>
      </c>
      <c r="B219" s="138" t="s">
        <v>102</v>
      </c>
      <c r="C219" s="144" t="s">
        <v>1023</v>
      </c>
      <c r="D219" s="168" t="s">
        <v>1172</v>
      </c>
      <c r="E219" s="142"/>
      <c r="F219" s="11"/>
      <c r="G219" s="11"/>
      <c r="H219" s="11"/>
      <c r="I219" s="11"/>
      <c r="J219" s="11"/>
      <c r="K219" s="214"/>
      <c r="L219" s="224"/>
      <c r="M219" s="45">
        <f>ROUND(SUM(L220:L220),4)</f>
        <v>0.122</v>
      </c>
      <c r="N219" s="136">
        <v>14713152</v>
      </c>
      <c r="O219" s="136"/>
      <c r="P219" s="136">
        <v>3240563</v>
      </c>
      <c r="Q219" s="136">
        <v>876589</v>
      </c>
      <c r="R219" s="166">
        <f>ROUND(M219*N219,0)</f>
        <v>1795005</v>
      </c>
      <c r="S219" s="166">
        <f>ROUND(M219*O219,0)</f>
        <v>0</v>
      </c>
      <c r="T219" s="166">
        <f>ROUND(M219*P219,0)</f>
        <v>395349</v>
      </c>
      <c r="U219" s="166">
        <f>ROUND(M219*Q219,0)</f>
        <v>106944</v>
      </c>
      <c r="V219" s="34"/>
      <c r="W219" s="34"/>
      <c r="X219" s="34"/>
      <c r="Y219" s="17" t="s">
        <v>82</v>
      </c>
      <c r="Z219" s="17" t="s">
        <v>321</v>
      </c>
    </row>
    <row r="220" spans="1:26" ht="48.95" customHeight="1" x14ac:dyDescent="0.25">
      <c r="A220" s="161"/>
      <c r="B220" s="133"/>
      <c r="C220" s="133" t="s">
        <v>1193</v>
      </c>
      <c r="D220" s="161"/>
      <c r="E220" s="156"/>
      <c r="F220" s="27"/>
      <c r="G220" s="27"/>
      <c r="H220" s="27"/>
      <c r="I220" s="27"/>
      <c r="J220" s="27"/>
      <c r="K220" s="215"/>
      <c r="L220" s="225">
        <v>0.122</v>
      </c>
      <c r="M220" s="45"/>
      <c r="N220" s="156"/>
      <c r="O220" s="156"/>
      <c r="P220" s="156"/>
      <c r="Q220" s="156"/>
      <c r="R220" s="156"/>
      <c r="S220" s="156"/>
      <c r="T220" s="156"/>
      <c r="U220" s="156"/>
      <c r="V220" s="20"/>
      <c r="W220" s="20"/>
      <c r="X220" s="20"/>
      <c r="Y220" s="17"/>
      <c r="Z220" s="17"/>
    </row>
    <row r="221" spans="1:26" ht="48.95" customHeight="1" x14ac:dyDescent="0.25">
      <c r="A221" s="124">
        <v>176</v>
      </c>
      <c r="B221" s="138" t="s">
        <v>502</v>
      </c>
      <c r="C221" s="144" t="s">
        <v>720</v>
      </c>
      <c r="D221" s="168" t="s">
        <v>1172</v>
      </c>
      <c r="E221" s="142"/>
      <c r="F221" s="11"/>
      <c r="G221" s="11"/>
      <c r="H221" s="11"/>
      <c r="I221" s="11"/>
      <c r="J221" s="11"/>
      <c r="K221" s="214"/>
      <c r="L221" s="224"/>
      <c r="M221" s="45">
        <f>ROUND(SUM(L222:L222),4)</f>
        <v>0.2127</v>
      </c>
      <c r="N221" s="136">
        <v>14721361</v>
      </c>
      <c r="O221" s="136"/>
      <c r="P221" s="136">
        <v>2696628</v>
      </c>
      <c r="Q221" s="136">
        <v>854847</v>
      </c>
      <c r="R221" s="166">
        <f>ROUND(M221*N221,0)</f>
        <v>3131233</v>
      </c>
      <c r="S221" s="166">
        <f>ROUND(M221*O221,0)</f>
        <v>0</v>
      </c>
      <c r="T221" s="166">
        <f>ROUND(M221*P221,0)</f>
        <v>573573</v>
      </c>
      <c r="U221" s="166">
        <f>ROUND(M221*Q221,0)</f>
        <v>181826</v>
      </c>
      <c r="V221" s="34"/>
      <c r="W221" s="34"/>
      <c r="X221" s="34"/>
      <c r="Y221" s="17" t="s">
        <v>82</v>
      </c>
      <c r="Z221" s="17" t="s">
        <v>321</v>
      </c>
    </row>
    <row r="222" spans="1:26" ht="48.95" customHeight="1" x14ac:dyDescent="0.25">
      <c r="A222" s="161"/>
      <c r="B222" s="133"/>
      <c r="C222" s="133" t="s">
        <v>946</v>
      </c>
      <c r="D222" s="161"/>
      <c r="E222" s="156"/>
      <c r="F222" s="27"/>
      <c r="G222" s="27"/>
      <c r="H222" s="27"/>
      <c r="I222" s="27"/>
      <c r="J222" s="27"/>
      <c r="K222" s="215"/>
      <c r="L222" s="225">
        <v>0.2127</v>
      </c>
      <c r="M222" s="45"/>
      <c r="N222" s="156"/>
      <c r="O222" s="156"/>
      <c r="P222" s="156"/>
      <c r="Q222" s="156"/>
      <c r="R222" s="156"/>
      <c r="S222" s="156"/>
      <c r="T222" s="156"/>
      <c r="U222" s="156"/>
      <c r="V222" s="20"/>
      <c r="W222" s="20"/>
      <c r="X222" s="20"/>
      <c r="Y222" s="17"/>
      <c r="Z222" s="17"/>
    </row>
    <row r="223" spans="1:26" ht="48.95" customHeight="1" x14ac:dyDescent="0.25">
      <c r="A223" s="168"/>
      <c r="B223" s="144"/>
      <c r="C223" s="130" t="s">
        <v>804</v>
      </c>
      <c r="D223" s="168"/>
      <c r="E223" s="166"/>
      <c r="F223" s="37"/>
      <c r="G223" s="37"/>
      <c r="H223" s="37"/>
      <c r="I223" s="37"/>
      <c r="J223" s="37"/>
      <c r="K223" s="215"/>
      <c r="L223" s="223"/>
      <c r="M223" s="60"/>
      <c r="N223" s="166"/>
      <c r="O223" s="166"/>
      <c r="P223" s="166"/>
      <c r="Q223" s="166"/>
      <c r="R223" s="166"/>
      <c r="S223" s="166"/>
      <c r="T223" s="166"/>
      <c r="U223" s="166"/>
      <c r="V223" s="34"/>
      <c r="W223" s="34"/>
      <c r="X223" s="34"/>
      <c r="Y223" s="17"/>
      <c r="Z223" s="17"/>
    </row>
    <row r="224" spans="1:26" ht="48.95" customHeight="1" x14ac:dyDescent="0.25">
      <c r="A224" s="124">
        <v>177</v>
      </c>
      <c r="B224" s="52" t="s">
        <v>444</v>
      </c>
      <c r="C224" s="144" t="s">
        <v>1037</v>
      </c>
      <c r="D224" s="168" t="s">
        <v>113</v>
      </c>
      <c r="E224" s="142"/>
      <c r="F224" s="11"/>
      <c r="G224" s="11"/>
      <c r="H224" s="11"/>
      <c r="I224" s="11"/>
      <c r="J224" s="11"/>
      <c r="K224" s="214"/>
      <c r="L224" s="224"/>
      <c r="M224" s="45">
        <v>12</v>
      </c>
      <c r="N224" s="136">
        <v>1590750</v>
      </c>
      <c r="O224" s="136"/>
      <c r="P224" s="136">
        <v>310200</v>
      </c>
      <c r="Q224" s="136"/>
      <c r="R224" s="166">
        <f t="shared" ref="R224:R229" si="57">ROUND(M224*N224,0)</f>
        <v>19089000</v>
      </c>
      <c r="S224" s="166">
        <f t="shared" ref="S224:S229" si="58">ROUND(M224*O224,0)</f>
        <v>0</v>
      </c>
      <c r="T224" s="166">
        <f t="shared" ref="T224:T229" si="59">ROUND(M224*P224,0)</f>
        <v>3722400</v>
      </c>
      <c r="U224" s="166">
        <f t="shared" ref="U224:U229" si="60">ROUND(M224*Q224,0)</f>
        <v>0</v>
      </c>
      <c r="V224" s="34"/>
      <c r="W224" s="34"/>
      <c r="X224" s="34"/>
      <c r="Y224" s="17" t="s">
        <v>82</v>
      </c>
      <c r="Z224" s="17" t="s">
        <v>321</v>
      </c>
    </row>
    <row r="225" spans="1:26" ht="48.95" customHeight="1" x14ac:dyDescent="0.25">
      <c r="A225" s="63">
        <v>178</v>
      </c>
      <c r="B225" s="29" t="s">
        <v>30</v>
      </c>
      <c r="C225" s="80" t="s">
        <v>665</v>
      </c>
      <c r="D225" s="119" t="s">
        <v>1123</v>
      </c>
      <c r="E225" s="142"/>
      <c r="F225" s="11"/>
      <c r="G225" s="11"/>
      <c r="H225" s="11"/>
      <c r="I225" s="11"/>
      <c r="J225" s="11"/>
      <c r="K225" s="214"/>
      <c r="L225" s="224"/>
      <c r="M225" s="45">
        <v>116</v>
      </c>
      <c r="N225" s="71">
        <v>15000</v>
      </c>
      <c r="O225" s="71"/>
      <c r="P225" s="71"/>
      <c r="Q225" s="71"/>
      <c r="R225" s="166">
        <f t="shared" si="57"/>
        <v>1740000</v>
      </c>
      <c r="S225" s="166">
        <f t="shared" si="58"/>
        <v>0</v>
      </c>
      <c r="T225" s="166">
        <f t="shared" si="59"/>
        <v>0</v>
      </c>
      <c r="U225" s="166">
        <f t="shared" si="60"/>
        <v>0</v>
      </c>
      <c r="V225" s="152"/>
      <c r="W225" s="152"/>
      <c r="X225" s="152"/>
      <c r="Y225" s="17"/>
      <c r="Z225" s="17"/>
    </row>
    <row r="226" spans="1:26" ht="48.95" customHeight="1" x14ac:dyDescent="0.25">
      <c r="A226" s="63">
        <v>179</v>
      </c>
      <c r="B226" s="29" t="s">
        <v>30</v>
      </c>
      <c r="C226" s="80" t="s">
        <v>139</v>
      </c>
      <c r="D226" s="119" t="s">
        <v>414</v>
      </c>
      <c r="E226" s="142"/>
      <c r="F226" s="11"/>
      <c r="G226" s="11"/>
      <c r="H226" s="11"/>
      <c r="I226" s="11"/>
      <c r="J226" s="11"/>
      <c r="K226" s="214"/>
      <c r="L226" s="224"/>
      <c r="M226" s="45">
        <v>0.37</v>
      </c>
      <c r="N226" s="71">
        <v>250000</v>
      </c>
      <c r="O226" s="71"/>
      <c r="P226" s="71"/>
      <c r="Q226" s="71"/>
      <c r="R226" s="166">
        <f t="shared" si="57"/>
        <v>92500</v>
      </c>
      <c r="S226" s="166">
        <f t="shared" si="58"/>
        <v>0</v>
      </c>
      <c r="T226" s="166">
        <f t="shared" si="59"/>
        <v>0</v>
      </c>
      <c r="U226" s="166">
        <f t="shared" si="60"/>
        <v>0</v>
      </c>
      <c r="V226" s="152"/>
      <c r="W226" s="152"/>
      <c r="X226" s="152"/>
      <c r="Y226" s="17"/>
      <c r="Z226" s="17"/>
    </row>
    <row r="227" spans="1:26" ht="48.95" customHeight="1" x14ac:dyDescent="0.25">
      <c r="A227" s="63">
        <v>180</v>
      </c>
      <c r="B227" s="29" t="s">
        <v>30</v>
      </c>
      <c r="C227" s="80" t="s">
        <v>654</v>
      </c>
      <c r="D227" s="119" t="s">
        <v>1155</v>
      </c>
      <c r="E227" s="142"/>
      <c r="F227" s="11"/>
      <c r="G227" s="11"/>
      <c r="H227" s="11"/>
      <c r="I227" s="11"/>
      <c r="J227" s="11"/>
      <c r="K227" s="214"/>
      <c r="L227" s="224"/>
      <c r="M227" s="45">
        <v>7.14</v>
      </c>
      <c r="N227" s="71">
        <v>35000</v>
      </c>
      <c r="O227" s="71"/>
      <c r="P227" s="71"/>
      <c r="Q227" s="71"/>
      <c r="R227" s="166">
        <f t="shared" si="57"/>
        <v>249900</v>
      </c>
      <c r="S227" s="166">
        <f t="shared" si="58"/>
        <v>0</v>
      </c>
      <c r="T227" s="166">
        <f t="shared" si="59"/>
        <v>0</v>
      </c>
      <c r="U227" s="166">
        <f t="shared" si="60"/>
        <v>0</v>
      </c>
      <c r="V227" s="152"/>
      <c r="W227" s="152"/>
      <c r="X227" s="152"/>
      <c r="Y227" s="17"/>
      <c r="Z227" s="17"/>
    </row>
    <row r="228" spans="1:26" ht="48.95" customHeight="1" x14ac:dyDescent="0.25">
      <c r="A228" s="124">
        <v>181</v>
      </c>
      <c r="B228" s="138" t="s">
        <v>662</v>
      </c>
      <c r="C228" s="144" t="s">
        <v>741</v>
      </c>
      <c r="D228" s="168" t="s">
        <v>155</v>
      </c>
      <c r="E228" s="142"/>
      <c r="F228" s="11"/>
      <c r="G228" s="11"/>
      <c r="H228" s="11"/>
      <c r="I228" s="11"/>
      <c r="J228" s="11"/>
      <c r="K228" s="214"/>
      <c r="L228" s="224"/>
      <c r="M228" s="45">
        <v>1.1299999999999999</v>
      </c>
      <c r="N228" s="136">
        <v>1430376</v>
      </c>
      <c r="O228" s="136"/>
      <c r="P228" s="136">
        <v>320179</v>
      </c>
      <c r="Q228" s="136">
        <v>47495</v>
      </c>
      <c r="R228" s="166">
        <f t="shared" si="57"/>
        <v>1616325</v>
      </c>
      <c r="S228" s="166">
        <f t="shared" si="58"/>
        <v>0</v>
      </c>
      <c r="T228" s="166">
        <f t="shared" si="59"/>
        <v>361802</v>
      </c>
      <c r="U228" s="166">
        <f t="shared" si="60"/>
        <v>53669</v>
      </c>
      <c r="V228" s="34"/>
      <c r="W228" s="34"/>
      <c r="X228" s="34"/>
      <c r="Y228" s="17" t="s">
        <v>82</v>
      </c>
      <c r="Z228" s="17" t="s">
        <v>321</v>
      </c>
    </row>
    <row r="229" spans="1:26" ht="48.95" customHeight="1" x14ac:dyDescent="0.25">
      <c r="A229" s="124">
        <v>182</v>
      </c>
      <c r="B229" s="138" t="s">
        <v>399</v>
      </c>
      <c r="C229" s="144" t="s">
        <v>365</v>
      </c>
      <c r="D229" s="168" t="s">
        <v>1172</v>
      </c>
      <c r="E229" s="142"/>
      <c r="F229" s="11"/>
      <c r="G229" s="11"/>
      <c r="H229" s="11"/>
      <c r="I229" s="11"/>
      <c r="J229" s="11"/>
      <c r="K229" s="214"/>
      <c r="L229" s="224"/>
      <c r="M229" s="45">
        <f>ROUND(310.93/1000,4)</f>
        <v>0.31090000000000001</v>
      </c>
      <c r="N229" s="136">
        <v>14677642</v>
      </c>
      <c r="O229" s="136"/>
      <c r="P229" s="136">
        <v>1775219</v>
      </c>
      <c r="Q229" s="136">
        <v>451556</v>
      </c>
      <c r="R229" s="166">
        <f t="shared" si="57"/>
        <v>4563279</v>
      </c>
      <c r="S229" s="166">
        <f t="shared" si="58"/>
        <v>0</v>
      </c>
      <c r="T229" s="166">
        <f t="shared" si="59"/>
        <v>551916</v>
      </c>
      <c r="U229" s="166">
        <f t="shared" si="60"/>
        <v>140389</v>
      </c>
      <c r="V229" s="34"/>
      <c r="W229" s="34"/>
      <c r="X229" s="34"/>
      <c r="Y229" s="17" t="s">
        <v>82</v>
      </c>
      <c r="Z229" s="17" t="s">
        <v>321</v>
      </c>
    </row>
    <row r="230" spans="1:26" ht="48.95" customHeight="1" x14ac:dyDescent="0.25">
      <c r="A230" s="168"/>
      <c r="B230" s="144"/>
      <c r="C230" s="130" t="s">
        <v>649</v>
      </c>
      <c r="D230" s="168"/>
      <c r="E230" s="166"/>
      <c r="F230" s="37"/>
      <c r="G230" s="37"/>
      <c r="H230" s="37"/>
      <c r="I230" s="37"/>
      <c r="J230" s="37"/>
      <c r="K230" s="215"/>
      <c r="L230" s="223"/>
      <c r="M230" s="60"/>
      <c r="N230" s="166"/>
      <c r="O230" s="166"/>
      <c r="P230" s="166"/>
      <c r="Q230" s="166"/>
      <c r="R230" s="166"/>
      <c r="S230" s="166"/>
      <c r="T230" s="166"/>
      <c r="U230" s="166"/>
      <c r="V230" s="34"/>
      <c r="W230" s="34"/>
      <c r="X230" s="34"/>
      <c r="Y230" s="17"/>
      <c r="Z230" s="17"/>
    </row>
    <row r="231" spans="1:26" ht="48.95" customHeight="1" x14ac:dyDescent="0.25">
      <c r="A231" s="124">
        <v>183</v>
      </c>
      <c r="B231" s="138" t="s">
        <v>1197</v>
      </c>
      <c r="C231" s="144" t="s">
        <v>64</v>
      </c>
      <c r="D231" s="168" t="s">
        <v>1172</v>
      </c>
      <c r="E231" s="142"/>
      <c r="F231" s="11"/>
      <c r="G231" s="11"/>
      <c r="H231" s="11"/>
      <c r="I231" s="11"/>
      <c r="J231" s="11"/>
      <c r="K231" s="214"/>
      <c r="L231" s="224"/>
      <c r="M231" s="45">
        <f>ROUND(15.01/1000,4)</f>
        <v>1.4999999999999999E-2</v>
      </c>
      <c r="N231" s="136">
        <v>14603640</v>
      </c>
      <c r="O231" s="136"/>
      <c r="P231" s="136">
        <v>2409530</v>
      </c>
      <c r="Q231" s="136">
        <v>91218</v>
      </c>
      <c r="R231" s="166">
        <f>ROUND(M231*N231,0)</f>
        <v>219055</v>
      </c>
      <c r="S231" s="166">
        <f>ROUND(M231*O231,0)</f>
        <v>0</v>
      </c>
      <c r="T231" s="166">
        <f>ROUND(M231*P231,0)</f>
        <v>36143</v>
      </c>
      <c r="U231" s="166">
        <f>ROUND(M231*Q231,0)</f>
        <v>1368</v>
      </c>
      <c r="V231" s="34"/>
      <c r="W231" s="34"/>
      <c r="X231" s="34"/>
      <c r="Y231" s="17" t="s">
        <v>82</v>
      </c>
      <c r="Z231" s="17" t="s">
        <v>321</v>
      </c>
    </row>
    <row r="232" spans="1:26" ht="48.95" customHeight="1" x14ac:dyDescent="0.25">
      <c r="A232" s="124">
        <v>184</v>
      </c>
      <c r="B232" s="138" t="s">
        <v>399</v>
      </c>
      <c r="C232" s="144" t="s">
        <v>755</v>
      </c>
      <c r="D232" s="168" t="s">
        <v>1172</v>
      </c>
      <c r="E232" s="142"/>
      <c r="F232" s="11"/>
      <c r="G232" s="11"/>
      <c r="H232" s="11"/>
      <c r="I232" s="11"/>
      <c r="J232" s="11"/>
      <c r="K232" s="214"/>
      <c r="L232" s="224"/>
      <c r="M232" s="45">
        <f>ROUND(1772.59/1000,4)</f>
        <v>1.7726</v>
      </c>
      <c r="N232" s="136">
        <v>14677642</v>
      </c>
      <c r="O232" s="136"/>
      <c r="P232" s="136">
        <v>1775219</v>
      </c>
      <c r="Q232" s="136">
        <v>451556</v>
      </c>
      <c r="R232" s="166">
        <f>ROUND(M232*N232,0)</f>
        <v>26017588</v>
      </c>
      <c r="S232" s="166">
        <f>ROUND(M232*O232,0)</f>
        <v>0</v>
      </c>
      <c r="T232" s="166">
        <f>ROUND(M232*P232,0)</f>
        <v>3146753</v>
      </c>
      <c r="U232" s="166">
        <f>ROUND(M232*Q232,0)</f>
        <v>800428</v>
      </c>
      <c r="V232" s="34"/>
      <c r="W232" s="34"/>
      <c r="X232" s="34"/>
      <c r="Y232" s="17" t="s">
        <v>82</v>
      </c>
      <c r="Z232" s="17" t="s">
        <v>321</v>
      </c>
    </row>
    <row r="233" spans="1:26" ht="48.95" customHeight="1" x14ac:dyDescent="0.25">
      <c r="A233" s="124">
        <v>185</v>
      </c>
      <c r="B233" s="138" t="s">
        <v>290</v>
      </c>
      <c r="C233" s="144" t="s">
        <v>1036</v>
      </c>
      <c r="D233" s="168" t="s">
        <v>836</v>
      </c>
      <c r="E233" s="142"/>
      <c r="F233" s="11"/>
      <c r="G233" s="11"/>
      <c r="H233" s="11"/>
      <c r="I233" s="11"/>
      <c r="J233" s="11"/>
      <c r="K233" s="214"/>
      <c r="L233" s="224"/>
      <c r="M233" s="45">
        <f>ROUND(29.12/100,4)</f>
        <v>0.29120000000000001</v>
      </c>
      <c r="N233" s="136">
        <v>448896</v>
      </c>
      <c r="O233" s="136"/>
      <c r="P233" s="136">
        <v>282632</v>
      </c>
      <c r="Q233" s="136"/>
      <c r="R233" s="166">
        <f>ROUND(M233*N233,0)</f>
        <v>130719</v>
      </c>
      <c r="S233" s="166">
        <f>ROUND(M233*O233,0)</f>
        <v>0</v>
      </c>
      <c r="T233" s="166">
        <f>ROUND(M233*P233,0)</f>
        <v>82302</v>
      </c>
      <c r="U233" s="166">
        <f>ROUND(M233*Q233,0)</f>
        <v>0</v>
      </c>
      <c r="V233" s="34"/>
      <c r="W233" s="34"/>
      <c r="X233" s="34"/>
      <c r="Y233" s="17" t="s">
        <v>82</v>
      </c>
      <c r="Z233" s="17" t="s">
        <v>321</v>
      </c>
    </row>
    <row r="234" spans="1:26" ht="48.95" customHeight="1" x14ac:dyDescent="0.25">
      <c r="A234" s="63">
        <v>186</v>
      </c>
      <c r="B234" s="29" t="s">
        <v>30</v>
      </c>
      <c r="C234" s="80" t="s">
        <v>922</v>
      </c>
      <c r="D234" s="119" t="s">
        <v>555</v>
      </c>
      <c r="E234" s="142"/>
      <c r="F234" s="11"/>
      <c r="G234" s="11"/>
      <c r="H234" s="11"/>
      <c r="I234" s="11"/>
      <c r="J234" s="11"/>
      <c r="K234" s="214"/>
      <c r="L234" s="224"/>
      <c r="M234" s="45">
        <v>226.39</v>
      </c>
      <c r="N234" s="71">
        <v>25168</v>
      </c>
      <c r="O234" s="71"/>
      <c r="P234" s="71"/>
      <c r="Q234" s="71"/>
      <c r="R234" s="166">
        <f>ROUND(M234*N234,0)</f>
        <v>5697784</v>
      </c>
      <c r="S234" s="166">
        <f>ROUND(M234*O234,0)</f>
        <v>0</v>
      </c>
      <c r="T234" s="166">
        <f>ROUND(M234*P234,0)</f>
        <v>0</v>
      </c>
      <c r="U234" s="166">
        <f>ROUND(M234*Q234,0)</f>
        <v>0</v>
      </c>
      <c r="V234" s="152"/>
      <c r="W234" s="152"/>
      <c r="X234" s="152"/>
      <c r="Y234" s="17"/>
      <c r="Z234" s="17"/>
    </row>
    <row r="235" spans="1:26" ht="48.95" customHeight="1" x14ac:dyDescent="0.25">
      <c r="A235" s="168"/>
      <c r="B235" s="144"/>
      <c r="C235" s="130" t="s">
        <v>883</v>
      </c>
      <c r="D235" s="168"/>
      <c r="E235" s="166"/>
      <c r="F235" s="37"/>
      <c r="G235" s="37"/>
      <c r="H235" s="37"/>
      <c r="I235" s="37"/>
      <c r="J235" s="37"/>
      <c r="K235" s="215"/>
      <c r="L235" s="223"/>
      <c r="M235" s="60"/>
      <c r="N235" s="166"/>
      <c r="O235" s="166"/>
      <c r="P235" s="166"/>
      <c r="Q235" s="166"/>
      <c r="R235" s="166"/>
      <c r="S235" s="166"/>
      <c r="T235" s="166"/>
      <c r="U235" s="166"/>
      <c r="V235" s="34"/>
      <c r="W235" s="34"/>
      <c r="X235" s="34"/>
      <c r="Y235" s="17"/>
      <c r="Z235" s="17"/>
    </row>
    <row r="236" spans="1:26" ht="48.95" customHeight="1" x14ac:dyDescent="0.25">
      <c r="A236" s="124">
        <v>187</v>
      </c>
      <c r="B236" s="138" t="s">
        <v>658</v>
      </c>
      <c r="C236" s="144" t="s">
        <v>90</v>
      </c>
      <c r="D236" s="168" t="s">
        <v>155</v>
      </c>
      <c r="E236" s="142"/>
      <c r="F236" s="11"/>
      <c r="G236" s="11"/>
      <c r="H236" s="11"/>
      <c r="I236" s="11"/>
      <c r="J236" s="11"/>
      <c r="K236" s="214"/>
      <c r="L236" s="224"/>
      <c r="M236" s="45">
        <v>77.180000000000007</v>
      </c>
      <c r="N236" s="136">
        <v>1095938</v>
      </c>
      <c r="O236" s="136"/>
      <c r="P236" s="136">
        <v>732116</v>
      </c>
      <c r="Q236" s="136">
        <v>59943</v>
      </c>
      <c r="R236" s="166">
        <f t="shared" ref="R236:R247" si="61">ROUND(M236*N236,0)</f>
        <v>84584495</v>
      </c>
      <c r="S236" s="166">
        <f t="shared" ref="S236:S247" si="62">ROUND(M236*O236,0)</f>
        <v>0</v>
      </c>
      <c r="T236" s="166">
        <f t="shared" ref="T236:T247" si="63">ROUND(M236*P236,0)</f>
        <v>56504713</v>
      </c>
      <c r="U236" s="166">
        <f t="shared" ref="U236:U247" si="64">ROUND(M236*Q236,0)</f>
        <v>4626401</v>
      </c>
      <c r="V236" s="34"/>
      <c r="W236" s="34"/>
      <c r="X236" s="34"/>
      <c r="Y236" s="17" t="s">
        <v>82</v>
      </c>
      <c r="Z236" s="17" t="s">
        <v>321</v>
      </c>
    </row>
    <row r="237" spans="1:26" ht="48.95" customHeight="1" x14ac:dyDescent="0.25">
      <c r="A237" s="124">
        <v>188</v>
      </c>
      <c r="B237" s="138" t="s">
        <v>847</v>
      </c>
      <c r="C237" s="144" t="s">
        <v>682</v>
      </c>
      <c r="D237" s="168" t="s">
        <v>1172</v>
      </c>
      <c r="E237" s="142"/>
      <c r="F237" s="11"/>
      <c r="G237" s="11"/>
      <c r="H237" s="11"/>
      <c r="I237" s="11"/>
      <c r="J237" s="11"/>
      <c r="K237" s="214"/>
      <c r="L237" s="224"/>
      <c r="M237" s="45">
        <f>ROUND( 2445.3 /1000,4)</f>
        <v>2.4453</v>
      </c>
      <c r="N237" s="136">
        <v>14603640</v>
      </c>
      <c r="O237" s="136"/>
      <c r="P237" s="136">
        <v>3033198</v>
      </c>
      <c r="Q237" s="136">
        <v>91218</v>
      </c>
      <c r="R237" s="166">
        <f t="shared" si="61"/>
        <v>35710281</v>
      </c>
      <c r="S237" s="166">
        <f t="shared" si="62"/>
        <v>0</v>
      </c>
      <c r="T237" s="166">
        <f t="shared" si="63"/>
        <v>7417079</v>
      </c>
      <c r="U237" s="166">
        <f t="shared" si="64"/>
        <v>223055</v>
      </c>
      <c r="V237" s="34"/>
      <c r="W237" s="34"/>
      <c r="X237" s="34"/>
      <c r="Y237" s="17" t="s">
        <v>82</v>
      </c>
      <c r="Z237" s="17" t="s">
        <v>321</v>
      </c>
    </row>
    <row r="238" spans="1:26" ht="48.95" customHeight="1" x14ac:dyDescent="0.25">
      <c r="A238" s="124">
        <v>189</v>
      </c>
      <c r="B238" s="138" t="s">
        <v>9</v>
      </c>
      <c r="C238" s="144" t="s">
        <v>111</v>
      </c>
      <c r="D238" s="168" t="s">
        <v>1172</v>
      </c>
      <c r="E238" s="142"/>
      <c r="F238" s="11"/>
      <c r="G238" s="11"/>
      <c r="H238" s="11"/>
      <c r="I238" s="11"/>
      <c r="J238" s="11"/>
      <c r="K238" s="214"/>
      <c r="L238" s="224"/>
      <c r="M238" s="45">
        <f>ROUND(428.7/1000,4)</f>
        <v>0.42870000000000003</v>
      </c>
      <c r="N238" s="136">
        <v>14678788</v>
      </c>
      <c r="O238" s="136"/>
      <c r="P238" s="136">
        <v>1664534</v>
      </c>
      <c r="Q238" s="136">
        <v>455951</v>
      </c>
      <c r="R238" s="166">
        <f t="shared" si="61"/>
        <v>6292796</v>
      </c>
      <c r="S238" s="166">
        <f t="shared" si="62"/>
        <v>0</v>
      </c>
      <c r="T238" s="166">
        <f t="shared" si="63"/>
        <v>713586</v>
      </c>
      <c r="U238" s="166">
        <f t="shared" si="64"/>
        <v>195466</v>
      </c>
      <c r="V238" s="34"/>
      <c r="W238" s="34"/>
      <c r="X238" s="34"/>
      <c r="Y238" s="17" t="s">
        <v>82</v>
      </c>
      <c r="Z238" s="17" t="s">
        <v>321</v>
      </c>
    </row>
    <row r="239" spans="1:26" ht="48.95" customHeight="1" x14ac:dyDescent="0.25">
      <c r="A239" s="124">
        <v>190</v>
      </c>
      <c r="B239" s="138" t="s">
        <v>412</v>
      </c>
      <c r="C239" s="144" t="s">
        <v>640</v>
      </c>
      <c r="D239" s="168" t="s">
        <v>1172</v>
      </c>
      <c r="E239" s="142"/>
      <c r="F239" s="11"/>
      <c r="G239" s="11"/>
      <c r="H239" s="11"/>
      <c r="I239" s="11"/>
      <c r="J239" s="11"/>
      <c r="K239" s="214"/>
      <c r="L239" s="224"/>
      <c r="M239" s="45">
        <f>ROUND( 13311.78 /1000,4)</f>
        <v>13.3118</v>
      </c>
      <c r="N239" s="136">
        <v>14678788</v>
      </c>
      <c r="O239" s="136"/>
      <c r="P239" s="136">
        <v>1594291</v>
      </c>
      <c r="Q239" s="136">
        <v>405943</v>
      </c>
      <c r="R239" s="166">
        <f t="shared" si="61"/>
        <v>195401090</v>
      </c>
      <c r="S239" s="166">
        <f t="shared" si="62"/>
        <v>0</v>
      </c>
      <c r="T239" s="166">
        <f t="shared" si="63"/>
        <v>21222883</v>
      </c>
      <c r="U239" s="166">
        <f t="shared" si="64"/>
        <v>5403832</v>
      </c>
      <c r="V239" s="34"/>
      <c r="W239" s="34"/>
      <c r="X239" s="34"/>
      <c r="Y239" s="17" t="s">
        <v>82</v>
      </c>
      <c r="Z239" s="17" t="s">
        <v>321</v>
      </c>
    </row>
    <row r="240" spans="1:26" ht="48.95" customHeight="1" x14ac:dyDescent="0.25">
      <c r="A240" s="124">
        <v>191</v>
      </c>
      <c r="B240" s="52" t="s">
        <v>486</v>
      </c>
      <c r="C240" s="144" t="s">
        <v>74</v>
      </c>
      <c r="D240" s="168" t="s">
        <v>1172</v>
      </c>
      <c r="E240" s="142"/>
      <c r="F240" s="11"/>
      <c r="G240" s="11"/>
      <c r="H240" s="11"/>
      <c r="I240" s="11"/>
      <c r="J240" s="11"/>
      <c r="K240" s="214"/>
      <c r="L240" s="224"/>
      <c r="M240" s="45">
        <f>ROUND(991.2/1000,4)</f>
        <v>0.99119999999999997</v>
      </c>
      <c r="N240" s="136">
        <v>15447317</v>
      </c>
      <c r="O240" s="136"/>
      <c r="P240" s="136">
        <v>8769288</v>
      </c>
      <c r="Q240" s="136">
        <v>1842565</v>
      </c>
      <c r="R240" s="166">
        <f t="shared" si="61"/>
        <v>15311381</v>
      </c>
      <c r="S240" s="166">
        <f t="shared" si="62"/>
        <v>0</v>
      </c>
      <c r="T240" s="166">
        <f t="shared" si="63"/>
        <v>8692118</v>
      </c>
      <c r="U240" s="166">
        <f t="shared" si="64"/>
        <v>1826350</v>
      </c>
      <c r="V240" s="34"/>
      <c r="W240" s="34"/>
      <c r="X240" s="34"/>
      <c r="Y240" s="17" t="s">
        <v>82</v>
      </c>
      <c r="Z240" s="17" t="s">
        <v>321</v>
      </c>
    </row>
    <row r="241" spans="1:26" ht="48.95" customHeight="1" x14ac:dyDescent="0.25">
      <c r="A241" s="124">
        <v>192</v>
      </c>
      <c r="B241" s="138" t="s">
        <v>564</v>
      </c>
      <c r="C241" s="144" t="s">
        <v>47</v>
      </c>
      <c r="D241" s="168" t="s">
        <v>836</v>
      </c>
      <c r="E241" s="142"/>
      <c r="F241" s="11"/>
      <c r="G241" s="11"/>
      <c r="H241" s="11"/>
      <c r="I241" s="11"/>
      <c r="J241" s="11"/>
      <c r="K241" s="214"/>
      <c r="L241" s="224"/>
      <c r="M241" s="45">
        <f>ROUND( 448.35 /100,4)</f>
        <v>4.4835000000000003</v>
      </c>
      <c r="N241" s="136">
        <v>704451</v>
      </c>
      <c r="O241" s="136"/>
      <c r="P241" s="136">
        <v>5500199</v>
      </c>
      <c r="Q241" s="136">
        <v>163602</v>
      </c>
      <c r="R241" s="166">
        <f t="shared" si="61"/>
        <v>3158406</v>
      </c>
      <c r="S241" s="166">
        <f t="shared" si="62"/>
        <v>0</v>
      </c>
      <c r="T241" s="166">
        <f t="shared" si="63"/>
        <v>24660142</v>
      </c>
      <c r="U241" s="166">
        <f t="shared" si="64"/>
        <v>733510</v>
      </c>
      <c r="V241" s="34"/>
      <c r="W241" s="34"/>
      <c r="X241" s="34"/>
      <c r="Y241" s="17" t="s">
        <v>82</v>
      </c>
      <c r="Z241" s="17" t="s">
        <v>321</v>
      </c>
    </row>
    <row r="242" spans="1:26" ht="48.95" customHeight="1" x14ac:dyDescent="0.25">
      <c r="A242" s="124">
        <v>193</v>
      </c>
      <c r="B242" s="138" t="s">
        <v>286</v>
      </c>
      <c r="C242" s="144" t="s">
        <v>965</v>
      </c>
      <c r="D242" s="168" t="s">
        <v>1172</v>
      </c>
      <c r="E242" s="142"/>
      <c r="F242" s="11"/>
      <c r="G242" s="11"/>
      <c r="H242" s="11"/>
      <c r="I242" s="11"/>
      <c r="J242" s="11"/>
      <c r="K242" s="214"/>
      <c r="L242" s="224"/>
      <c r="M242" s="45">
        <f>ROUND(2469.3/1000,4)</f>
        <v>2.4693000000000001</v>
      </c>
      <c r="N242" s="136">
        <v>16318605</v>
      </c>
      <c r="O242" s="136"/>
      <c r="P242" s="136">
        <v>6570684</v>
      </c>
      <c r="Q242" s="136">
        <v>1989622</v>
      </c>
      <c r="R242" s="166">
        <f t="shared" si="61"/>
        <v>40295531</v>
      </c>
      <c r="S242" s="166">
        <f t="shared" si="62"/>
        <v>0</v>
      </c>
      <c r="T242" s="166">
        <f t="shared" si="63"/>
        <v>16224990</v>
      </c>
      <c r="U242" s="166">
        <f t="shared" si="64"/>
        <v>4912974</v>
      </c>
      <c r="V242" s="34"/>
      <c r="W242" s="34"/>
      <c r="X242" s="34"/>
      <c r="Y242" s="17" t="s">
        <v>82</v>
      </c>
      <c r="Z242" s="17" t="s">
        <v>321</v>
      </c>
    </row>
    <row r="243" spans="1:26" ht="48.95" customHeight="1" x14ac:dyDescent="0.25">
      <c r="A243" s="124">
        <v>194</v>
      </c>
      <c r="B243" s="138" t="s">
        <v>586</v>
      </c>
      <c r="C243" s="144" t="s">
        <v>795</v>
      </c>
      <c r="D243" s="168" t="s">
        <v>227</v>
      </c>
      <c r="E243" s="142"/>
      <c r="F243" s="11"/>
      <c r="G243" s="11"/>
      <c r="H243" s="11"/>
      <c r="I243" s="11"/>
      <c r="J243" s="11"/>
      <c r="K243" s="214"/>
      <c r="L243" s="224"/>
      <c r="M243" s="45">
        <f>ROUND(10*21/100,4)</f>
        <v>2.1</v>
      </c>
      <c r="N243" s="136">
        <v>0</v>
      </c>
      <c r="O243" s="136"/>
      <c r="P243" s="136">
        <v>1647891</v>
      </c>
      <c r="Q243" s="136">
        <v>7178697</v>
      </c>
      <c r="R243" s="166">
        <f t="shared" si="61"/>
        <v>0</v>
      </c>
      <c r="S243" s="166">
        <f t="shared" si="62"/>
        <v>0</v>
      </c>
      <c r="T243" s="166">
        <f t="shared" si="63"/>
        <v>3460571</v>
      </c>
      <c r="U243" s="166">
        <f t="shared" si="64"/>
        <v>15075264</v>
      </c>
      <c r="V243" s="34"/>
      <c r="W243" s="34"/>
      <c r="X243" s="34"/>
      <c r="Y243" s="17" t="s">
        <v>82</v>
      </c>
      <c r="Z243" s="17" t="s">
        <v>321</v>
      </c>
    </row>
    <row r="244" spans="1:26" ht="48.95" customHeight="1" x14ac:dyDescent="0.25">
      <c r="A244" s="124">
        <v>195</v>
      </c>
      <c r="B244" s="138" t="s">
        <v>586</v>
      </c>
      <c r="C244" s="144" t="s">
        <v>888</v>
      </c>
      <c r="D244" s="168" t="s">
        <v>227</v>
      </c>
      <c r="E244" s="142"/>
      <c r="F244" s="11"/>
      <c r="G244" s="11"/>
      <c r="H244" s="11"/>
      <c r="I244" s="11"/>
      <c r="J244" s="11"/>
      <c r="K244" s="214"/>
      <c r="L244" s="224"/>
      <c r="M244" s="45">
        <f>ROUND(20*21/100,4)</f>
        <v>4.2</v>
      </c>
      <c r="N244" s="136">
        <v>0</v>
      </c>
      <c r="O244" s="136"/>
      <c r="P244" s="136">
        <v>2010427</v>
      </c>
      <c r="Q244" s="136">
        <v>8758010</v>
      </c>
      <c r="R244" s="166">
        <f t="shared" si="61"/>
        <v>0</v>
      </c>
      <c r="S244" s="166">
        <f t="shared" si="62"/>
        <v>0</v>
      </c>
      <c r="T244" s="166">
        <f t="shared" si="63"/>
        <v>8443793</v>
      </c>
      <c r="U244" s="166">
        <f t="shared" si="64"/>
        <v>36783642</v>
      </c>
      <c r="V244" s="34"/>
      <c r="W244" s="34"/>
      <c r="X244" s="34"/>
      <c r="Y244" s="17" t="s">
        <v>82</v>
      </c>
      <c r="Z244" s="17" t="s">
        <v>321</v>
      </c>
    </row>
    <row r="245" spans="1:26" ht="48.95" customHeight="1" x14ac:dyDescent="0.25">
      <c r="A245" s="124">
        <v>196</v>
      </c>
      <c r="B245" s="52" t="s">
        <v>177</v>
      </c>
      <c r="C245" s="144" t="s">
        <v>742</v>
      </c>
      <c r="D245" s="168" t="s">
        <v>859</v>
      </c>
      <c r="E245" s="142"/>
      <c r="F245" s="11"/>
      <c r="G245" s="11"/>
      <c r="H245" s="11"/>
      <c r="I245" s="11"/>
      <c r="J245" s="11"/>
      <c r="K245" s="214"/>
      <c r="L245" s="224"/>
      <c r="M245" s="45">
        <v>30</v>
      </c>
      <c r="N245" s="136">
        <v>82784</v>
      </c>
      <c r="O245" s="136"/>
      <c r="P245" s="136">
        <v>209385</v>
      </c>
      <c r="Q245" s="136">
        <v>62669</v>
      </c>
      <c r="R245" s="166">
        <f t="shared" si="61"/>
        <v>2483520</v>
      </c>
      <c r="S245" s="166">
        <f t="shared" si="62"/>
        <v>0</v>
      </c>
      <c r="T245" s="166">
        <f t="shared" si="63"/>
        <v>6281550</v>
      </c>
      <c r="U245" s="166">
        <f t="shared" si="64"/>
        <v>1880070</v>
      </c>
      <c r="V245" s="34"/>
      <c r="W245" s="34"/>
      <c r="X245" s="34"/>
      <c r="Y245" s="17" t="s">
        <v>82</v>
      </c>
      <c r="Z245" s="17" t="s">
        <v>321</v>
      </c>
    </row>
    <row r="246" spans="1:26" ht="48.95" customHeight="1" x14ac:dyDescent="0.25">
      <c r="A246" s="124">
        <v>197</v>
      </c>
      <c r="B246" s="138" t="s">
        <v>567</v>
      </c>
      <c r="C246" s="144" t="s">
        <v>644</v>
      </c>
      <c r="D246" s="168" t="s">
        <v>155</v>
      </c>
      <c r="E246" s="142"/>
      <c r="F246" s="11"/>
      <c r="G246" s="11"/>
      <c r="H246" s="11"/>
      <c r="I246" s="11"/>
      <c r="J246" s="11"/>
      <c r="K246" s="214"/>
      <c r="L246" s="224"/>
      <c r="M246" s="45">
        <v>1.47</v>
      </c>
      <c r="N246" s="136">
        <v>0</v>
      </c>
      <c r="O246" s="136"/>
      <c r="P246" s="136">
        <v>186120</v>
      </c>
      <c r="Q246" s="136">
        <v>574150</v>
      </c>
      <c r="R246" s="166">
        <f t="shared" si="61"/>
        <v>0</v>
      </c>
      <c r="S246" s="166">
        <f t="shared" si="62"/>
        <v>0</v>
      </c>
      <c r="T246" s="166">
        <f t="shared" si="63"/>
        <v>273596</v>
      </c>
      <c r="U246" s="166">
        <f t="shared" si="64"/>
        <v>844001</v>
      </c>
      <c r="V246" s="34"/>
      <c r="W246" s="34"/>
      <c r="X246" s="34"/>
      <c r="Y246" s="17" t="s">
        <v>82</v>
      </c>
      <c r="Z246" s="17" t="s">
        <v>321</v>
      </c>
    </row>
    <row r="247" spans="1:26" ht="48.95" customHeight="1" x14ac:dyDescent="0.25">
      <c r="A247" s="124">
        <v>198</v>
      </c>
      <c r="B247" s="138" t="s">
        <v>586</v>
      </c>
      <c r="C247" s="144" t="s">
        <v>737</v>
      </c>
      <c r="D247" s="168" t="s">
        <v>227</v>
      </c>
      <c r="E247" s="142"/>
      <c r="F247" s="11"/>
      <c r="G247" s="11"/>
      <c r="H247" s="11"/>
      <c r="I247" s="11"/>
      <c r="J247" s="11"/>
      <c r="K247" s="214"/>
      <c r="L247" s="224"/>
      <c r="M247" s="45">
        <v>0.3</v>
      </c>
      <c r="N247" s="136">
        <v>0</v>
      </c>
      <c r="O247" s="136"/>
      <c r="P247" s="136">
        <v>1730285</v>
      </c>
      <c r="Q247" s="136">
        <v>7537631</v>
      </c>
      <c r="R247" s="166">
        <f t="shared" si="61"/>
        <v>0</v>
      </c>
      <c r="S247" s="166">
        <f t="shared" si="62"/>
        <v>0</v>
      </c>
      <c r="T247" s="166">
        <f t="shared" si="63"/>
        <v>519086</v>
      </c>
      <c r="U247" s="166">
        <f t="shared" si="64"/>
        <v>2261289</v>
      </c>
      <c r="V247" s="34"/>
      <c r="W247" s="34"/>
      <c r="X247" s="34"/>
      <c r="Y247" s="17" t="s">
        <v>82</v>
      </c>
      <c r="Z247" s="17" t="s">
        <v>321</v>
      </c>
    </row>
    <row r="248" spans="1:26" ht="48.95" customHeight="1" x14ac:dyDescent="0.25">
      <c r="A248" s="168"/>
      <c r="B248" s="144"/>
      <c r="C248" s="130" t="s">
        <v>499</v>
      </c>
      <c r="D248" s="168"/>
      <c r="E248" s="166"/>
      <c r="F248" s="37"/>
      <c r="G248" s="37"/>
      <c r="H248" s="37"/>
      <c r="I248" s="37"/>
      <c r="J248" s="37"/>
      <c r="K248" s="215"/>
      <c r="L248" s="223"/>
      <c r="M248" s="60"/>
      <c r="N248" s="166"/>
      <c r="O248" s="166"/>
      <c r="P248" s="166"/>
      <c r="Q248" s="166"/>
      <c r="R248" s="166"/>
      <c r="S248" s="166"/>
      <c r="T248" s="166"/>
      <c r="U248" s="166"/>
      <c r="V248" s="34"/>
      <c r="W248" s="34"/>
      <c r="X248" s="34"/>
      <c r="Y248" s="17"/>
      <c r="Z248" s="17"/>
    </row>
    <row r="249" spans="1:26" ht="48.95" customHeight="1" x14ac:dyDescent="0.25">
      <c r="A249" s="124">
        <v>199</v>
      </c>
      <c r="B249" s="52" t="s">
        <v>54</v>
      </c>
      <c r="C249" s="144" t="s">
        <v>341</v>
      </c>
      <c r="D249" s="168" t="s">
        <v>793</v>
      </c>
      <c r="E249" s="142"/>
      <c r="F249" s="11"/>
      <c r="G249" s="11"/>
      <c r="H249" s="11"/>
      <c r="I249" s="11"/>
      <c r="J249" s="11"/>
      <c r="K249" s="214"/>
      <c r="L249" s="224"/>
      <c r="M249" s="45">
        <f>ROUND(227.24/100,4)</f>
        <v>2.2724000000000002</v>
      </c>
      <c r="N249" s="136"/>
      <c r="O249" s="136"/>
      <c r="P249" s="136">
        <v>1192861</v>
      </c>
      <c r="Q249" s="136">
        <v>996759</v>
      </c>
      <c r="R249" s="166">
        <f>ROUND(M249*N249,0)</f>
        <v>0</v>
      </c>
      <c r="S249" s="166">
        <f>ROUND(M249*O249,0)</f>
        <v>0</v>
      </c>
      <c r="T249" s="166">
        <f>ROUND(M249*P249,0)</f>
        <v>2710657</v>
      </c>
      <c r="U249" s="166">
        <f>ROUND(M249*Q249,0)</f>
        <v>2265035</v>
      </c>
      <c r="V249" s="34"/>
      <c r="W249" s="34"/>
      <c r="X249" s="34"/>
      <c r="Y249" s="17" t="s">
        <v>82</v>
      </c>
      <c r="Z249" s="17" t="s">
        <v>321</v>
      </c>
    </row>
    <row r="250" spans="1:26" ht="48.95" customHeight="1" x14ac:dyDescent="0.25">
      <c r="A250" s="124">
        <v>200</v>
      </c>
      <c r="B250" s="52" t="s">
        <v>1077</v>
      </c>
      <c r="C250" s="144" t="s">
        <v>680</v>
      </c>
      <c r="D250" s="168" t="s">
        <v>793</v>
      </c>
      <c r="E250" s="142"/>
      <c r="F250" s="11"/>
      <c r="G250" s="11"/>
      <c r="H250" s="11"/>
      <c r="I250" s="11"/>
      <c r="J250" s="11"/>
      <c r="K250" s="214"/>
      <c r="L250" s="224"/>
      <c r="M250" s="45">
        <f>ROUND(161.85/100,4)</f>
        <v>1.6185</v>
      </c>
      <c r="N250" s="136"/>
      <c r="O250" s="136"/>
      <c r="P250" s="136">
        <v>2037452</v>
      </c>
      <c r="Q250" s="136">
        <v>1401980</v>
      </c>
      <c r="R250" s="166">
        <f>ROUND(M250*N250,0)</f>
        <v>0</v>
      </c>
      <c r="S250" s="166">
        <f>ROUND(M250*O250,0)</f>
        <v>0</v>
      </c>
      <c r="T250" s="166">
        <f>ROUND(M250*P250,0)</f>
        <v>3297616</v>
      </c>
      <c r="U250" s="166">
        <f>ROUND(M250*Q250,0)</f>
        <v>2269105</v>
      </c>
      <c r="V250" s="34"/>
      <c r="W250" s="34"/>
      <c r="X250" s="34"/>
      <c r="Y250" s="17" t="s">
        <v>82</v>
      </c>
      <c r="Z250" s="17" t="s">
        <v>321</v>
      </c>
    </row>
    <row r="251" spans="1:26" ht="48.95" customHeight="1" x14ac:dyDescent="0.25">
      <c r="A251" s="168"/>
      <c r="B251" s="144"/>
      <c r="C251" s="130" t="s">
        <v>44</v>
      </c>
      <c r="D251" s="168"/>
      <c r="E251" s="166"/>
      <c r="F251" s="37"/>
      <c r="G251" s="37"/>
      <c r="H251" s="37"/>
      <c r="I251" s="37"/>
      <c r="J251" s="37"/>
      <c r="K251" s="215"/>
      <c r="L251" s="223"/>
      <c r="M251" s="60"/>
      <c r="N251" s="166"/>
      <c r="O251" s="166"/>
      <c r="P251" s="166"/>
      <c r="Q251" s="166"/>
      <c r="R251" s="166"/>
      <c r="S251" s="166"/>
      <c r="T251" s="166"/>
      <c r="U251" s="166"/>
      <c r="V251" s="34"/>
      <c r="W251" s="34"/>
      <c r="X251" s="34"/>
      <c r="Y251" s="17"/>
      <c r="Z251" s="17"/>
    </row>
    <row r="252" spans="1:26" ht="48.95" customHeight="1" x14ac:dyDescent="0.25">
      <c r="A252" s="124">
        <v>201</v>
      </c>
      <c r="B252" s="138" t="s">
        <v>1093</v>
      </c>
      <c r="C252" s="144" t="s">
        <v>305</v>
      </c>
      <c r="D252" s="168" t="s">
        <v>793</v>
      </c>
      <c r="E252" s="142"/>
      <c r="F252" s="11"/>
      <c r="G252" s="11"/>
      <c r="H252" s="11"/>
      <c r="I252" s="11"/>
      <c r="J252" s="11"/>
      <c r="K252" s="214"/>
      <c r="L252" s="224"/>
      <c r="M252" s="45">
        <f>ROUND( 107.04 /100,4)</f>
        <v>1.0704</v>
      </c>
      <c r="N252" s="136">
        <v>35707036</v>
      </c>
      <c r="O252" s="136"/>
      <c r="P252" s="136">
        <v>1137400</v>
      </c>
      <c r="Q252" s="136">
        <v>2573717</v>
      </c>
      <c r="R252" s="166">
        <f t="shared" ref="R252:R264" si="65">ROUND(M252*N252,0)</f>
        <v>38220811</v>
      </c>
      <c r="S252" s="166">
        <f t="shared" ref="S252:S264" si="66">ROUND(M252*O252,0)</f>
        <v>0</v>
      </c>
      <c r="T252" s="166">
        <f t="shared" ref="T252:T264" si="67">ROUND(M252*P252,0)</f>
        <v>1217473</v>
      </c>
      <c r="U252" s="166">
        <f t="shared" ref="U252:U264" si="68">ROUND(M252*Q252,0)</f>
        <v>2754907</v>
      </c>
      <c r="V252" s="34"/>
      <c r="W252" s="34"/>
      <c r="X252" s="34"/>
      <c r="Y252" s="17" t="s">
        <v>82</v>
      </c>
      <c r="Z252" s="17" t="s">
        <v>321</v>
      </c>
    </row>
    <row r="253" spans="1:26" ht="48.95" customHeight="1" x14ac:dyDescent="0.25">
      <c r="A253" s="124">
        <v>202</v>
      </c>
      <c r="B253" s="138" t="s">
        <v>137</v>
      </c>
      <c r="C253" s="144" t="s">
        <v>848</v>
      </c>
      <c r="D253" s="168" t="s">
        <v>793</v>
      </c>
      <c r="E253" s="142"/>
      <c r="F253" s="11"/>
      <c r="G253" s="11"/>
      <c r="H253" s="11"/>
      <c r="I253" s="11"/>
      <c r="J253" s="11"/>
      <c r="K253" s="214"/>
      <c r="L253" s="224"/>
      <c r="M253" s="45">
        <f>ROUND(  1577.87/100,4)</f>
        <v>15.778700000000001</v>
      </c>
      <c r="N253" s="136">
        <v>27450000</v>
      </c>
      <c r="O253" s="136"/>
      <c r="P253" s="136">
        <v>292847</v>
      </c>
      <c r="Q253" s="136">
        <v>958077</v>
      </c>
      <c r="R253" s="166">
        <f t="shared" si="65"/>
        <v>433125315</v>
      </c>
      <c r="S253" s="166">
        <f t="shared" si="66"/>
        <v>0</v>
      </c>
      <c r="T253" s="166">
        <f t="shared" si="67"/>
        <v>4620745</v>
      </c>
      <c r="U253" s="166">
        <f t="shared" si="68"/>
        <v>15117210</v>
      </c>
      <c r="V253" s="34"/>
      <c r="W253" s="34"/>
      <c r="X253" s="34"/>
      <c r="Y253" s="17" t="s">
        <v>82</v>
      </c>
      <c r="Z253" s="17" t="s">
        <v>321</v>
      </c>
    </row>
    <row r="254" spans="1:26" ht="48.95" customHeight="1" x14ac:dyDescent="0.25">
      <c r="A254" s="124">
        <v>203</v>
      </c>
      <c r="B254" s="138" t="s">
        <v>58</v>
      </c>
      <c r="C254" s="144" t="s">
        <v>33</v>
      </c>
      <c r="D254" s="168" t="s">
        <v>793</v>
      </c>
      <c r="E254" s="142"/>
      <c r="F254" s="11"/>
      <c r="G254" s="11"/>
      <c r="H254" s="11"/>
      <c r="I254" s="11"/>
      <c r="J254" s="11"/>
      <c r="K254" s="214"/>
      <c r="L254" s="224"/>
      <c r="M254" s="45">
        <f>ROUND( 250.15/100,4)</f>
        <v>2.5015000000000001</v>
      </c>
      <c r="N254" s="136"/>
      <c r="O254" s="136"/>
      <c r="P254" s="136">
        <v>97616</v>
      </c>
      <c r="Q254" s="136">
        <v>731340</v>
      </c>
      <c r="R254" s="166">
        <f t="shared" si="65"/>
        <v>0</v>
      </c>
      <c r="S254" s="166">
        <f t="shared" si="66"/>
        <v>0</v>
      </c>
      <c r="T254" s="166">
        <f t="shared" si="67"/>
        <v>244186</v>
      </c>
      <c r="U254" s="166">
        <f t="shared" si="68"/>
        <v>1829447</v>
      </c>
      <c r="V254" s="34"/>
      <c r="W254" s="34"/>
      <c r="X254" s="34"/>
      <c r="Y254" s="17" t="s">
        <v>82</v>
      </c>
      <c r="Z254" s="17" t="s">
        <v>321</v>
      </c>
    </row>
    <row r="255" spans="1:26" ht="48.95" customHeight="1" x14ac:dyDescent="0.25">
      <c r="A255" s="124">
        <v>204</v>
      </c>
      <c r="B255" s="52" t="s">
        <v>54</v>
      </c>
      <c r="C255" s="144" t="s">
        <v>341</v>
      </c>
      <c r="D255" s="168" t="s">
        <v>793</v>
      </c>
      <c r="E255" s="142"/>
      <c r="F255" s="11"/>
      <c r="G255" s="11"/>
      <c r="H255" s="11"/>
      <c r="I255" s="11"/>
      <c r="J255" s="11"/>
      <c r="K255" s="214"/>
      <c r="L255" s="224"/>
      <c r="M255" s="45">
        <f>ROUND( 14.27 /100,4)</f>
        <v>0.14269999999999999</v>
      </c>
      <c r="N255" s="136"/>
      <c r="O255" s="136"/>
      <c r="P255" s="136">
        <v>1192861</v>
      </c>
      <c r="Q255" s="136">
        <v>996759</v>
      </c>
      <c r="R255" s="166">
        <f t="shared" si="65"/>
        <v>0</v>
      </c>
      <c r="S255" s="166">
        <f t="shared" si="66"/>
        <v>0</v>
      </c>
      <c r="T255" s="166">
        <f t="shared" si="67"/>
        <v>170221</v>
      </c>
      <c r="U255" s="166">
        <f t="shared" si="68"/>
        <v>142238</v>
      </c>
      <c r="V255" s="34"/>
      <c r="W255" s="34"/>
      <c r="X255" s="34"/>
      <c r="Y255" s="17" t="s">
        <v>82</v>
      </c>
      <c r="Z255" s="17" t="s">
        <v>321</v>
      </c>
    </row>
    <row r="256" spans="1:26" ht="48.95" customHeight="1" x14ac:dyDescent="0.25">
      <c r="A256" s="124">
        <v>205</v>
      </c>
      <c r="B256" s="52" t="s">
        <v>624</v>
      </c>
      <c r="C256" s="144" t="s">
        <v>1128</v>
      </c>
      <c r="D256" s="168" t="s">
        <v>793</v>
      </c>
      <c r="E256" s="142"/>
      <c r="F256" s="11"/>
      <c r="G256" s="11"/>
      <c r="H256" s="11"/>
      <c r="I256" s="11"/>
      <c r="J256" s="11"/>
      <c r="K256" s="214"/>
      <c r="L256" s="224"/>
      <c r="M256" s="45">
        <f>ROUND( 1695.7/100,4)</f>
        <v>16.957000000000001</v>
      </c>
      <c r="N256" s="136"/>
      <c r="O256" s="136"/>
      <c r="P256" s="136">
        <v>339702</v>
      </c>
      <c r="Q256" s="136">
        <v>756376</v>
      </c>
      <c r="R256" s="166">
        <f t="shared" si="65"/>
        <v>0</v>
      </c>
      <c r="S256" s="166">
        <f t="shared" si="66"/>
        <v>0</v>
      </c>
      <c r="T256" s="166">
        <f t="shared" si="67"/>
        <v>5760327</v>
      </c>
      <c r="U256" s="166">
        <f t="shared" si="68"/>
        <v>12825868</v>
      </c>
      <c r="V256" s="34"/>
      <c r="W256" s="34"/>
      <c r="X256" s="34"/>
      <c r="Y256" s="17" t="s">
        <v>82</v>
      </c>
      <c r="Z256" s="17" t="s">
        <v>321</v>
      </c>
    </row>
    <row r="257" spans="1:26" ht="48.95" customHeight="1" x14ac:dyDescent="0.25">
      <c r="A257" s="63">
        <v>206</v>
      </c>
      <c r="B257" s="29" t="s">
        <v>30</v>
      </c>
      <c r="C257" s="80" t="s">
        <v>10</v>
      </c>
      <c r="D257" s="119" t="s">
        <v>155</v>
      </c>
      <c r="E257" s="142"/>
      <c r="F257" s="11"/>
      <c r="G257" s="11"/>
      <c r="H257" s="11"/>
      <c r="I257" s="11"/>
      <c r="J257" s="11"/>
      <c r="K257" s="214"/>
      <c r="L257" s="224"/>
      <c r="M257" s="45">
        <f>ROUND(M256*1.14*1.07*100,4)</f>
        <v>2068.4149000000002</v>
      </c>
      <c r="N257" s="71">
        <v>192673</v>
      </c>
      <c r="O257" s="71"/>
      <c r="P257" s="71"/>
      <c r="Q257" s="71"/>
      <c r="R257" s="166">
        <f t="shared" si="65"/>
        <v>398527704</v>
      </c>
      <c r="S257" s="166">
        <f t="shared" si="66"/>
        <v>0</v>
      </c>
      <c r="T257" s="166">
        <f t="shared" si="67"/>
        <v>0</v>
      </c>
      <c r="U257" s="166">
        <f t="shared" si="68"/>
        <v>0</v>
      </c>
      <c r="V257" s="152"/>
      <c r="W257" s="152"/>
      <c r="X257" s="152"/>
      <c r="Y257" s="17"/>
      <c r="Z257" s="17"/>
    </row>
    <row r="258" spans="1:26" ht="48.95" customHeight="1" x14ac:dyDescent="0.25">
      <c r="A258" s="124">
        <v>207</v>
      </c>
      <c r="B258" s="138" t="s">
        <v>1158</v>
      </c>
      <c r="C258" s="144" t="s">
        <v>528</v>
      </c>
      <c r="D258" s="168" t="s">
        <v>155</v>
      </c>
      <c r="E258" s="142"/>
      <c r="F258" s="11"/>
      <c r="G258" s="11"/>
      <c r="H258" s="11"/>
      <c r="I258" s="11"/>
      <c r="J258" s="11"/>
      <c r="K258" s="214"/>
      <c r="L258" s="224"/>
      <c r="M258" s="45">
        <v>17.84</v>
      </c>
      <c r="N258" s="136">
        <v>989296</v>
      </c>
      <c r="O258" s="136"/>
      <c r="P258" s="136">
        <v>757767</v>
      </c>
      <c r="Q258" s="100">
        <v>68040</v>
      </c>
      <c r="R258" s="166">
        <f t="shared" si="65"/>
        <v>17649041</v>
      </c>
      <c r="S258" s="166">
        <f t="shared" si="66"/>
        <v>0</v>
      </c>
      <c r="T258" s="166">
        <f t="shared" si="67"/>
        <v>13518563</v>
      </c>
      <c r="U258" s="166">
        <f t="shared" si="68"/>
        <v>1213834</v>
      </c>
      <c r="V258" s="34"/>
      <c r="W258" s="34"/>
      <c r="X258" s="34"/>
      <c r="Y258" s="17" t="s">
        <v>82</v>
      </c>
      <c r="Z258" s="17" t="s">
        <v>321</v>
      </c>
    </row>
    <row r="259" spans="1:26" ht="48.95" customHeight="1" x14ac:dyDescent="0.25">
      <c r="A259" s="124">
        <v>208</v>
      </c>
      <c r="B259" s="138" t="s">
        <v>752</v>
      </c>
      <c r="C259" s="144" t="s">
        <v>590</v>
      </c>
      <c r="D259" s="168" t="s">
        <v>205</v>
      </c>
      <c r="E259" s="142"/>
      <c r="F259" s="11"/>
      <c r="G259" s="11"/>
      <c r="H259" s="11"/>
      <c r="I259" s="11"/>
      <c r="J259" s="11"/>
      <c r="K259" s="214"/>
      <c r="L259" s="224"/>
      <c r="M259" s="45">
        <f>ROUND( 2.1408 /0.03,4)</f>
        <v>71.36</v>
      </c>
      <c r="N259" s="136">
        <v>28745</v>
      </c>
      <c r="O259" s="136"/>
      <c r="P259" s="136">
        <v>24431</v>
      </c>
      <c r="Q259" s="136">
        <v>932</v>
      </c>
      <c r="R259" s="166">
        <f t="shared" si="65"/>
        <v>2051243</v>
      </c>
      <c r="S259" s="166">
        <f t="shared" si="66"/>
        <v>0</v>
      </c>
      <c r="T259" s="166">
        <f t="shared" si="67"/>
        <v>1743396</v>
      </c>
      <c r="U259" s="166">
        <f t="shared" si="68"/>
        <v>66508</v>
      </c>
      <c r="V259" s="34"/>
      <c r="W259" s="34"/>
      <c r="X259" s="34"/>
      <c r="Y259" s="17" t="s">
        <v>82</v>
      </c>
      <c r="Z259" s="17" t="s">
        <v>321</v>
      </c>
    </row>
    <row r="260" spans="1:26" ht="48.95" customHeight="1" x14ac:dyDescent="0.25">
      <c r="A260" s="124">
        <v>209</v>
      </c>
      <c r="B260" s="138" t="s">
        <v>869</v>
      </c>
      <c r="C260" s="144" t="s">
        <v>670</v>
      </c>
      <c r="D260" s="168" t="s">
        <v>836</v>
      </c>
      <c r="E260" s="142"/>
      <c r="F260" s="11"/>
      <c r="G260" s="11"/>
      <c r="H260" s="11"/>
      <c r="I260" s="11"/>
      <c r="J260" s="11"/>
      <c r="K260" s="214"/>
      <c r="L260" s="224"/>
      <c r="M260" s="45">
        <f>ROUND( 71.36 /100,4)</f>
        <v>0.71360000000000001</v>
      </c>
      <c r="N260" s="136">
        <v>3284877</v>
      </c>
      <c r="O260" s="136"/>
      <c r="P260" s="136">
        <v>8822813</v>
      </c>
      <c r="Q260" s="100">
        <v>517171</v>
      </c>
      <c r="R260" s="166">
        <f t="shared" si="65"/>
        <v>2344088</v>
      </c>
      <c r="S260" s="166">
        <f t="shared" si="66"/>
        <v>0</v>
      </c>
      <c r="T260" s="166">
        <f t="shared" si="67"/>
        <v>6295959</v>
      </c>
      <c r="U260" s="166">
        <f t="shared" si="68"/>
        <v>369053</v>
      </c>
      <c r="V260" s="34"/>
      <c r="W260" s="34"/>
      <c r="X260" s="34"/>
      <c r="Y260" s="17" t="s">
        <v>82</v>
      </c>
      <c r="Z260" s="17" t="s">
        <v>321</v>
      </c>
    </row>
    <row r="261" spans="1:26" ht="48.95" customHeight="1" x14ac:dyDescent="0.25">
      <c r="A261" s="124">
        <v>210</v>
      </c>
      <c r="B261" s="138" t="s">
        <v>845</v>
      </c>
      <c r="C261" s="144" t="s">
        <v>410</v>
      </c>
      <c r="D261" s="168" t="s">
        <v>155</v>
      </c>
      <c r="E261" s="142"/>
      <c r="F261" s="11"/>
      <c r="G261" s="11"/>
      <c r="H261" s="11"/>
      <c r="I261" s="11"/>
      <c r="J261" s="11"/>
      <c r="K261" s="214"/>
      <c r="L261" s="224"/>
      <c r="M261" s="45">
        <v>72.459999999999994</v>
      </c>
      <c r="N261" s="136">
        <v>974811</v>
      </c>
      <c r="O261" s="136"/>
      <c r="P261" s="136">
        <v>501744</v>
      </c>
      <c r="Q261" s="136">
        <v>27402</v>
      </c>
      <c r="R261" s="166">
        <f t="shared" si="65"/>
        <v>70634805</v>
      </c>
      <c r="S261" s="166">
        <f t="shared" si="66"/>
        <v>0</v>
      </c>
      <c r="T261" s="166">
        <f t="shared" si="67"/>
        <v>36356370</v>
      </c>
      <c r="U261" s="166">
        <f t="shared" si="68"/>
        <v>1985549</v>
      </c>
      <c r="V261" s="34"/>
      <c r="W261" s="34"/>
      <c r="X261" s="34"/>
      <c r="Y261" s="17" t="s">
        <v>82</v>
      </c>
      <c r="Z261" s="17" t="s">
        <v>321</v>
      </c>
    </row>
    <row r="262" spans="1:26" ht="48.95" customHeight="1" x14ac:dyDescent="0.25">
      <c r="A262" s="124">
        <v>211</v>
      </c>
      <c r="B262" s="138" t="s">
        <v>635</v>
      </c>
      <c r="C262" s="144" t="s">
        <v>599</v>
      </c>
      <c r="D262" s="168" t="s">
        <v>836</v>
      </c>
      <c r="E262" s="142"/>
      <c r="F262" s="11"/>
      <c r="G262" s="11"/>
      <c r="H262" s="11"/>
      <c r="I262" s="11"/>
      <c r="J262" s="11"/>
      <c r="K262" s="214"/>
      <c r="L262" s="224"/>
      <c r="M262" s="45">
        <f>ROUND( 1273.66/100,4)</f>
        <v>12.736599999999999</v>
      </c>
      <c r="N262" s="136">
        <v>547752</v>
      </c>
      <c r="O262" s="136"/>
      <c r="P262" s="136">
        <v>4908459</v>
      </c>
      <c r="Q262" s="136">
        <v>159884</v>
      </c>
      <c r="R262" s="166">
        <f t="shared" si="65"/>
        <v>6976498</v>
      </c>
      <c r="S262" s="166">
        <f t="shared" si="66"/>
        <v>0</v>
      </c>
      <c r="T262" s="166">
        <f t="shared" si="67"/>
        <v>62517079</v>
      </c>
      <c r="U262" s="166">
        <f t="shared" si="68"/>
        <v>2036379</v>
      </c>
      <c r="V262" s="34"/>
      <c r="W262" s="34"/>
      <c r="X262" s="34"/>
      <c r="Y262" s="17" t="s">
        <v>82</v>
      </c>
      <c r="Z262" s="17" t="s">
        <v>321</v>
      </c>
    </row>
    <row r="263" spans="1:26" ht="48.95" customHeight="1" x14ac:dyDescent="0.25">
      <c r="A263" s="124">
        <v>212</v>
      </c>
      <c r="B263" s="138" t="s">
        <v>1133</v>
      </c>
      <c r="C263" s="144" t="s">
        <v>777</v>
      </c>
      <c r="D263" s="168" t="s">
        <v>1123</v>
      </c>
      <c r="E263" s="142"/>
      <c r="F263" s="11"/>
      <c r="G263" s="11"/>
      <c r="H263" s="11"/>
      <c r="I263" s="11"/>
      <c r="J263" s="11"/>
      <c r="K263" s="214"/>
      <c r="L263" s="224"/>
      <c r="M263" s="45">
        <v>6968</v>
      </c>
      <c r="N263" s="136">
        <v>3016</v>
      </c>
      <c r="O263" s="136"/>
      <c r="P263" s="136">
        <v>38775</v>
      </c>
      <c r="Q263" s="136"/>
      <c r="R263" s="166">
        <f t="shared" si="65"/>
        <v>21015488</v>
      </c>
      <c r="S263" s="166">
        <f t="shared" si="66"/>
        <v>0</v>
      </c>
      <c r="T263" s="166">
        <f t="shared" si="67"/>
        <v>270184200</v>
      </c>
      <c r="U263" s="166">
        <f t="shared" si="68"/>
        <v>0</v>
      </c>
      <c r="V263" s="34"/>
      <c r="W263" s="34"/>
      <c r="X263" s="34"/>
      <c r="Y263" s="17" t="s">
        <v>82</v>
      </c>
      <c r="Z263" s="17" t="s">
        <v>321</v>
      </c>
    </row>
    <row r="264" spans="1:26" ht="48.95" customHeight="1" x14ac:dyDescent="0.25">
      <c r="A264" s="124">
        <v>213</v>
      </c>
      <c r="B264" s="138" t="s">
        <v>576</v>
      </c>
      <c r="C264" s="144" t="s">
        <v>27</v>
      </c>
      <c r="D264" s="168" t="s">
        <v>836</v>
      </c>
      <c r="E264" s="142"/>
      <c r="F264" s="11"/>
      <c r="G264" s="11"/>
      <c r="H264" s="11"/>
      <c r="I264" s="11"/>
      <c r="J264" s="11"/>
      <c r="K264" s="214"/>
      <c r="L264" s="224"/>
      <c r="M264" s="45">
        <f>ROUND( 1988.04/100,4)</f>
        <v>19.880400000000002</v>
      </c>
      <c r="N264" s="136">
        <v>2592044</v>
      </c>
      <c r="O264" s="136"/>
      <c r="P264" s="136">
        <v>258681</v>
      </c>
      <c r="Q264" s="136"/>
      <c r="R264" s="166">
        <f t="shared" si="65"/>
        <v>51530872</v>
      </c>
      <c r="S264" s="166">
        <f t="shared" si="66"/>
        <v>0</v>
      </c>
      <c r="T264" s="166">
        <f t="shared" si="67"/>
        <v>5142682</v>
      </c>
      <c r="U264" s="166">
        <f t="shared" si="68"/>
        <v>0</v>
      </c>
      <c r="V264" s="34"/>
      <c r="W264" s="34"/>
      <c r="X264" s="34"/>
      <c r="Y264" s="17" t="s">
        <v>82</v>
      </c>
      <c r="Z264" s="17" t="s">
        <v>321</v>
      </c>
    </row>
    <row r="265" spans="1:26" ht="48.95" customHeight="1" x14ac:dyDescent="0.25">
      <c r="A265" s="168"/>
      <c r="B265" s="144"/>
      <c r="C265" s="130" t="s">
        <v>258</v>
      </c>
      <c r="D265" s="168"/>
      <c r="E265" s="166"/>
      <c r="F265" s="37"/>
      <c r="G265" s="37"/>
      <c r="H265" s="37"/>
      <c r="I265" s="37"/>
      <c r="J265" s="37"/>
      <c r="K265" s="215"/>
      <c r="L265" s="223"/>
      <c r="M265" s="60"/>
      <c r="N265" s="166"/>
      <c r="O265" s="166"/>
      <c r="P265" s="166"/>
      <c r="Q265" s="166"/>
      <c r="R265" s="166"/>
      <c r="S265" s="166"/>
      <c r="T265" s="166"/>
      <c r="U265" s="166"/>
      <c r="V265" s="34"/>
      <c r="W265" s="34"/>
      <c r="X265" s="34"/>
      <c r="Y265" s="17"/>
      <c r="Z265" s="17"/>
    </row>
    <row r="266" spans="1:26" ht="48.95" customHeight="1" x14ac:dyDescent="0.25">
      <c r="A266" s="124">
        <v>214</v>
      </c>
      <c r="B266" s="138" t="s">
        <v>1084</v>
      </c>
      <c r="C266" s="144" t="s">
        <v>523</v>
      </c>
      <c r="D266" s="168" t="s">
        <v>155</v>
      </c>
      <c r="E266" s="142"/>
      <c r="F266" s="11"/>
      <c r="G266" s="11"/>
      <c r="H266" s="11"/>
      <c r="I266" s="11"/>
      <c r="J266" s="11"/>
      <c r="K266" s="214"/>
      <c r="L266" s="224"/>
      <c r="M266" s="45">
        <v>21.43</v>
      </c>
      <c r="N266" s="136">
        <v>1145241</v>
      </c>
      <c r="O266" s="136"/>
      <c r="P266" s="136">
        <v>957852</v>
      </c>
      <c r="Q266" s="136">
        <v>33315</v>
      </c>
      <c r="R266" s="166">
        <f t="shared" ref="R266:R271" si="69">ROUND(M266*N266,0)</f>
        <v>24542515</v>
      </c>
      <c r="S266" s="166">
        <f t="shared" ref="S266:S271" si="70">ROUND(M266*O266,0)</f>
        <v>0</v>
      </c>
      <c r="T266" s="166">
        <f t="shared" ref="T266:T271" si="71">ROUND(M266*P266,0)</f>
        <v>20526768</v>
      </c>
      <c r="U266" s="166">
        <f t="shared" ref="U266:U271" si="72">ROUND(M266*Q266,0)</f>
        <v>713940</v>
      </c>
      <c r="V266" s="34"/>
      <c r="W266" s="34"/>
      <c r="X266" s="34"/>
      <c r="Y266" s="17" t="s">
        <v>82</v>
      </c>
      <c r="Z266" s="17" t="s">
        <v>321</v>
      </c>
    </row>
    <row r="267" spans="1:26" ht="48.95" customHeight="1" x14ac:dyDescent="0.25">
      <c r="A267" s="124">
        <v>215</v>
      </c>
      <c r="B267" s="138" t="s">
        <v>869</v>
      </c>
      <c r="C267" s="144" t="s">
        <v>595</v>
      </c>
      <c r="D267" s="168" t="s">
        <v>836</v>
      </c>
      <c r="E267" s="142"/>
      <c r="F267" s="11"/>
      <c r="G267" s="11"/>
      <c r="H267" s="11"/>
      <c r="I267" s="11"/>
      <c r="J267" s="11"/>
      <c r="K267" s="214"/>
      <c r="L267" s="224"/>
      <c r="M267" s="45">
        <f>ROUND( 152.98/100,4)</f>
        <v>1.5298</v>
      </c>
      <c r="N267" s="136">
        <v>3284877</v>
      </c>
      <c r="O267" s="136"/>
      <c r="P267" s="136">
        <v>8822813</v>
      </c>
      <c r="Q267" s="136">
        <v>517171</v>
      </c>
      <c r="R267" s="166">
        <f t="shared" si="69"/>
        <v>5025205</v>
      </c>
      <c r="S267" s="166">
        <f t="shared" si="70"/>
        <v>0</v>
      </c>
      <c r="T267" s="166">
        <f t="shared" si="71"/>
        <v>13497139</v>
      </c>
      <c r="U267" s="166">
        <f t="shared" si="72"/>
        <v>791168</v>
      </c>
      <c r="V267" s="34"/>
      <c r="W267" s="34"/>
      <c r="X267" s="34"/>
      <c r="Y267" s="17" t="s">
        <v>82</v>
      </c>
      <c r="Z267" s="17" t="s">
        <v>321</v>
      </c>
    </row>
    <row r="268" spans="1:26" ht="48.95" customHeight="1" x14ac:dyDescent="0.25">
      <c r="A268" s="124">
        <v>216</v>
      </c>
      <c r="B268" s="138" t="s">
        <v>1197</v>
      </c>
      <c r="C268" s="144" t="s">
        <v>64</v>
      </c>
      <c r="D268" s="168" t="s">
        <v>1172</v>
      </c>
      <c r="E268" s="142"/>
      <c r="F268" s="11"/>
      <c r="G268" s="11"/>
      <c r="H268" s="11"/>
      <c r="I268" s="11"/>
      <c r="J268" s="11"/>
      <c r="K268" s="214"/>
      <c r="L268" s="224"/>
      <c r="M268" s="45">
        <f>ROUND( 1668.62/1000,4)</f>
        <v>1.6686000000000001</v>
      </c>
      <c r="N268" s="136">
        <v>14603640</v>
      </c>
      <c r="O268" s="136"/>
      <c r="P268" s="136">
        <v>2409530</v>
      </c>
      <c r="Q268" s="136">
        <v>91218</v>
      </c>
      <c r="R268" s="166">
        <f t="shared" si="69"/>
        <v>24367634</v>
      </c>
      <c r="S268" s="166">
        <f t="shared" si="70"/>
        <v>0</v>
      </c>
      <c r="T268" s="166">
        <f t="shared" si="71"/>
        <v>4020542</v>
      </c>
      <c r="U268" s="166">
        <f t="shared" si="72"/>
        <v>152206</v>
      </c>
      <c r="V268" s="34"/>
      <c r="W268" s="34"/>
      <c r="X268" s="34"/>
      <c r="Y268" s="17" t="s">
        <v>82</v>
      </c>
      <c r="Z268" s="17" t="s">
        <v>321</v>
      </c>
    </row>
    <row r="269" spans="1:26" ht="48.95" customHeight="1" x14ac:dyDescent="0.25">
      <c r="A269" s="124">
        <v>217</v>
      </c>
      <c r="B269" s="138" t="s">
        <v>399</v>
      </c>
      <c r="C269" s="144" t="s">
        <v>755</v>
      </c>
      <c r="D269" s="168" t="s">
        <v>1172</v>
      </c>
      <c r="E269" s="142"/>
      <c r="F269" s="11"/>
      <c r="G269" s="11"/>
      <c r="H269" s="11"/>
      <c r="I269" s="11"/>
      <c r="J269" s="11"/>
      <c r="K269" s="214"/>
      <c r="L269" s="224"/>
      <c r="M269" s="45">
        <f>ROUND( 636.57/1000,4)</f>
        <v>0.63660000000000005</v>
      </c>
      <c r="N269" s="136">
        <v>14677642</v>
      </c>
      <c r="O269" s="136"/>
      <c r="P269" s="136">
        <v>1775219</v>
      </c>
      <c r="Q269" s="136">
        <v>451556</v>
      </c>
      <c r="R269" s="166">
        <f t="shared" si="69"/>
        <v>9343787</v>
      </c>
      <c r="S269" s="166">
        <f t="shared" si="70"/>
        <v>0</v>
      </c>
      <c r="T269" s="166">
        <f t="shared" si="71"/>
        <v>1130104</v>
      </c>
      <c r="U269" s="166">
        <f t="shared" si="72"/>
        <v>287461</v>
      </c>
      <c r="V269" s="34"/>
      <c r="W269" s="34"/>
      <c r="X269" s="34"/>
      <c r="Y269" s="17" t="s">
        <v>82</v>
      </c>
      <c r="Z269" s="17" t="s">
        <v>321</v>
      </c>
    </row>
    <row r="270" spans="1:26" ht="48.95" customHeight="1" x14ac:dyDescent="0.25">
      <c r="A270" s="124">
        <v>218</v>
      </c>
      <c r="B270" s="138" t="s">
        <v>545</v>
      </c>
      <c r="C270" s="144" t="s">
        <v>185</v>
      </c>
      <c r="D270" s="168" t="s">
        <v>227</v>
      </c>
      <c r="E270" s="142"/>
      <c r="F270" s="11"/>
      <c r="G270" s="11"/>
      <c r="H270" s="11"/>
      <c r="I270" s="11"/>
      <c r="J270" s="11"/>
      <c r="K270" s="214"/>
      <c r="L270" s="224"/>
      <c r="M270" s="45">
        <v>0.3</v>
      </c>
      <c r="N270" s="136">
        <v>9269996</v>
      </c>
      <c r="O270" s="136"/>
      <c r="P270" s="136">
        <v>5267023</v>
      </c>
      <c r="Q270" s="136"/>
      <c r="R270" s="166">
        <f t="shared" si="69"/>
        <v>2780999</v>
      </c>
      <c r="S270" s="166">
        <f t="shared" si="70"/>
        <v>0</v>
      </c>
      <c r="T270" s="166">
        <f t="shared" si="71"/>
        <v>1580107</v>
      </c>
      <c r="U270" s="166">
        <f t="shared" si="72"/>
        <v>0</v>
      </c>
      <c r="V270" s="34"/>
      <c r="W270" s="34"/>
      <c r="X270" s="34"/>
      <c r="Y270" s="17" t="s">
        <v>1045</v>
      </c>
      <c r="Z270" s="17" t="s">
        <v>664</v>
      </c>
    </row>
    <row r="271" spans="1:26" ht="48.95" customHeight="1" x14ac:dyDescent="0.25">
      <c r="A271" s="124">
        <v>219</v>
      </c>
      <c r="B271" s="138" t="s">
        <v>322</v>
      </c>
      <c r="C271" s="144" t="s">
        <v>849</v>
      </c>
      <c r="D271" s="168" t="s">
        <v>927</v>
      </c>
      <c r="E271" s="142"/>
      <c r="F271" s="11"/>
      <c r="G271" s="11"/>
      <c r="H271" s="11"/>
      <c r="I271" s="11"/>
      <c r="J271" s="11"/>
      <c r="K271" s="214"/>
      <c r="L271" s="224"/>
      <c r="M271" s="45">
        <v>20</v>
      </c>
      <c r="N271" s="136">
        <v>61061</v>
      </c>
      <c r="O271" s="136"/>
      <c r="P271" s="136">
        <v>52694</v>
      </c>
      <c r="Q271" s="136"/>
      <c r="R271" s="166">
        <f t="shared" si="69"/>
        <v>1221220</v>
      </c>
      <c r="S271" s="166">
        <f t="shared" si="70"/>
        <v>0</v>
      </c>
      <c r="T271" s="166">
        <f t="shared" si="71"/>
        <v>1053880</v>
      </c>
      <c r="U271" s="166">
        <f t="shared" si="72"/>
        <v>0</v>
      </c>
      <c r="V271" s="34"/>
      <c r="W271" s="34"/>
      <c r="X271" s="34"/>
      <c r="Y271" s="17" t="s">
        <v>1045</v>
      </c>
      <c r="Z271" s="17" t="s">
        <v>664</v>
      </c>
    </row>
    <row r="272" spans="1:26" ht="48.95" customHeight="1" x14ac:dyDescent="0.25">
      <c r="A272" s="168"/>
      <c r="B272" s="144"/>
      <c r="C272" s="130" t="s">
        <v>1156</v>
      </c>
      <c r="D272" s="168"/>
      <c r="E272" s="166"/>
      <c r="F272" s="37"/>
      <c r="G272" s="37"/>
      <c r="H272" s="37"/>
      <c r="I272" s="37"/>
      <c r="J272" s="37"/>
      <c r="K272" s="215"/>
      <c r="L272" s="223"/>
      <c r="M272" s="60"/>
      <c r="N272" s="166"/>
      <c r="O272" s="166"/>
      <c r="P272" s="166"/>
      <c r="Q272" s="166"/>
      <c r="R272" s="166"/>
      <c r="S272" s="166"/>
      <c r="T272" s="166"/>
      <c r="U272" s="166"/>
      <c r="V272" s="34"/>
      <c r="W272" s="34"/>
      <c r="X272" s="34"/>
      <c r="Y272" s="17"/>
      <c r="Z272" s="17"/>
    </row>
    <row r="273" spans="1:26" ht="48.95" customHeight="1" x14ac:dyDescent="0.25">
      <c r="A273" s="124">
        <v>220</v>
      </c>
      <c r="B273" s="138" t="s">
        <v>232</v>
      </c>
      <c r="C273" s="144" t="s">
        <v>881</v>
      </c>
      <c r="D273" s="168" t="s">
        <v>1172</v>
      </c>
      <c r="E273" s="142"/>
      <c r="F273" s="11"/>
      <c r="G273" s="11"/>
      <c r="H273" s="11"/>
      <c r="I273" s="11"/>
      <c r="J273" s="11"/>
      <c r="K273" s="214"/>
      <c r="L273" s="224"/>
      <c r="M273" s="45">
        <f>ROUND(( 14218.71)/1000,4)</f>
        <v>14.2187</v>
      </c>
      <c r="N273" s="100">
        <v>15491390</v>
      </c>
      <c r="O273" s="136"/>
      <c r="P273" s="136">
        <v>5381431</v>
      </c>
      <c r="Q273" s="136">
        <v>1817722</v>
      </c>
      <c r="R273" s="166">
        <f>ROUND(M273*N273,0)</f>
        <v>220267427</v>
      </c>
      <c r="S273" s="166">
        <f>ROUND(M273*O273,0)</f>
        <v>0</v>
      </c>
      <c r="T273" s="166">
        <f>ROUND(M273*P273,0)</f>
        <v>76516953</v>
      </c>
      <c r="U273" s="166">
        <f>ROUND(M273*Q273,0)</f>
        <v>25845644</v>
      </c>
      <c r="V273" s="34"/>
      <c r="W273" s="34"/>
      <c r="X273" s="34"/>
      <c r="Y273" s="17" t="s">
        <v>82</v>
      </c>
      <c r="Z273" s="17" t="s">
        <v>321</v>
      </c>
    </row>
    <row r="274" spans="1:26" ht="48.95" customHeight="1" x14ac:dyDescent="0.25">
      <c r="A274" s="124">
        <v>221</v>
      </c>
      <c r="B274" s="138" t="s">
        <v>498</v>
      </c>
      <c r="C274" s="144" t="s">
        <v>656</v>
      </c>
      <c r="D274" s="168" t="s">
        <v>205</v>
      </c>
      <c r="E274" s="142"/>
      <c r="F274" s="11"/>
      <c r="G274" s="11"/>
      <c r="H274" s="11"/>
      <c r="I274" s="11"/>
      <c r="J274" s="11"/>
      <c r="K274" s="214"/>
      <c r="L274" s="224"/>
      <c r="M274" s="45">
        <v>105.3</v>
      </c>
      <c r="N274" s="136">
        <v>5859</v>
      </c>
      <c r="O274" s="136"/>
      <c r="P274" s="136">
        <v>92192</v>
      </c>
      <c r="Q274" s="136">
        <v>33802</v>
      </c>
      <c r="R274" s="166">
        <f>ROUND(M274*N274,0)</f>
        <v>616953</v>
      </c>
      <c r="S274" s="166">
        <f>ROUND(M274*O274,0)</f>
        <v>0</v>
      </c>
      <c r="T274" s="166">
        <f>ROUND(M274*P274,0)</f>
        <v>9707818</v>
      </c>
      <c r="U274" s="166">
        <f>ROUND(M274*Q274,0)</f>
        <v>3559351</v>
      </c>
      <c r="V274" s="34"/>
      <c r="W274" s="34"/>
      <c r="X274" s="34"/>
      <c r="Y274" s="17" t="s">
        <v>82</v>
      </c>
      <c r="Z274" s="17" t="s">
        <v>321</v>
      </c>
    </row>
    <row r="275" spans="1:26" ht="48.95" customHeight="1" x14ac:dyDescent="0.25">
      <c r="A275" s="63">
        <v>222</v>
      </c>
      <c r="B275" s="29" t="s">
        <v>30</v>
      </c>
      <c r="C275" s="80" t="s">
        <v>304</v>
      </c>
      <c r="D275" s="119" t="s">
        <v>75</v>
      </c>
      <c r="E275" s="142"/>
      <c r="F275" s="11"/>
      <c r="G275" s="11"/>
      <c r="H275" s="11"/>
      <c r="I275" s="11"/>
      <c r="J275" s="11"/>
      <c r="K275" s="214"/>
      <c r="L275" s="224"/>
      <c r="M275" s="45">
        <f>ROUND(1560+70+120,4)</f>
        <v>1750</v>
      </c>
      <c r="N275" s="71">
        <v>10000</v>
      </c>
      <c r="O275" s="71"/>
      <c r="P275" s="71"/>
      <c r="Q275" s="71"/>
      <c r="R275" s="166">
        <f>ROUND(M275*N275,0)</f>
        <v>17500000</v>
      </c>
      <c r="S275" s="166">
        <f>ROUND(M275*O275,0)</f>
        <v>0</v>
      </c>
      <c r="T275" s="166">
        <f>ROUND(M275*P275,0)</f>
        <v>0</v>
      </c>
      <c r="U275" s="166">
        <f>ROUND(M275*Q275,0)</f>
        <v>0</v>
      </c>
      <c r="V275" s="152"/>
      <c r="W275" s="152"/>
      <c r="X275" s="152"/>
      <c r="Y275" s="17"/>
      <c r="Z275" s="17"/>
    </row>
    <row r="276" spans="1:26" ht="48.95" customHeight="1" x14ac:dyDescent="0.25">
      <c r="A276" s="124">
        <v>223</v>
      </c>
      <c r="B276" s="138" t="s">
        <v>301</v>
      </c>
      <c r="C276" s="144" t="s">
        <v>1066</v>
      </c>
      <c r="D276" s="168" t="s">
        <v>205</v>
      </c>
      <c r="E276" s="142"/>
      <c r="F276" s="11"/>
      <c r="G276" s="11"/>
      <c r="H276" s="11"/>
      <c r="I276" s="11"/>
      <c r="J276" s="11"/>
      <c r="K276" s="214"/>
      <c r="L276" s="224"/>
      <c r="M276" s="45">
        <f>ROUND(0.24/0.015,4)</f>
        <v>16</v>
      </c>
      <c r="N276" s="136">
        <v>22976</v>
      </c>
      <c r="O276" s="136"/>
      <c r="P276" s="136">
        <v>15673</v>
      </c>
      <c r="Q276" s="136">
        <v>699</v>
      </c>
      <c r="R276" s="166">
        <f>ROUND(M276*N276,0)</f>
        <v>367616</v>
      </c>
      <c r="S276" s="166">
        <f>ROUND(M276*O276,0)</f>
        <v>0</v>
      </c>
      <c r="T276" s="166">
        <f>ROUND(M276*P276,0)</f>
        <v>250768</v>
      </c>
      <c r="U276" s="166">
        <f>ROUND(M276*Q276,0)</f>
        <v>11184</v>
      </c>
      <c r="V276" s="34"/>
      <c r="W276" s="34"/>
      <c r="X276" s="34"/>
      <c r="Y276" s="17" t="s">
        <v>82</v>
      </c>
      <c r="Z276" s="17" t="s">
        <v>321</v>
      </c>
    </row>
    <row r="277" spans="1:26" ht="48.95" customHeight="1" x14ac:dyDescent="0.25">
      <c r="A277" s="168"/>
      <c r="B277" s="144"/>
      <c r="C277" s="130" t="s">
        <v>484</v>
      </c>
      <c r="D277" s="168"/>
      <c r="E277" s="166"/>
      <c r="F277" s="37"/>
      <c r="G277" s="37"/>
      <c r="H277" s="37"/>
      <c r="I277" s="37"/>
      <c r="J277" s="37"/>
      <c r="K277" s="215"/>
      <c r="L277" s="223"/>
      <c r="M277" s="60"/>
      <c r="N277" s="166"/>
      <c r="O277" s="166"/>
      <c r="P277" s="166"/>
      <c r="Q277" s="166"/>
      <c r="R277" s="166"/>
      <c r="S277" s="166"/>
      <c r="T277" s="166"/>
      <c r="U277" s="166"/>
      <c r="V277" s="34"/>
      <c r="W277" s="34"/>
      <c r="X277" s="34"/>
      <c r="Y277" s="17"/>
      <c r="Z277" s="17"/>
    </row>
    <row r="278" spans="1:26" ht="48.95" customHeight="1" x14ac:dyDescent="0.25">
      <c r="A278" s="124">
        <v>224</v>
      </c>
      <c r="B278" s="138" t="s">
        <v>370</v>
      </c>
      <c r="C278" s="144" t="s">
        <v>194</v>
      </c>
      <c r="D278" s="168" t="s">
        <v>155</v>
      </c>
      <c r="E278" s="142"/>
      <c r="F278" s="11"/>
      <c r="G278" s="11"/>
      <c r="H278" s="11"/>
      <c r="I278" s="11"/>
      <c r="J278" s="11"/>
      <c r="K278" s="214"/>
      <c r="L278" s="224"/>
      <c r="M278" s="45">
        <v>3.4</v>
      </c>
      <c r="N278" s="136">
        <v>926019</v>
      </c>
      <c r="O278" s="136"/>
      <c r="P278" s="136">
        <v>320179</v>
      </c>
      <c r="Q278" s="136">
        <v>47495</v>
      </c>
      <c r="R278" s="166">
        <f t="shared" ref="R278:R284" si="73">ROUND(M278*N278,0)</f>
        <v>3148465</v>
      </c>
      <c r="S278" s="166">
        <f t="shared" ref="S278:S284" si="74">ROUND(M278*O278,0)</f>
        <v>0</v>
      </c>
      <c r="T278" s="166">
        <f t="shared" ref="T278:T284" si="75">ROUND(M278*P278,0)</f>
        <v>1088609</v>
      </c>
      <c r="U278" s="166">
        <f t="shared" ref="U278:U284" si="76">ROUND(M278*Q278,0)</f>
        <v>161483</v>
      </c>
      <c r="V278" s="34"/>
      <c r="W278" s="34"/>
      <c r="X278" s="34"/>
      <c r="Y278" s="17" t="s">
        <v>82</v>
      </c>
      <c r="Z278" s="17" t="s">
        <v>321</v>
      </c>
    </row>
    <row r="279" spans="1:26" ht="48.95" customHeight="1" x14ac:dyDescent="0.25">
      <c r="A279" s="124">
        <v>225</v>
      </c>
      <c r="B279" s="138" t="s">
        <v>1181</v>
      </c>
      <c r="C279" s="144" t="s">
        <v>1072</v>
      </c>
      <c r="D279" s="168" t="s">
        <v>227</v>
      </c>
      <c r="E279" s="142"/>
      <c r="F279" s="11"/>
      <c r="G279" s="11"/>
      <c r="H279" s="11"/>
      <c r="I279" s="11"/>
      <c r="J279" s="11"/>
      <c r="K279" s="214"/>
      <c r="L279" s="224"/>
      <c r="M279" s="45">
        <v>0.71</v>
      </c>
      <c r="N279" s="136">
        <v>8379635</v>
      </c>
      <c r="O279" s="136"/>
      <c r="P279" s="136">
        <v>9405911</v>
      </c>
      <c r="Q279" s="136">
        <v>195207</v>
      </c>
      <c r="R279" s="166">
        <f t="shared" si="73"/>
        <v>5949541</v>
      </c>
      <c r="S279" s="166">
        <f t="shared" si="74"/>
        <v>0</v>
      </c>
      <c r="T279" s="166">
        <f t="shared" si="75"/>
        <v>6678197</v>
      </c>
      <c r="U279" s="166">
        <f t="shared" si="76"/>
        <v>138597</v>
      </c>
      <c r="V279" s="34"/>
      <c r="W279" s="34"/>
      <c r="X279" s="34"/>
      <c r="Y279" s="17" t="s">
        <v>1045</v>
      </c>
      <c r="Z279" s="17" t="s">
        <v>664</v>
      </c>
    </row>
    <row r="280" spans="1:26" ht="48.95" customHeight="1" x14ac:dyDescent="0.25">
      <c r="A280" s="124">
        <v>226</v>
      </c>
      <c r="B280" s="138" t="s">
        <v>916</v>
      </c>
      <c r="C280" s="144" t="s">
        <v>879</v>
      </c>
      <c r="D280" s="168" t="s">
        <v>1123</v>
      </c>
      <c r="E280" s="142"/>
      <c r="F280" s="11"/>
      <c r="G280" s="11"/>
      <c r="H280" s="11"/>
      <c r="I280" s="11"/>
      <c r="J280" s="11"/>
      <c r="K280" s="214"/>
      <c r="L280" s="224"/>
      <c r="M280" s="45">
        <v>68</v>
      </c>
      <c r="N280" s="136">
        <v>186886</v>
      </c>
      <c r="O280" s="136"/>
      <c r="P280" s="136">
        <v>338543</v>
      </c>
      <c r="Q280" s="136">
        <v>17841</v>
      </c>
      <c r="R280" s="166">
        <f t="shared" si="73"/>
        <v>12708248</v>
      </c>
      <c r="S280" s="166">
        <f t="shared" si="74"/>
        <v>0</v>
      </c>
      <c r="T280" s="166">
        <f t="shared" si="75"/>
        <v>23020924</v>
      </c>
      <c r="U280" s="166">
        <f t="shared" si="76"/>
        <v>1213188</v>
      </c>
      <c r="V280" s="34"/>
      <c r="W280" s="34"/>
      <c r="X280" s="34"/>
      <c r="Y280" s="17" t="s">
        <v>82</v>
      </c>
      <c r="Z280" s="17" t="s">
        <v>321</v>
      </c>
    </row>
    <row r="281" spans="1:26" ht="48.95" customHeight="1" x14ac:dyDescent="0.25">
      <c r="A281" s="63">
        <v>227</v>
      </c>
      <c r="B281" s="29" t="s">
        <v>30</v>
      </c>
      <c r="C281" s="80" t="s">
        <v>1174</v>
      </c>
      <c r="D281" s="119" t="s">
        <v>75</v>
      </c>
      <c r="E281" s="142"/>
      <c r="F281" s="11"/>
      <c r="G281" s="11"/>
      <c r="H281" s="11"/>
      <c r="I281" s="11"/>
      <c r="J281" s="11"/>
      <c r="K281" s="214"/>
      <c r="L281" s="224"/>
      <c r="M281" s="45">
        <v>56</v>
      </c>
      <c r="N281" s="71">
        <v>7000</v>
      </c>
      <c r="O281" s="71"/>
      <c r="P281" s="71"/>
      <c r="Q281" s="71"/>
      <c r="R281" s="166">
        <f t="shared" si="73"/>
        <v>392000</v>
      </c>
      <c r="S281" s="166">
        <f t="shared" si="74"/>
        <v>0</v>
      </c>
      <c r="T281" s="166">
        <f t="shared" si="75"/>
        <v>0</v>
      </c>
      <c r="U281" s="166">
        <f t="shared" si="76"/>
        <v>0</v>
      </c>
      <c r="V281" s="152"/>
      <c r="W281" s="152"/>
      <c r="X281" s="152"/>
      <c r="Y281" s="17"/>
      <c r="Z281" s="17"/>
    </row>
    <row r="282" spans="1:26" ht="48.95" customHeight="1" x14ac:dyDescent="0.25">
      <c r="A282" s="124">
        <v>228</v>
      </c>
      <c r="B282" s="138" t="s">
        <v>1071</v>
      </c>
      <c r="C282" s="144" t="s">
        <v>738</v>
      </c>
      <c r="D282" s="168" t="s">
        <v>227</v>
      </c>
      <c r="E282" s="142"/>
      <c r="F282" s="11"/>
      <c r="G282" s="11"/>
      <c r="H282" s="11"/>
      <c r="I282" s="11"/>
      <c r="J282" s="11"/>
      <c r="K282" s="214"/>
      <c r="L282" s="224"/>
      <c r="M282" s="45">
        <f>ROUND(40*3/100,4)</f>
        <v>1.2</v>
      </c>
      <c r="N282" s="136">
        <v>767494</v>
      </c>
      <c r="O282" s="136"/>
      <c r="P282" s="136">
        <v>605983</v>
      </c>
      <c r="Q282" s="136"/>
      <c r="R282" s="166">
        <f t="shared" si="73"/>
        <v>920993</v>
      </c>
      <c r="S282" s="166">
        <f t="shared" si="74"/>
        <v>0</v>
      </c>
      <c r="T282" s="166">
        <f t="shared" si="75"/>
        <v>727180</v>
      </c>
      <c r="U282" s="166">
        <f t="shared" si="76"/>
        <v>0</v>
      </c>
      <c r="V282" s="34"/>
      <c r="W282" s="34"/>
      <c r="X282" s="34"/>
      <c r="Y282" s="17" t="s">
        <v>82</v>
      </c>
      <c r="Z282" s="17" t="s">
        <v>321</v>
      </c>
    </row>
    <row r="283" spans="1:26" ht="48.95" customHeight="1" x14ac:dyDescent="0.25">
      <c r="A283" s="124">
        <v>229</v>
      </c>
      <c r="B283" s="52" t="s">
        <v>309</v>
      </c>
      <c r="C283" s="144" t="s">
        <v>1067</v>
      </c>
      <c r="D283" s="168" t="s">
        <v>155</v>
      </c>
      <c r="E283" s="142"/>
      <c r="F283" s="11"/>
      <c r="G283" s="11"/>
      <c r="H283" s="11"/>
      <c r="I283" s="11"/>
      <c r="J283" s="11"/>
      <c r="K283" s="214"/>
      <c r="L283" s="224"/>
      <c r="M283" s="45">
        <v>3.24</v>
      </c>
      <c r="N283" s="136"/>
      <c r="O283" s="136"/>
      <c r="P283" s="136">
        <v>232325</v>
      </c>
      <c r="Q283" s="136"/>
      <c r="R283" s="166">
        <f t="shared" si="73"/>
        <v>0</v>
      </c>
      <c r="S283" s="166">
        <f t="shared" si="74"/>
        <v>0</v>
      </c>
      <c r="T283" s="166">
        <f t="shared" si="75"/>
        <v>752733</v>
      </c>
      <c r="U283" s="166">
        <f t="shared" si="76"/>
        <v>0</v>
      </c>
      <c r="V283" s="34"/>
      <c r="W283" s="34"/>
      <c r="X283" s="34"/>
      <c r="Y283" s="17" t="s">
        <v>82</v>
      </c>
      <c r="Z283" s="17" t="s">
        <v>321</v>
      </c>
    </row>
    <row r="284" spans="1:26" ht="48.95" customHeight="1" x14ac:dyDescent="0.25">
      <c r="A284" s="124">
        <v>230</v>
      </c>
      <c r="B284" s="138" t="s">
        <v>718</v>
      </c>
      <c r="C284" s="144" t="s">
        <v>493</v>
      </c>
      <c r="D284" s="168" t="s">
        <v>1101</v>
      </c>
      <c r="E284" s="142"/>
      <c r="F284" s="11"/>
      <c r="G284" s="11"/>
      <c r="H284" s="11"/>
      <c r="I284" s="11"/>
      <c r="J284" s="11"/>
      <c r="K284" s="214"/>
      <c r="L284" s="224"/>
      <c r="M284" s="45">
        <v>16</v>
      </c>
      <c r="N284" s="136">
        <v>50000</v>
      </c>
      <c r="O284" s="136"/>
      <c r="P284" s="136">
        <v>90349</v>
      </c>
      <c r="Q284" s="136">
        <v>139115</v>
      </c>
      <c r="R284" s="166">
        <f t="shared" si="73"/>
        <v>800000</v>
      </c>
      <c r="S284" s="166">
        <f t="shared" si="74"/>
        <v>0</v>
      </c>
      <c r="T284" s="166">
        <f t="shared" si="75"/>
        <v>1445584</v>
      </c>
      <c r="U284" s="166">
        <f t="shared" si="76"/>
        <v>2225840</v>
      </c>
      <c r="V284" s="34"/>
      <c r="W284" s="34"/>
      <c r="X284" s="34"/>
      <c r="Y284" s="17" t="s">
        <v>585</v>
      </c>
      <c r="Z284" s="17" t="s">
        <v>409</v>
      </c>
    </row>
    <row r="285" spans="1:26" ht="48.95" customHeight="1" x14ac:dyDescent="0.25">
      <c r="A285" s="168"/>
      <c r="B285" s="144"/>
      <c r="C285" s="130" t="s">
        <v>846</v>
      </c>
      <c r="D285" s="168"/>
      <c r="E285" s="166"/>
      <c r="F285" s="37"/>
      <c r="G285" s="37"/>
      <c r="H285" s="37"/>
      <c r="I285" s="37"/>
      <c r="J285" s="37"/>
      <c r="K285" s="215"/>
      <c r="L285" s="223"/>
      <c r="M285" s="60"/>
      <c r="N285" s="166"/>
      <c r="O285" s="166"/>
      <c r="P285" s="166"/>
      <c r="Q285" s="166"/>
      <c r="R285" s="166"/>
      <c r="S285" s="166"/>
      <c r="T285" s="166"/>
      <c r="U285" s="166"/>
      <c r="V285" s="34"/>
      <c r="W285" s="34"/>
      <c r="X285" s="34"/>
      <c r="Y285" s="17"/>
      <c r="Z285" s="17"/>
    </row>
    <row r="286" spans="1:26" ht="48.95" customHeight="1" x14ac:dyDescent="0.25">
      <c r="A286" s="124">
        <v>231</v>
      </c>
      <c r="B286" s="52" t="s">
        <v>0</v>
      </c>
      <c r="C286" s="144" t="s">
        <v>104</v>
      </c>
      <c r="D286" s="168" t="s">
        <v>113</v>
      </c>
      <c r="E286" s="142"/>
      <c r="F286" s="11"/>
      <c r="G286" s="11"/>
      <c r="H286" s="11"/>
      <c r="I286" s="11"/>
      <c r="J286" s="11"/>
      <c r="K286" s="214"/>
      <c r="L286" s="224"/>
      <c r="M286" s="45">
        <v>78</v>
      </c>
      <c r="N286" s="136">
        <v>64128</v>
      </c>
      <c r="O286" s="136"/>
      <c r="P286" s="136">
        <v>16803</v>
      </c>
      <c r="Q286" s="136"/>
      <c r="R286" s="166">
        <f t="shared" ref="R286:R298" si="77">ROUND(M286*N286,0)</f>
        <v>5001984</v>
      </c>
      <c r="S286" s="166">
        <f t="shared" ref="S286:S298" si="78">ROUND(M286*O286,0)</f>
        <v>0</v>
      </c>
      <c r="T286" s="166">
        <f t="shared" ref="T286:T298" si="79">ROUND(M286*P286,0)</f>
        <v>1310634</v>
      </c>
      <c r="U286" s="166">
        <f t="shared" ref="U286:U298" si="80">ROUND(M286*Q286,0)</f>
        <v>0</v>
      </c>
      <c r="V286" s="34"/>
      <c r="W286" s="34"/>
      <c r="X286" s="34"/>
      <c r="Y286" s="17" t="s">
        <v>82</v>
      </c>
      <c r="Z286" s="17" t="s">
        <v>321</v>
      </c>
    </row>
    <row r="287" spans="1:26" ht="48.95" customHeight="1" x14ac:dyDescent="0.25">
      <c r="A287" s="63">
        <v>232</v>
      </c>
      <c r="B287" s="29" t="s">
        <v>30</v>
      </c>
      <c r="C287" s="80" t="s">
        <v>541</v>
      </c>
      <c r="D287" s="119" t="s">
        <v>113</v>
      </c>
      <c r="E287" s="142"/>
      <c r="F287" s="11"/>
      <c r="G287" s="11"/>
      <c r="H287" s="11"/>
      <c r="I287" s="11"/>
      <c r="J287" s="11"/>
      <c r="K287" s="214"/>
      <c r="L287" s="224"/>
      <c r="M287" s="45">
        <v>78</v>
      </c>
      <c r="N287" s="71">
        <v>48788</v>
      </c>
      <c r="O287" s="71"/>
      <c r="P287" s="71"/>
      <c r="Q287" s="71"/>
      <c r="R287" s="166">
        <f t="shared" si="77"/>
        <v>3805464</v>
      </c>
      <c r="S287" s="166">
        <f t="shared" si="78"/>
        <v>0</v>
      </c>
      <c r="T287" s="166">
        <f t="shared" si="79"/>
        <v>0</v>
      </c>
      <c r="U287" s="166">
        <f t="shared" si="80"/>
        <v>0</v>
      </c>
      <c r="V287" s="152"/>
      <c r="W287" s="152"/>
      <c r="X287" s="152"/>
      <c r="Y287" s="17"/>
      <c r="Z287" s="17"/>
    </row>
    <row r="288" spans="1:26" ht="48.95" customHeight="1" x14ac:dyDescent="0.25">
      <c r="A288" s="63">
        <v>233</v>
      </c>
      <c r="B288" s="29" t="s">
        <v>30</v>
      </c>
      <c r="C288" s="80" t="s">
        <v>816</v>
      </c>
      <c r="D288" s="119" t="s">
        <v>113</v>
      </c>
      <c r="E288" s="142"/>
      <c r="F288" s="11"/>
      <c r="G288" s="11"/>
      <c r="H288" s="11"/>
      <c r="I288" s="11"/>
      <c r="J288" s="11"/>
      <c r="K288" s="214"/>
      <c r="L288" s="224"/>
      <c r="M288" s="45">
        <v>2.8</v>
      </c>
      <c r="N288" s="71">
        <v>35000</v>
      </c>
      <c r="O288" s="71"/>
      <c r="P288" s="71"/>
      <c r="Q288" s="71"/>
      <c r="R288" s="166">
        <f t="shared" si="77"/>
        <v>98000</v>
      </c>
      <c r="S288" s="166">
        <f t="shared" si="78"/>
        <v>0</v>
      </c>
      <c r="T288" s="166">
        <f t="shared" si="79"/>
        <v>0</v>
      </c>
      <c r="U288" s="166">
        <f t="shared" si="80"/>
        <v>0</v>
      </c>
      <c r="V288" s="152"/>
      <c r="W288" s="152"/>
      <c r="X288" s="152"/>
      <c r="Y288" s="17"/>
      <c r="Z288" s="17"/>
    </row>
    <row r="289" spans="1:26" ht="48.95" customHeight="1" x14ac:dyDescent="0.25">
      <c r="A289" s="63">
        <v>234</v>
      </c>
      <c r="B289" s="29" t="s">
        <v>30</v>
      </c>
      <c r="C289" s="80" t="s">
        <v>889</v>
      </c>
      <c r="D289" s="119" t="s">
        <v>1123</v>
      </c>
      <c r="E289" s="142"/>
      <c r="F289" s="11"/>
      <c r="G289" s="11"/>
      <c r="H289" s="11"/>
      <c r="I289" s="11"/>
      <c r="J289" s="11"/>
      <c r="K289" s="214"/>
      <c r="L289" s="224"/>
      <c r="M289" s="45">
        <v>56</v>
      </c>
      <c r="N289" s="71">
        <v>1080378</v>
      </c>
      <c r="O289" s="71"/>
      <c r="P289" s="71"/>
      <c r="Q289" s="71"/>
      <c r="R289" s="166">
        <f t="shared" si="77"/>
        <v>60501168</v>
      </c>
      <c r="S289" s="166">
        <f t="shared" si="78"/>
        <v>0</v>
      </c>
      <c r="T289" s="166">
        <f t="shared" si="79"/>
        <v>0</v>
      </c>
      <c r="U289" s="166">
        <f t="shared" si="80"/>
        <v>0</v>
      </c>
      <c r="V289" s="152"/>
      <c r="W289" s="152"/>
      <c r="X289" s="152"/>
      <c r="Y289" s="17"/>
      <c r="Z289" s="17"/>
    </row>
    <row r="290" spans="1:26" ht="48.95" customHeight="1" x14ac:dyDescent="0.25">
      <c r="A290" s="63">
        <v>235</v>
      </c>
      <c r="B290" s="29" t="s">
        <v>30</v>
      </c>
      <c r="C290" s="80" t="s">
        <v>541</v>
      </c>
      <c r="D290" s="119" t="s">
        <v>113</v>
      </c>
      <c r="E290" s="142"/>
      <c r="F290" s="11"/>
      <c r="G290" s="11"/>
      <c r="H290" s="11"/>
      <c r="I290" s="11"/>
      <c r="J290" s="11"/>
      <c r="K290" s="214"/>
      <c r="L290" s="224"/>
      <c r="M290" s="45">
        <v>28</v>
      </c>
      <c r="N290" s="71">
        <v>48788</v>
      </c>
      <c r="O290" s="71"/>
      <c r="P290" s="71"/>
      <c r="Q290" s="71"/>
      <c r="R290" s="166">
        <f t="shared" si="77"/>
        <v>1366064</v>
      </c>
      <c r="S290" s="166">
        <f t="shared" si="78"/>
        <v>0</v>
      </c>
      <c r="T290" s="166">
        <f t="shared" si="79"/>
        <v>0</v>
      </c>
      <c r="U290" s="166">
        <f t="shared" si="80"/>
        <v>0</v>
      </c>
      <c r="V290" s="152"/>
      <c r="W290" s="152"/>
      <c r="X290" s="152"/>
      <c r="Y290" s="17"/>
      <c r="Z290" s="17"/>
    </row>
    <row r="291" spans="1:26" ht="48.95" customHeight="1" x14ac:dyDescent="0.25">
      <c r="A291" s="63">
        <v>236</v>
      </c>
      <c r="B291" s="29" t="s">
        <v>30</v>
      </c>
      <c r="C291" s="80" t="s">
        <v>100</v>
      </c>
      <c r="D291" s="119" t="s">
        <v>1123</v>
      </c>
      <c r="E291" s="142"/>
      <c r="F291" s="11"/>
      <c r="G291" s="11"/>
      <c r="H291" s="11"/>
      <c r="I291" s="11"/>
      <c r="J291" s="11"/>
      <c r="K291" s="214"/>
      <c r="L291" s="224"/>
      <c r="M291" s="45">
        <v>56</v>
      </c>
      <c r="N291" s="71">
        <v>174000</v>
      </c>
      <c r="O291" s="71"/>
      <c r="P291" s="71"/>
      <c r="Q291" s="71"/>
      <c r="R291" s="166">
        <f t="shared" si="77"/>
        <v>9744000</v>
      </c>
      <c r="S291" s="166">
        <f t="shared" si="78"/>
        <v>0</v>
      </c>
      <c r="T291" s="166">
        <f t="shared" si="79"/>
        <v>0</v>
      </c>
      <c r="U291" s="166">
        <f t="shared" si="80"/>
        <v>0</v>
      </c>
      <c r="V291" s="152"/>
      <c r="W291" s="152"/>
      <c r="X291" s="152"/>
      <c r="Y291" s="17"/>
      <c r="Z291" s="17"/>
    </row>
    <row r="292" spans="1:26" ht="48.95" customHeight="1" x14ac:dyDescent="0.25">
      <c r="A292" s="63">
        <v>237</v>
      </c>
      <c r="B292" s="29" t="s">
        <v>30</v>
      </c>
      <c r="C292" s="80" t="s">
        <v>304</v>
      </c>
      <c r="D292" s="119" t="s">
        <v>75</v>
      </c>
      <c r="E292" s="142"/>
      <c r="F292" s="11"/>
      <c r="G292" s="11"/>
      <c r="H292" s="11"/>
      <c r="I292" s="11"/>
      <c r="J292" s="11"/>
      <c r="K292" s="214"/>
      <c r="L292" s="224"/>
      <c r="M292" s="45">
        <v>504</v>
      </c>
      <c r="N292" s="71">
        <v>10000</v>
      </c>
      <c r="O292" s="71"/>
      <c r="P292" s="71"/>
      <c r="Q292" s="71"/>
      <c r="R292" s="166">
        <f t="shared" si="77"/>
        <v>5040000</v>
      </c>
      <c r="S292" s="166">
        <f t="shared" si="78"/>
        <v>0</v>
      </c>
      <c r="T292" s="166">
        <f t="shared" si="79"/>
        <v>0</v>
      </c>
      <c r="U292" s="166">
        <f t="shared" si="80"/>
        <v>0</v>
      </c>
      <c r="V292" s="152"/>
      <c r="W292" s="152"/>
      <c r="X292" s="152"/>
      <c r="Y292" s="17"/>
      <c r="Z292" s="17"/>
    </row>
    <row r="293" spans="1:26" ht="48.95" customHeight="1" x14ac:dyDescent="0.25">
      <c r="A293" s="63">
        <v>238</v>
      </c>
      <c r="B293" s="29" t="s">
        <v>30</v>
      </c>
      <c r="C293" s="80" t="s">
        <v>278</v>
      </c>
      <c r="D293" s="119" t="s">
        <v>1123</v>
      </c>
      <c r="E293" s="142"/>
      <c r="F293" s="11"/>
      <c r="G293" s="11"/>
      <c r="H293" s="11"/>
      <c r="I293" s="11"/>
      <c r="J293" s="11"/>
      <c r="K293" s="214"/>
      <c r="L293" s="224"/>
      <c r="M293" s="45">
        <v>56</v>
      </c>
      <c r="N293" s="71">
        <v>12000</v>
      </c>
      <c r="O293" s="71"/>
      <c r="P293" s="71"/>
      <c r="Q293" s="71"/>
      <c r="R293" s="166">
        <f t="shared" si="77"/>
        <v>672000</v>
      </c>
      <c r="S293" s="166">
        <f t="shared" si="78"/>
        <v>0</v>
      </c>
      <c r="T293" s="166">
        <f t="shared" si="79"/>
        <v>0</v>
      </c>
      <c r="U293" s="166">
        <f t="shared" si="80"/>
        <v>0</v>
      </c>
      <c r="V293" s="152"/>
      <c r="W293" s="152"/>
      <c r="X293" s="152"/>
      <c r="Y293" s="17"/>
      <c r="Z293" s="17"/>
    </row>
    <row r="294" spans="1:26" ht="48.95" customHeight="1" x14ac:dyDescent="0.25">
      <c r="A294" s="124">
        <v>239</v>
      </c>
      <c r="B294" s="138" t="s">
        <v>1166</v>
      </c>
      <c r="C294" s="144" t="s">
        <v>327</v>
      </c>
      <c r="D294" s="168" t="s">
        <v>205</v>
      </c>
      <c r="E294" s="142"/>
      <c r="F294" s="11"/>
      <c r="G294" s="11"/>
      <c r="H294" s="11"/>
      <c r="I294" s="11"/>
      <c r="J294" s="11"/>
      <c r="K294" s="214"/>
      <c r="L294" s="224"/>
      <c r="M294" s="45">
        <v>74.569999999999993</v>
      </c>
      <c r="N294" s="136">
        <v>16676</v>
      </c>
      <c r="O294" s="136"/>
      <c r="P294" s="136">
        <v>14048</v>
      </c>
      <c r="Q294" s="136"/>
      <c r="R294" s="166">
        <f t="shared" si="77"/>
        <v>1243529</v>
      </c>
      <c r="S294" s="166">
        <f t="shared" si="78"/>
        <v>0</v>
      </c>
      <c r="T294" s="166">
        <f t="shared" si="79"/>
        <v>1047559</v>
      </c>
      <c r="U294" s="166">
        <f t="shared" si="80"/>
        <v>0</v>
      </c>
      <c r="V294" s="34"/>
      <c r="W294" s="34"/>
      <c r="X294" s="34"/>
      <c r="Y294" s="17" t="s">
        <v>1005</v>
      </c>
      <c r="Z294" s="17" t="s">
        <v>1026</v>
      </c>
    </row>
    <row r="295" spans="1:26" ht="48.95" customHeight="1" x14ac:dyDescent="0.25">
      <c r="A295" s="124">
        <v>240</v>
      </c>
      <c r="B295" s="138" t="s">
        <v>769</v>
      </c>
      <c r="C295" s="144" t="s">
        <v>310</v>
      </c>
      <c r="D295" s="168" t="s">
        <v>155</v>
      </c>
      <c r="E295" s="142"/>
      <c r="F295" s="11"/>
      <c r="G295" s="11"/>
      <c r="H295" s="11"/>
      <c r="I295" s="11"/>
      <c r="J295" s="11"/>
      <c r="K295" s="214"/>
      <c r="L295" s="224"/>
      <c r="M295" s="45">
        <v>7.84</v>
      </c>
      <c r="N295" s="136">
        <v>989296</v>
      </c>
      <c r="O295" s="136"/>
      <c r="P295" s="136">
        <v>320179</v>
      </c>
      <c r="Q295" s="136">
        <v>47495</v>
      </c>
      <c r="R295" s="166">
        <f t="shared" si="77"/>
        <v>7756081</v>
      </c>
      <c r="S295" s="166">
        <f t="shared" si="78"/>
        <v>0</v>
      </c>
      <c r="T295" s="166">
        <f t="shared" si="79"/>
        <v>2510203</v>
      </c>
      <c r="U295" s="166">
        <f t="shared" si="80"/>
        <v>372361</v>
      </c>
      <c r="V295" s="34"/>
      <c r="W295" s="34"/>
      <c r="X295" s="34"/>
      <c r="Y295" s="17" t="s">
        <v>82</v>
      </c>
      <c r="Z295" s="17" t="s">
        <v>321</v>
      </c>
    </row>
    <row r="296" spans="1:26" ht="48.95" customHeight="1" x14ac:dyDescent="0.25">
      <c r="A296" s="124">
        <v>241</v>
      </c>
      <c r="B296" s="138" t="s">
        <v>370</v>
      </c>
      <c r="C296" s="144" t="s">
        <v>194</v>
      </c>
      <c r="D296" s="168" t="s">
        <v>155</v>
      </c>
      <c r="E296" s="142"/>
      <c r="F296" s="11"/>
      <c r="G296" s="11"/>
      <c r="H296" s="11"/>
      <c r="I296" s="11"/>
      <c r="J296" s="11"/>
      <c r="K296" s="214"/>
      <c r="L296" s="224"/>
      <c r="M296" s="45">
        <v>1.4</v>
      </c>
      <c r="N296" s="136">
        <v>926019</v>
      </c>
      <c r="O296" s="136"/>
      <c r="P296" s="136">
        <v>320179</v>
      </c>
      <c r="Q296" s="136">
        <v>47495</v>
      </c>
      <c r="R296" s="166">
        <f t="shared" si="77"/>
        <v>1296427</v>
      </c>
      <c r="S296" s="166">
        <f t="shared" si="78"/>
        <v>0</v>
      </c>
      <c r="T296" s="166">
        <f t="shared" si="79"/>
        <v>448251</v>
      </c>
      <c r="U296" s="166">
        <f t="shared" si="80"/>
        <v>66493</v>
      </c>
      <c r="V296" s="34"/>
      <c r="W296" s="34"/>
      <c r="X296" s="34"/>
      <c r="Y296" s="17" t="s">
        <v>82</v>
      </c>
      <c r="Z296" s="17" t="s">
        <v>321</v>
      </c>
    </row>
    <row r="297" spans="1:26" ht="48.95" customHeight="1" x14ac:dyDescent="0.25">
      <c r="A297" s="124">
        <v>242</v>
      </c>
      <c r="B297" s="138" t="s">
        <v>752</v>
      </c>
      <c r="C297" s="144" t="s">
        <v>1032</v>
      </c>
      <c r="D297" s="168" t="s">
        <v>205</v>
      </c>
      <c r="E297" s="142"/>
      <c r="F297" s="11"/>
      <c r="G297" s="11"/>
      <c r="H297" s="11"/>
      <c r="I297" s="11"/>
      <c r="J297" s="11"/>
      <c r="K297" s="214"/>
      <c r="L297" s="224"/>
      <c r="M297" s="45">
        <f>ROUND(0.3402/0.03,4)</f>
        <v>11.34</v>
      </c>
      <c r="N297" s="136">
        <v>28745</v>
      </c>
      <c r="O297" s="136"/>
      <c r="P297" s="136">
        <v>24431</v>
      </c>
      <c r="Q297" s="136">
        <v>932</v>
      </c>
      <c r="R297" s="166">
        <f t="shared" si="77"/>
        <v>325968</v>
      </c>
      <c r="S297" s="166">
        <f t="shared" si="78"/>
        <v>0</v>
      </c>
      <c r="T297" s="166">
        <f t="shared" si="79"/>
        <v>277048</v>
      </c>
      <c r="U297" s="166">
        <f t="shared" si="80"/>
        <v>10569</v>
      </c>
      <c r="V297" s="34"/>
      <c r="W297" s="34"/>
      <c r="X297" s="34"/>
      <c r="Y297" s="17" t="s">
        <v>82</v>
      </c>
      <c r="Z297" s="17" t="s">
        <v>321</v>
      </c>
    </row>
    <row r="298" spans="1:26" ht="48.95" customHeight="1" x14ac:dyDescent="0.25">
      <c r="A298" s="124">
        <v>243</v>
      </c>
      <c r="B298" s="138" t="s">
        <v>589</v>
      </c>
      <c r="C298" s="144" t="s">
        <v>786</v>
      </c>
      <c r="D298" s="168" t="s">
        <v>836</v>
      </c>
      <c r="E298" s="142"/>
      <c r="F298" s="11"/>
      <c r="G298" s="11"/>
      <c r="H298" s="11"/>
      <c r="I298" s="11"/>
      <c r="J298" s="11"/>
      <c r="K298" s="214"/>
      <c r="L298" s="224"/>
      <c r="M298" s="45">
        <f>ROUND(62.72/100,4)</f>
        <v>0.62719999999999998</v>
      </c>
      <c r="N298" s="136">
        <v>1255185</v>
      </c>
      <c r="O298" s="136"/>
      <c r="P298" s="136">
        <v>2823392</v>
      </c>
      <c r="Q298" s="136"/>
      <c r="R298" s="166">
        <f t="shared" si="77"/>
        <v>787252</v>
      </c>
      <c r="S298" s="166">
        <f t="shared" si="78"/>
        <v>0</v>
      </c>
      <c r="T298" s="166">
        <f t="shared" si="79"/>
        <v>1770831</v>
      </c>
      <c r="U298" s="166">
        <f t="shared" si="80"/>
        <v>0</v>
      </c>
      <c r="V298" s="34"/>
      <c r="W298" s="34"/>
      <c r="X298" s="34"/>
      <c r="Y298" s="17" t="s">
        <v>82</v>
      </c>
      <c r="Z298" s="17" t="s">
        <v>321</v>
      </c>
    </row>
    <row r="299" spans="1:26" ht="48.95" customHeight="1" x14ac:dyDescent="0.25">
      <c r="A299" s="168"/>
      <c r="B299" s="144"/>
      <c r="C299" s="130" t="s">
        <v>1097</v>
      </c>
      <c r="D299" s="168"/>
      <c r="E299" s="166"/>
      <c r="F299" s="37"/>
      <c r="G299" s="37"/>
      <c r="H299" s="37"/>
      <c r="I299" s="37"/>
      <c r="J299" s="37"/>
      <c r="K299" s="215"/>
      <c r="L299" s="223"/>
      <c r="M299" s="60"/>
      <c r="N299" s="166"/>
      <c r="O299" s="166"/>
      <c r="P299" s="166"/>
      <c r="Q299" s="166"/>
      <c r="R299" s="166"/>
      <c r="S299" s="166"/>
      <c r="T299" s="166"/>
      <c r="U299" s="166"/>
      <c r="V299" s="34"/>
      <c r="W299" s="34"/>
      <c r="X299" s="34"/>
      <c r="Y299" s="17"/>
      <c r="Z299" s="17"/>
    </row>
    <row r="300" spans="1:26" ht="48.95" customHeight="1" x14ac:dyDescent="0.25">
      <c r="A300" s="124">
        <v>244</v>
      </c>
      <c r="B300" s="138" t="s">
        <v>250</v>
      </c>
      <c r="C300" s="144" t="s">
        <v>357</v>
      </c>
      <c r="D300" s="168" t="s">
        <v>227</v>
      </c>
      <c r="E300" s="142"/>
      <c r="F300" s="11"/>
      <c r="G300" s="11"/>
      <c r="H300" s="11"/>
      <c r="I300" s="11"/>
      <c r="J300" s="11"/>
      <c r="K300" s="214"/>
      <c r="L300" s="224"/>
      <c r="M300" s="45">
        <v>7.0000000000000007E-2</v>
      </c>
      <c r="N300" s="136">
        <v>3785015</v>
      </c>
      <c r="O300" s="136"/>
      <c r="P300" s="136">
        <v>4531699</v>
      </c>
      <c r="Q300" s="136"/>
      <c r="R300" s="166">
        <f t="shared" ref="R300:R309" si="81">ROUND(M300*N300,0)</f>
        <v>264951</v>
      </c>
      <c r="S300" s="166">
        <f t="shared" ref="S300:S309" si="82">ROUND(M300*O300,0)</f>
        <v>0</v>
      </c>
      <c r="T300" s="166">
        <f t="shared" ref="T300:T309" si="83">ROUND(M300*P300,0)</f>
        <v>317219</v>
      </c>
      <c r="U300" s="166">
        <f t="shared" ref="U300:U309" si="84">ROUND(M300*Q300,0)</f>
        <v>0</v>
      </c>
      <c r="V300" s="34"/>
      <c r="W300" s="34"/>
      <c r="X300" s="34"/>
      <c r="Y300" s="17" t="s">
        <v>1045</v>
      </c>
      <c r="Z300" s="17" t="s">
        <v>664</v>
      </c>
    </row>
    <row r="301" spans="1:26" ht="48.95" customHeight="1" x14ac:dyDescent="0.25">
      <c r="A301" s="124">
        <v>245</v>
      </c>
      <c r="B301" s="138" t="s">
        <v>891</v>
      </c>
      <c r="C301" s="144" t="s">
        <v>1186</v>
      </c>
      <c r="D301" s="168" t="s">
        <v>1123</v>
      </c>
      <c r="E301" s="142"/>
      <c r="F301" s="11"/>
      <c r="G301" s="11"/>
      <c r="H301" s="11"/>
      <c r="I301" s="11"/>
      <c r="J301" s="11"/>
      <c r="K301" s="214"/>
      <c r="L301" s="224"/>
      <c r="M301" s="45">
        <v>2</v>
      </c>
      <c r="N301" s="136">
        <v>243245</v>
      </c>
      <c r="O301" s="136"/>
      <c r="P301" s="136">
        <v>355841</v>
      </c>
      <c r="Q301" s="136">
        <v>17841</v>
      </c>
      <c r="R301" s="166">
        <f t="shared" si="81"/>
        <v>486490</v>
      </c>
      <c r="S301" s="166">
        <f t="shared" si="82"/>
        <v>0</v>
      </c>
      <c r="T301" s="166">
        <f t="shared" si="83"/>
        <v>711682</v>
      </c>
      <c r="U301" s="166">
        <f t="shared" si="84"/>
        <v>35682</v>
      </c>
      <c r="V301" s="34"/>
      <c r="W301" s="34"/>
      <c r="X301" s="34"/>
      <c r="Y301" s="17" t="s">
        <v>82</v>
      </c>
      <c r="Z301" s="17" t="s">
        <v>321</v>
      </c>
    </row>
    <row r="302" spans="1:26" ht="48.95" customHeight="1" x14ac:dyDescent="0.25">
      <c r="A302" s="124">
        <v>246</v>
      </c>
      <c r="B302" s="138" t="s">
        <v>452</v>
      </c>
      <c r="C302" s="144" t="s">
        <v>822</v>
      </c>
      <c r="D302" s="168" t="s">
        <v>1123</v>
      </c>
      <c r="E302" s="142"/>
      <c r="F302" s="11"/>
      <c r="G302" s="11"/>
      <c r="H302" s="11"/>
      <c r="I302" s="11"/>
      <c r="J302" s="11"/>
      <c r="K302" s="214"/>
      <c r="L302" s="224"/>
      <c r="M302" s="45">
        <v>4</v>
      </c>
      <c r="N302" s="136">
        <v>76805</v>
      </c>
      <c r="O302" s="136"/>
      <c r="P302" s="136">
        <v>229814</v>
      </c>
      <c r="Q302" s="136">
        <v>17841</v>
      </c>
      <c r="R302" s="166">
        <f t="shared" si="81"/>
        <v>307220</v>
      </c>
      <c r="S302" s="166">
        <f t="shared" si="82"/>
        <v>0</v>
      </c>
      <c r="T302" s="166">
        <f t="shared" si="83"/>
        <v>919256</v>
      </c>
      <c r="U302" s="166">
        <f t="shared" si="84"/>
        <v>71364</v>
      </c>
      <c r="V302" s="34"/>
      <c r="W302" s="34"/>
      <c r="X302" s="34"/>
      <c r="Y302" s="17" t="s">
        <v>82</v>
      </c>
      <c r="Z302" s="17" t="s">
        <v>321</v>
      </c>
    </row>
    <row r="303" spans="1:26" ht="48.95" customHeight="1" x14ac:dyDescent="0.25">
      <c r="A303" s="124">
        <v>247</v>
      </c>
      <c r="B303" s="138" t="s">
        <v>1166</v>
      </c>
      <c r="C303" s="144" t="s">
        <v>327</v>
      </c>
      <c r="D303" s="168" t="s">
        <v>205</v>
      </c>
      <c r="E303" s="142"/>
      <c r="F303" s="11"/>
      <c r="G303" s="11"/>
      <c r="H303" s="11"/>
      <c r="I303" s="11"/>
      <c r="J303" s="11"/>
      <c r="K303" s="214"/>
      <c r="L303" s="224"/>
      <c r="M303" s="45">
        <v>74.569999999999993</v>
      </c>
      <c r="N303" s="136">
        <v>16676</v>
      </c>
      <c r="O303" s="136"/>
      <c r="P303" s="136">
        <v>14048</v>
      </c>
      <c r="Q303" s="136"/>
      <c r="R303" s="166">
        <f t="shared" si="81"/>
        <v>1243529</v>
      </c>
      <c r="S303" s="166">
        <f t="shared" si="82"/>
        <v>0</v>
      </c>
      <c r="T303" s="166">
        <f t="shared" si="83"/>
        <v>1047559</v>
      </c>
      <c r="U303" s="166">
        <f t="shared" si="84"/>
        <v>0</v>
      </c>
      <c r="V303" s="34"/>
      <c r="W303" s="34"/>
      <c r="X303" s="34"/>
      <c r="Y303" s="17" t="s">
        <v>1005</v>
      </c>
      <c r="Z303" s="17" t="s">
        <v>1026</v>
      </c>
    </row>
    <row r="304" spans="1:26" ht="48.95" customHeight="1" x14ac:dyDescent="0.25">
      <c r="A304" s="63">
        <v>248</v>
      </c>
      <c r="B304" s="29" t="s">
        <v>30</v>
      </c>
      <c r="C304" s="80" t="s">
        <v>641</v>
      </c>
      <c r="D304" s="119" t="s">
        <v>1123</v>
      </c>
      <c r="E304" s="142"/>
      <c r="F304" s="11"/>
      <c r="G304" s="11"/>
      <c r="H304" s="11"/>
      <c r="I304" s="11"/>
      <c r="J304" s="11"/>
      <c r="K304" s="214"/>
      <c r="L304" s="224"/>
      <c r="M304" s="45">
        <v>4</v>
      </c>
      <c r="N304" s="71">
        <v>12000</v>
      </c>
      <c r="O304" s="71"/>
      <c r="P304" s="71"/>
      <c r="Q304" s="71"/>
      <c r="R304" s="109">
        <f t="shared" si="81"/>
        <v>48000</v>
      </c>
      <c r="S304" s="109">
        <f t="shared" si="82"/>
        <v>0</v>
      </c>
      <c r="T304" s="109">
        <f t="shared" si="83"/>
        <v>0</v>
      </c>
      <c r="U304" s="109">
        <f t="shared" si="84"/>
        <v>0</v>
      </c>
      <c r="V304" s="152"/>
      <c r="W304" s="152"/>
      <c r="X304" s="152"/>
      <c r="Y304" s="17"/>
      <c r="Z304" s="17"/>
    </row>
    <row r="305" spans="1:27" ht="48.95" customHeight="1" x14ac:dyDescent="0.25">
      <c r="A305" s="63">
        <v>249</v>
      </c>
      <c r="B305" s="29" t="s">
        <v>30</v>
      </c>
      <c r="C305" s="80" t="s">
        <v>1174</v>
      </c>
      <c r="D305" s="119" t="s">
        <v>75</v>
      </c>
      <c r="E305" s="142"/>
      <c r="F305" s="11"/>
      <c r="G305" s="11"/>
      <c r="H305" s="11"/>
      <c r="I305" s="11"/>
      <c r="J305" s="11"/>
      <c r="K305" s="214"/>
      <c r="L305" s="224"/>
      <c r="M305" s="45">
        <v>16</v>
      </c>
      <c r="N305" s="71">
        <v>7000</v>
      </c>
      <c r="O305" s="71"/>
      <c r="P305" s="71"/>
      <c r="Q305" s="71"/>
      <c r="R305" s="109">
        <f t="shared" si="81"/>
        <v>112000</v>
      </c>
      <c r="S305" s="109">
        <f t="shared" si="82"/>
        <v>0</v>
      </c>
      <c r="T305" s="109">
        <f t="shared" si="83"/>
        <v>0</v>
      </c>
      <c r="U305" s="109">
        <f t="shared" si="84"/>
        <v>0</v>
      </c>
      <c r="V305" s="152"/>
      <c r="W305" s="152"/>
      <c r="X305" s="152"/>
      <c r="Y305" s="17"/>
      <c r="Z305" s="17"/>
    </row>
    <row r="306" spans="1:27" ht="48.95" customHeight="1" x14ac:dyDescent="0.25">
      <c r="A306" s="124">
        <v>250</v>
      </c>
      <c r="B306" s="138" t="s">
        <v>769</v>
      </c>
      <c r="C306" s="144" t="s">
        <v>310</v>
      </c>
      <c r="D306" s="168" t="s">
        <v>155</v>
      </c>
      <c r="E306" s="142"/>
      <c r="F306" s="11"/>
      <c r="G306" s="11"/>
      <c r="H306" s="11"/>
      <c r="I306" s="11"/>
      <c r="J306" s="11"/>
      <c r="K306" s="214"/>
      <c r="L306" s="224"/>
      <c r="M306" s="45">
        <v>0.17</v>
      </c>
      <c r="N306" s="136">
        <v>989296</v>
      </c>
      <c r="O306" s="136"/>
      <c r="P306" s="136">
        <v>320179</v>
      </c>
      <c r="Q306" s="136">
        <v>47495</v>
      </c>
      <c r="R306" s="166">
        <f t="shared" si="81"/>
        <v>168180</v>
      </c>
      <c r="S306" s="166">
        <f t="shared" si="82"/>
        <v>0</v>
      </c>
      <c r="T306" s="166">
        <f t="shared" si="83"/>
        <v>54430</v>
      </c>
      <c r="U306" s="166">
        <f t="shared" si="84"/>
        <v>8074</v>
      </c>
      <c r="V306" s="34"/>
      <c r="W306" s="34"/>
      <c r="X306" s="34"/>
      <c r="Y306" s="17" t="s">
        <v>82</v>
      </c>
      <c r="Z306" s="17" t="s">
        <v>321</v>
      </c>
    </row>
    <row r="307" spans="1:27" ht="48.95" customHeight="1" x14ac:dyDescent="0.25">
      <c r="A307" s="124">
        <v>251</v>
      </c>
      <c r="B307" s="138" t="s">
        <v>370</v>
      </c>
      <c r="C307" s="144" t="s">
        <v>194</v>
      </c>
      <c r="D307" s="168" t="s">
        <v>155</v>
      </c>
      <c r="E307" s="142"/>
      <c r="F307" s="11"/>
      <c r="G307" s="11"/>
      <c r="H307" s="11"/>
      <c r="I307" s="11"/>
      <c r="J307" s="11"/>
      <c r="K307" s="214"/>
      <c r="L307" s="224"/>
      <c r="M307" s="45">
        <v>0.06</v>
      </c>
      <c r="N307" s="136">
        <v>926019</v>
      </c>
      <c r="O307" s="136"/>
      <c r="P307" s="136">
        <v>320179</v>
      </c>
      <c r="Q307" s="136">
        <v>47495</v>
      </c>
      <c r="R307" s="166">
        <f t="shared" si="81"/>
        <v>55561</v>
      </c>
      <c r="S307" s="166">
        <f t="shared" si="82"/>
        <v>0</v>
      </c>
      <c r="T307" s="166">
        <f t="shared" si="83"/>
        <v>19211</v>
      </c>
      <c r="U307" s="166">
        <f t="shared" si="84"/>
        <v>2850</v>
      </c>
      <c r="V307" s="34"/>
      <c r="W307" s="34"/>
      <c r="X307" s="34"/>
      <c r="Y307" s="17" t="s">
        <v>82</v>
      </c>
      <c r="Z307" s="17" t="s">
        <v>321</v>
      </c>
    </row>
    <row r="308" spans="1:27" ht="48.95" customHeight="1" x14ac:dyDescent="0.25">
      <c r="A308" s="124">
        <v>252</v>
      </c>
      <c r="B308" s="52" t="s">
        <v>309</v>
      </c>
      <c r="C308" s="144" t="s">
        <v>1067</v>
      </c>
      <c r="D308" s="168" t="s">
        <v>155</v>
      </c>
      <c r="E308" s="142"/>
      <c r="F308" s="11"/>
      <c r="G308" s="11"/>
      <c r="H308" s="11"/>
      <c r="I308" s="11"/>
      <c r="J308" s="11"/>
      <c r="K308" s="214"/>
      <c r="L308" s="224"/>
      <c r="M308" s="45">
        <v>0.2</v>
      </c>
      <c r="N308" s="136"/>
      <c r="O308" s="136"/>
      <c r="P308" s="136">
        <v>232325</v>
      </c>
      <c r="Q308" s="136"/>
      <c r="R308" s="166">
        <f t="shared" si="81"/>
        <v>0</v>
      </c>
      <c r="S308" s="166">
        <f t="shared" si="82"/>
        <v>0</v>
      </c>
      <c r="T308" s="166">
        <f t="shared" si="83"/>
        <v>46465</v>
      </c>
      <c r="U308" s="166">
        <f t="shared" si="84"/>
        <v>0</v>
      </c>
      <c r="V308" s="34"/>
      <c r="W308" s="34"/>
      <c r="X308" s="34"/>
      <c r="Y308" s="17" t="s">
        <v>82</v>
      </c>
      <c r="Z308" s="17" t="s">
        <v>321</v>
      </c>
    </row>
    <row r="309" spans="1:27" ht="48.95" customHeight="1" x14ac:dyDescent="0.25">
      <c r="A309" s="124">
        <v>253</v>
      </c>
      <c r="B309" s="138" t="s">
        <v>589</v>
      </c>
      <c r="C309" s="144" t="s">
        <v>786</v>
      </c>
      <c r="D309" s="168" t="s">
        <v>836</v>
      </c>
      <c r="E309" s="142"/>
      <c r="F309" s="11"/>
      <c r="G309" s="11"/>
      <c r="H309" s="11"/>
      <c r="I309" s="11"/>
      <c r="J309" s="11"/>
      <c r="K309" s="214"/>
      <c r="L309" s="224"/>
      <c r="M309" s="45">
        <f>ROUND(1.8/100,4)</f>
        <v>1.7999999999999999E-2</v>
      </c>
      <c r="N309" s="136">
        <v>1255185</v>
      </c>
      <c r="O309" s="136"/>
      <c r="P309" s="136">
        <v>2823392</v>
      </c>
      <c r="Q309" s="136"/>
      <c r="R309" s="166">
        <f t="shared" si="81"/>
        <v>22593</v>
      </c>
      <c r="S309" s="166">
        <f t="shared" si="82"/>
        <v>0</v>
      </c>
      <c r="T309" s="166">
        <f t="shared" si="83"/>
        <v>50821</v>
      </c>
      <c r="U309" s="166">
        <f t="shared" si="84"/>
        <v>0</v>
      </c>
      <c r="V309" s="34"/>
      <c r="W309" s="34"/>
      <c r="X309" s="34"/>
      <c r="Y309" s="17" t="s">
        <v>82</v>
      </c>
      <c r="Z309" s="17" t="s">
        <v>321</v>
      </c>
    </row>
    <row r="310" spans="1:27" ht="48.95" customHeight="1" x14ac:dyDescent="0.25">
      <c r="A310" s="168"/>
      <c r="B310" s="144"/>
      <c r="C310" s="130" t="s">
        <v>754</v>
      </c>
      <c r="D310" s="168"/>
      <c r="E310" s="166"/>
      <c r="F310" s="37"/>
      <c r="G310" s="37"/>
      <c r="H310" s="37"/>
      <c r="I310" s="37"/>
      <c r="J310" s="37"/>
      <c r="K310" s="215"/>
      <c r="L310" s="223"/>
      <c r="M310" s="60"/>
      <c r="N310" s="166"/>
      <c r="O310" s="166"/>
      <c r="P310" s="166"/>
      <c r="Q310" s="166"/>
      <c r="R310" s="166"/>
      <c r="S310" s="166"/>
      <c r="T310" s="166"/>
      <c r="U310" s="166"/>
      <c r="V310" s="34"/>
      <c r="W310" s="34"/>
      <c r="X310" s="34"/>
      <c r="Y310" s="17"/>
      <c r="Z310" s="17"/>
    </row>
    <row r="311" spans="1:27" ht="48.95" customHeight="1" x14ac:dyDescent="0.25">
      <c r="A311" s="124">
        <v>254</v>
      </c>
      <c r="B311" s="138" t="s">
        <v>344</v>
      </c>
      <c r="C311" s="144" t="s">
        <v>887</v>
      </c>
      <c r="D311" s="168" t="s">
        <v>155</v>
      </c>
      <c r="E311" s="142"/>
      <c r="F311" s="11"/>
      <c r="G311" s="11"/>
      <c r="H311" s="11"/>
      <c r="I311" s="11"/>
      <c r="J311" s="11"/>
      <c r="K311" s="214"/>
      <c r="L311" s="224"/>
      <c r="M311" s="45">
        <v>0.9</v>
      </c>
      <c r="N311" s="136">
        <v>974811</v>
      </c>
      <c r="O311" s="136"/>
      <c r="P311" s="136">
        <v>357273</v>
      </c>
      <c r="Q311" s="136">
        <v>74844</v>
      </c>
      <c r="R311" s="166">
        <f t="shared" ref="R311:R317" si="85">ROUND(M311*N311,0)</f>
        <v>877330</v>
      </c>
      <c r="S311" s="166">
        <f t="shared" ref="S311:S317" si="86">ROUND(M311*O311,0)</f>
        <v>0</v>
      </c>
      <c r="T311" s="166">
        <f t="shared" ref="T311:T317" si="87">ROUND(M311*P311,0)</f>
        <v>321546</v>
      </c>
      <c r="U311" s="166">
        <f t="shared" ref="U311:U317" si="88">ROUND(M311*Q311,0)</f>
        <v>67360</v>
      </c>
      <c r="V311" s="34"/>
      <c r="W311" s="34"/>
      <c r="X311" s="34"/>
      <c r="Y311" s="17" t="s">
        <v>82</v>
      </c>
      <c r="Z311" s="17" t="s">
        <v>321</v>
      </c>
    </row>
    <row r="312" spans="1:27" ht="48.95" customHeight="1" x14ac:dyDescent="0.25">
      <c r="A312" s="124">
        <v>255</v>
      </c>
      <c r="B312" s="138" t="s">
        <v>370</v>
      </c>
      <c r="C312" s="144" t="s">
        <v>194</v>
      </c>
      <c r="D312" s="168" t="s">
        <v>155</v>
      </c>
      <c r="E312" s="142"/>
      <c r="F312" s="11"/>
      <c r="G312" s="11"/>
      <c r="H312" s="11"/>
      <c r="I312" s="11"/>
      <c r="J312" s="11"/>
      <c r="K312" s="214"/>
      <c r="L312" s="224"/>
      <c r="M312" s="45">
        <v>1.44</v>
      </c>
      <c r="N312" s="136">
        <v>926019</v>
      </c>
      <c r="O312" s="136"/>
      <c r="P312" s="136">
        <v>320179</v>
      </c>
      <c r="Q312" s="136">
        <v>47495</v>
      </c>
      <c r="R312" s="166">
        <f t="shared" si="85"/>
        <v>1333467</v>
      </c>
      <c r="S312" s="166">
        <f t="shared" si="86"/>
        <v>0</v>
      </c>
      <c r="T312" s="166">
        <f t="shared" si="87"/>
        <v>461058</v>
      </c>
      <c r="U312" s="166">
        <f t="shared" si="88"/>
        <v>68393</v>
      </c>
      <c r="V312" s="34"/>
      <c r="W312" s="34"/>
      <c r="X312" s="34"/>
      <c r="Y312" s="17" t="s">
        <v>82</v>
      </c>
      <c r="Z312" s="17" t="s">
        <v>321</v>
      </c>
    </row>
    <row r="313" spans="1:27" ht="48.95" customHeight="1" x14ac:dyDescent="0.25">
      <c r="A313" s="124">
        <v>256</v>
      </c>
      <c r="B313" s="138" t="s">
        <v>1197</v>
      </c>
      <c r="C313" s="144" t="s">
        <v>923</v>
      </c>
      <c r="D313" s="168" t="s">
        <v>1172</v>
      </c>
      <c r="E313" s="142"/>
      <c r="F313" s="11"/>
      <c r="G313" s="11"/>
      <c r="H313" s="11"/>
      <c r="I313" s="11"/>
      <c r="J313" s="11"/>
      <c r="K313" s="214"/>
      <c r="L313" s="224"/>
      <c r="M313" s="45">
        <f>ROUND(115.6/1000,4)</f>
        <v>0.11559999999999999</v>
      </c>
      <c r="N313" s="136">
        <v>14603640</v>
      </c>
      <c r="O313" s="136"/>
      <c r="P313" s="136">
        <v>2409530</v>
      </c>
      <c r="Q313" s="136">
        <v>91218</v>
      </c>
      <c r="R313" s="166">
        <f t="shared" si="85"/>
        <v>1688181</v>
      </c>
      <c r="S313" s="166">
        <f t="shared" si="86"/>
        <v>0</v>
      </c>
      <c r="T313" s="166">
        <f t="shared" si="87"/>
        <v>278542</v>
      </c>
      <c r="U313" s="166">
        <f t="shared" si="88"/>
        <v>10545</v>
      </c>
      <c r="V313" s="34"/>
      <c r="W313" s="34"/>
      <c r="X313" s="34"/>
      <c r="Y313" s="17" t="s">
        <v>82</v>
      </c>
      <c r="Z313" s="17" t="s">
        <v>321</v>
      </c>
    </row>
    <row r="314" spans="1:27" ht="48.95" customHeight="1" x14ac:dyDescent="0.25">
      <c r="A314" s="124">
        <v>257</v>
      </c>
      <c r="B314" s="138" t="s">
        <v>1133</v>
      </c>
      <c r="C314" s="144" t="s">
        <v>777</v>
      </c>
      <c r="D314" s="168" t="s">
        <v>1123</v>
      </c>
      <c r="E314" s="142"/>
      <c r="F314" s="11"/>
      <c r="G314" s="11"/>
      <c r="H314" s="11"/>
      <c r="I314" s="11"/>
      <c r="J314" s="11"/>
      <c r="K314" s="214"/>
      <c r="L314" s="224"/>
      <c r="M314" s="45">
        <v>40</v>
      </c>
      <c r="N314" s="136">
        <v>3016</v>
      </c>
      <c r="O314" s="136"/>
      <c r="P314" s="136">
        <v>38775</v>
      </c>
      <c r="Q314" s="136"/>
      <c r="R314" s="166">
        <f t="shared" si="85"/>
        <v>120640</v>
      </c>
      <c r="S314" s="166">
        <f t="shared" si="86"/>
        <v>0</v>
      </c>
      <c r="T314" s="166">
        <f t="shared" si="87"/>
        <v>1551000</v>
      </c>
      <c r="U314" s="166">
        <f t="shared" si="88"/>
        <v>0</v>
      </c>
      <c r="V314" s="34"/>
      <c r="W314" s="34"/>
      <c r="X314" s="34"/>
      <c r="Y314" s="17" t="s">
        <v>82</v>
      </c>
      <c r="Z314" s="17" t="s">
        <v>321</v>
      </c>
    </row>
    <row r="315" spans="1:27" ht="48.95" customHeight="1" x14ac:dyDescent="0.25">
      <c r="A315" s="124">
        <v>258</v>
      </c>
      <c r="B315" s="138" t="s">
        <v>1166</v>
      </c>
      <c r="C315" s="144" t="s">
        <v>327</v>
      </c>
      <c r="D315" s="168" t="s">
        <v>205</v>
      </c>
      <c r="E315" s="142"/>
      <c r="F315" s="11"/>
      <c r="G315" s="11"/>
      <c r="H315" s="11"/>
      <c r="I315" s="11"/>
      <c r="J315" s="11"/>
      <c r="K315" s="214"/>
      <c r="L315" s="224"/>
      <c r="M315" s="45">
        <v>60</v>
      </c>
      <c r="N315" s="136">
        <v>16676</v>
      </c>
      <c r="O315" s="136"/>
      <c r="P315" s="136">
        <v>14048</v>
      </c>
      <c r="Q315" s="136"/>
      <c r="R315" s="166">
        <f t="shared" si="85"/>
        <v>1000560</v>
      </c>
      <c r="S315" s="166">
        <f t="shared" si="86"/>
        <v>0</v>
      </c>
      <c r="T315" s="166">
        <f t="shared" si="87"/>
        <v>842880</v>
      </c>
      <c r="U315" s="166">
        <f t="shared" si="88"/>
        <v>0</v>
      </c>
      <c r="V315" s="34"/>
      <c r="W315" s="34"/>
      <c r="X315" s="34"/>
      <c r="Y315" s="17" t="s">
        <v>1005</v>
      </c>
      <c r="Z315" s="17" t="s">
        <v>1026</v>
      </c>
    </row>
    <row r="316" spans="1:27" ht="48.95" customHeight="1" x14ac:dyDescent="0.25">
      <c r="A316" s="124">
        <v>259</v>
      </c>
      <c r="B316" s="138" t="s">
        <v>589</v>
      </c>
      <c r="C316" s="144" t="s">
        <v>219</v>
      </c>
      <c r="D316" s="168" t="s">
        <v>836</v>
      </c>
      <c r="E316" s="142"/>
      <c r="F316" s="11"/>
      <c r="G316" s="11"/>
      <c r="H316" s="11"/>
      <c r="I316" s="11"/>
      <c r="J316" s="11"/>
      <c r="K316" s="214"/>
      <c r="L316" s="224"/>
      <c r="M316" s="45">
        <v>0.33</v>
      </c>
      <c r="N316" s="136">
        <v>1255185</v>
      </c>
      <c r="O316" s="136"/>
      <c r="P316" s="136">
        <v>2823392</v>
      </c>
      <c r="Q316" s="136"/>
      <c r="R316" s="166">
        <f t="shared" si="85"/>
        <v>414211</v>
      </c>
      <c r="S316" s="166">
        <f t="shared" si="86"/>
        <v>0</v>
      </c>
      <c r="T316" s="166">
        <f t="shared" si="87"/>
        <v>931719</v>
      </c>
      <c r="U316" s="166">
        <f t="shared" si="88"/>
        <v>0</v>
      </c>
      <c r="V316" s="34"/>
      <c r="W316" s="34"/>
      <c r="X316" s="34"/>
      <c r="Y316" s="17" t="s">
        <v>82</v>
      </c>
      <c r="Z316" s="17" t="s">
        <v>321</v>
      </c>
    </row>
    <row r="317" spans="1:27" ht="48.95" customHeight="1" x14ac:dyDescent="0.25">
      <c r="A317" s="124">
        <v>260</v>
      </c>
      <c r="B317" s="52" t="s">
        <v>1051</v>
      </c>
      <c r="C317" s="144" t="s">
        <v>806</v>
      </c>
      <c r="D317" s="168" t="s">
        <v>155</v>
      </c>
      <c r="E317" s="142"/>
      <c r="F317" s="11"/>
      <c r="G317" s="11"/>
      <c r="H317" s="11"/>
      <c r="I317" s="11"/>
      <c r="J317" s="11"/>
      <c r="K317" s="214"/>
      <c r="L317" s="224"/>
      <c r="M317" s="45">
        <v>1.44</v>
      </c>
      <c r="N317" s="136"/>
      <c r="O317" s="136"/>
      <c r="P317" s="136">
        <v>160089</v>
      </c>
      <c r="Q317" s="136"/>
      <c r="R317" s="166">
        <f t="shared" si="85"/>
        <v>0</v>
      </c>
      <c r="S317" s="166">
        <f t="shared" si="86"/>
        <v>0</v>
      </c>
      <c r="T317" s="166">
        <f t="shared" si="87"/>
        <v>230528</v>
      </c>
      <c r="U317" s="166">
        <f t="shared" si="88"/>
        <v>0</v>
      </c>
      <c r="V317" s="34"/>
      <c r="W317" s="34"/>
      <c r="X317" s="34"/>
      <c r="Y317" s="17" t="s">
        <v>82</v>
      </c>
      <c r="Z317" s="17" t="s">
        <v>321</v>
      </c>
    </row>
    <row r="318" spans="1:27" ht="48.95" customHeight="1" x14ac:dyDescent="0.25">
      <c r="A318" s="168"/>
      <c r="B318" s="144"/>
      <c r="C318" s="130" t="s">
        <v>1202</v>
      </c>
      <c r="D318" s="168"/>
      <c r="E318" s="166"/>
      <c r="F318" s="37"/>
      <c r="G318" s="37"/>
      <c r="H318" s="37"/>
      <c r="I318" s="37"/>
      <c r="J318" s="37"/>
      <c r="K318" s="215"/>
      <c r="L318" s="223"/>
      <c r="M318" s="60"/>
      <c r="N318" s="166"/>
      <c r="O318" s="166"/>
      <c r="P318" s="166"/>
      <c r="Q318" s="166"/>
      <c r="R318" s="166"/>
      <c r="S318" s="166"/>
      <c r="T318" s="166"/>
      <c r="U318" s="166"/>
      <c r="V318" s="34"/>
      <c r="W318" s="34"/>
      <c r="X318" s="34"/>
      <c r="Y318" s="17"/>
      <c r="Z318" s="17"/>
    </row>
    <row r="319" spans="1:27" ht="48.95" customHeight="1" x14ac:dyDescent="0.25">
      <c r="A319" s="124">
        <v>261</v>
      </c>
      <c r="B319" s="138" t="s">
        <v>1208</v>
      </c>
      <c r="C319" s="144" t="s">
        <v>1203</v>
      </c>
      <c r="D319" s="168" t="s">
        <v>155</v>
      </c>
      <c r="E319" s="142"/>
      <c r="F319" s="11"/>
      <c r="G319" s="11"/>
      <c r="H319" s="11"/>
      <c r="I319" s="11"/>
      <c r="J319" s="11"/>
      <c r="K319" s="214"/>
      <c r="L319" s="224"/>
      <c r="M319" s="45">
        <v>8.5749999999999993</v>
      </c>
      <c r="N319" s="136">
        <v>1123217</v>
      </c>
      <c r="O319" s="136"/>
      <c r="P319" s="136">
        <v>963411</v>
      </c>
      <c r="Q319" s="136">
        <v>595934</v>
      </c>
      <c r="R319" s="166">
        <f>ROUND(M319*N319,0)</f>
        <v>9631586</v>
      </c>
      <c r="S319" s="166">
        <f>ROUND(M319*O319,0)</f>
        <v>0</v>
      </c>
      <c r="T319" s="166">
        <f>ROUND(M319*P319,0)</f>
        <v>8261249</v>
      </c>
      <c r="U319" s="166">
        <f>ROUND(M319*Q319,0)</f>
        <v>5110134</v>
      </c>
      <c r="V319" s="34"/>
      <c r="W319" s="34"/>
      <c r="X319" s="34"/>
      <c r="Y319" s="17" t="s">
        <v>82</v>
      </c>
      <c r="Z319" s="17" t="s">
        <v>321</v>
      </c>
      <c r="AA319" s="210">
        <f>SUM(N319:Q319)</f>
        <v>2682562</v>
      </c>
    </row>
    <row r="320" spans="1:27" ht="48.95" customHeight="1" x14ac:dyDescent="0.25">
      <c r="A320" s="124">
        <v>262</v>
      </c>
      <c r="B320" s="138" t="s">
        <v>910</v>
      </c>
      <c r="C320" s="144" t="s">
        <v>1204</v>
      </c>
      <c r="D320" s="168" t="s">
        <v>1172</v>
      </c>
      <c r="E320" s="142"/>
      <c r="F320" s="11"/>
      <c r="G320" s="11"/>
      <c r="H320" s="11"/>
      <c r="I320" s="11"/>
      <c r="J320" s="11"/>
      <c r="K320" s="214"/>
      <c r="L320" s="224"/>
      <c r="M320" s="45">
        <v>2.1299999999999999E-2</v>
      </c>
      <c r="N320" s="136">
        <v>14603640</v>
      </c>
      <c r="O320" s="136"/>
      <c r="P320" s="136">
        <v>3448267</v>
      </c>
      <c r="Q320" s="136">
        <v>91218</v>
      </c>
      <c r="R320" s="166">
        <f>ROUND(M320*N320,0)</f>
        <v>311058</v>
      </c>
      <c r="S320" s="166">
        <f>ROUND(M320*O320,0)</f>
        <v>0</v>
      </c>
      <c r="T320" s="166">
        <f>ROUND(M320*P320,0)</f>
        <v>73448</v>
      </c>
      <c r="U320" s="166">
        <f>ROUND(M320*Q320,0)</f>
        <v>1943</v>
      </c>
      <c r="V320" s="34"/>
      <c r="W320" s="34"/>
      <c r="X320" s="34"/>
      <c r="Y320" s="17" t="s">
        <v>82</v>
      </c>
      <c r="Z320" s="17" t="s">
        <v>321</v>
      </c>
      <c r="AA320" s="210">
        <f t="shared" ref="AA320:AA323" si="89">SUM(N320:Q320)</f>
        <v>18143125</v>
      </c>
    </row>
    <row r="321" spans="1:27" ht="48.95" customHeight="1" x14ac:dyDescent="0.25">
      <c r="A321" s="124">
        <v>263</v>
      </c>
      <c r="B321" s="138" t="s">
        <v>62</v>
      </c>
      <c r="C321" s="144" t="s">
        <v>1205</v>
      </c>
      <c r="D321" s="168" t="s">
        <v>1172</v>
      </c>
      <c r="E321" s="142"/>
      <c r="F321" s="11"/>
      <c r="G321" s="11"/>
      <c r="H321" s="11"/>
      <c r="I321" s="11"/>
      <c r="J321" s="11"/>
      <c r="K321" s="214"/>
      <c r="L321" s="224"/>
      <c r="M321" s="45">
        <v>0.23050000000000001</v>
      </c>
      <c r="N321" s="136">
        <v>14678788</v>
      </c>
      <c r="O321" s="136"/>
      <c r="P321" s="136">
        <v>2137074</v>
      </c>
      <c r="Q321" s="136">
        <v>455951</v>
      </c>
      <c r="R321" s="166">
        <f>ROUND(M321*N321,0)</f>
        <v>3383461</v>
      </c>
      <c r="S321" s="166">
        <f>ROUND(M321*O321,0)</f>
        <v>0</v>
      </c>
      <c r="T321" s="166">
        <f>ROUND(M321*P321,0)</f>
        <v>492596</v>
      </c>
      <c r="U321" s="166">
        <f>ROUND(M321*Q321,0)</f>
        <v>105097</v>
      </c>
      <c r="V321" s="34"/>
      <c r="W321" s="34"/>
      <c r="X321" s="34"/>
      <c r="Y321" s="17" t="s">
        <v>82</v>
      </c>
      <c r="Z321" s="17" t="s">
        <v>321</v>
      </c>
      <c r="AA321" s="210">
        <f t="shared" si="89"/>
        <v>17271813</v>
      </c>
    </row>
    <row r="322" spans="1:27" ht="48.95" customHeight="1" x14ac:dyDescent="0.25">
      <c r="A322" s="124">
        <v>264</v>
      </c>
      <c r="B322" s="138" t="s">
        <v>1209</v>
      </c>
      <c r="C322" s="144" t="s">
        <v>1210</v>
      </c>
      <c r="D322" s="168" t="s">
        <v>836</v>
      </c>
      <c r="E322" s="142"/>
      <c r="F322" s="11"/>
      <c r="G322" s="11"/>
      <c r="H322" s="11"/>
      <c r="I322" s="11"/>
      <c r="J322" s="11"/>
      <c r="K322" s="214"/>
      <c r="L322" s="224"/>
      <c r="M322" s="45">
        <v>0.79379999999999995</v>
      </c>
      <c r="N322" s="136">
        <v>4278048</v>
      </c>
      <c r="O322" s="136"/>
      <c r="P322" s="136">
        <v>9104000</v>
      </c>
      <c r="Q322" s="136">
        <v>682573</v>
      </c>
      <c r="R322" s="166">
        <f>ROUND(M322*N322,0)</f>
        <v>3395915</v>
      </c>
      <c r="S322" s="166">
        <f>ROUND(M322*O322,0)</f>
        <v>0</v>
      </c>
      <c r="T322" s="166">
        <f>ROUND(M322*P322,0)</f>
        <v>7226755</v>
      </c>
      <c r="U322" s="166">
        <f>ROUND(M322*Q322,0)</f>
        <v>541826</v>
      </c>
      <c r="V322" s="34"/>
      <c r="W322" s="34"/>
      <c r="X322" s="34"/>
      <c r="Y322" s="17" t="s">
        <v>82</v>
      </c>
      <c r="Z322" s="17" t="s">
        <v>321</v>
      </c>
      <c r="AA322" s="210">
        <f t="shared" si="89"/>
        <v>14064621</v>
      </c>
    </row>
    <row r="323" spans="1:27" ht="48.95" customHeight="1" x14ac:dyDescent="0.25">
      <c r="A323" s="124">
        <v>265</v>
      </c>
      <c r="B323" s="138" t="s">
        <v>1211</v>
      </c>
      <c r="C323" s="144" t="s">
        <v>1206</v>
      </c>
      <c r="D323" s="168" t="s">
        <v>205</v>
      </c>
      <c r="E323" s="142"/>
      <c r="F323" s="11"/>
      <c r="G323" s="11"/>
      <c r="H323" s="11"/>
      <c r="I323" s="11"/>
      <c r="J323" s="11"/>
      <c r="K323" s="214"/>
      <c r="L323" s="224"/>
      <c r="M323" s="45">
        <v>79.38</v>
      </c>
      <c r="N323" s="136">
        <v>94461</v>
      </c>
      <c r="O323" s="136"/>
      <c r="P323" s="136">
        <v>37690</v>
      </c>
      <c r="Q323" s="136">
        <v>44503</v>
      </c>
      <c r="R323" s="166">
        <f>ROUND(M323*N323,0)</f>
        <v>7498314</v>
      </c>
      <c r="S323" s="166">
        <f>ROUND(M323*O323,0)</f>
        <v>0</v>
      </c>
      <c r="T323" s="166">
        <f>ROUND(M323*P323,0)</f>
        <v>2991832</v>
      </c>
      <c r="U323" s="166">
        <f>ROUND(M323*Q323,0)</f>
        <v>3532648</v>
      </c>
      <c r="V323" s="34"/>
      <c r="W323" s="34"/>
      <c r="X323" s="34"/>
      <c r="Y323" s="17" t="s">
        <v>82</v>
      </c>
      <c r="Z323" s="17" t="s">
        <v>321</v>
      </c>
      <c r="AA323" s="210">
        <f t="shared" si="89"/>
        <v>176654</v>
      </c>
    </row>
    <row r="324" spans="1:27" ht="48.95" customHeight="1" x14ac:dyDescent="0.25">
      <c r="A324" s="57"/>
      <c r="B324" s="24"/>
      <c r="C324" s="24"/>
      <c r="D324" s="57"/>
      <c r="E324" s="51"/>
      <c r="F324" s="93"/>
      <c r="G324" s="93"/>
      <c r="H324" s="93"/>
      <c r="I324" s="93"/>
      <c r="J324" s="93"/>
      <c r="K324" s="217"/>
      <c r="L324" s="223"/>
      <c r="M324" s="121"/>
      <c r="N324" s="51"/>
      <c r="O324" s="51"/>
      <c r="P324" s="51"/>
      <c r="Q324" s="51"/>
      <c r="R324" s="51"/>
      <c r="S324" s="51"/>
      <c r="T324" s="51"/>
      <c r="U324" s="51"/>
      <c r="V324" s="89"/>
      <c r="W324" s="89"/>
      <c r="X324" s="89"/>
      <c r="Y324" s="78"/>
      <c r="Z324" s="78"/>
    </row>
    <row r="325" spans="1:27" ht="48.95" customHeight="1" x14ac:dyDescent="0.25">
      <c r="A325" s="128"/>
      <c r="B325" s="132" t="s">
        <v>855</v>
      </c>
      <c r="C325" s="190" t="s">
        <v>489</v>
      </c>
      <c r="D325" s="128"/>
      <c r="E325" s="115"/>
      <c r="F325" s="158"/>
      <c r="G325" s="158"/>
      <c r="H325" s="158"/>
      <c r="I325" s="158"/>
      <c r="J325" s="158"/>
      <c r="K325" s="218"/>
      <c r="L325" s="223"/>
      <c r="M325" s="4"/>
      <c r="N325" s="115"/>
      <c r="O325" s="115"/>
      <c r="P325" s="115"/>
      <c r="Q325" s="115"/>
      <c r="R325" s="33">
        <f>SUM(R7:R323)</f>
        <v>9144317169</v>
      </c>
      <c r="S325" s="33">
        <f>SUM(S7:S323)</f>
        <v>0</v>
      </c>
      <c r="T325" s="33">
        <f>SUM(T7:T323)</f>
        <v>4199604580</v>
      </c>
      <c r="U325" s="33">
        <f>SUM(U7:U323)</f>
        <v>2904758962</v>
      </c>
      <c r="V325" s="86"/>
      <c r="W325" s="86"/>
      <c r="X325" s="86"/>
      <c r="Y325" s="86"/>
      <c r="Z325" s="76"/>
    </row>
    <row r="326" spans="1:27" ht="48.95" customHeight="1" x14ac:dyDescent="0.25">
      <c r="A326" s="187"/>
      <c r="B326" s="189"/>
      <c r="C326" s="189"/>
      <c r="D326" s="187"/>
      <c r="E326" s="188"/>
      <c r="F326" s="188"/>
      <c r="G326" s="188"/>
      <c r="H326" s="212"/>
      <c r="I326" s="188"/>
      <c r="J326" s="188"/>
      <c r="K326" s="219"/>
      <c r="L326" s="227"/>
      <c r="M326" s="188"/>
      <c r="N326" s="188"/>
      <c r="O326" s="188"/>
      <c r="P326" s="188"/>
      <c r="Q326" s="188"/>
      <c r="R326" s="188"/>
      <c r="S326" s="188"/>
      <c r="T326" s="188"/>
      <c r="U326" s="189"/>
      <c r="V326" s="189"/>
      <c r="W326" s="189"/>
      <c r="X326" s="189"/>
      <c r="Y326" s="189"/>
      <c r="Z326" s="189"/>
    </row>
    <row r="328" spans="1:27" ht="48.95" customHeight="1" x14ac:dyDescent="0.25">
      <c r="A328" s="300" t="s">
        <v>964</v>
      </c>
      <c r="B328" s="300"/>
      <c r="C328" s="300"/>
      <c r="D328" s="300"/>
      <c r="E328" s="300"/>
      <c r="F328" s="300"/>
      <c r="G328" s="300"/>
      <c r="H328" s="300"/>
      <c r="I328" s="300"/>
      <c r="J328" s="300"/>
      <c r="K328" s="300"/>
      <c r="L328" s="300"/>
      <c r="M328" s="300"/>
      <c r="N328" s="300"/>
      <c r="O328" s="300"/>
      <c r="P328" s="300"/>
      <c r="Q328" s="300"/>
      <c r="R328" s="300"/>
      <c r="S328" s="300"/>
      <c r="T328" s="300"/>
      <c r="U328" s="300"/>
      <c r="V328" s="189"/>
      <c r="W328" s="189"/>
      <c r="X328" s="189"/>
      <c r="Y328" s="189"/>
      <c r="Z328" s="188"/>
    </row>
    <row r="329" spans="1:27" ht="48.95" customHeight="1" x14ac:dyDescent="0.25">
      <c r="A329" s="309" t="str">
        <f>DTOAN!A2</f>
        <v>CÔNG TRÌNH: ĐÊ BAO VEN SÔNG SÀI GÒN ĐOẠN TỪ RẠCH NÀNG ÂM ĐẾN RẠCH LÁNG THE</v>
      </c>
      <c r="B329" s="309"/>
      <c r="C329" s="309"/>
      <c r="D329" s="309"/>
      <c r="E329" s="309"/>
      <c r="F329" s="309"/>
      <c r="G329" s="309"/>
      <c r="H329" s="309"/>
      <c r="I329" s="309"/>
      <c r="J329" s="309"/>
      <c r="K329" s="309"/>
      <c r="L329" s="309"/>
      <c r="M329" s="309"/>
      <c r="N329" s="309"/>
      <c r="O329" s="309"/>
      <c r="P329" s="309"/>
      <c r="Q329" s="309"/>
      <c r="R329" s="309"/>
      <c r="S329" s="309"/>
      <c r="T329" s="309"/>
      <c r="U329" s="309"/>
      <c r="V329" s="189"/>
      <c r="W329" s="189"/>
      <c r="X329" s="189"/>
      <c r="Y329" s="189"/>
      <c r="Z329" s="188"/>
    </row>
    <row r="330" spans="1:27" ht="48.95" customHeight="1" x14ac:dyDescent="0.25">
      <c r="A330" s="302" t="s">
        <v>594</v>
      </c>
      <c r="B330" s="302"/>
      <c r="C330" s="302"/>
      <c r="D330" s="302"/>
      <c r="E330" s="302"/>
      <c r="F330" s="302"/>
      <c r="G330" s="302"/>
      <c r="H330" s="302"/>
      <c r="I330" s="302"/>
      <c r="J330" s="302"/>
      <c r="K330" s="302"/>
      <c r="L330" s="302"/>
      <c r="M330" s="302"/>
      <c r="N330" s="302"/>
      <c r="O330" s="302"/>
      <c r="P330" s="302"/>
      <c r="Q330" s="302"/>
      <c r="R330" s="302"/>
      <c r="S330" s="302"/>
      <c r="T330" s="302"/>
      <c r="U330" s="302"/>
      <c r="V330" s="189"/>
      <c r="W330" s="189"/>
      <c r="X330" s="189"/>
      <c r="Y330" s="189"/>
      <c r="Z330" s="188"/>
    </row>
    <row r="331" spans="1:27" ht="48.95" customHeight="1" x14ac:dyDescent="0.25">
      <c r="A331" s="303" t="s">
        <v>761</v>
      </c>
      <c r="B331" s="303" t="s">
        <v>15</v>
      </c>
      <c r="C331" s="304" t="s">
        <v>819</v>
      </c>
      <c r="D331" s="304" t="s">
        <v>971</v>
      </c>
      <c r="E331" s="305" t="s">
        <v>868</v>
      </c>
      <c r="F331" s="306" t="s">
        <v>988</v>
      </c>
      <c r="G331" s="306"/>
      <c r="H331" s="306"/>
      <c r="I331" s="306"/>
      <c r="J331" s="306" t="s">
        <v>172</v>
      </c>
      <c r="K331" s="220"/>
      <c r="L331" s="326" t="s">
        <v>1109</v>
      </c>
      <c r="M331" s="307" t="s">
        <v>1192</v>
      </c>
      <c r="N331" s="305" t="s">
        <v>86</v>
      </c>
      <c r="O331" s="305"/>
      <c r="P331" s="305"/>
      <c r="Q331" s="305"/>
      <c r="R331" s="305" t="s">
        <v>563</v>
      </c>
      <c r="S331" s="305"/>
      <c r="T331" s="305"/>
      <c r="U331" s="305"/>
      <c r="V331" s="304" t="s">
        <v>991</v>
      </c>
      <c r="W331" s="304"/>
      <c r="X331" s="304"/>
      <c r="Y331" s="308" t="s">
        <v>86</v>
      </c>
      <c r="Z331" s="308" t="s">
        <v>171</v>
      </c>
    </row>
    <row r="332" spans="1:27" ht="48.95" customHeight="1" x14ac:dyDescent="0.25">
      <c r="A332" s="303"/>
      <c r="B332" s="303"/>
      <c r="C332" s="304"/>
      <c r="D332" s="304"/>
      <c r="E332" s="305"/>
      <c r="F332" s="184" t="s">
        <v>974</v>
      </c>
      <c r="G332" s="184" t="s">
        <v>352</v>
      </c>
      <c r="H332" s="211" t="s">
        <v>184</v>
      </c>
      <c r="I332" s="184" t="s">
        <v>184</v>
      </c>
      <c r="J332" s="306"/>
      <c r="K332" s="220"/>
      <c r="L332" s="326"/>
      <c r="M332" s="307"/>
      <c r="N332" s="185" t="s">
        <v>479</v>
      </c>
      <c r="O332" s="185" t="s">
        <v>53</v>
      </c>
      <c r="P332" s="185" t="s">
        <v>202</v>
      </c>
      <c r="Q332" s="185" t="s">
        <v>378</v>
      </c>
      <c r="R332" s="185" t="s">
        <v>479</v>
      </c>
      <c r="S332" s="185" t="s">
        <v>53</v>
      </c>
      <c r="T332" s="185" t="s">
        <v>202</v>
      </c>
      <c r="U332" s="185" t="s">
        <v>378</v>
      </c>
      <c r="V332" s="186" t="s">
        <v>1114</v>
      </c>
      <c r="W332" s="186" t="s">
        <v>830</v>
      </c>
      <c r="X332" s="186" t="s">
        <v>609</v>
      </c>
      <c r="Y332" s="308"/>
      <c r="Z332" s="308"/>
    </row>
    <row r="333" spans="1:27" ht="48.95" customHeight="1" x14ac:dyDescent="0.25">
      <c r="A333" s="6">
        <v>1</v>
      </c>
      <c r="B333" s="21" t="s">
        <v>286</v>
      </c>
      <c r="C333" s="31" t="s">
        <v>520</v>
      </c>
      <c r="D333" s="65" t="s">
        <v>1172</v>
      </c>
      <c r="E333" s="28"/>
      <c r="F333" s="72"/>
      <c r="G333" s="72"/>
      <c r="H333" s="72"/>
      <c r="I333" s="72"/>
      <c r="J333" s="72"/>
      <c r="K333" s="221"/>
      <c r="L333" s="224"/>
      <c r="M333" s="110">
        <f>ROUND(667.8/1000,4)</f>
        <v>0.66779999999999995</v>
      </c>
      <c r="N333" s="18">
        <v>16318605</v>
      </c>
      <c r="O333" s="18"/>
      <c r="P333" s="18">
        <v>6570684</v>
      </c>
      <c r="Q333" s="18">
        <v>1989622</v>
      </c>
      <c r="R333" s="54">
        <f t="shared" ref="R333:R339" si="90">ROUND(M333*N333,0)</f>
        <v>10897564</v>
      </c>
      <c r="S333" s="54">
        <f t="shared" ref="S333:S339" si="91">ROUND(M333*O333,0)</f>
        <v>0</v>
      </c>
      <c r="T333" s="54">
        <f t="shared" ref="T333:T339" si="92">ROUND(M333*P333,0)</f>
        <v>4387903</v>
      </c>
      <c r="U333" s="54">
        <f t="shared" ref="U333:U339" si="93">ROUND(M333*Q333,0)</f>
        <v>1328670</v>
      </c>
      <c r="V333" s="94"/>
      <c r="W333" s="94"/>
      <c r="X333" s="94"/>
      <c r="Y333" s="81" t="s">
        <v>82</v>
      </c>
      <c r="Z333" s="81" t="s">
        <v>321</v>
      </c>
    </row>
    <row r="334" spans="1:27" ht="48.95" customHeight="1" x14ac:dyDescent="0.25">
      <c r="A334" s="124">
        <v>2</v>
      </c>
      <c r="B334" s="138" t="s">
        <v>286</v>
      </c>
      <c r="C334" s="144" t="s">
        <v>164</v>
      </c>
      <c r="D334" s="168" t="s">
        <v>1172</v>
      </c>
      <c r="E334" s="142"/>
      <c r="F334" s="11"/>
      <c r="G334" s="11"/>
      <c r="H334" s="11"/>
      <c r="I334" s="11"/>
      <c r="J334" s="11"/>
      <c r="K334" s="214"/>
      <c r="L334" s="224"/>
      <c r="M334" s="45">
        <f>ROUND(912.84/1000,4)</f>
        <v>0.91279999999999994</v>
      </c>
      <c r="N334" s="136">
        <v>64735990</v>
      </c>
      <c r="O334" s="136"/>
      <c r="P334" s="136">
        <v>6570684</v>
      </c>
      <c r="Q334" s="136">
        <v>1989622</v>
      </c>
      <c r="R334" s="166">
        <f t="shared" si="90"/>
        <v>59091012</v>
      </c>
      <c r="S334" s="166">
        <f t="shared" si="91"/>
        <v>0</v>
      </c>
      <c r="T334" s="166">
        <f t="shared" si="92"/>
        <v>5997720</v>
      </c>
      <c r="U334" s="166">
        <f t="shared" si="93"/>
        <v>1816127</v>
      </c>
      <c r="V334" s="34"/>
      <c r="W334" s="34"/>
      <c r="X334" s="34"/>
      <c r="Y334" s="17" t="s">
        <v>82</v>
      </c>
      <c r="Z334" s="17" t="s">
        <v>321</v>
      </c>
    </row>
    <row r="335" spans="1:27" ht="48.95" customHeight="1" x14ac:dyDescent="0.25">
      <c r="A335" s="124">
        <v>3</v>
      </c>
      <c r="B335" s="138" t="s">
        <v>286</v>
      </c>
      <c r="C335" s="144" t="s">
        <v>507</v>
      </c>
      <c r="D335" s="168" t="s">
        <v>1172</v>
      </c>
      <c r="E335" s="142"/>
      <c r="F335" s="11"/>
      <c r="G335" s="11"/>
      <c r="H335" s="11"/>
      <c r="I335" s="11"/>
      <c r="J335" s="11"/>
      <c r="K335" s="214"/>
      <c r="L335" s="224"/>
      <c r="M335" s="45">
        <f>ROUND(675.23/1000,4)</f>
        <v>0.67520000000000002</v>
      </c>
      <c r="N335" s="136">
        <v>16318605</v>
      </c>
      <c r="O335" s="136"/>
      <c r="P335" s="136">
        <v>6570684</v>
      </c>
      <c r="Q335" s="136">
        <v>1989622</v>
      </c>
      <c r="R335" s="166">
        <f t="shared" si="90"/>
        <v>11018322</v>
      </c>
      <c r="S335" s="166">
        <f t="shared" si="91"/>
        <v>0</v>
      </c>
      <c r="T335" s="166">
        <f t="shared" si="92"/>
        <v>4436526</v>
      </c>
      <c r="U335" s="166">
        <f t="shared" si="93"/>
        <v>1343393</v>
      </c>
      <c r="V335" s="34"/>
      <c r="W335" s="34"/>
      <c r="X335" s="34"/>
      <c r="Y335" s="17" t="s">
        <v>82</v>
      </c>
      <c r="Z335" s="17" t="s">
        <v>321</v>
      </c>
    </row>
    <row r="336" spans="1:27" ht="48.95" customHeight="1" x14ac:dyDescent="0.25">
      <c r="A336" s="124">
        <v>4</v>
      </c>
      <c r="B336" s="138" t="s">
        <v>286</v>
      </c>
      <c r="C336" s="144" t="s">
        <v>338</v>
      </c>
      <c r="D336" s="168" t="s">
        <v>1172</v>
      </c>
      <c r="E336" s="142"/>
      <c r="F336" s="11"/>
      <c r="G336" s="11"/>
      <c r="H336" s="11"/>
      <c r="I336" s="11"/>
      <c r="J336" s="11"/>
      <c r="K336" s="214"/>
      <c r="L336" s="224"/>
      <c r="M336" s="45">
        <f>ROUND(1078.04/1000,4)</f>
        <v>1.0780000000000001</v>
      </c>
      <c r="N336" s="136">
        <v>64735990</v>
      </c>
      <c r="O336" s="136"/>
      <c r="P336" s="136">
        <v>6570684</v>
      </c>
      <c r="Q336" s="136">
        <v>1989622</v>
      </c>
      <c r="R336" s="166">
        <f t="shared" si="90"/>
        <v>69785397</v>
      </c>
      <c r="S336" s="166">
        <f t="shared" si="91"/>
        <v>0</v>
      </c>
      <c r="T336" s="166">
        <f t="shared" si="92"/>
        <v>7083197</v>
      </c>
      <c r="U336" s="166">
        <f t="shared" si="93"/>
        <v>2144813</v>
      </c>
      <c r="V336" s="34"/>
      <c r="W336" s="34"/>
      <c r="X336" s="34"/>
      <c r="Y336" s="17" t="s">
        <v>82</v>
      </c>
      <c r="Z336" s="17" t="s">
        <v>321</v>
      </c>
    </row>
    <row r="337" spans="1:26" ht="48.95" customHeight="1" x14ac:dyDescent="0.25">
      <c r="A337" s="124">
        <v>5</v>
      </c>
      <c r="B337" s="52" t="s">
        <v>960</v>
      </c>
      <c r="C337" s="144" t="s">
        <v>935</v>
      </c>
      <c r="D337" s="168" t="s">
        <v>877</v>
      </c>
      <c r="E337" s="142"/>
      <c r="F337" s="11"/>
      <c r="G337" s="11"/>
      <c r="H337" s="11"/>
      <c r="I337" s="11"/>
      <c r="J337" s="11"/>
      <c r="K337" s="214"/>
      <c r="L337" s="224"/>
      <c r="M337" s="45">
        <v>17.221</v>
      </c>
      <c r="N337" s="136">
        <v>67795205</v>
      </c>
      <c r="O337" s="136"/>
      <c r="P337" s="136">
        <v>22865479</v>
      </c>
      <c r="Q337" s="136">
        <v>9165969</v>
      </c>
      <c r="R337" s="166">
        <f t="shared" si="90"/>
        <v>1167501225</v>
      </c>
      <c r="S337" s="166">
        <f t="shared" si="91"/>
        <v>0</v>
      </c>
      <c r="T337" s="166">
        <f t="shared" si="92"/>
        <v>393766414</v>
      </c>
      <c r="U337" s="166">
        <f t="shared" si="93"/>
        <v>157847152</v>
      </c>
      <c r="V337" s="34"/>
      <c r="W337" s="34"/>
      <c r="X337" s="34"/>
      <c r="Y337" s="17" t="s">
        <v>458</v>
      </c>
      <c r="Z337" s="17" t="s">
        <v>1028</v>
      </c>
    </row>
    <row r="338" spans="1:26" ht="48.95" customHeight="1" x14ac:dyDescent="0.25">
      <c r="A338" s="124">
        <v>6</v>
      </c>
      <c r="B338" s="52" t="s">
        <v>977</v>
      </c>
      <c r="C338" s="144" t="s">
        <v>230</v>
      </c>
      <c r="D338" s="168" t="s">
        <v>490</v>
      </c>
      <c r="E338" s="142"/>
      <c r="F338" s="11"/>
      <c r="G338" s="11"/>
      <c r="H338" s="11"/>
      <c r="I338" s="11"/>
      <c r="J338" s="11"/>
      <c r="K338" s="214"/>
      <c r="L338" s="224"/>
      <c r="M338" s="45">
        <f>ROUND(M337,4)</f>
        <v>17.221</v>
      </c>
      <c r="N338" s="136">
        <v>620062</v>
      </c>
      <c r="O338" s="136"/>
      <c r="P338" s="136">
        <v>4025329</v>
      </c>
      <c r="Q338" s="136">
        <v>2566395</v>
      </c>
      <c r="R338" s="166">
        <f t="shared" si="90"/>
        <v>10678088</v>
      </c>
      <c r="S338" s="166">
        <f t="shared" si="91"/>
        <v>0</v>
      </c>
      <c r="T338" s="166">
        <f t="shared" si="92"/>
        <v>69320191</v>
      </c>
      <c r="U338" s="166">
        <f t="shared" si="93"/>
        <v>44195888</v>
      </c>
      <c r="V338" s="34"/>
      <c r="W338" s="34"/>
      <c r="X338" s="34"/>
      <c r="Y338" s="17" t="s">
        <v>458</v>
      </c>
      <c r="Z338" s="17" t="s">
        <v>1028</v>
      </c>
    </row>
    <row r="339" spans="1:26" ht="48.95" customHeight="1" x14ac:dyDescent="0.25">
      <c r="A339" s="124">
        <v>7</v>
      </c>
      <c r="B339" s="138" t="s">
        <v>602</v>
      </c>
      <c r="C339" s="144" t="s">
        <v>122</v>
      </c>
      <c r="D339" s="168" t="s">
        <v>1172</v>
      </c>
      <c r="E339" s="142"/>
      <c r="F339" s="11"/>
      <c r="G339" s="11"/>
      <c r="H339" s="11"/>
      <c r="I339" s="11"/>
      <c r="J339" s="11"/>
      <c r="K339" s="214"/>
      <c r="L339" s="224"/>
      <c r="M339" s="45">
        <f>ROUND(M333+M334+M335+M336,4)</f>
        <v>3.3338000000000001</v>
      </c>
      <c r="N339" s="136">
        <v>773302</v>
      </c>
      <c r="O339" s="136"/>
      <c r="P339" s="136">
        <v>4397208</v>
      </c>
      <c r="Q339" s="136">
        <v>2175493</v>
      </c>
      <c r="R339" s="166">
        <f t="shared" si="90"/>
        <v>2578034</v>
      </c>
      <c r="S339" s="166">
        <f t="shared" si="91"/>
        <v>0</v>
      </c>
      <c r="T339" s="166">
        <f t="shared" si="92"/>
        <v>14659412</v>
      </c>
      <c r="U339" s="166">
        <f t="shared" si="93"/>
        <v>7252659</v>
      </c>
      <c r="V339" s="34"/>
      <c r="W339" s="34"/>
      <c r="X339" s="34"/>
      <c r="Y339" s="17" t="s">
        <v>82</v>
      </c>
      <c r="Z339" s="17" t="s">
        <v>321</v>
      </c>
    </row>
    <row r="340" spans="1:26" ht="48.95" customHeight="1" x14ac:dyDescent="0.25">
      <c r="A340" s="57"/>
      <c r="B340" s="24"/>
      <c r="C340" s="24"/>
      <c r="D340" s="57"/>
      <c r="E340" s="51"/>
      <c r="F340" s="93"/>
      <c r="G340" s="93"/>
      <c r="H340" s="93"/>
      <c r="I340" s="93"/>
      <c r="J340" s="93"/>
      <c r="K340" s="217"/>
      <c r="L340" s="223"/>
      <c r="M340" s="121"/>
      <c r="N340" s="51"/>
      <c r="O340" s="51"/>
      <c r="P340" s="51"/>
      <c r="Q340" s="51"/>
      <c r="R340" s="51"/>
      <c r="S340" s="51"/>
      <c r="T340" s="51"/>
      <c r="U340" s="51"/>
      <c r="V340" s="89"/>
      <c r="W340" s="89"/>
      <c r="X340" s="89"/>
      <c r="Y340" s="78"/>
      <c r="Z340" s="78"/>
    </row>
    <row r="341" spans="1:26" ht="48.95" customHeight="1" x14ac:dyDescent="0.25">
      <c r="A341" s="128"/>
      <c r="B341" s="132" t="s">
        <v>855</v>
      </c>
      <c r="C341" s="190" t="s">
        <v>489</v>
      </c>
      <c r="D341" s="128"/>
      <c r="E341" s="115"/>
      <c r="F341" s="158"/>
      <c r="G341" s="158"/>
      <c r="H341" s="158"/>
      <c r="I341" s="158"/>
      <c r="J341" s="158"/>
      <c r="K341" s="218"/>
      <c r="L341" s="223"/>
      <c r="M341" s="4"/>
      <c r="N341" s="115"/>
      <c r="O341" s="115"/>
      <c r="P341" s="115"/>
      <c r="Q341" s="115"/>
      <c r="R341" s="33">
        <f>SUM(R333:R339)</f>
        <v>1331549642</v>
      </c>
      <c r="S341" s="33">
        <f>SUM(S333:S339)</f>
        <v>0</v>
      </c>
      <c r="T341" s="33">
        <f>SUM(T333:T339)</f>
        <v>499651363</v>
      </c>
      <c r="U341" s="33">
        <f>SUM(U333:U339)</f>
        <v>215928702</v>
      </c>
      <c r="V341" s="86"/>
      <c r="W341" s="86"/>
      <c r="X341" s="86"/>
      <c r="Y341" s="86"/>
      <c r="Z341" s="76"/>
    </row>
    <row r="342" spans="1:26" ht="48.95" customHeight="1" x14ac:dyDescent="0.25">
      <c r="A342" s="187"/>
      <c r="B342" s="189"/>
      <c r="C342" s="189"/>
      <c r="D342" s="187"/>
      <c r="E342" s="188"/>
      <c r="F342" s="188"/>
      <c r="G342" s="188"/>
      <c r="H342" s="212"/>
      <c r="I342" s="188"/>
      <c r="J342" s="188"/>
      <c r="K342" s="219"/>
      <c r="L342" s="227"/>
      <c r="M342" s="188"/>
      <c r="N342" s="188"/>
      <c r="O342" s="188"/>
      <c r="P342" s="188"/>
      <c r="Q342" s="188"/>
      <c r="R342" s="188"/>
      <c r="S342" s="188"/>
      <c r="T342" s="188"/>
      <c r="U342" s="189"/>
      <c r="V342" s="189"/>
      <c r="W342" s="189"/>
      <c r="X342" s="189"/>
      <c r="Y342" s="189"/>
      <c r="Z342" s="189"/>
    </row>
  </sheetData>
  <mergeCells count="35">
    <mergeCell ref="Y331:Y332"/>
    <mergeCell ref="Z331:Z332"/>
    <mergeCell ref="J331:J332"/>
    <mergeCell ref="L331:L332"/>
    <mergeCell ref="M331:M332"/>
    <mergeCell ref="N331:Q331"/>
    <mergeCell ref="R331:U331"/>
    <mergeCell ref="V331:X331"/>
    <mergeCell ref="Z4:Z5"/>
    <mergeCell ref="A328:U328"/>
    <mergeCell ref="A329:U329"/>
    <mergeCell ref="A330:U330"/>
    <mergeCell ref="A331:A332"/>
    <mergeCell ref="B331:B332"/>
    <mergeCell ref="C331:C332"/>
    <mergeCell ref="D331:D332"/>
    <mergeCell ref="E331:E332"/>
    <mergeCell ref="F331:I331"/>
    <mergeCell ref="L4:L5"/>
    <mergeCell ref="M4:M5"/>
    <mergeCell ref="N4:Q4"/>
    <mergeCell ref="R4:U4"/>
    <mergeCell ref="V4:X4"/>
    <mergeCell ref="Y4:Y5"/>
    <mergeCell ref="A1:U1"/>
    <mergeCell ref="A2:U2"/>
    <mergeCell ref="A3:U3"/>
    <mergeCell ref="A4:A5"/>
    <mergeCell ref="B4:B5"/>
    <mergeCell ref="C4:C5"/>
    <mergeCell ref="D4:D5"/>
    <mergeCell ref="E4:E5"/>
    <mergeCell ref="F4:I4"/>
    <mergeCell ref="J4:J5"/>
    <mergeCell ref="K4:K5"/>
  </mergeCells>
  <pageMargins left="0.34" right="0.25" top="0.75" bottom="0.49" header="0.3" footer="0.3"/>
  <pageSetup paperSize="9" scale="90" orientation="landscape" r:id="rId1"/>
  <headerFooter alignWithMargins="0"/>
  <rowBreaks count="1" manualBreakCount="1">
    <brk id="327"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R30"/>
  <sheetViews>
    <sheetView showZeros="0" workbookViewId="0">
      <selection sqref="A1:I1"/>
    </sheetView>
  </sheetViews>
  <sheetFormatPr defaultColWidth="9.140625" defaultRowHeight="15" x14ac:dyDescent="0.25"/>
  <cols>
    <col min="1" max="1" width="6.28515625" style="143" customWidth="1"/>
    <col min="2" max="2" width="31.28515625" style="143" customWidth="1"/>
    <col min="3" max="3" width="21.28515625" style="143" customWidth="1"/>
    <col min="4" max="8" width="14.42578125" style="143" customWidth="1"/>
    <col min="9" max="18" width="14.42578125" style="143" hidden="1" customWidth="1"/>
    <col min="19" max="16384" width="9.140625" style="143"/>
  </cols>
  <sheetData>
    <row r="1" spans="1:18" ht="22.5" customHeight="1" x14ac:dyDescent="0.25">
      <c r="A1" s="310" t="s">
        <v>162</v>
      </c>
      <c r="B1" s="310"/>
      <c r="C1" s="310"/>
      <c r="D1" s="310"/>
      <c r="E1" s="310"/>
      <c r="F1" s="310"/>
      <c r="G1" s="310"/>
      <c r="H1" s="310"/>
      <c r="I1" s="310"/>
      <c r="J1" s="36"/>
      <c r="K1" s="36"/>
      <c r="L1" s="36"/>
      <c r="M1" s="36"/>
      <c r="N1" s="36"/>
      <c r="O1" s="36"/>
      <c r="P1" s="36"/>
      <c r="Q1" s="36"/>
      <c r="R1" s="36"/>
    </row>
    <row r="2" spans="1:18" ht="19.5" customHeight="1" x14ac:dyDescent="0.25">
      <c r="A2" s="309" t="str">
        <f>'Công trình'!A2</f>
        <v>CÔNG TRÌNH: ĐÊ BAO VEN SÔNG SÀI GÒN ĐOẠN TỪ RẠCH NÀNG ÂM ĐẾN RẠCH LÁNG THE</v>
      </c>
      <c r="B2" s="309"/>
      <c r="C2" s="309"/>
      <c r="D2" s="309"/>
      <c r="E2" s="309"/>
      <c r="F2" s="309"/>
      <c r="G2" s="309"/>
      <c r="H2" s="309"/>
      <c r="I2" s="309"/>
      <c r="J2" s="36"/>
      <c r="K2" s="36"/>
      <c r="L2" s="36"/>
      <c r="M2" s="36"/>
      <c r="N2" s="36"/>
      <c r="O2" s="36"/>
      <c r="P2" s="36"/>
      <c r="Q2" s="36"/>
      <c r="R2" s="36"/>
    </row>
    <row r="3" spans="1:18" ht="18" customHeight="1" x14ac:dyDescent="0.25">
      <c r="A3" s="2"/>
      <c r="B3" s="146"/>
      <c r="C3" s="146"/>
      <c r="D3" s="36"/>
      <c r="E3" s="36"/>
      <c r="F3" s="36"/>
      <c r="G3" s="36"/>
      <c r="H3" s="36"/>
      <c r="I3" s="36"/>
      <c r="J3" s="36"/>
      <c r="K3" s="36"/>
      <c r="L3" s="36"/>
      <c r="M3" s="36"/>
      <c r="N3" s="36"/>
      <c r="O3" s="36"/>
      <c r="P3" s="36"/>
      <c r="Q3" s="36"/>
      <c r="R3" s="36"/>
    </row>
    <row r="4" spans="1:18" ht="36" customHeight="1" x14ac:dyDescent="0.25">
      <c r="A4" s="327" t="s">
        <v>982</v>
      </c>
      <c r="B4" s="327"/>
      <c r="C4" s="327"/>
      <c r="D4" s="327"/>
      <c r="E4" s="327"/>
      <c r="F4" s="327"/>
      <c r="G4" s="327"/>
      <c r="H4" s="327"/>
      <c r="I4" s="146"/>
      <c r="J4" s="146"/>
      <c r="K4" s="146"/>
      <c r="L4" s="146"/>
      <c r="M4" s="146"/>
      <c r="N4" s="146"/>
      <c r="O4" s="146"/>
      <c r="P4" s="146"/>
      <c r="Q4" s="146"/>
      <c r="R4" s="146"/>
    </row>
    <row r="5" spans="1:18" ht="33" customHeight="1" x14ac:dyDescent="0.25">
      <c r="A5" s="327" t="s">
        <v>864</v>
      </c>
      <c r="B5" s="327"/>
      <c r="C5" s="327"/>
      <c r="D5" s="327"/>
      <c r="E5" s="327"/>
      <c r="F5" s="327"/>
      <c r="G5" s="327"/>
      <c r="H5" s="327"/>
      <c r="I5" s="36"/>
      <c r="J5" s="36"/>
      <c r="K5" s="36"/>
      <c r="L5" s="36"/>
      <c r="M5" s="36"/>
      <c r="N5" s="36"/>
      <c r="O5" s="36"/>
      <c r="P5" s="36"/>
      <c r="Q5" s="36"/>
      <c r="R5" s="36"/>
    </row>
    <row r="6" spans="1:18" ht="33.75" customHeight="1" x14ac:dyDescent="0.25">
      <c r="A6" s="327" t="s">
        <v>423</v>
      </c>
      <c r="B6" s="327"/>
      <c r="C6" s="327"/>
      <c r="D6" s="327"/>
      <c r="E6" s="327"/>
      <c r="F6" s="327"/>
      <c r="G6" s="327"/>
      <c r="H6" s="327"/>
      <c r="I6" s="36"/>
      <c r="J6" s="36"/>
      <c r="K6" s="36"/>
      <c r="L6" s="36"/>
      <c r="M6" s="36"/>
      <c r="N6" s="36"/>
      <c r="O6" s="36"/>
      <c r="P6" s="36"/>
      <c r="Q6" s="36"/>
      <c r="R6" s="36"/>
    </row>
    <row r="7" spans="1:18" ht="33" customHeight="1" x14ac:dyDescent="0.25">
      <c r="A7" s="327" t="s">
        <v>302</v>
      </c>
      <c r="B7" s="327"/>
      <c r="C7" s="327"/>
      <c r="D7" s="327"/>
      <c r="E7" s="327"/>
      <c r="F7" s="327"/>
      <c r="G7" s="327"/>
      <c r="H7" s="327"/>
      <c r="I7" s="36"/>
      <c r="J7" s="36"/>
      <c r="K7" s="36"/>
      <c r="L7" s="36"/>
      <c r="M7" s="36"/>
      <c r="N7" s="36"/>
      <c r="O7" s="36"/>
      <c r="P7" s="36"/>
      <c r="Q7" s="36"/>
      <c r="R7" s="36"/>
    </row>
    <row r="8" spans="1:18" ht="33.75" customHeight="1" x14ac:dyDescent="0.25">
      <c r="A8" s="327" t="s">
        <v>317</v>
      </c>
      <c r="B8" s="327"/>
      <c r="C8" s="327"/>
      <c r="D8" s="327"/>
      <c r="E8" s="327"/>
      <c r="F8" s="327"/>
      <c r="G8" s="327"/>
      <c r="H8" s="327"/>
      <c r="I8" s="36"/>
      <c r="J8" s="36"/>
      <c r="K8" s="36"/>
      <c r="L8" s="36"/>
      <c r="M8" s="36"/>
      <c r="N8" s="36"/>
      <c r="O8" s="36"/>
      <c r="P8" s="36"/>
      <c r="Q8" s="36"/>
      <c r="R8" s="36"/>
    </row>
    <row r="9" spans="1:18" ht="18" customHeight="1" x14ac:dyDescent="0.25">
      <c r="A9" s="327" t="s">
        <v>372</v>
      </c>
      <c r="B9" s="327"/>
      <c r="C9" s="327"/>
      <c r="D9" s="327"/>
      <c r="E9" s="327"/>
      <c r="F9" s="327"/>
      <c r="G9" s="327"/>
      <c r="H9" s="327"/>
      <c r="I9" s="36"/>
      <c r="J9" s="36"/>
      <c r="K9" s="36"/>
      <c r="L9" s="36"/>
      <c r="M9" s="36"/>
      <c r="N9" s="36"/>
      <c r="O9" s="36"/>
      <c r="P9" s="36"/>
      <c r="Q9" s="36"/>
      <c r="R9" s="36"/>
    </row>
    <row r="10" spans="1:18" ht="16.5" customHeight="1" x14ac:dyDescent="0.25">
      <c r="A10" s="2"/>
      <c r="B10" s="146"/>
      <c r="C10" s="146"/>
      <c r="D10" s="36"/>
      <c r="E10" s="36"/>
      <c r="F10" s="36"/>
      <c r="G10" s="36"/>
      <c r="H10" s="36"/>
      <c r="I10" s="36"/>
      <c r="J10" s="36"/>
      <c r="K10" s="36"/>
      <c r="L10" s="36"/>
      <c r="M10" s="36"/>
      <c r="N10" s="36"/>
      <c r="O10" s="36"/>
      <c r="P10" s="36"/>
      <c r="Q10" s="36"/>
      <c r="R10" s="36"/>
    </row>
    <row r="11" spans="1:18" ht="18.75" customHeight="1" x14ac:dyDescent="0.25">
      <c r="A11" s="2"/>
      <c r="B11" s="328" t="s">
        <v>814</v>
      </c>
      <c r="C11" s="328"/>
      <c r="D11" s="329">
        <f>'Tổng mức đầu tư'!J11+'Tổng mức đầu tư'!J12+'Tổng mức đầu tư'!J16+'Tổng mức đầu tư'!J17+'Tổng mức đầu tư'!J18+'Tổng mức đầu tư'!J45</f>
        <v>26020792983</v>
      </c>
      <c r="E11" s="329"/>
      <c r="F11" s="329"/>
      <c r="G11" s="36"/>
      <c r="H11" s="36"/>
      <c r="I11" s="36"/>
      <c r="J11" s="36"/>
      <c r="K11" s="36"/>
      <c r="L11" s="36"/>
      <c r="M11" s="36"/>
      <c r="N11" s="36"/>
      <c r="O11" s="36"/>
      <c r="P11" s="36"/>
      <c r="Q11" s="36"/>
      <c r="R11" s="36"/>
    </row>
    <row r="12" spans="1:18" ht="18" customHeight="1" x14ac:dyDescent="0.25">
      <c r="A12" s="2"/>
      <c r="B12" s="328" t="s">
        <v>1041</v>
      </c>
      <c r="C12" s="328"/>
      <c r="D12" s="151">
        <v>2011</v>
      </c>
      <c r="E12" s="147" t="s">
        <v>983</v>
      </c>
      <c r="F12" s="151">
        <v>2015</v>
      </c>
      <c r="G12" s="36"/>
      <c r="H12" s="36"/>
      <c r="I12" s="36"/>
      <c r="J12" s="36"/>
      <c r="K12" s="36"/>
      <c r="L12" s="36"/>
      <c r="M12" s="36"/>
      <c r="N12" s="36"/>
      <c r="O12" s="36"/>
      <c r="P12" s="36"/>
      <c r="Q12" s="36"/>
      <c r="R12" s="36"/>
    </row>
    <row r="13" spans="1:18" ht="18" customHeight="1" x14ac:dyDescent="0.25">
      <c r="A13" s="2"/>
      <c r="B13" s="328" t="s">
        <v>197</v>
      </c>
      <c r="C13" s="328"/>
      <c r="D13" s="151">
        <v>2017</v>
      </c>
      <c r="E13" s="147" t="s">
        <v>983</v>
      </c>
      <c r="F13" s="151">
        <v>2019</v>
      </c>
      <c r="G13" s="36"/>
      <c r="H13" s="36"/>
      <c r="I13" s="36"/>
      <c r="J13" s="36"/>
      <c r="K13" s="36"/>
      <c r="L13" s="36"/>
      <c r="M13" s="36"/>
      <c r="N13" s="36"/>
      <c r="O13" s="36"/>
      <c r="P13" s="36"/>
      <c r="Q13" s="36"/>
      <c r="R13" s="36"/>
    </row>
    <row r="14" spans="1:18" ht="18" customHeight="1" x14ac:dyDescent="0.25">
      <c r="A14" s="2"/>
      <c r="B14" s="328" t="s">
        <v>39</v>
      </c>
      <c r="C14" s="328"/>
      <c r="D14" s="74">
        <v>0</v>
      </c>
      <c r="E14" s="74"/>
      <c r="F14" s="74"/>
      <c r="G14" s="36"/>
      <c r="H14" s="36"/>
      <c r="I14" s="36"/>
      <c r="J14" s="36"/>
      <c r="K14" s="36"/>
      <c r="L14" s="36"/>
      <c r="M14" s="36"/>
      <c r="N14" s="36"/>
      <c r="O14" s="36"/>
      <c r="P14" s="36"/>
      <c r="Q14" s="36"/>
      <c r="R14" s="36"/>
    </row>
    <row r="15" spans="1:18" ht="16.5" customHeight="1" x14ac:dyDescent="0.25">
      <c r="A15" s="2"/>
      <c r="B15" s="146"/>
      <c r="C15" s="146"/>
      <c r="D15" s="36"/>
      <c r="E15" s="36"/>
      <c r="F15" s="36"/>
      <c r="G15" s="36"/>
      <c r="H15" s="36"/>
      <c r="I15" s="36"/>
      <c r="J15" s="36"/>
      <c r="K15" s="36"/>
      <c r="L15" s="36"/>
      <c r="M15" s="36"/>
      <c r="N15" s="36"/>
      <c r="O15" s="36"/>
      <c r="P15" s="36"/>
      <c r="Q15" s="36"/>
      <c r="R15" s="36"/>
    </row>
    <row r="16" spans="1:18" ht="18.75" customHeight="1" x14ac:dyDescent="0.25">
      <c r="A16" s="304" t="s">
        <v>761</v>
      </c>
      <c r="B16" s="304" t="s">
        <v>967</v>
      </c>
      <c r="C16" s="304" t="s">
        <v>266</v>
      </c>
      <c r="D16" s="304" t="s">
        <v>1041</v>
      </c>
      <c r="E16" s="304"/>
      <c r="F16" s="304"/>
      <c r="G16" s="304"/>
      <c r="H16" s="304"/>
      <c r="I16" s="36"/>
      <c r="J16" s="36"/>
      <c r="K16" s="36"/>
      <c r="L16" s="36"/>
      <c r="M16" s="36"/>
      <c r="N16" s="36"/>
      <c r="O16" s="36"/>
      <c r="P16" s="36"/>
      <c r="Q16" s="36"/>
      <c r="R16" s="36"/>
    </row>
    <row r="17" spans="1:18" ht="18" customHeight="1" x14ac:dyDescent="0.25">
      <c r="A17" s="304"/>
      <c r="B17" s="304"/>
      <c r="C17" s="304"/>
      <c r="D17" s="140">
        <v>2011</v>
      </c>
      <c r="E17" s="140">
        <v>2012</v>
      </c>
      <c r="F17" s="140">
        <v>2013</v>
      </c>
      <c r="G17" s="140">
        <v>2014</v>
      </c>
      <c r="H17" s="105">
        <v>2015</v>
      </c>
      <c r="I17" s="162"/>
      <c r="J17" s="162"/>
      <c r="K17" s="162"/>
      <c r="L17" s="162"/>
      <c r="M17" s="162"/>
      <c r="N17" s="162"/>
      <c r="O17" s="162"/>
      <c r="P17" s="162"/>
      <c r="Q17" s="162"/>
      <c r="R17" s="162"/>
    </row>
    <row r="18" spans="1:18" ht="30.75" customHeight="1" x14ac:dyDescent="0.25">
      <c r="A18" s="128">
        <v>1</v>
      </c>
      <c r="B18" s="95" t="s">
        <v>627</v>
      </c>
      <c r="C18" s="86" t="s">
        <v>546</v>
      </c>
      <c r="D18" s="53">
        <v>100</v>
      </c>
      <c r="E18" s="53">
        <v>113.53</v>
      </c>
      <c r="F18" s="53">
        <v>112.95</v>
      </c>
      <c r="G18" s="53">
        <v>109.6</v>
      </c>
      <c r="H18" s="53">
        <v>114.53</v>
      </c>
      <c r="I18" s="36"/>
      <c r="J18" s="36"/>
      <c r="K18" s="36"/>
      <c r="L18" s="36"/>
      <c r="M18" s="36"/>
      <c r="N18" s="36"/>
      <c r="O18" s="36"/>
      <c r="P18" s="36"/>
      <c r="Q18" s="36"/>
      <c r="R18" s="36"/>
    </row>
    <row r="19" spans="1:18" ht="18" customHeight="1" x14ac:dyDescent="0.25">
      <c r="A19" s="128">
        <v>2</v>
      </c>
      <c r="B19" s="86" t="s">
        <v>547</v>
      </c>
      <c r="C19" s="86" t="s">
        <v>55</v>
      </c>
      <c r="D19" s="157">
        <f>ROUND(E18/D18,5)</f>
        <v>1.1353</v>
      </c>
      <c r="E19" s="157">
        <f>ROUND(F18/E18,5)</f>
        <v>0.99489000000000005</v>
      </c>
      <c r="F19" s="157">
        <f>ROUND(G18/F18,5)</f>
        <v>0.97033999999999998</v>
      </c>
      <c r="G19" s="157">
        <f>ROUND(H18/G18,5)</f>
        <v>1.04498</v>
      </c>
      <c r="H19" s="157"/>
      <c r="I19" s="36"/>
      <c r="J19" s="36"/>
      <c r="K19" s="36"/>
      <c r="L19" s="36"/>
      <c r="M19" s="36"/>
      <c r="N19" s="36"/>
      <c r="O19" s="36"/>
      <c r="P19" s="36"/>
      <c r="Q19" s="36"/>
      <c r="R19" s="36"/>
    </row>
    <row r="20" spans="1:18" ht="18" customHeight="1" x14ac:dyDescent="0.25">
      <c r="A20" s="128">
        <v>3</v>
      </c>
      <c r="B20" s="75" t="s">
        <v>522</v>
      </c>
      <c r="C20" s="86"/>
      <c r="D20" s="328">
        <f>ROUND(SUM(D19:G19)/4,5)</f>
        <v>1.0363800000000001</v>
      </c>
      <c r="E20" s="328"/>
      <c r="F20" s="328"/>
      <c r="G20" s="328"/>
      <c r="H20" s="328"/>
      <c r="I20" s="36"/>
      <c r="J20" s="36"/>
      <c r="K20" s="36"/>
      <c r="L20" s="36"/>
      <c r="M20" s="36"/>
      <c r="N20" s="36"/>
      <c r="O20" s="36"/>
      <c r="P20" s="36"/>
      <c r="Q20" s="36"/>
      <c r="R20" s="36"/>
    </row>
    <row r="21" spans="1:18" ht="16.5" customHeight="1" x14ac:dyDescent="0.25">
      <c r="A21" s="2"/>
      <c r="B21" s="146"/>
      <c r="C21" s="146"/>
      <c r="D21" s="36"/>
      <c r="E21" s="36"/>
      <c r="F21" s="36"/>
      <c r="G21" s="36"/>
      <c r="H21" s="36"/>
      <c r="I21" s="36"/>
      <c r="J21" s="36"/>
      <c r="K21" s="36"/>
      <c r="L21" s="36"/>
      <c r="M21" s="36"/>
      <c r="N21" s="36"/>
      <c r="O21" s="36"/>
      <c r="P21" s="36"/>
      <c r="Q21" s="36"/>
      <c r="R21" s="36"/>
    </row>
    <row r="22" spans="1:18" ht="18.75" customHeight="1" x14ac:dyDescent="0.25">
      <c r="A22" s="304" t="s">
        <v>761</v>
      </c>
      <c r="B22" s="304" t="s">
        <v>967</v>
      </c>
      <c r="C22" s="304" t="s">
        <v>266</v>
      </c>
      <c r="D22" s="304" t="s">
        <v>197</v>
      </c>
      <c r="E22" s="304"/>
      <c r="F22" s="304"/>
      <c r="G22" s="36"/>
      <c r="H22" s="36"/>
      <c r="I22" s="36"/>
      <c r="J22" s="36"/>
      <c r="K22" s="36"/>
      <c r="L22" s="36"/>
      <c r="M22" s="36"/>
      <c r="N22" s="36"/>
      <c r="O22" s="36"/>
      <c r="P22" s="36"/>
      <c r="Q22" s="36"/>
      <c r="R22" s="36"/>
    </row>
    <row r="23" spans="1:18" ht="18" customHeight="1" x14ac:dyDescent="0.25">
      <c r="A23" s="304"/>
      <c r="B23" s="304"/>
      <c r="C23" s="304"/>
      <c r="D23" s="140">
        <v>2017</v>
      </c>
      <c r="E23" s="140">
        <v>2018</v>
      </c>
      <c r="F23" s="140">
        <v>2019</v>
      </c>
      <c r="G23" s="22"/>
      <c r="H23" s="22"/>
      <c r="I23" s="162"/>
      <c r="J23" s="162"/>
      <c r="K23" s="162"/>
      <c r="L23" s="162"/>
      <c r="M23" s="162"/>
      <c r="N23" s="162"/>
      <c r="O23" s="162"/>
      <c r="P23" s="162"/>
      <c r="Q23" s="162"/>
      <c r="R23" s="162"/>
    </row>
    <row r="24" spans="1:18" ht="18" customHeight="1" x14ac:dyDescent="0.25">
      <c r="A24" s="128">
        <v>4</v>
      </c>
      <c r="B24" s="95" t="s">
        <v>897</v>
      </c>
      <c r="C24" s="86"/>
      <c r="D24" s="64">
        <v>0.1</v>
      </c>
      <c r="E24" s="64">
        <v>0.6</v>
      </c>
      <c r="F24" s="53">
        <f>100%-SUM(D24:E24)</f>
        <v>0.30000000000000004</v>
      </c>
      <c r="G24" s="36"/>
      <c r="H24" s="36"/>
      <c r="I24" s="36"/>
      <c r="J24" s="36"/>
      <c r="K24" s="36"/>
      <c r="L24" s="36"/>
      <c r="M24" s="36"/>
      <c r="N24" s="36"/>
      <c r="O24" s="36"/>
      <c r="P24" s="36"/>
      <c r="Q24" s="36"/>
      <c r="R24" s="36"/>
    </row>
    <row r="25" spans="1:18" ht="30.75" customHeight="1" x14ac:dyDescent="0.25">
      <c r="A25" s="128">
        <v>5</v>
      </c>
      <c r="B25" s="86" t="s">
        <v>84</v>
      </c>
      <c r="C25" s="86"/>
      <c r="D25" s="157">
        <f>ROUND(D11*D24,0)</f>
        <v>2602079298</v>
      </c>
      <c r="E25" s="157">
        <f>ROUND(D11*E24,0)</f>
        <v>15612475790</v>
      </c>
      <c r="F25" s="157">
        <f>D11-SUM(D25:E25)</f>
        <v>7806237895</v>
      </c>
      <c r="G25" s="36"/>
      <c r="H25" s="36"/>
      <c r="I25" s="36"/>
      <c r="J25" s="36"/>
      <c r="K25" s="36"/>
      <c r="L25" s="36"/>
      <c r="M25" s="36"/>
      <c r="N25" s="36"/>
      <c r="O25" s="36"/>
      <c r="P25" s="36"/>
      <c r="Q25" s="36"/>
      <c r="R25" s="36"/>
    </row>
    <row r="26" spans="1:18" ht="30.75" customHeight="1" x14ac:dyDescent="0.25">
      <c r="A26" s="128">
        <v>6</v>
      </c>
      <c r="B26" s="86" t="s">
        <v>416</v>
      </c>
      <c r="C26" s="86" t="s">
        <v>517</v>
      </c>
      <c r="D26" s="157">
        <f>ROUND(D20,5)</f>
        <v>1.0363800000000001</v>
      </c>
      <c r="E26" s="157">
        <f>ROUND(D26*D26,5)</f>
        <v>1.0740799999999999</v>
      </c>
      <c r="F26" s="157">
        <f>ROUND(E26*D26,5)</f>
        <v>1.1131599999999999</v>
      </c>
      <c r="G26" s="36"/>
      <c r="H26" s="36"/>
      <c r="I26" s="36"/>
      <c r="J26" s="36"/>
      <c r="K26" s="36"/>
      <c r="L26" s="36"/>
      <c r="M26" s="36"/>
      <c r="N26" s="36"/>
      <c r="O26" s="36"/>
      <c r="P26" s="36"/>
      <c r="Q26" s="36"/>
      <c r="R26" s="36"/>
    </row>
    <row r="27" spans="1:18" ht="43.5" customHeight="1" x14ac:dyDescent="0.25">
      <c r="A27" s="128">
        <v>7</v>
      </c>
      <c r="B27" s="86" t="s">
        <v>1068</v>
      </c>
      <c r="C27" s="86" t="s">
        <v>542</v>
      </c>
      <c r="D27" s="157">
        <f>ROUND(D25*(D26+D14),0)</f>
        <v>2696742943</v>
      </c>
      <c r="E27" s="157">
        <f>ROUND(E25*(E26+D14),0)</f>
        <v>16769047997</v>
      </c>
      <c r="F27" s="157">
        <f>ROUND(F25*(F26+D14),0)</f>
        <v>8689591775</v>
      </c>
      <c r="G27" s="36"/>
      <c r="H27" s="36"/>
      <c r="I27" s="36"/>
      <c r="J27" s="36"/>
      <c r="K27" s="36"/>
      <c r="L27" s="36"/>
      <c r="M27" s="36"/>
      <c r="N27" s="36"/>
      <c r="O27" s="36"/>
      <c r="P27" s="36"/>
      <c r="Q27" s="36"/>
      <c r="R27" s="36"/>
    </row>
    <row r="28" spans="1:18" ht="18" customHeight="1" x14ac:dyDescent="0.25">
      <c r="A28" s="128">
        <v>8</v>
      </c>
      <c r="B28" s="86" t="s">
        <v>565</v>
      </c>
      <c r="C28" s="86" t="s">
        <v>540</v>
      </c>
      <c r="D28" s="157">
        <f>ROUND(D27-D25,0)</f>
        <v>94663645</v>
      </c>
      <c r="E28" s="157">
        <f>ROUND(E27-E25,0)</f>
        <v>1156572207</v>
      </c>
      <c r="F28" s="157">
        <f>ROUND(F27-F25,0)</f>
        <v>883353880</v>
      </c>
      <c r="G28" s="36"/>
      <c r="H28" s="36"/>
      <c r="I28" s="36"/>
      <c r="J28" s="36"/>
      <c r="K28" s="36"/>
      <c r="L28" s="36"/>
      <c r="M28" s="36"/>
      <c r="N28" s="36"/>
      <c r="O28" s="36"/>
      <c r="P28" s="36"/>
      <c r="Q28" s="36"/>
      <c r="R28" s="36"/>
    </row>
    <row r="29" spans="1:18" ht="18" customHeight="1" x14ac:dyDescent="0.25">
      <c r="A29" s="128">
        <v>9</v>
      </c>
      <c r="B29" s="75" t="s">
        <v>21</v>
      </c>
      <c r="C29" s="86" t="s">
        <v>666</v>
      </c>
      <c r="D29" s="328">
        <f>ROUND(SUM(D28:F28),0)</f>
        <v>2134589732</v>
      </c>
      <c r="E29" s="328"/>
      <c r="F29" s="328"/>
      <c r="G29" s="36"/>
      <c r="H29" s="36"/>
      <c r="I29" s="36"/>
      <c r="J29" s="36"/>
      <c r="K29" s="36"/>
      <c r="L29" s="36"/>
      <c r="M29" s="36"/>
      <c r="N29" s="36"/>
      <c r="O29" s="36"/>
      <c r="P29" s="36"/>
      <c r="Q29" s="36"/>
      <c r="R29" s="36"/>
    </row>
    <row r="30" spans="1:18" ht="16.5" customHeight="1" x14ac:dyDescent="0.25">
      <c r="A30" s="2"/>
      <c r="B30" s="146"/>
      <c r="C30" s="146"/>
      <c r="D30" s="36"/>
      <c r="E30" s="36"/>
      <c r="F30" s="36"/>
      <c r="G30" s="36"/>
      <c r="H30" s="36"/>
      <c r="I30" s="36"/>
      <c r="J30" s="36"/>
      <c r="K30" s="36"/>
      <c r="L30" s="36"/>
      <c r="M30" s="36"/>
      <c r="N30" s="36"/>
      <c r="O30" s="36"/>
      <c r="P30" s="36"/>
      <c r="Q30" s="36"/>
      <c r="R30" s="36"/>
    </row>
  </sheetData>
  <mergeCells count="23">
    <mergeCell ref="A22:A23"/>
    <mergeCell ref="B22:B23"/>
    <mergeCell ref="C22:C23"/>
    <mergeCell ref="D22:F22"/>
    <mergeCell ref="D29:F29"/>
    <mergeCell ref="A7:H7"/>
    <mergeCell ref="D20:H20"/>
    <mergeCell ref="A8:H8"/>
    <mergeCell ref="A9:H9"/>
    <mergeCell ref="B11:C11"/>
    <mergeCell ref="D11:F11"/>
    <mergeCell ref="B12:C12"/>
    <mergeCell ref="B13:C13"/>
    <mergeCell ref="B14:C14"/>
    <mergeCell ref="A16:A17"/>
    <mergeCell ref="B16:B17"/>
    <mergeCell ref="C16:C17"/>
    <mergeCell ref="D16:H16"/>
    <mergeCell ref="A1:I1"/>
    <mergeCell ref="A2:I2"/>
    <mergeCell ref="A4:H4"/>
    <mergeCell ref="A5:H5"/>
    <mergeCell ref="A6:H6"/>
  </mergeCells>
  <pageMargins left="0.7" right="0.7" top="0.75" bottom="0.75" header="0.3" footer="0.3"/>
  <pageSetup paperSize="9" orientation="landscape"/>
  <headerFooter alignWithMargins="0"/>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32"/>
  <sheetViews>
    <sheetView showZeros="0" topLeftCell="A3" workbookViewId="0">
      <selection activeCell="C15" sqref="C15"/>
    </sheetView>
  </sheetViews>
  <sheetFormatPr defaultColWidth="9.140625" defaultRowHeight="15" x14ac:dyDescent="0.25"/>
  <cols>
    <col min="1" max="1" width="6.5703125" style="143" customWidth="1"/>
    <col min="2" max="2" width="8.28515625" style="143" hidden="1" customWidth="1"/>
    <col min="3" max="3" width="47.28515625" style="143" customWidth="1"/>
    <col min="4" max="4" width="8.140625" style="143" hidden="1" customWidth="1"/>
    <col min="5" max="5" width="9.5703125" style="143" customWidth="1"/>
    <col min="6" max="6" width="23.140625" style="143" customWidth="1"/>
    <col min="7" max="7" width="17.42578125" style="143" customWidth="1"/>
    <col min="8" max="8" width="20.85546875" style="143" customWidth="1"/>
    <col min="9" max="9" width="11.28515625" style="143" customWidth="1"/>
    <col min="10" max="16384" width="9.140625" style="143"/>
  </cols>
  <sheetData>
    <row r="1" spans="1:9" ht="22.5" customHeight="1" x14ac:dyDescent="0.25">
      <c r="A1" s="300" t="s">
        <v>767</v>
      </c>
      <c r="B1" s="300"/>
      <c r="C1" s="300"/>
      <c r="D1" s="300"/>
      <c r="E1" s="300"/>
      <c r="F1" s="300"/>
      <c r="G1" s="300"/>
      <c r="H1" s="300"/>
      <c r="I1" s="300"/>
    </row>
    <row r="2" spans="1:9" hidden="1" x14ac:dyDescent="0.25">
      <c r="A2" s="302" t="s">
        <v>1089</v>
      </c>
      <c r="B2" s="302"/>
      <c r="C2" s="302"/>
      <c r="D2" s="302"/>
      <c r="E2" s="302"/>
      <c r="F2" s="302"/>
      <c r="G2" s="302"/>
      <c r="H2" s="302"/>
      <c r="I2" s="302"/>
    </row>
    <row r="3" spans="1:9" ht="19.5" customHeight="1" x14ac:dyDescent="0.25">
      <c r="A3" s="309" t="str">
        <f>'Công trình'!A2</f>
        <v>CÔNG TRÌNH: ĐÊ BAO VEN SÔNG SÀI GÒN ĐOẠN TỪ RẠCH NÀNG ÂM ĐẾN RẠCH LÁNG THE</v>
      </c>
      <c r="B3" s="309"/>
      <c r="C3" s="309"/>
      <c r="D3" s="309"/>
      <c r="E3" s="309"/>
      <c r="F3" s="309"/>
      <c r="G3" s="309"/>
      <c r="H3" s="309"/>
      <c r="I3" s="309"/>
    </row>
    <row r="4" spans="1:9" ht="18" customHeight="1" x14ac:dyDescent="0.25">
      <c r="A4" s="302" t="s">
        <v>461</v>
      </c>
      <c r="B4" s="302"/>
      <c r="C4" s="302"/>
      <c r="D4" s="302"/>
      <c r="E4" s="302"/>
      <c r="F4" s="302"/>
      <c r="G4" s="302"/>
      <c r="H4" s="302"/>
      <c r="I4" s="302"/>
    </row>
    <row r="5" spans="1:9" ht="16.5" customHeight="1" x14ac:dyDescent="0.25">
      <c r="A5" s="2"/>
      <c r="B5" s="146"/>
      <c r="C5" s="146"/>
      <c r="D5" s="146"/>
      <c r="E5" s="2"/>
      <c r="F5" s="36"/>
      <c r="G5" s="36"/>
      <c r="H5" s="36"/>
      <c r="I5" s="36"/>
    </row>
    <row r="6" spans="1:9" ht="31.5" customHeight="1" x14ac:dyDescent="0.25">
      <c r="A6" s="83" t="s">
        <v>761</v>
      </c>
      <c r="B6" s="140" t="s">
        <v>316</v>
      </c>
      <c r="C6" s="140" t="s">
        <v>60</v>
      </c>
      <c r="D6" s="140" t="s">
        <v>316</v>
      </c>
      <c r="E6" s="140" t="s">
        <v>382</v>
      </c>
      <c r="F6" s="92" t="s">
        <v>1150</v>
      </c>
      <c r="G6" s="92" t="s">
        <v>92</v>
      </c>
      <c r="H6" s="92" t="s">
        <v>1104</v>
      </c>
      <c r="I6" s="140" t="s">
        <v>744</v>
      </c>
    </row>
    <row r="7" spans="1:9" x14ac:dyDescent="0.25">
      <c r="A7" s="167">
        <v>1</v>
      </c>
      <c r="B7" s="47"/>
      <c r="C7" s="14" t="s">
        <v>710</v>
      </c>
      <c r="D7" s="47"/>
      <c r="E7" s="82"/>
      <c r="F7" s="39">
        <f>SUM(F8:F9)</f>
        <v>19955311712</v>
      </c>
      <c r="G7" s="39">
        <f>SUM(G8:G9)</f>
        <v>1995531171</v>
      </c>
      <c r="H7" s="39">
        <f>SUM(H8:H9)</f>
        <v>21950842883</v>
      </c>
      <c r="I7" s="46" t="s">
        <v>1191</v>
      </c>
    </row>
    <row r="8" spans="1:9" x14ac:dyDescent="0.25">
      <c r="A8" s="124" t="s">
        <v>433</v>
      </c>
      <c r="B8" s="169">
        <v>1</v>
      </c>
      <c r="C8" s="144" t="s">
        <v>1002</v>
      </c>
      <c r="D8" s="169">
        <f>'TH dự toán hạng mục'!D16</f>
        <v>17689979690</v>
      </c>
      <c r="E8" s="34"/>
      <c r="F8" s="166">
        <f>ROUND(D8,0)</f>
        <v>17689979690</v>
      </c>
      <c r="G8" s="166">
        <f>ROUND(F8*10%,0)</f>
        <v>1768997969</v>
      </c>
      <c r="H8" s="166">
        <f>F8+G8</f>
        <v>19458977659</v>
      </c>
      <c r="I8" s="168"/>
    </row>
    <row r="9" spans="1:9" x14ac:dyDescent="0.25">
      <c r="A9" s="124" t="s">
        <v>387</v>
      </c>
      <c r="B9" s="169">
        <v>1</v>
      </c>
      <c r="C9" s="144" t="s">
        <v>645</v>
      </c>
      <c r="D9" s="169">
        <f>'TH dự toán hạng mục'!D50</f>
        <v>2265332022</v>
      </c>
      <c r="E9" s="34"/>
      <c r="F9" s="166">
        <f>ROUND(D9,0)</f>
        <v>2265332022</v>
      </c>
      <c r="G9" s="166">
        <f>ROUND(F9*10%,0)</f>
        <v>226533202</v>
      </c>
      <c r="H9" s="166">
        <f>F9+G9</f>
        <v>2491865224</v>
      </c>
      <c r="I9" s="168"/>
    </row>
    <row r="10" spans="1:9" x14ac:dyDescent="0.25">
      <c r="A10" s="102">
        <v>2</v>
      </c>
      <c r="B10" s="160"/>
      <c r="C10" s="130" t="s">
        <v>712</v>
      </c>
      <c r="D10" s="160"/>
      <c r="E10" s="16"/>
      <c r="F10" s="155">
        <f>ROUND(F11+F14,0)</f>
        <v>598659351</v>
      </c>
      <c r="G10" s="155">
        <f>ROUND(G11+G14,0)</f>
        <v>59865935</v>
      </c>
      <c r="H10" s="155">
        <f>ROUND(H11+H14,0)</f>
        <v>658525286</v>
      </c>
      <c r="I10" s="159" t="s">
        <v>4</v>
      </c>
    </row>
    <row r="11" spans="1:9" ht="30" x14ac:dyDescent="0.25">
      <c r="A11" s="149" t="s">
        <v>453</v>
      </c>
      <c r="B11" s="25">
        <v>1</v>
      </c>
      <c r="C11" s="165" t="s">
        <v>1134</v>
      </c>
      <c r="D11" s="25"/>
      <c r="E11" s="61"/>
      <c r="F11" s="15">
        <f>SUM(F12:F13)</f>
        <v>199553117</v>
      </c>
      <c r="G11" s="15">
        <f>SUM(G12:G13)</f>
        <v>19955312</v>
      </c>
      <c r="H11" s="15">
        <f>SUM(H12:H13)</f>
        <v>219508429</v>
      </c>
      <c r="I11" s="26" t="s">
        <v>606</v>
      </c>
    </row>
    <row r="12" spans="1:9" x14ac:dyDescent="0.25">
      <c r="A12" s="124" t="s">
        <v>25</v>
      </c>
      <c r="B12" s="169">
        <v>1</v>
      </c>
      <c r="C12" s="144" t="s">
        <v>1002</v>
      </c>
      <c r="D12" s="169">
        <f>'TH dự toán hạng mục'!D16</f>
        <v>17689979690</v>
      </c>
      <c r="E12" s="41">
        <v>0.01</v>
      </c>
      <c r="F12" s="166">
        <f>ROUND(D12*E12,0)</f>
        <v>176899797</v>
      </c>
      <c r="G12" s="166">
        <f>ROUND(F12*10%,0)</f>
        <v>17689980</v>
      </c>
      <c r="H12" s="166">
        <f>F12+G12</f>
        <v>194589777</v>
      </c>
      <c r="I12" s="168"/>
    </row>
    <row r="13" spans="1:9" x14ac:dyDescent="0.25">
      <c r="A13" s="124" t="s">
        <v>420</v>
      </c>
      <c r="B13" s="169">
        <v>1</v>
      </c>
      <c r="C13" s="144" t="s">
        <v>645</v>
      </c>
      <c r="D13" s="169">
        <f>'TH dự toán hạng mục'!D50</f>
        <v>2265332022</v>
      </c>
      <c r="E13" s="41">
        <v>0.01</v>
      </c>
      <c r="F13" s="166">
        <f>ROUND(D13*E13,0)</f>
        <v>22653320</v>
      </c>
      <c r="G13" s="166">
        <f>ROUND(F13*10%,0)</f>
        <v>2265332</v>
      </c>
      <c r="H13" s="166">
        <f>F13+G13</f>
        <v>24918652</v>
      </c>
      <c r="I13" s="168"/>
    </row>
    <row r="14" spans="1:9" ht="30" x14ac:dyDescent="0.25">
      <c r="A14" s="149" t="s">
        <v>407</v>
      </c>
      <c r="B14" s="25">
        <v>1</v>
      </c>
      <c r="C14" s="165" t="s">
        <v>426</v>
      </c>
      <c r="D14" s="25"/>
      <c r="E14" s="61"/>
      <c r="F14" s="15">
        <f>SUM(F15:F16)</f>
        <v>399106234</v>
      </c>
      <c r="G14" s="15">
        <f>SUM(G15:G16)</f>
        <v>39910623</v>
      </c>
      <c r="H14" s="15">
        <f>SUM(H15:H16)</f>
        <v>439016857</v>
      </c>
      <c r="I14" s="26" t="s">
        <v>583</v>
      </c>
    </row>
    <row r="15" spans="1:9" x14ac:dyDescent="0.25">
      <c r="A15" s="124" t="s">
        <v>473</v>
      </c>
      <c r="B15" s="169">
        <v>1</v>
      </c>
      <c r="C15" s="144" t="s">
        <v>1002</v>
      </c>
      <c r="D15" s="169">
        <f>'TH dự toán hạng mục'!D16</f>
        <v>17689979690</v>
      </c>
      <c r="E15" s="41">
        <v>0.02</v>
      </c>
      <c r="F15" s="166">
        <f>ROUND(D15*E15,0)</f>
        <v>353799594</v>
      </c>
      <c r="G15" s="166">
        <f>ROUND(F15*10%,0)</f>
        <v>35379959</v>
      </c>
      <c r="H15" s="166">
        <f>F15+G15</f>
        <v>389179553</v>
      </c>
      <c r="I15" s="168"/>
    </row>
    <row r="16" spans="1:9" x14ac:dyDescent="0.25">
      <c r="A16" s="124" t="s">
        <v>438</v>
      </c>
      <c r="B16" s="169">
        <v>1</v>
      </c>
      <c r="C16" s="144" t="s">
        <v>645</v>
      </c>
      <c r="D16" s="169">
        <f>'TH dự toán hạng mục'!D50</f>
        <v>2265332022</v>
      </c>
      <c r="E16" s="41">
        <v>0.02</v>
      </c>
      <c r="F16" s="166">
        <f>ROUND(D16*E16,0)</f>
        <v>45306640</v>
      </c>
      <c r="G16" s="166">
        <f>ROUND(F16*10%,0)</f>
        <v>4530664</v>
      </c>
      <c r="H16" s="166">
        <f>F16+G16</f>
        <v>49837304</v>
      </c>
      <c r="I16" s="168"/>
    </row>
    <row r="17" spans="1:9" x14ac:dyDescent="0.25">
      <c r="A17" s="102" t="s">
        <v>1190</v>
      </c>
      <c r="B17" s="130"/>
      <c r="C17" s="130" t="s">
        <v>1140</v>
      </c>
      <c r="D17" s="144"/>
      <c r="E17" s="16"/>
      <c r="F17" s="166">
        <f>SUM(F18:F19)</f>
        <v>0</v>
      </c>
      <c r="G17" s="155">
        <f>SUM(G18:G19)</f>
        <v>0</v>
      </c>
      <c r="H17" s="155">
        <f>SUM(H18:H19)</f>
        <v>3265058140</v>
      </c>
      <c r="I17" s="159" t="s">
        <v>1029</v>
      </c>
    </row>
    <row r="18" spans="1:9" x14ac:dyDescent="0.25">
      <c r="A18" s="124" t="s">
        <v>914</v>
      </c>
      <c r="B18" s="144"/>
      <c r="C18" s="144" t="s">
        <v>992</v>
      </c>
      <c r="D18" s="144"/>
      <c r="E18" s="41">
        <v>0.05</v>
      </c>
      <c r="F18" s="166"/>
      <c r="G18" s="166"/>
      <c r="H18" s="166">
        <f>ROUND((H7+H10)*E18,0)</f>
        <v>1130468408</v>
      </c>
      <c r="I18" s="168"/>
    </row>
    <row r="19" spans="1:9" x14ac:dyDescent="0.25">
      <c r="A19" s="3" t="s">
        <v>872</v>
      </c>
      <c r="B19" s="24"/>
      <c r="C19" s="24" t="s">
        <v>579</v>
      </c>
      <c r="D19" s="24"/>
      <c r="E19" s="89"/>
      <c r="F19" s="51"/>
      <c r="G19" s="51"/>
      <c r="H19" s="108">
        <f>'Dự phòng trượt giá'!D29</f>
        <v>2134589732</v>
      </c>
      <c r="I19" s="57"/>
    </row>
    <row r="20" spans="1:9" ht="18" customHeight="1" x14ac:dyDescent="0.25">
      <c r="A20" s="128"/>
      <c r="B20" s="86"/>
      <c r="C20" s="107" t="s">
        <v>832</v>
      </c>
      <c r="D20" s="86"/>
      <c r="E20" s="128"/>
      <c r="F20" s="97">
        <f>F7+F10+F17</f>
        <v>20553971063</v>
      </c>
      <c r="G20" s="97">
        <f>G7+G10+G17</f>
        <v>2055397106</v>
      </c>
      <c r="H20" s="97">
        <f>H7+H10+H17</f>
        <v>25874426309</v>
      </c>
      <c r="I20" s="147"/>
    </row>
    <row r="21" spans="1:9" ht="18" customHeight="1" x14ac:dyDescent="0.25">
      <c r="A21" s="128"/>
      <c r="B21" s="86"/>
      <c r="C21" s="107" t="s">
        <v>524</v>
      </c>
      <c r="D21" s="86"/>
      <c r="E21" s="157"/>
      <c r="F21" s="97"/>
      <c r="G21" s="97"/>
      <c r="H21" s="97">
        <f>ROUND(H20,-3)</f>
        <v>25874426000</v>
      </c>
      <c r="I21" s="107"/>
    </row>
    <row r="22" spans="1:9" ht="18.75" customHeight="1" x14ac:dyDescent="0.25">
      <c r="A22" s="314" t="e">
        <f ca="1">TienBangChu(H21)</f>
        <v>#NAME?</v>
      </c>
      <c r="B22" s="314"/>
      <c r="C22" s="314"/>
      <c r="D22" s="314"/>
      <c r="E22" s="314"/>
      <c r="F22" s="314"/>
      <c r="G22" s="314"/>
      <c r="H22" s="314"/>
      <c r="I22" s="128"/>
    </row>
    <row r="23" spans="1:9" ht="16.5" customHeight="1" x14ac:dyDescent="0.25">
      <c r="A23" s="2"/>
      <c r="B23" s="146"/>
      <c r="C23" s="146"/>
      <c r="D23" s="146"/>
      <c r="E23" s="36"/>
      <c r="F23" s="36"/>
      <c r="G23" s="36"/>
      <c r="H23" s="36"/>
      <c r="I23" s="2"/>
    </row>
    <row r="24" spans="1:9" ht="18" customHeight="1" x14ac:dyDescent="0.25">
      <c r="A24" s="2"/>
      <c r="B24" s="146"/>
      <c r="C24" s="2" t="s">
        <v>1096</v>
      </c>
      <c r="D24" s="146"/>
      <c r="E24" s="36"/>
      <c r="F24" s="316" t="s">
        <v>552</v>
      </c>
      <c r="G24" s="316"/>
      <c r="H24" s="316"/>
      <c r="I24" s="2"/>
    </row>
    <row r="25" spans="1:9" ht="16.5" customHeight="1" x14ac:dyDescent="0.25">
      <c r="A25" s="2"/>
      <c r="B25" s="146"/>
      <c r="C25" s="2"/>
      <c r="D25" s="146"/>
      <c r="E25" s="36"/>
      <c r="F25" s="2"/>
      <c r="G25" s="2"/>
      <c r="H25" s="2"/>
      <c r="I25" s="2"/>
    </row>
    <row r="26" spans="1:9" ht="16.5" customHeight="1" x14ac:dyDescent="0.25">
      <c r="A26" s="2"/>
      <c r="B26" s="146"/>
      <c r="C26" s="2"/>
      <c r="D26" s="146"/>
      <c r="E26" s="36"/>
      <c r="F26" s="2"/>
      <c r="G26" s="2"/>
      <c r="H26" s="2"/>
      <c r="I26" s="2"/>
    </row>
    <row r="27" spans="1:9" ht="16.5" customHeight="1" x14ac:dyDescent="0.25">
      <c r="A27" s="2"/>
      <c r="B27" s="146"/>
      <c r="C27" s="2"/>
      <c r="D27" s="146"/>
      <c r="E27" s="36"/>
      <c r="F27" s="2"/>
      <c r="G27" s="2"/>
      <c r="H27" s="2"/>
      <c r="I27" s="2"/>
    </row>
    <row r="28" spans="1:9" ht="16.5" customHeight="1" x14ac:dyDescent="0.25">
      <c r="A28" s="2"/>
      <c r="B28" s="146"/>
      <c r="C28" s="2"/>
      <c r="D28" s="146"/>
      <c r="E28" s="36"/>
      <c r="F28" s="2"/>
      <c r="G28" s="2"/>
      <c r="H28" s="2"/>
      <c r="I28" s="2"/>
    </row>
    <row r="29" spans="1:9" ht="18" customHeight="1" x14ac:dyDescent="0.25">
      <c r="A29" s="2"/>
      <c r="B29" s="146"/>
      <c r="C29" s="2" t="s">
        <v>1057</v>
      </c>
      <c r="D29" s="146"/>
      <c r="E29" s="36"/>
      <c r="F29" s="316" t="s">
        <v>1057</v>
      </c>
      <c r="G29" s="316"/>
      <c r="H29" s="316"/>
      <c r="I29" s="2"/>
    </row>
    <row r="30" spans="1:9" ht="18" customHeight="1" x14ac:dyDescent="0.25">
      <c r="A30" s="2"/>
      <c r="B30" s="146"/>
      <c r="C30" s="2" t="s">
        <v>1171</v>
      </c>
      <c r="D30" s="146"/>
      <c r="E30" s="36"/>
      <c r="F30" s="316" t="s">
        <v>535</v>
      </c>
      <c r="G30" s="316"/>
      <c r="H30" s="316"/>
      <c r="I30" s="2"/>
    </row>
    <row r="31" spans="1:9" ht="18" customHeight="1" x14ac:dyDescent="0.25">
      <c r="A31" s="2"/>
      <c r="B31" s="146"/>
      <c r="C31" s="146"/>
      <c r="D31" s="146"/>
      <c r="E31" s="36"/>
      <c r="F31" s="316" t="s">
        <v>740</v>
      </c>
      <c r="G31" s="316"/>
      <c r="H31" s="316"/>
      <c r="I31" s="2"/>
    </row>
    <row r="32" spans="1:9" ht="16.5" customHeight="1" x14ac:dyDescent="0.25">
      <c r="A32" s="2"/>
      <c r="B32" s="146"/>
      <c r="C32" s="146"/>
      <c r="D32" s="146"/>
      <c r="E32" s="2"/>
      <c r="F32" s="36"/>
      <c r="G32" s="36"/>
      <c r="H32" s="36"/>
      <c r="I32" s="36"/>
    </row>
  </sheetData>
  <mergeCells count="9">
    <mergeCell ref="F29:H29"/>
    <mergeCell ref="F30:H30"/>
    <mergeCell ref="F31:H31"/>
    <mergeCell ref="A1:I1"/>
    <mergeCell ref="A2:I2"/>
    <mergeCell ref="A3:I3"/>
    <mergeCell ref="A4:I4"/>
    <mergeCell ref="A22:H22"/>
    <mergeCell ref="F24:H24"/>
  </mergeCells>
  <pageMargins left="0.7" right="0.7" top="0.75" bottom="0.75" header="0.3" footer="0.3"/>
  <pageSetup paperSize="9" orientation="landscape"/>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K77"/>
  <sheetViews>
    <sheetView showZeros="0" workbookViewId="0">
      <selection sqref="A1:K1"/>
    </sheetView>
  </sheetViews>
  <sheetFormatPr defaultColWidth="9.140625" defaultRowHeight="15" x14ac:dyDescent="0.25"/>
  <cols>
    <col min="1" max="1" width="6.28515625" style="143" customWidth="1"/>
    <col min="2" max="2" width="40" style="143" customWidth="1"/>
    <col min="3" max="3" width="12.5703125" style="143" hidden="1" customWidth="1"/>
    <col min="4" max="4" width="14" style="143" hidden="1" customWidth="1"/>
    <col min="5" max="5" width="10.5703125" style="143" customWidth="1"/>
    <col min="6" max="6" width="5.42578125" style="143" customWidth="1"/>
    <col min="7" max="7" width="28" style="143" customWidth="1"/>
    <col min="8" max="8" width="16.85546875" style="143" customWidth="1"/>
    <col min="9" max="9" width="14.7109375" style="143" customWidth="1"/>
    <col min="10" max="10" width="16.28515625" style="143" customWidth="1"/>
    <col min="11" max="11" width="8.85546875" style="143" customWidth="1"/>
    <col min="12" max="16384" width="9.140625" style="143"/>
  </cols>
  <sheetData>
    <row r="1" spans="1:11" ht="22.5" customHeight="1" x14ac:dyDescent="0.25">
      <c r="A1" s="300" t="s">
        <v>771</v>
      </c>
      <c r="B1" s="300"/>
      <c r="C1" s="300"/>
      <c r="D1" s="300"/>
      <c r="E1" s="300"/>
      <c r="F1" s="300"/>
      <c r="G1" s="300"/>
      <c r="H1" s="300"/>
      <c r="I1" s="300"/>
      <c r="J1" s="300"/>
      <c r="K1" s="300"/>
    </row>
    <row r="2" spans="1:11" ht="18" customHeight="1" x14ac:dyDescent="0.25">
      <c r="A2" s="302" t="s">
        <v>763</v>
      </c>
      <c r="B2" s="302"/>
      <c r="C2" s="302"/>
      <c r="D2" s="302"/>
      <c r="E2" s="302"/>
      <c r="F2" s="302"/>
      <c r="G2" s="302"/>
      <c r="H2" s="302"/>
      <c r="I2" s="302"/>
      <c r="J2" s="302"/>
      <c r="K2" s="302"/>
    </row>
    <row r="3" spans="1:11" ht="18" customHeight="1" x14ac:dyDescent="0.25">
      <c r="A3" s="2"/>
      <c r="B3" s="146"/>
      <c r="C3" s="2"/>
      <c r="D3" s="2"/>
      <c r="E3" s="36"/>
      <c r="F3" s="36"/>
      <c r="G3" s="2"/>
      <c r="H3" s="313" t="s">
        <v>296</v>
      </c>
      <c r="I3" s="313"/>
      <c r="J3" s="313"/>
      <c r="K3" s="313"/>
    </row>
    <row r="4" spans="1:11" ht="19.5" customHeight="1" x14ac:dyDescent="0.25">
      <c r="A4" s="309" t="str">
        <f>'Công trình'!A2</f>
        <v>CÔNG TRÌNH: ĐÊ BAO VEN SÔNG SÀI GÒN ĐOẠN TỪ RẠCH NÀNG ÂM ĐẾN RẠCH LÁNG THE</v>
      </c>
      <c r="B4" s="309"/>
      <c r="C4" s="309"/>
      <c r="D4" s="309"/>
      <c r="E4" s="309"/>
      <c r="F4" s="309"/>
      <c r="G4" s="309"/>
      <c r="H4" s="309"/>
      <c r="I4" s="309"/>
      <c r="J4" s="309"/>
      <c r="K4" s="309"/>
    </row>
    <row r="5" spans="1:11" ht="18.75" customHeight="1" x14ac:dyDescent="0.25">
      <c r="A5" s="2"/>
      <c r="B5" s="147" t="s">
        <v>241</v>
      </c>
      <c r="C5" s="128"/>
      <c r="D5" s="128"/>
      <c r="E5" s="330" t="s">
        <v>366</v>
      </c>
      <c r="F5" s="330"/>
      <c r="G5" s="330"/>
      <c r="H5" s="36"/>
      <c r="I5" s="36"/>
      <c r="J5" s="36"/>
      <c r="K5" s="2"/>
    </row>
    <row r="6" spans="1:11" ht="18" customHeight="1" x14ac:dyDescent="0.25">
      <c r="A6" s="2"/>
      <c r="B6" s="147" t="s">
        <v>411</v>
      </c>
      <c r="C6" s="128"/>
      <c r="D6" s="128"/>
      <c r="E6" s="330" t="s">
        <v>243</v>
      </c>
      <c r="F6" s="330"/>
      <c r="G6" s="330"/>
      <c r="H6" s="36"/>
      <c r="I6" s="36"/>
      <c r="J6" s="36"/>
      <c r="K6" s="2"/>
    </row>
    <row r="7" spans="1:11" ht="18" customHeight="1" x14ac:dyDescent="0.25">
      <c r="A7" s="2"/>
      <c r="B7" s="147" t="s">
        <v>110</v>
      </c>
      <c r="C7" s="128"/>
      <c r="D7" s="128"/>
      <c r="E7" s="330" t="s">
        <v>2</v>
      </c>
      <c r="F7" s="330"/>
      <c r="G7" s="330"/>
      <c r="H7" s="36"/>
      <c r="I7" s="36"/>
      <c r="J7" s="36"/>
      <c r="K7" s="2"/>
    </row>
    <row r="8" spans="1:11" ht="18" customHeight="1" x14ac:dyDescent="0.25">
      <c r="A8" s="2"/>
      <c r="B8" s="147" t="s">
        <v>448</v>
      </c>
      <c r="C8" s="128"/>
      <c r="D8" s="128"/>
      <c r="E8" s="330" t="s">
        <v>1011</v>
      </c>
      <c r="F8" s="330"/>
      <c r="G8" s="330"/>
      <c r="H8" s="36"/>
      <c r="I8" s="36"/>
      <c r="J8" s="36"/>
      <c r="K8" s="2"/>
    </row>
    <row r="9" spans="1:11" ht="18" customHeight="1" x14ac:dyDescent="0.25">
      <c r="A9" s="2"/>
      <c r="B9" s="146"/>
      <c r="C9" s="2"/>
      <c r="D9" s="2"/>
      <c r="E9" s="36"/>
      <c r="F9" s="36"/>
      <c r="G9" s="2"/>
      <c r="H9" s="36"/>
      <c r="I9" s="36"/>
      <c r="J9" s="313" t="s">
        <v>1126</v>
      </c>
      <c r="K9" s="313"/>
    </row>
    <row r="10" spans="1:11" ht="31.5" customHeight="1" x14ac:dyDescent="0.25">
      <c r="A10" s="83" t="s">
        <v>761</v>
      </c>
      <c r="B10" s="140" t="s">
        <v>60</v>
      </c>
      <c r="C10" s="140" t="s">
        <v>247</v>
      </c>
      <c r="D10" s="140" t="s">
        <v>880</v>
      </c>
      <c r="E10" s="150" t="s">
        <v>532</v>
      </c>
      <c r="F10" s="140" t="s">
        <v>639</v>
      </c>
      <c r="G10" s="140" t="s">
        <v>1099</v>
      </c>
      <c r="H10" s="92" t="s">
        <v>1150</v>
      </c>
      <c r="I10" s="92" t="s">
        <v>92</v>
      </c>
      <c r="J10" s="92" t="s">
        <v>1104</v>
      </c>
      <c r="K10" s="140" t="s">
        <v>744</v>
      </c>
    </row>
    <row r="11" spans="1:11" x14ac:dyDescent="0.25">
      <c r="A11" s="167" t="s">
        <v>85</v>
      </c>
      <c r="B11" s="14" t="s">
        <v>936</v>
      </c>
      <c r="C11" s="46"/>
      <c r="D11" s="46"/>
      <c r="E11" s="1"/>
      <c r="F11" s="82"/>
      <c r="G11" s="46"/>
      <c r="H11" s="39"/>
      <c r="I11" s="39">
        <f>ROUND(H11*'Hệ số'!C10,0)</f>
        <v>0</v>
      </c>
      <c r="J11" s="39">
        <f t="shared" ref="J11:J17" si="0">ROUND(H11+I11,0)</f>
        <v>0</v>
      </c>
      <c r="K11" s="46" t="s">
        <v>925</v>
      </c>
    </row>
    <row r="12" spans="1:11" x14ac:dyDescent="0.25">
      <c r="A12" s="102" t="s">
        <v>36</v>
      </c>
      <c r="B12" s="130" t="s">
        <v>242</v>
      </c>
      <c r="C12" s="159"/>
      <c r="D12" s="159"/>
      <c r="E12" s="114"/>
      <c r="F12" s="16"/>
      <c r="G12" s="159" t="s">
        <v>1142</v>
      </c>
      <c r="H12" s="155">
        <f>H13</f>
        <v>19955311712</v>
      </c>
      <c r="I12" s="155">
        <f>ROUND(H12*'Hệ số'!C10,0)</f>
        <v>1995531171</v>
      </c>
      <c r="J12" s="155">
        <f t="shared" si="0"/>
        <v>21950842883</v>
      </c>
      <c r="K12" s="159" t="s">
        <v>1191</v>
      </c>
    </row>
    <row r="13" spans="1:11" x14ac:dyDescent="0.25">
      <c r="A13" s="124" t="s">
        <v>453</v>
      </c>
      <c r="B13" s="144" t="s">
        <v>700</v>
      </c>
      <c r="C13" s="168" t="s">
        <v>809</v>
      </c>
      <c r="D13" s="168" t="s">
        <v>809</v>
      </c>
      <c r="E13" s="131"/>
      <c r="F13" s="34"/>
      <c r="G13" s="168" t="s">
        <v>1142</v>
      </c>
      <c r="H13" s="166">
        <f>SUM(H14:H15)</f>
        <v>19955311712</v>
      </c>
      <c r="I13" s="166">
        <f>ROUND(H13*'Hệ số'!C10,0)</f>
        <v>1995531171</v>
      </c>
      <c r="J13" s="166">
        <f t="shared" si="0"/>
        <v>21950842883</v>
      </c>
      <c r="K13" s="168"/>
    </row>
    <row r="14" spans="1:11" ht="30" x14ac:dyDescent="0.25">
      <c r="A14" s="168"/>
      <c r="B14" s="144" t="s">
        <v>1002</v>
      </c>
      <c r="C14" s="168"/>
      <c r="D14" s="168"/>
      <c r="E14" s="131"/>
      <c r="F14" s="34"/>
      <c r="G14" s="168" t="s">
        <v>780</v>
      </c>
      <c r="H14" s="166">
        <f>'TH dự toán hạng mục'!D16</f>
        <v>17689979690</v>
      </c>
      <c r="I14" s="166">
        <f>ROUND(H14*'Hệ số'!C10,0)</f>
        <v>1768997969</v>
      </c>
      <c r="J14" s="166">
        <f t="shared" si="0"/>
        <v>19458977659</v>
      </c>
      <c r="K14" s="168"/>
    </row>
    <row r="15" spans="1:11" ht="30" x14ac:dyDescent="0.25">
      <c r="A15" s="168"/>
      <c r="B15" s="144" t="s">
        <v>645</v>
      </c>
      <c r="C15" s="168"/>
      <c r="D15" s="168"/>
      <c r="E15" s="131"/>
      <c r="F15" s="34"/>
      <c r="G15" s="168" t="s">
        <v>780</v>
      </c>
      <c r="H15" s="166">
        <f>'TH dự toán hạng mục'!D50</f>
        <v>2265332022</v>
      </c>
      <c r="I15" s="166">
        <f>ROUND(H15*'Hệ số'!C10,0)</f>
        <v>226533202</v>
      </c>
      <c r="J15" s="166">
        <f t="shared" si="0"/>
        <v>2491865224</v>
      </c>
      <c r="K15" s="168"/>
    </row>
    <row r="16" spans="1:11" ht="28.5" x14ac:dyDescent="0.25">
      <c r="A16" s="102" t="s">
        <v>1190</v>
      </c>
      <c r="B16" s="130" t="s">
        <v>745</v>
      </c>
      <c r="C16" s="159"/>
      <c r="D16" s="159"/>
      <c r="E16" s="114"/>
      <c r="F16" s="16"/>
      <c r="G16" s="159" t="s">
        <v>962</v>
      </c>
      <c r="H16" s="155">
        <f>'Chi phí thiết bị'!F11</f>
        <v>0</v>
      </c>
      <c r="I16" s="155">
        <f>'Chi phí thiết bị'!H11</f>
        <v>0</v>
      </c>
      <c r="J16" s="155">
        <f t="shared" si="0"/>
        <v>0</v>
      </c>
      <c r="K16" s="159" t="s">
        <v>943</v>
      </c>
    </row>
    <row r="17" spans="1:11" ht="28.5" x14ac:dyDescent="0.25">
      <c r="A17" s="102" t="s">
        <v>1152</v>
      </c>
      <c r="B17" s="130" t="s">
        <v>1088</v>
      </c>
      <c r="C17" s="159" t="s">
        <v>363</v>
      </c>
      <c r="D17" s="159" t="s">
        <v>895</v>
      </c>
      <c r="E17" s="125">
        <v>2.7859999999999999E-2</v>
      </c>
      <c r="F17" s="16"/>
      <c r="G17" s="159" t="s">
        <v>238</v>
      </c>
      <c r="H17" s="155">
        <f>ROUND((H12+H16)*E17,0)</f>
        <v>555954984</v>
      </c>
      <c r="I17" s="155">
        <f>ROUND(H17*'Hệ số'!C10,0)</f>
        <v>55595498</v>
      </c>
      <c r="J17" s="155">
        <f t="shared" si="0"/>
        <v>611550482</v>
      </c>
      <c r="K17" s="159" t="s">
        <v>1019</v>
      </c>
    </row>
    <row r="18" spans="1:11" x14ac:dyDescent="0.25">
      <c r="A18" s="102" t="s">
        <v>337</v>
      </c>
      <c r="B18" s="130" t="s">
        <v>43</v>
      </c>
      <c r="C18" s="159"/>
      <c r="D18" s="159"/>
      <c r="E18" s="114"/>
      <c r="F18" s="16"/>
      <c r="G18" s="159" t="s">
        <v>1142</v>
      </c>
      <c r="H18" s="155">
        <f>SUM(H19:H44)</f>
        <v>1852847941</v>
      </c>
      <c r="I18" s="155">
        <f>SUM(I19:I44)</f>
        <v>185284795</v>
      </c>
      <c r="J18" s="155">
        <f>SUM(J19:J44)</f>
        <v>2038132736</v>
      </c>
      <c r="K18" s="159" t="s">
        <v>169</v>
      </c>
    </row>
    <row r="19" spans="1:11" x14ac:dyDescent="0.25">
      <c r="A19" s="124" t="s">
        <v>153</v>
      </c>
      <c r="B19" s="144" t="s">
        <v>404</v>
      </c>
      <c r="C19" s="168" t="s">
        <v>876</v>
      </c>
      <c r="D19" s="168" t="s">
        <v>876</v>
      </c>
      <c r="E19" s="131"/>
      <c r="F19" s="34"/>
      <c r="G19" s="168" t="s">
        <v>1142</v>
      </c>
      <c r="H19" s="166">
        <f>0</f>
        <v>0</v>
      </c>
      <c r="I19" s="166">
        <f>ROUND(H19*'Hệ số'!C10,0)</f>
        <v>0</v>
      </c>
      <c r="J19" s="166">
        <f t="shared" ref="J19:J44" si="1">ROUND(H19+I19,0)</f>
        <v>0</v>
      </c>
      <c r="K19" s="168"/>
    </row>
    <row r="20" spans="1:11" x14ac:dyDescent="0.25">
      <c r="A20" s="124" t="s">
        <v>98</v>
      </c>
      <c r="B20" s="144" t="s">
        <v>677</v>
      </c>
      <c r="C20" s="168" t="s">
        <v>1043</v>
      </c>
      <c r="D20" s="168" t="s">
        <v>1043</v>
      </c>
      <c r="E20" s="131"/>
      <c r="F20" s="34"/>
      <c r="G20" s="168" t="s">
        <v>1142</v>
      </c>
      <c r="H20" s="166">
        <f>0</f>
        <v>0</v>
      </c>
      <c r="I20" s="166">
        <f>ROUND(H20*'Hệ số'!C10,0)</f>
        <v>0</v>
      </c>
      <c r="J20" s="166">
        <f t="shared" si="1"/>
        <v>0</v>
      </c>
      <c r="K20" s="168"/>
    </row>
    <row r="21" spans="1:11" x14ac:dyDescent="0.25">
      <c r="A21" s="124" t="s">
        <v>51</v>
      </c>
      <c r="B21" s="144" t="s">
        <v>892</v>
      </c>
      <c r="C21" s="168" t="s">
        <v>1033</v>
      </c>
      <c r="D21" s="168" t="s">
        <v>1033</v>
      </c>
      <c r="E21" s="41">
        <v>0.03</v>
      </c>
      <c r="F21" s="34"/>
      <c r="G21" s="168" t="s">
        <v>1117</v>
      </c>
      <c r="H21" s="166">
        <f>ROUND((H19+H20)*E21,0)</f>
        <v>0</v>
      </c>
      <c r="I21" s="166">
        <f>ROUND(H21*'Hệ số'!C10,0)</f>
        <v>0</v>
      </c>
      <c r="J21" s="166">
        <f t="shared" si="1"/>
        <v>0</v>
      </c>
      <c r="K21" s="168"/>
    </row>
    <row r="22" spans="1:11" x14ac:dyDescent="0.25">
      <c r="A22" s="124" t="s">
        <v>14</v>
      </c>
      <c r="B22" s="144" t="s">
        <v>1165</v>
      </c>
      <c r="C22" s="168" t="s">
        <v>312</v>
      </c>
      <c r="D22" s="168" t="s">
        <v>312</v>
      </c>
      <c r="E22" s="137">
        <v>5.0400000000000002E-3</v>
      </c>
      <c r="F22" s="34"/>
      <c r="G22" s="168" t="s">
        <v>238</v>
      </c>
      <c r="H22" s="166">
        <f>ROUND((H12+H16)*E22,0)</f>
        <v>100574771</v>
      </c>
      <c r="I22" s="166">
        <f>ROUND(H22*'Hệ số'!C10,0)</f>
        <v>10057477</v>
      </c>
      <c r="J22" s="166">
        <f t="shared" si="1"/>
        <v>110632248</v>
      </c>
      <c r="K22" s="168"/>
    </row>
    <row r="23" spans="1:11" x14ac:dyDescent="0.25">
      <c r="A23" s="124" t="s">
        <v>400</v>
      </c>
      <c r="B23" s="144" t="s">
        <v>460</v>
      </c>
      <c r="C23" s="168" t="s">
        <v>875</v>
      </c>
      <c r="D23" s="168" t="s">
        <v>875</v>
      </c>
      <c r="E23" s="137">
        <v>9.1599999999999997E-3</v>
      </c>
      <c r="F23" s="34"/>
      <c r="G23" s="168" t="s">
        <v>238</v>
      </c>
      <c r="H23" s="166">
        <f>ROUND((H12+H16)*E23,0)</f>
        <v>182790655</v>
      </c>
      <c r="I23" s="166">
        <f>ROUND(H23*'Hệ số'!C10,0)</f>
        <v>18279066</v>
      </c>
      <c r="J23" s="166">
        <f t="shared" si="1"/>
        <v>201069721</v>
      </c>
      <c r="K23" s="168"/>
    </row>
    <row r="24" spans="1:11" x14ac:dyDescent="0.25">
      <c r="A24" s="124" t="s">
        <v>355</v>
      </c>
      <c r="B24" s="144" t="s">
        <v>575</v>
      </c>
      <c r="C24" s="168" t="s">
        <v>272</v>
      </c>
      <c r="D24" s="168" t="s">
        <v>48</v>
      </c>
      <c r="E24" s="131"/>
      <c r="F24" s="34"/>
      <c r="G24" s="168" t="s">
        <v>238</v>
      </c>
      <c r="H24" s="166">
        <f>MAX(ROUND((H12+H16)*E24,0),IF(E24 &gt; 0, 5000000, 0))</f>
        <v>0</v>
      </c>
      <c r="I24" s="166">
        <f>ROUND(H24*'Hệ số'!C10,0)</f>
        <v>0</v>
      </c>
      <c r="J24" s="166">
        <f t="shared" si="1"/>
        <v>0</v>
      </c>
      <c r="K24" s="168"/>
    </row>
    <row r="25" spans="1:11" ht="30" x14ac:dyDescent="0.25">
      <c r="A25" s="124" t="s">
        <v>314</v>
      </c>
      <c r="B25" s="144" t="s">
        <v>273</v>
      </c>
      <c r="C25" s="168" t="s">
        <v>1069</v>
      </c>
      <c r="D25" s="168" t="s">
        <v>1069</v>
      </c>
      <c r="E25" s="137">
        <v>5.9000000000000003E-4</v>
      </c>
      <c r="F25" s="34"/>
      <c r="G25" s="168" t="s">
        <v>238</v>
      </c>
      <c r="H25" s="166">
        <f>ROUND((H12+H16)*E25,0)</f>
        <v>11773634</v>
      </c>
      <c r="I25" s="166">
        <f>ROUND(H25*'Hệ số'!C10,0)</f>
        <v>1177363</v>
      </c>
      <c r="J25" s="166">
        <f t="shared" si="1"/>
        <v>12950997</v>
      </c>
      <c r="K25" s="168"/>
    </row>
    <row r="26" spans="1:11" x14ac:dyDescent="0.25">
      <c r="A26" s="124" t="s">
        <v>267</v>
      </c>
      <c r="B26" s="144" t="s">
        <v>418</v>
      </c>
      <c r="C26" s="168" t="s">
        <v>1106</v>
      </c>
      <c r="D26" s="168" t="s">
        <v>1106</v>
      </c>
      <c r="E26" s="137">
        <v>1.6800000000000001E-3</v>
      </c>
      <c r="F26" s="34"/>
      <c r="G26" s="168" t="s">
        <v>238</v>
      </c>
      <c r="H26" s="166">
        <f>ROUND((H12+H16)*E26,0)</f>
        <v>33524924</v>
      </c>
      <c r="I26" s="166">
        <f>ROUND(H26*'Hệ số'!C10,0)</f>
        <v>3352492</v>
      </c>
      <c r="J26" s="166">
        <f t="shared" si="1"/>
        <v>36877416</v>
      </c>
      <c r="K26" s="168"/>
    </row>
    <row r="27" spans="1:11" x14ac:dyDescent="0.25">
      <c r="A27" s="124" t="s">
        <v>655</v>
      </c>
      <c r="B27" s="144" t="s">
        <v>1004</v>
      </c>
      <c r="C27" s="168" t="s">
        <v>328</v>
      </c>
      <c r="D27" s="168" t="s">
        <v>328</v>
      </c>
      <c r="E27" s="131"/>
      <c r="F27" s="34"/>
      <c r="G27" s="168"/>
      <c r="H27" s="166"/>
      <c r="I27" s="166">
        <f>ROUND(H27*'Hệ số'!C10,0)</f>
        <v>0</v>
      </c>
      <c r="J27" s="166">
        <f t="shared" si="1"/>
        <v>0</v>
      </c>
      <c r="K27" s="168"/>
    </row>
    <row r="28" spans="1:11" x14ac:dyDescent="0.25">
      <c r="A28" s="124" t="s">
        <v>187</v>
      </c>
      <c r="B28" s="144" t="s">
        <v>130</v>
      </c>
      <c r="C28" s="168" t="s">
        <v>692</v>
      </c>
      <c r="D28" s="168" t="s">
        <v>603</v>
      </c>
      <c r="E28" s="131"/>
      <c r="F28" s="34"/>
      <c r="G28" s="168" t="s">
        <v>163</v>
      </c>
      <c r="H28" s="166">
        <f>ROUND(H12*E28,0)</f>
        <v>0</v>
      </c>
      <c r="I28" s="166">
        <f>ROUND(H28*'Hệ số'!C10,0)</f>
        <v>0</v>
      </c>
      <c r="J28" s="166">
        <f t="shared" si="1"/>
        <v>0</v>
      </c>
      <c r="K28" s="168"/>
    </row>
    <row r="29" spans="1:11" x14ac:dyDescent="0.25">
      <c r="A29" s="124" t="s">
        <v>133</v>
      </c>
      <c r="B29" s="144" t="s">
        <v>199</v>
      </c>
      <c r="C29" s="168" t="s">
        <v>773</v>
      </c>
      <c r="D29" s="168" t="s">
        <v>603</v>
      </c>
      <c r="E29" s="137">
        <v>3.3320000000000002E-2</v>
      </c>
      <c r="F29" s="34"/>
      <c r="G29" s="168" t="s">
        <v>163</v>
      </c>
      <c r="H29" s="166">
        <f>ROUND(H12*E29,0)</f>
        <v>664910986</v>
      </c>
      <c r="I29" s="166">
        <f>ROUND(H29*'Hệ số'!C10,0)</f>
        <v>66491099</v>
      </c>
      <c r="J29" s="166">
        <f t="shared" si="1"/>
        <v>731402085</v>
      </c>
      <c r="K29" s="168"/>
    </row>
    <row r="30" spans="1:11" x14ac:dyDescent="0.25">
      <c r="A30" s="124" t="s">
        <v>77</v>
      </c>
      <c r="B30" s="144" t="s">
        <v>600</v>
      </c>
      <c r="C30" s="168" t="s">
        <v>924</v>
      </c>
      <c r="D30" s="168" t="s">
        <v>924</v>
      </c>
      <c r="E30" s="137">
        <v>2.2300000000000002E-3</v>
      </c>
      <c r="F30" s="34"/>
      <c r="G30" s="168" t="s">
        <v>163</v>
      </c>
      <c r="H30" s="166">
        <f>MAX(ROUND(H12*E30,0),IF(E30 &gt; 0, 2000000, 0))</f>
        <v>44500345</v>
      </c>
      <c r="I30" s="166">
        <f>ROUND(H30*'Hệ số'!C10,0)</f>
        <v>4450035</v>
      </c>
      <c r="J30" s="166">
        <f t="shared" si="1"/>
        <v>48950380</v>
      </c>
      <c r="K30" s="168"/>
    </row>
    <row r="31" spans="1:11" x14ac:dyDescent="0.25">
      <c r="A31" s="124" t="s">
        <v>466</v>
      </c>
      <c r="B31" s="120" t="s">
        <v>254</v>
      </c>
      <c r="C31" s="168" t="s">
        <v>676</v>
      </c>
      <c r="D31" s="168" t="s">
        <v>1076</v>
      </c>
      <c r="E31" s="137">
        <v>2.1900000000000001E-3</v>
      </c>
      <c r="F31" s="34"/>
      <c r="G31" s="168" t="s">
        <v>163</v>
      </c>
      <c r="H31" s="166">
        <f>MAX(ROUND(H12*E31,0),IF(E31 &gt; 0, 2000000, 0))</f>
        <v>43702133</v>
      </c>
      <c r="I31" s="166">
        <f>ROUND(H31*'Hệ số'!C10,0)</f>
        <v>4370213</v>
      </c>
      <c r="J31" s="166">
        <f t="shared" si="1"/>
        <v>48072346</v>
      </c>
      <c r="K31" s="168"/>
    </row>
    <row r="32" spans="1:11" ht="30" x14ac:dyDescent="0.25">
      <c r="A32" s="124" t="s">
        <v>428</v>
      </c>
      <c r="B32" s="144" t="s">
        <v>716</v>
      </c>
      <c r="C32" s="168" t="s">
        <v>676</v>
      </c>
      <c r="D32" s="168" t="s">
        <v>1076</v>
      </c>
      <c r="E32" s="137">
        <v>2.1900000000000001E-3</v>
      </c>
      <c r="F32" s="34"/>
      <c r="G32" s="168" t="s">
        <v>324</v>
      </c>
      <c r="H32" s="166">
        <f>MAX(ROUND('Dự toán gói thầu'!F20*E32,0),IF(E32 &gt; 0, 2000000, 0))</f>
        <v>45013197</v>
      </c>
      <c r="I32" s="166">
        <f>ROUND(H32*'Hệ số'!C10,0)</f>
        <v>4501320</v>
      </c>
      <c r="J32" s="166">
        <f t="shared" si="1"/>
        <v>49514517</v>
      </c>
      <c r="K32" s="168"/>
    </row>
    <row r="33" spans="1:11" ht="30" x14ac:dyDescent="0.25">
      <c r="A33" s="124" t="s">
        <v>383</v>
      </c>
      <c r="B33" s="144" t="s">
        <v>38</v>
      </c>
      <c r="C33" s="168" t="s">
        <v>1007</v>
      </c>
      <c r="D33" s="168" t="s">
        <v>1007</v>
      </c>
      <c r="E33" s="137">
        <v>7.1659999999999996E-3</v>
      </c>
      <c r="F33" s="34"/>
      <c r="G33" s="168" t="s">
        <v>537</v>
      </c>
      <c r="H33" s="166">
        <f>ROUND(1852847941*E33,0)</f>
        <v>13277508</v>
      </c>
      <c r="I33" s="166">
        <f>ROUND(H33*'Hệ số'!C10,0)</f>
        <v>1327751</v>
      </c>
      <c r="J33" s="166">
        <f t="shared" si="1"/>
        <v>14605259</v>
      </c>
      <c r="K33" s="168"/>
    </row>
    <row r="34" spans="1:11" ht="30" x14ac:dyDescent="0.25">
      <c r="A34" s="124" t="s">
        <v>335</v>
      </c>
      <c r="B34" s="144" t="s">
        <v>937</v>
      </c>
      <c r="C34" s="168" t="s">
        <v>1169</v>
      </c>
      <c r="D34" s="168" t="s">
        <v>905</v>
      </c>
      <c r="E34" s="137">
        <v>3.46E-3</v>
      </c>
      <c r="F34" s="34"/>
      <c r="G34" s="168" t="s">
        <v>324</v>
      </c>
      <c r="H34" s="166">
        <f>ROUND('Dự toán gói thầu'!F20*E34,0)</f>
        <v>71116740</v>
      </c>
      <c r="I34" s="166">
        <f>ROUND(H34*'Hệ số'!C10,0)</f>
        <v>7111674</v>
      </c>
      <c r="J34" s="166">
        <f t="shared" si="1"/>
        <v>78228414</v>
      </c>
      <c r="K34" s="168"/>
    </row>
    <row r="35" spans="1:11" ht="30" x14ac:dyDescent="0.25">
      <c r="A35" s="124" t="s">
        <v>728</v>
      </c>
      <c r="B35" s="144" t="s">
        <v>915</v>
      </c>
      <c r="C35" s="168" t="s">
        <v>431</v>
      </c>
      <c r="D35" s="168" t="s">
        <v>548</v>
      </c>
      <c r="E35" s="137">
        <v>3.6700000000000001E-3</v>
      </c>
      <c r="F35" s="34"/>
      <c r="G35" s="168" t="s">
        <v>103</v>
      </c>
      <c r="H35" s="166">
        <f>ROUND(H16*E35,0)</f>
        <v>0</v>
      </c>
      <c r="I35" s="166">
        <f>ROUND(H35*'Hệ số'!C10,0)</f>
        <v>0</v>
      </c>
      <c r="J35" s="166">
        <f t="shared" si="1"/>
        <v>0</v>
      </c>
      <c r="K35" s="168"/>
    </row>
    <row r="36" spans="1:11" x14ac:dyDescent="0.25">
      <c r="A36" s="124" t="s">
        <v>678</v>
      </c>
      <c r="B36" s="144" t="s">
        <v>588</v>
      </c>
      <c r="C36" s="168" t="s">
        <v>617</v>
      </c>
      <c r="D36" s="168" t="s">
        <v>147</v>
      </c>
      <c r="E36" s="137">
        <v>2.8549999999999999E-2</v>
      </c>
      <c r="F36" s="34"/>
      <c r="G36" s="168" t="s">
        <v>163</v>
      </c>
      <c r="H36" s="166">
        <f>ROUND(H12*E36,0)</f>
        <v>569724149</v>
      </c>
      <c r="I36" s="166">
        <f>ROUND(H36*'Hệ số'!C10,0)</f>
        <v>56972415</v>
      </c>
      <c r="J36" s="166">
        <f t="shared" si="1"/>
        <v>626696564</v>
      </c>
      <c r="K36" s="168"/>
    </row>
    <row r="37" spans="1:11" x14ac:dyDescent="0.25">
      <c r="A37" s="124" t="s">
        <v>631</v>
      </c>
      <c r="B37" s="144" t="s">
        <v>623</v>
      </c>
      <c r="C37" s="168" t="s">
        <v>688</v>
      </c>
      <c r="D37" s="168" t="s">
        <v>941</v>
      </c>
      <c r="E37" s="137">
        <v>8.4399999999999996E-3</v>
      </c>
      <c r="F37" s="34"/>
      <c r="G37" s="168" t="s">
        <v>103</v>
      </c>
      <c r="H37" s="166">
        <f>ROUND(H16*E37,0)</f>
        <v>0</v>
      </c>
      <c r="I37" s="166">
        <f>ROUND(H37*'Hệ số'!C10,0)</f>
        <v>0</v>
      </c>
      <c r="J37" s="166">
        <f t="shared" si="1"/>
        <v>0</v>
      </c>
      <c r="K37" s="168"/>
    </row>
    <row r="38" spans="1:11" x14ac:dyDescent="0.25">
      <c r="A38" s="124" t="s">
        <v>587</v>
      </c>
      <c r="B38" s="144" t="s">
        <v>318</v>
      </c>
      <c r="C38" s="168" t="s">
        <v>189</v>
      </c>
      <c r="D38" s="168" t="s">
        <v>189</v>
      </c>
      <c r="E38" s="137">
        <v>4.0719999999999999E-2</v>
      </c>
      <c r="F38" s="34"/>
      <c r="G38" s="168" t="s">
        <v>1117</v>
      </c>
      <c r="H38" s="166">
        <f>ROUND((H19+H20)*E38,0)</f>
        <v>0</v>
      </c>
      <c r="I38" s="166">
        <f>ROUND(H38*'Hệ số'!C10,0)</f>
        <v>0</v>
      </c>
      <c r="J38" s="166">
        <f t="shared" si="1"/>
        <v>0</v>
      </c>
      <c r="K38" s="168"/>
    </row>
    <row r="39" spans="1:11" ht="30" x14ac:dyDescent="0.25">
      <c r="A39" s="124" t="s">
        <v>543</v>
      </c>
      <c r="B39" s="144" t="s">
        <v>419</v>
      </c>
      <c r="C39" s="168"/>
      <c r="D39" s="168"/>
      <c r="E39" s="112">
        <v>5.0000000000000001E-4</v>
      </c>
      <c r="F39" s="34"/>
      <c r="G39" s="168" t="s">
        <v>324</v>
      </c>
      <c r="H39" s="166">
        <f>MIN(MAX(ROUND('Dự toán gói thầu'!F20*E39,0),IF(E39&gt;0,1000000,0)),30000000)</f>
        <v>10276986</v>
      </c>
      <c r="I39" s="166">
        <f>ROUND(H39*'Hệ số'!C10,0)</f>
        <v>1027699</v>
      </c>
      <c r="J39" s="166">
        <f t="shared" si="1"/>
        <v>11304685</v>
      </c>
      <c r="K39" s="168"/>
    </row>
    <row r="40" spans="1:11" ht="30" x14ac:dyDescent="0.25">
      <c r="A40" s="124" t="s">
        <v>475</v>
      </c>
      <c r="B40" s="144" t="s">
        <v>1082</v>
      </c>
      <c r="C40" s="168"/>
      <c r="D40" s="168"/>
      <c r="E40" s="112">
        <v>2.9999999999999997E-4</v>
      </c>
      <c r="F40" s="34"/>
      <c r="G40" s="168" t="s">
        <v>324</v>
      </c>
      <c r="H40" s="166">
        <f>MIN(MAX(ROUND('Dự toán gói thầu'!F20*E40,0),IF(E40&gt;0,1000000,0)),30000000)</f>
        <v>6166191</v>
      </c>
      <c r="I40" s="166">
        <f>ROUND(H40*'Hệ số'!C10,0)</f>
        <v>616619</v>
      </c>
      <c r="J40" s="166">
        <f t="shared" si="1"/>
        <v>6782810</v>
      </c>
      <c r="K40" s="168"/>
    </row>
    <row r="41" spans="1:11" ht="30" x14ac:dyDescent="0.25">
      <c r="A41" s="124" t="s">
        <v>441</v>
      </c>
      <c r="B41" s="144" t="s">
        <v>1049</v>
      </c>
      <c r="C41" s="168"/>
      <c r="D41" s="168"/>
      <c r="E41" s="8">
        <v>1E-3</v>
      </c>
      <c r="F41" s="34"/>
      <c r="G41" s="168" t="s">
        <v>324</v>
      </c>
      <c r="H41" s="166">
        <f>MIN(MAX(ROUND('Dự toán gói thầu'!F20*E41,0),IF(E41&gt;0,1000000,0)),50000000)</f>
        <v>20553971</v>
      </c>
      <c r="I41" s="166">
        <f>ROUND(H41*'Hệ số'!C10,0)</f>
        <v>2055397</v>
      </c>
      <c r="J41" s="166">
        <f t="shared" si="1"/>
        <v>22609368</v>
      </c>
      <c r="K41" s="168"/>
    </row>
    <row r="42" spans="1:11" ht="30" x14ac:dyDescent="0.25">
      <c r="A42" s="124" t="s">
        <v>837</v>
      </c>
      <c r="B42" s="144" t="s">
        <v>592</v>
      </c>
      <c r="C42" s="168"/>
      <c r="D42" s="168"/>
      <c r="E42" s="112">
        <v>5.0000000000000001E-4</v>
      </c>
      <c r="F42" s="34"/>
      <c r="G42" s="168" t="s">
        <v>324</v>
      </c>
      <c r="H42" s="166">
        <f>MIN(MAX(ROUND('Dự toán gói thầu'!F20*E42,0),IF(E42&gt;0,1000000,0)),30000000)</f>
        <v>10276986</v>
      </c>
      <c r="I42" s="166">
        <f>ROUND(H42*'Hệ số'!C10,0)</f>
        <v>1027699</v>
      </c>
      <c r="J42" s="166">
        <f t="shared" si="1"/>
        <v>11304685</v>
      </c>
      <c r="K42" s="168"/>
    </row>
    <row r="43" spans="1:11" ht="30" x14ac:dyDescent="0.25">
      <c r="A43" s="124" t="s">
        <v>798</v>
      </c>
      <c r="B43" s="144" t="s">
        <v>938</v>
      </c>
      <c r="C43" s="168"/>
      <c r="D43" s="168"/>
      <c r="E43" s="8">
        <v>1E-3</v>
      </c>
      <c r="F43" s="34"/>
      <c r="G43" s="168" t="s">
        <v>324</v>
      </c>
      <c r="H43" s="166">
        <f>MIN(MAX(ROUND('Dự toán gói thầu'!F20*E43,0),IF(E43&gt;0,1000000,0)),50000000)</f>
        <v>20553971</v>
      </c>
      <c r="I43" s="166">
        <f>ROUND(H43*'Hệ số'!C10,0)</f>
        <v>2055397</v>
      </c>
      <c r="J43" s="166">
        <f t="shared" si="1"/>
        <v>22609368</v>
      </c>
      <c r="K43" s="168"/>
    </row>
    <row r="44" spans="1:11" ht="45" x14ac:dyDescent="0.25">
      <c r="A44" s="124" t="s">
        <v>743</v>
      </c>
      <c r="B44" s="144" t="s">
        <v>114</v>
      </c>
      <c r="C44" s="168"/>
      <c r="D44" s="168"/>
      <c r="E44" s="112">
        <v>2.0000000000000001E-4</v>
      </c>
      <c r="F44" s="34"/>
      <c r="G44" s="168" t="s">
        <v>324</v>
      </c>
      <c r="H44" s="166">
        <f>MIN(MAX(ROUND('Dự toán gói thầu'!F20*E44,0),IF(E44&gt;0,1000000,0)),50000000)</f>
        <v>4110794</v>
      </c>
      <c r="I44" s="166">
        <f>ROUND(H44*'Hệ số'!C10,0)</f>
        <v>411079</v>
      </c>
      <c r="J44" s="166">
        <f t="shared" si="1"/>
        <v>4521873</v>
      </c>
      <c r="K44" s="168"/>
    </row>
    <row r="45" spans="1:11" x14ac:dyDescent="0.25">
      <c r="A45" s="102" t="s">
        <v>299</v>
      </c>
      <c r="B45" s="130" t="s">
        <v>334</v>
      </c>
      <c r="C45" s="159"/>
      <c r="D45" s="159"/>
      <c r="E45" s="114"/>
      <c r="F45" s="16"/>
      <c r="G45" s="159" t="s">
        <v>1142</v>
      </c>
      <c r="H45" s="155">
        <f>SUM(H46:H61)</f>
        <v>1312853050</v>
      </c>
      <c r="I45" s="155">
        <f>SUM(I46:I61)</f>
        <v>107413832</v>
      </c>
      <c r="J45" s="155">
        <f>SUM(J46:J61)</f>
        <v>1420266882</v>
      </c>
      <c r="K45" s="159" t="s">
        <v>123</v>
      </c>
    </row>
    <row r="46" spans="1:11" x14ac:dyDescent="0.25">
      <c r="A46" s="124" t="s">
        <v>179</v>
      </c>
      <c r="B46" s="144" t="s">
        <v>997</v>
      </c>
      <c r="C46" s="168" t="s">
        <v>442</v>
      </c>
      <c r="D46" s="168" t="s">
        <v>442</v>
      </c>
      <c r="E46" s="131"/>
      <c r="F46" s="34"/>
      <c r="G46" s="168"/>
      <c r="H46" s="166"/>
      <c r="I46" s="166">
        <f>ROUND(H46*'Hệ số'!C10,0)</f>
        <v>0</v>
      </c>
      <c r="J46" s="166">
        <f>ROUND(H46+I46,0)</f>
        <v>0</v>
      </c>
      <c r="K46" s="168"/>
    </row>
    <row r="47" spans="1:11" x14ac:dyDescent="0.25">
      <c r="A47" s="124" t="s">
        <v>121</v>
      </c>
      <c r="B47" s="144" t="s">
        <v>608</v>
      </c>
      <c r="C47" s="168" t="s">
        <v>615</v>
      </c>
      <c r="D47" s="168" t="s">
        <v>615</v>
      </c>
      <c r="E47" s="8">
        <v>3.0000000000000001E-3</v>
      </c>
      <c r="F47" s="34"/>
      <c r="G47" s="168" t="s">
        <v>163</v>
      </c>
      <c r="H47" s="166">
        <f>ROUND(H12*E47,0)</f>
        <v>59865935</v>
      </c>
      <c r="I47" s="166">
        <f>ROUND(H47*'Hệ số'!C10,0)</f>
        <v>5986594</v>
      </c>
      <c r="J47" s="166">
        <f>ROUND(H47+I47,0)</f>
        <v>65852529</v>
      </c>
      <c r="K47" s="168"/>
    </row>
    <row r="48" spans="1:11" ht="30" x14ac:dyDescent="0.25">
      <c r="A48" s="124" t="s">
        <v>509</v>
      </c>
      <c r="B48" s="144" t="s">
        <v>803</v>
      </c>
      <c r="C48" s="168"/>
      <c r="D48" s="168"/>
      <c r="E48" s="131"/>
      <c r="F48" s="34"/>
      <c r="G48" s="168" t="s">
        <v>417</v>
      </c>
      <c r="H48" s="49">
        <f>'Hạng mục chung'!F15</f>
        <v>601048161</v>
      </c>
      <c r="I48" s="49">
        <f>'Hạng mục chung'!G15</f>
        <v>60104816</v>
      </c>
      <c r="J48" s="49">
        <f>'Hạng mục chung'!H15</f>
        <v>661152977</v>
      </c>
      <c r="K48" s="168"/>
    </row>
    <row r="49" spans="1:11" ht="30" hidden="1" x14ac:dyDescent="0.25">
      <c r="A49" s="124" t="s">
        <v>463</v>
      </c>
      <c r="B49" s="144" t="s">
        <v>607</v>
      </c>
      <c r="C49" s="168" t="s">
        <v>504</v>
      </c>
      <c r="D49" s="168" t="s">
        <v>504</v>
      </c>
      <c r="E49" s="137">
        <v>1.65E-4</v>
      </c>
      <c r="F49" s="34"/>
      <c r="G49" s="168" t="s">
        <v>842</v>
      </c>
      <c r="H49" s="166">
        <f>0*(MIN(ROUND((30754355992)*E50,0),150000000))</f>
        <v>0</v>
      </c>
      <c r="I49" s="166"/>
      <c r="J49" s="166">
        <f>0*(ROUND(H50+I50,0))</f>
        <v>0</v>
      </c>
      <c r="K49" s="168"/>
    </row>
    <row r="50" spans="1:11" ht="30" x14ac:dyDescent="0.25">
      <c r="A50" s="124" t="s">
        <v>463</v>
      </c>
      <c r="B50" s="144" t="s">
        <v>295</v>
      </c>
      <c r="C50" s="168" t="s">
        <v>504</v>
      </c>
      <c r="D50" s="168" t="s">
        <v>285</v>
      </c>
      <c r="E50" s="137">
        <v>1.65E-4</v>
      </c>
      <c r="F50" s="34"/>
      <c r="G50" s="168" t="s">
        <v>842</v>
      </c>
      <c r="H50" s="166">
        <f>MIN(ROUND((30754355992)*E50,0),150000000)</f>
        <v>5074469</v>
      </c>
      <c r="I50" s="166"/>
      <c r="J50" s="166">
        <f>ROUND(H50+I50,0)</f>
        <v>5074469</v>
      </c>
      <c r="K50" s="168"/>
    </row>
    <row r="51" spans="1:11" ht="30" x14ac:dyDescent="0.25">
      <c r="A51" s="124" t="s">
        <v>425</v>
      </c>
      <c r="B51" s="144" t="s">
        <v>454</v>
      </c>
      <c r="C51" s="168" t="s">
        <v>898</v>
      </c>
      <c r="D51" s="168" t="s">
        <v>468</v>
      </c>
      <c r="E51" s="137">
        <v>5.5919999999999997E-3</v>
      </c>
      <c r="F51" s="34"/>
      <c r="G51" s="168" t="s">
        <v>842</v>
      </c>
      <c r="H51" s="166">
        <f>MAX(ROUND((30754355992)*E51,0),IF(E51 &gt; 0,500000,0))</f>
        <v>171978359</v>
      </c>
      <c r="I51" s="166"/>
      <c r="J51" s="166">
        <f>H51</f>
        <v>171978359</v>
      </c>
      <c r="K51" s="168"/>
    </row>
    <row r="52" spans="1:11" ht="30" x14ac:dyDescent="0.25">
      <c r="A52" s="124" t="s">
        <v>377</v>
      </c>
      <c r="B52" s="144" t="s">
        <v>713</v>
      </c>
      <c r="C52" s="168" t="s">
        <v>340</v>
      </c>
      <c r="D52" s="168" t="s">
        <v>512</v>
      </c>
      <c r="E52" s="137">
        <v>9.0639999999999991E-3</v>
      </c>
      <c r="F52" s="34"/>
      <c r="G52" s="168" t="s">
        <v>842</v>
      </c>
      <c r="H52" s="166">
        <f>MAX(ROUND((30754355992)*E52,0),IF(E52 &gt; 0,1000000,0))</f>
        <v>278757483</v>
      </c>
      <c r="I52" s="166">
        <f>ROUND(H52*'Hệ số'!C10,0)</f>
        <v>27875748</v>
      </c>
      <c r="J52" s="166">
        <f>ROUND(H52+I52,0)</f>
        <v>306633231</v>
      </c>
      <c r="K52" s="168"/>
    </row>
    <row r="53" spans="1:11" ht="30" hidden="1" x14ac:dyDescent="0.25">
      <c r="A53" s="124" t="s">
        <v>779</v>
      </c>
      <c r="B53" s="120" t="s">
        <v>108</v>
      </c>
      <c r="C53" s="168" t="s">
        <v>985</v>
      </c>
      <c r="D53" s="168" t="s">
        <v>1040</v>
      </c>
      <c r="E53" s="137">
        <v>1.57E-3</v>
      </c>
      <c r="F53" s="34"/>
      <c r="G53" s="168" t="s">
        <v>163</v>
      </c>
      <c r="H53" s="166">
        <f>0*(ROUND(H12*E53,0))</f>
        <v>0</v>
      </c>
      <c r="I53" s="166"/>
      <c r="J53" s="166">
        <f>0*(ROUND(H53+I53,0))</f>
        <v>0</v>
      </c>
      <c r="K53" s="168"/>
    </row>
    <row r="54" spans="1:11" ht="30" x14ac:dyDescent="0.25">
      <c r="A54" s="124" t="s">
        <v>779</v>
      </c>
      <c r="B54" s="120" t="s">
        <v>636</v>
      </c>
      <c r="C54" s="168" t="s">
        <v>985</v>
      </c>
      <c r="D54" s="168" t="s">
        <v>449</v>
      </c>
      <c r="E54" s="137">
        <v>1.57E-3</v>
      </c>
      <c r="F54" s="34"/>
      <c r="G54" s="168" t="s">
        <v>163</v>
      </c>
      <c r="H54" s="166">
        <f>ROUND(H12*E54,0)</f>
        <v>31329839</v>
      </c>
      <c r="I54" s="166"/>
      <c r="J54" s="166">
        <f>ROUND(H54+I54,0)</f>
        <v>31329839</v>
      </c>
      <c r="K54" s="168"/>
    </row>
    <row r="55" spans="1:11" ht="30" hidden="1" x14ac:dyDescent="0.25">
      <c r="A55" s="124" t="s">
        <v>721</v>
      </c>
      <c r="B55" s="120" t="s">
        <v>24</v>
      </c>
      <c r="C55" s="168" t="s">
        <v>1141</v>
      </c>
      <c r="D55" s="168" t="s">
        <v>858</v>
      </c>
      <c r="E55" s="137">
        <v>1.5200000000000001E-3</v>
      </c>
      <c r="F55" s="34"/>
      <c r="G55" s="168" t="s">
        <v>163</v>
      </c>
      <c r="H55" s="166">
        <f>0*(ROUND(H12*E55,0))</f>
        <v>0</v>
      </c>
      <c r="I55" s="166"/>
      <c r="J55" s="166">
        <f>0*(ROUND(H55+I55,0))</f>
        <v>0</v>
      </c>
      <c r="K55" s="168"/>
    </row>
    <row r="56" spans="1:11" ht="30" x14ac:dyDescent="0.25">
      <c r="A56" s="124" t="s">
        <v>721</v>
      </c>
      <c r="B56" s="120" t="s">
        <v>529</v>
      </c>
      <c r="C56" s="168" t="s">
        <v>1141</v>
      </c>
      <c r="D56" s="168" t="s">
        <v>734</v>
      </c>
      <c r="E56" s="137">
        <v>1.5200000000000001E-3</v>
      </c>
      <c r="F56" s="34"/>
      <c r="G56" s="168" t="s">
        <v>163</v>
      </c>
      <c r="H56" s="166">
        <f>ROUND(H12*E56,0)</f>
        <v>30332074</v>
      </c>
      <c r="I56" s="166"/>
      <c r="J56" s="166">
        <f>ROUND(H56+I56,0)</f>
        <v>30332074</v>
      </c>
      <c r="K56" s="168"/>
    </row>
    <row r="57" spans="1:11" ht="30" hidden="1" x14ac:dyDescent="0.25">
      <c r="A57" s="124" t="s">
        <v>669</v>
      </c>
      <c r="B57" s="144" t="s">
        <v>228</v>
      </c>
      <c r="C57" s="168" t="s">
        <v>1179</v>
      </c>
      <c r="D57" s="168" t="s">
        <v>1179</v>
      </c>
      <c r="E57" s="137">
        <v>8.8499999999999996E-5</v>
      </c>
      <c r="F57" s="34"/>
      <c r="G57" s="168" t="s">
        <v>842</v>
      </c>
      <c r="H57" s="166">
        <f>0*(MIN(MAX(ROUND((30754355992)*E57,0),IF(E57&gt;0,2000000,0)),150000000))</f>
        <v>0</v>
      </c>
      <c r="I57" s="166">
        <f>0*(ROUND(H57*'Hệ số'!C10,0))</f>
        <v>0</v>
      </c>
      <c r="J57" s="166">
        <f>0*(ROUND(H57+I57,0))</f>
        <v>0</v>
      </c>
      <c r="K57" s="168"/>
    </row>
    <row r="58" spans="1:11" ht="45" x14ac:dyDescent="0.25">
      <c r="A58" s="124" t="s">
        <v>669</v>
      </c>
      <c r="B58" s="144" t="s">
        <v>1031</v>
      </c>
      <c r="C58" s="168" t="s">
        <v>1179</v>
      </c>
      <c r="D58" s="168" t="s">
        <v>920</v>
      </c>
      <c r="E58" s="137">
        <v>8.8499999999999996E-5</v>
      </c>
      <c r="F58" s="34"/>
      <c r="G58" s="168" t="s">
        <v>842</v>
      </c>
      <c r="H58" s="166">
        <f>MIN(MAX(ROUND((30754355992)*E58,0),IF(E58&gt;0,500000,0)),150000000)</f>
        <v>2721761</v>
      </c>
      <c r="I58" s="166">
        <f>ROUND(H58*'Hệ số'!C10,0)</f>
        <v>272176</v>
      </c>
      <c r="J58" s="166">
        <f>ROUND(H58+I58,0)</f>
        <v>2993937</v>
      </c>
      <c r="K58" s="168"/>
    </row>
    <row r="59" spans="1:11" ht="30" x14ac:dyDescent="0.25">
      <c r="A59" s="124" t="s">
        <v>611</v>
      </c>
      <c r="B59" s="144" t="s">
        <v>705</v>
      </c>
      <c r="C59" s="168"/>
      <c r="D59" s="168"/>
      <c r="E59" s="112">
        <v>5.0000000000000001E-4</v>
      </c>
      <c r="F59" s="34"/>
      <c r="G59" s="168" t="s">
        <v>324</v>
      </c>
      <c r="H59" s="166">
        <f>MIN(MAX(ROUND('Dự toán gói thầu'!F20*E59,0),IF(E59&gt;0,1000000,0)),50000000)</f>
        <v>10276986</v>
      </c>
      <c r="I59" s="166">
        <f>ROUND(H59*'Hệ số'!C10,0)</f>
        <v>1027699</v>
      </c>
      <c r="J59" s="166">
        <f>ROUND(H59+I59,0)</f>
        <v>11304685</v>
      </c>
      <c r="K59" s="168"/>
    </row>
    <row r="60" spans="1:11" ht="30" x14ac:dyDescent="0.25">
      <c r="A60" s="124" t="s">
        <v>557</v>
      </c>
      <c r="B60" s="144" t="s">
        <v>618</v>
      </c>
      <c r="C60" s="168"/>
      <c r="D60" s="168"/>
      <c r="E60" s="112">
        <v>5.0000000000000001E-4</v>
      </c>
      <c r="F60" s="34"/>
      <c r="G60" s="168" t="s">
        <v>324</v>
      </c>
      <c r="H60" s="166">
        <f>MIN(MAX(ROUND('Dự toán gói thầu'!F20*E60,0),IF(E60&gt;0,1000000,0)),50000000)</f>
        <v>10276986</v>
      </c>
      <c r="I60" s="166">
        <f>ROUND(H60*'Hệ số'!C10,0)</f>
        <v>1027699</v>
      </c>
      <c r="J60" s="166">
        <f>ROUND(H60+I60,0)</f>
        <v>11304685</v>
      </c>
      <c r="K60" s="168"/>
    </row>
    <row r="61" spans="1:11" ht="30" x14ac:dyDescent="0.25">
      <c r="A61" s="124" t="s">
        <v>496</v>
      </c>
      <c r="B61" s="144" t="s">
        <v>131</v>
      </c>
      <c r="C61" s="168"/>
      <c r="D61" s="168"/>
      <c r="E61" s="41">
        <v>0.2</v>
      </c>
      <c r="F61" s="34"/>
      <c r="G61" s="168" t="s">
        <v>550</v>
      </c>
      <c r="H61" s="166">
        <f>ROUND(H17*E61,0)</f>
        <v>111190997</v>
      </c>
      <c r="I61" s="166">
        <f>ROUND(H61*'Hệ số'!C10,0)</f>
        <v>11119100</v>
      </c>
      <c r="J61" s="166">
        <f>ROUND(H61+I61,0)</f>
        <v>122310097</v>
      </c>
      <c r="K61" s="168"/>
    </row>
    <row r="62" spans="1:11" x14ac:dyDescent="0.25">
      <c r="A62" s="102" t="s">
        <v>251</v>
      </c>
      <c r="B62" s="130" t="s">
        <v>215</v>
      </c>
      <c r="C62" s="159"/>
      <c r="D62" s="159"/>
      <c r="E62" s="114"/>
      <c r="F62" s="16"/>
      <c r="G62" s="159" t="s">
        <v>1142</v>
      </c>
      <c r="H62" s="155">
        <f>SUM(H63:H64)</f>
        <v>0</v>
      </c>
      <c r="I62" s="155">
        <f>SUM(I63:I64)</f>
        <v>0</v>
      </c>
      <c r="J62" s="155">
        <f>SUM(J63:J64)</f>
        <v>4736669030</v>
      </c>
      <c r="K62" s="159" t="s">
        <v>1029</v>
      </c>
    </row>
    <row r="63" spans="1:11" ht="30" x14ac:dyDescent="0.25">
      <c r="A63" s="124" t="s">
        <v>632</v>
      </c>
      <c r="B63" s="144" t="s">
        <v>992</v>
      </c>
      <c r="C63" s="168" t="s">
        <v>229</v>
      </c>
      <c r="D63" s="168" t="s">
        <v>229</v>
      </c>
      <c r="E63" s="41">
        <v>0.1</v>
      </c>
      <c r="F63" s="34"/>
      <c r="G63" s="168" t="s">
        <v>190</v>
      </c>
      <c r="H63" s="166"/>
      <c r="I63" s="166"/>
      <c r="J63" s="166">
        <f>ROUND((J11+J12+J16+J17+J18+J45)*E63,0)</f>
        <v>2602079298</v>
      </c>
      <c r="K63" s="168"/>
    </row>
    <row r="64" spans="1:11" ht="30" x14ac:dyDescent="0.25">
      <c r="A64" s="124" t="s">
        <v>591</v>
      </c>
      <c r="B64" s="144" t="s">
        <v>579</v>
      </c>
      <c r="C64" s="168" t="s">
        <v>604</v>
      </c>
      <c r="D64" s="168" t="s">
        <v>604</v>
      </c>
      <c r="E64" s="131"/>
      <c r="F64" s="34"/>
      <c r="G64" s="168" t="s">
        <v>1070</v>
      </c>
      <c r="H64" s="166"/>
      <c r="I64" s="166"/>
      <c r="J64" s="49">
        <f>'Dự phòng trượt giá'!D29</f>
        <v>2134589732</v>
      </c>
      <c r="K64" s="168"/>
    </row>
    <row r="65" spans="1:11" x14ac:dyDescent="0.25">
      <c r="A65" s="168"/>
      <c r="B65" s="159" t="s">
        <v>832</v>
      </c>
      <c r="C65" s="168"/>
      <c r="D65" s="168"/>
      <c r="E65" s="131"/>
      <c r="F65" s="34"/>
      <c r="G65" s="168" t="s">
        <v>1142</v>
      </c>
      <c r="H65" s="155">
        <f>H11+H12+H16+H17+H18+H45+H62</f>
        <v>23676967687</v>
      </c>
      <c r="I65" s="155">
        <f>I11+I12+I16+I17+I18+I45+I62</f>
        <v>2343825296</v>
      </c>
      <c r="J65" s="155">
        <f>J11+J12+J16+J17+J18+J45+J62</f>
        <v>30757462013</v>
      </c>
      <c r="K65" s="159" t="s">
        <v>483</v>
      </c>
    </row>
    <row r="66" spans="1:11" x14ac:dyDescent="0.25">
      <c r="A66" s="57"/>
      <c r="B66" s="42" t="s">
        <v>524</v>
      </c>
      <c r="C66" s="57"/>
      <c r="D66" s="57"/>
      <c r="E66" s="9"/>
      <c r="F66" s="89"/>
      <c r="G66" s="57"/>
      <c r="H66" s="51"/>
      <c r="I66" s="51"/>
      <c r="J66" s="35">
        <f>ROUND(J65,-3)</f>
        <v>30757462000</v>
      </c>
      <c r="K66" s="57"/>
    </row>
    <row r="67" spans="1:11" ht="18.75" customHeight="1" x14ac:dyDescent="0.25">
      <c r="A67" s="314" t="e">
        <f ca="1">TienBangChu(J66)</f>
        <v>#NAME?</v>
      </c>
      <c r="B67" s="314"/>
      <c r="C67" s="314"/>
      <c r="D67" s="314"/>
      <c r="E67" s="314"/>
      <c r="F67" s="314"/>
      <c r="G67" s="314"/>
      <c r="H67" s="314"/>
      <c r="I67" s="314"/>
      <c r="J67" s="314"/>
      <c r="K67" s="314"/>
    </row>
    <row r="68" spans="1:11" ht="16.5" customHeight="1" x14ac:dyDescent="0.25">
      <c r="A68" s="2"/>
      <c r="B68" s="146"/>
      <c r="C68" s="2"/>
      <c r="D68" s="2"/>
      <c r="E68" s="36"/>
      <c r="F68" s="36"/>
      <c r="G68" s="2"/>
      <c r="H68" s="36"/>
      <c r="I68" s="36"/>
      <c r="J68" s="36"/>
      <c r="K68" s="2"/>
    </row>
    <row r="69" spans="1:11" ht="18" customHeight="1" x14ac:dyDescent="0.25">
      <c r="A69" s="2"/>
      <c r="B69" s="162" t="s">
        <v>1096</v>
      </c>
      <c r="C69" s="2"/>
      <c r="D69" s="2"/>
      <c r="E69" s="36"/>
      <c r="F69" s="36"/>
      <c r="G69" s="2"/>
      <c r="H69" s="36"/>
      <c r="I69" s="311" t="s">
        <v>552</v>
      </c>
      <c r="J69" s="311"/>
      <c r="K69" s="311"/>
    </row>
    <row r="70" spans="1:11" ht="16.5" customHeight="1" x14ac:dyDescent="0.25">
      <c r="A70" s="2"/>
      <c r="B70" s="146"/>
      <c r="C70" s="2"/>
      <c r="D70" s="2"/>
      <c r="E70" s="36"/>
      <c r="F70" s="36"/>
      <c r="G70" s="2"/>
      <c r="H70" s="36"/>
      <c r="I70" s="36"/>
      <c r="J70" s="36"/>
      <c r="K70" s="2"/>
    </row>
    <row r="71" spans="1:11" ht="16.5" customHeight="1" x14ac:dyDescent="0.25">
      <c r="A71" s="2"/>
      <c r="B71" s="146"/>
      <c r="C71" s="2"/>
      <c r="D71" s="2"/>
      <c r="E71" s="36"/>
      <c r="F71" s="36"/>
      <c r="G71" s="2"/>
      <c r="H71" s="36"/>
      <c r="I71" s="36"/>
      <c r="J71" s="36"/>
      <c r="K71" s="2"/>
    </row>
    <row r="72" spans="1:11" ht="16.5" customHeight="1" x14ac:dyDescent="0.25">
      <c r="A72" s="2"/>
      <c r="B72" s="146"/>
      <c r="C72" s="2"/>
      <c r="D72" s="2"/>
      <c r="E72" s="36"/>
      <c r="F72" s="36"/>
      <c r="G72" s="2"/>
      <c r="H72" s="36"/>
      <c r="I72" s="36"/>
      <c r="J72" s="36"/>
      <c r="K72" s="2"/>
    </row>
    <row r="73" spans="1:11" ht="16.5" customHeight="1" x14ac:dyDescent="0.25">
      <c r="A73" s="2"/>
      <c r="B73" s="146"/>
      <c r="C73" s="2"/>
      <c r="D73" s="2"/>
      <c r="E73" s="36"/>
      <c r="F73" s="36"/>
      <c r="G73" s="2"/>
      <c r="H73" s="36"/>
      <c r="I73" s="36"/>
      <c r="J73" s="36"/>
      <c r="K73" s="2"/>
    </row>
    <row r="74" spans="1:11" ht="18" customHeight="1" x14ac:dyDescent="0.25">
      <c r="A74" s="2"/>
      <c r="B74" s="2" t="s">
        <v>1057</v>
      </c>
      <c r="C74" s="2"/>
      <c r="D74" s="2"/>
      <c r="E74" s="36"/>
      <c r="F74" s="36"/>
      <c r="G74" s="2"/>
      <c r="H74" s="36"/>
      <c r="I74" s="316" t="s">
        <v>1057</v>
      </c>
      <c r="J74" s="316"/>
      <c r="K74" s="316"/>
    </row>
    <row r="75" spans="1:11" ht="18" customHeight="1" x14ac:dyDescent="0.25">
      <c r="A75" s="2"/>
      <c r="B75" s="2" t="s">
        <v>646</v>
      </c>
      <c r="C75" s="2"/>
      <c r="D75" s="2"/>
      <c r="E75" s="36"/>
      <c r="F75" s="36"/>
      <c r="G75" s="2"/>
      <c r="H75" s="36"/>
      <c r="I75" s="316" t="s">
        <v>1012</v>
      </c>
      <c r="J75" s="316"/>
      <c r="K75" s="316"/>
    </row>
    <row r="76" spans="1:11" ht="18" customHeight="1" x14ac:dyDescent="0.25">
      <c r="A76" s="2"/>
      <c r="B76" s="146"/>
      <c r="C76" s="2"/>
      <c r="D76" s="2"/>
      <c r="E76" s="36"/>
      <c r="F76" s="36"/>
      <c r="G76" s="2"/>
      <c r="H76" s="36"/>
      <c r="I76" s="316" t="s">
        <v>195</v>
      </c>
      <c r="J76" s="316"/>
      <c r="K76" s="316"/>
    </row>
    <row r="77" spans="1:11" ht="16.5" customHeight="1" x14ac:dyDescent="0.25">
      <c r="A77" s="2"/>
      <c r="B77" s="146"/>
      <c r="C77" s="2"/>
      <c r="D77" s="2"/>
      <c r="E77" s="36"/>
      <c r="F77" s="36"/>
      <c r="G77" s="2"/>
      <c r="H77" s="36"/>
      <c r="I77" s="36"/>
      <c r="J77" s="36"/>
      <c r="K77" s="2"/>
    </row>
  </sheetData>
  <mergeCells count="14">
    <mergeCell ref="E6:G6"/>
    <mergeCell ref="I75:K75"/>
    <mergeCell ref="I76:K76"/>
    <mergeCell ref="E7:G7"/>
    <mergeCell ref="E8:G8"/>
    <mergeCell ref="J9:K9"/>
    <mergeCell ref="A67:K67"/>
    <mergeCell ref="I69:K69"/>
    <mergeCell ref="I74:K74"/>
    <mergeCell ref="A1:K1"/>
    <mergeCell ref="A2:K2"/>
    <mergeCell ref="H3:K3"/>
    <mergeCell ref="A4:K4"/>
    <mergeCell ref="E5:G5"/>
  </mergeCells>
  <pageMargins left="0.7" right="0.7" top="0.75" bottom="0.75" header="0.3" footer="0.3"/>
  <pageSetup paperSize="9" orientation="landscape"/>
  <headerFooter alignWithMargins="0"/>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23"/>
  <sheetViews>
    <sheetView showZeros="0" workbookViewId="0">
      <selection sqref="A1:I1"/>
    </sheetView>
  </sheetViews>
  <sheetFormatPr defaultColWidth="9.140625" defaultRowHeight="15" x14ac:dyDescent="0.25"/>
  <cols>
    <col min="1" max="1" width="6.28515625" style="143" customWidth="1"/>
    <col min="2" max="2" width="43.5703125" style="143" customWidth="1"/>
    <col min="3" max="3" width="9.85546875" style="143" customWidth="1"/>
    <col min="4" max="4" width="12" style="143" customWidth="1"/>
    <col min="5" max="5" width="12.42578125" style="143" customWidth="1"/>
    <col min="6" max="6" width="16" style="143" customWidth="1"/>
    <col min="7" max="7" width="6.5703125" style="143" customWidth="1"/>
    <col min="8" max="8" width="13.28515625" style="143" customWidth="1"/>
    <col min="9" max="9" width="15.28515625" style="143" customWidth="1"/>
    <col min="10" max="16384" width="9.140625" style="143"/>
  </cols>
  <sheetData>
    <row r="1" spans="1:9" ht="24" customHeight="1" x14ac:dyDescent="0.25">
      <c r="A1" s="300" t="s">
        <v>995</v>
      </c>
      <c r="B1" s="300"/>
      <c r="C1" s="300"/>
      <c r="D1" s="300"/>
      <c r="E1" s="300"/>
      <c r="F1" s="300"/>
      <c r="G1" s="300"/>
      <c r="H1" s="300"/>
      <c r="I1" s="300"/>
    </row>
    <row r="2" spans="1:9" ht="20.25" customHeight="1" x14ac:dyDescent="0.25">
      <c r="A2" s="309" t="str">
        <f>'Công trình'!A2</f>
        <v>CÔNG TRÌNH: ĐÊ BAO VEN SÔNG SÀI GÒN ĐOẠN TỪ RẠCH NÀNG ÂM ĐẾN RẠCH LÁNG THE</v>
      </c>
      <c r="B2" s="309"/>
      <c r="C2" s="309"/>
      <c r="D2" s="309"/>
      <c r="E2" s="309"/>
      <c r="F2" s="309"/>
      <c r="G2" s="309"/>
      <c r="H2" s="309"/>
      <c r="I2" s="309"/>
    </row>
    <row r="3" spans="1:9" ht="18" customHeight="1" x14ac:dyDescent="0.25">
      <c r="A3" s="2"/>
      <c r="B3" s="146"/>
      <c r="C3" s="2"/>
      <c r="D3" s="36"/>
      <c r="E3" s="36"/>
      <c r="F3" s="36"/>
      <c r="G3" s="36"/>
      <c r="H3" s="36"/>
      <c r="I3" s="36"/>
    </row>
    <row r="4" spans="1:9" ht="20.25" customHeight="1" x14ac:dyDescent="0.25">
      <c r="A4" s="303" t="s">
        <v>761</v>
      </c>
      <c r="B4" s="304" t="s">
        <v>850</v>
      </c>
      <c r="C4" s="304" t="s">
        <v>971</v>
      </c>
      <c r="D4" s="307" t="s">
        <v>196</v>
      </c>
      <c r="E4" s="305" t="s">
        <v>1168</v>
      </c>
      <c r="F4" s="305" t="s">
        <v>396</v>
      </c>
      <c r="G4" s="304" t="s">
        <v>821</v>
      </c>
      <c r="H4" s="304"/>
      <c r="I4" s="305" t="s">
        <v>642</v>
      </c>
    </row>
    <row r="5" spans="1:9" ht="19.5" customHeight="1" x14ac:dyDescent="0.25">
      <c r="A5" s="303"/>
      <c r="B5" s="304"/>
      <c r="C5" s="304"/>
      <c r="D5" s="307"/>
      <c r="E5" s="305"/>
      <c r="F5" s="305"/>
      <c r="G5" s="117" t="s">
        <v>584</v>
      </c>
      <c r="H5" s="67" t="s">
        <v>563</v>
      </c>
      <c r="I5" s="305"/>
    </row>
    <row r="6" spans="1:9" x14ac:dyDescent="0.25">
      <c r="A6" s="167" t="s">
        <v>85</v>
      </c>
      <c r="B6" s="14" t="s">
        <v>167</v>
      </c>
      <c r="C6" s="46"/>
      <c r="D6" s="106"/>
      <c r="E6" s="39"/>
      <c r="F6" s="39">
        <f>ROUND(D6*E6,0)</f>
        <v>0</v>
      </c>
      <c r="G6" s="82"/>
      <c r="H6" s="39">
        <f>ROUND(F6*G6/100,0)</f>
        <v>0</v>
      </c>
      <c r="I6" s="39">
        <f>F6+H6</f>
        <v>0</v>
      </c>
    </row>
    <row r="7" spans="1:9" x14ac:dyDescent="0.25">
      <c r="A7" s="168"/>
      <c r="B7" s="144" t="s">
        <v>440</v>
      </c>
      <c r="C7" s="168"/>
      <c r="D7" s="60"/>
      <c r="E7" s="166"/>
      <c r="F7" s="166">
        <f>ROUND(D7*E7,0)</f>
        <v>0</v>
      </c>
      <c r="G7" s="34"/>
      <c r="H7" s="166">
        <f>ROUND(F7*G7/100,0)</f>
        <v>0</v>
      </c>
      <c r="I7" s="166">
        <f>F7+H7</f>
        <v>0</v>
      </c>
    </row>
    <row r="8" spans="1:9" x14ac:dyDescent="0.25">
      <c r="A8" s="168"/>
      <c r="B8" s="144" t="s">
        <v>440</v>
      </c>
      <c r="C8" s="168"/>
      <c r="D8" s="60"/>
      <c r="E8" s="166"/>
      <c r="F8" s="166">
        <f>ROUND(D8*E8,0)</f>
        <v>0</v>
      </c>
      <c r="G8" s="34"/>
      <c r="H8" s="166">
        <f>ROUND(F8*G8/100,0)</f>
        <v>0</v>
      </c>
      <c r="I8" s="166">
        <f>F8+H8</f>
        <v>0</v>
      </c>
    </row>
    <row r="9" spans="1:9" x14ac:dyDescent="0.25">
      <c r="A9" s="102" t="s">
        <v>36</v>
      </c>
      <c r="B9" s="130" t="s">
        <v>52</v>
      </c>
      <c r="C9" s="159"/>
      <c r="D9" s="43"/>
      <c r="E9" s="155"/>
      <c r="F9" s="155">
        <f>ROUND(D9*E9,0)</f>
        <v>0</v>
      </c>
      <c r="G9" s="16"/>
      <c r="H9" s="155">
        <f>ROUND(F9*G9/100,0)</f>
        <v>0</v>
      </c>
      <c r="I9" s="155">
        <f>F9+H9</f>
        <v>0</v>
      </c>
    </row>
    <row r="10" spans="1:9" x14ac:dyDescent="0.25">
      <c r="A10" s="163" t="s">
        <v>1190</v>
      </c>
      <c r="B10" s="10" t="s">
        <v>839</v>
      </c>
      <c r="C10" s="42"/>
      <c r="D10" s="101"/>
      <c r="E10" s="35"/>
      <c r="F10" s="35">
        <f>ROUND(D10*E10,0)</f>
        <v>0</v>
      </c>
      <c r="G10" s="77"/>
      <c r="H10" s="35">
        <f>ROUND(F10*G10/100,0)</f>
        <v>0</v>
      </c>
      <c r="I10" s="35">
        <f>F10+H10</f>
        <v>0</v>
      </c>
    </row>
    <row r="11" spans="1:9" ht="18" customHeight="1" x14ac:dyDescent="0.25">
      <c r="A11" s="128"/>
      <c r="B11" s="5" t="s">
        <v>787</v>
      </c>
      <c r="C11" s="128"/>
      <c r="D11" s="4"/>
      <c r="E11" s="115"/>
      <c r="F11" s="33">
        <f>SUM(F6:F10)</f>
        <v>0</v>
      </c>
      <c r="G11" s="74"/>
      <c r="H11" s="33">
        <f>SUM(H6:H10)</f>
        <v>0</v>
      </c>
      <c r="I11" s="33">
        <f>SUM(I6:I10)</f>
        <v>0</v>
      </c>
    </row>
    <row r="12" spans="1:9" ht="18" customHeight="1" x14ac:dyDescent="0.25">
      <c r="A12" s="314" t="e">
        <f ca="1">TienBangChu(I11)</f>
        <v>#NAME?</v>
      </c>
      <c r="B12" s="314"/>
      <c r="C12" s="314"/>
      <c r="D12" s="314"/>
      <c r="E12" s="314"/>
      <c r="F12" s="314"/>
      <c r="G12" s="314"/>
      <c r="H12" s="314"/>
      <c r="I12" s="314"/>
    </row>
    <row r="13" spans="1:9" ht="18" customHeight="1" x14ac:dyDescent="0.25">
      <c r="A13" s="2"/>
      <c r="B13" s="146"/>
      <c r="C13" s="2"/>
      <c r="D13" s="36"/>
      <c r="E13" s="36"/>
      <c r="F13" s="36"/>
      <c r="G13" s="36"/>
      <c r="H13" s="36"/>
      <c r="I13" s="36"/>
    </row>
    <row r="14" spans="1:9" ht="18" customHeight="1" x14ac:dyDescent="0.25">
      <c r="A14" s="2"/>
      <c r="B14" s="146"/>
      <c r="C14" s="2"/>
      <c r="D14" s="36"/>
      <c r="E14" s="316" t="s">
        <v>296</v>
      </c>
      <c r="F14" s="316"/>
      <c r="G14" s="316"/>
      <c r="H14" s="316"/>
      <c r="I14" s="36"/>
    </row>
    <row r="15" spans="1:9" ht="18" customHeight="1" x14ac:dyDescent="0.25">
      <c r="A15" s="2"/>
      <c r="B15" s="162" t="s">
        <v>1096</v>
      </c>
      <c r="C15" s="2"/>
      <c r="D15" s="36"/>
      <c r="E15" s="311" t="s">
        <v>287</v>
      </c>
      <c r="F15" s="311"/>
      <c r="G15" s="311"/>
      <c r="H15" s="311"/>
      <c r="I15" s="36"/>
    </row>
    <row r="16" spans="1:9" ht="18" customHeight="1" x14ac:dyDescent="0.25">
      <c r="A16" s="2"/>
      <c r="B16" s="146"/>
      <c r="C16" s="2"/>
      <c r="D16" s="36"/>
      <c r="E16" s="36"/>
      <c r="F16" s="36"/>
      <c r="G16" s="36"/>
      <c r="H16" s="36"/>
      <c r="I16" s="36"/>
    </row>
    <row r="17" spans="1:9" ht="18" customHeight="1" x14ac:dyDescent="0.25">
      <c r="A17" s="2"/>
      <c r="B17" s="146"/>
      <c r="C17" s="2"/>
      <c r="D17" s="36"/>
      <c r="E17" s="36"/>
      <c r="F17" s="36"/>
      <c r="G17" s="36"/>
      <c r="H17" s="36"/>
      <c r="I17" s="36"/>
    </row>
    <row r="18" spans="1:9" ht="18" customHeight="1" x14ac:dyDescent="0.25">
      <c r="A18" s="2"/>
      <c r="B18" s="146"/>
      <c r="C18" s="2"/>
      <c r="D18" s="36"/>
      <c r="E18" s="36"/>
      <c r="F18" s="36"/>
      <c r="G18" s="36"/>
      <c r="H18" s="36"/>
      <c r="I18" s="36"/>
    </row>
    <row r="19" spans="1:9" ht="18" customHeight="1" x14ac:dyDescent="0.25">
      <c r="A19" s="2"/>
      <c r="B19" s="146"/>
      <c r="C19" s="2"/>
      <c r="D19" s="36"/>
      <c r="E19" s="36"/>
      <c r="F19" s="36"/>
      <c r="G19" s="36"/>
      <c r="H19" s="36"/>
      <c r="I19" s="36"/>
    </row>
    <row r="20" spans="1:9" ht="18" customHeight="1" x14ac:dyDescent="0.25">
      <c r="A20" s="2"/>
      <c r="B20" s="146"/>
      <c r="C20" s="2"/>
      <c r="D20" s="36"/>
      <c r="E20" s="36"/>
      <c r="F20" s="36"/>
      <c r="G20" s="36"/>
      <c r="H20" s="36"/>
      <c r="I20" s="36"/>
    </row>
    <row r="21" spans="1:9" ht="18" customHeight="1" x14ac:dyDescent="0.25">
      <c r="A21" s="2"/>
      <c r="B21" s="2" t="s">
        <v>646</v>
      </c>
      <c r="C21" s="2"/>
      <c r="D21" s="36"/>
      <c r="E21" s="36"/>
      <c r="F21" s="2"/>
      <c r="G21" s="2"/>
      <c r="H21" s="36"/>
      <c r="I21" s="36"/>
    </row>
    <row r="22" spans="1:9" ht="18" customHeight="1" x14ac:dyDescent="0.25">
      <c r="A22" s="2"/>
      <c r="B22" s="146"/>
      <c r="C22" s="2"/>
      <c r="D22" s="36"/>
      <c r="E22" s="36"/>
      <c r="F22" s="2"/>
      <c r="G22" s="2"/>
      <c r="H22" s="36"/>
      <c r="I22" s="36"/>
    </row>
    <row r="23" spans="1:9" ht="18" customHeight="1" x14ac:dyDescent="0.25">
      <c r="A23" s="2"/>
      <c r="B23" s="146"/>
      <c r="C23" s="2"/>
      <c r="D23" s="36"/>
      <c r="E23" s="36"/>
      <c r="F23" s="36"/>
      <c r="G23" s="36"/>
      <c r="H23" s="36"/>
      <c r="I23" s="36"/>
    </row>
  </sheetData>
  <mergeCells count="13">
    <mergeCell ref="E15:H15"/>
    <mergeCell ref="A1:I1"/>
    <mergeCell ref="A2:I2"/>
    <mergeCell ref="A4:A5"/>
    <mergeCell ref="B4:B5"/>
    <mergeCell ref="C4:C5"/>
    <mergeCell ref="D4:D5"/>
    <mergeCell ref="E4:E5"/>
    <mergeCell ref="F4:F5"/>
    <mergeCell ref="G4:H4"/>
    <mergeCell ref="I4:I5"/>
    <mergeCell ref="A12:I12"/>
    <mergeCell ref="E14:H14"/>
  </mergeCells>
  <pageMargins left="0.7" right="0.7" top="0.75" bottom="0.75" header="0.3" footer="0.3"/>
  <pageSetup paperSize="9" orientation="landscape"/>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M1717"/>
  <sheetViews>
    <sheetView showZeros="0" workbookViewId="0">
      <selection sqref="A1:L1"/>
    </sheetView>
  </sheetViews>
  <sheetFormatPr defaultColWidth="9.140625" defaultRowHeight="15" x14ac:dyDescent="0.25"/>
  <cols>
    <col min="1" max="1" width="6.140625" style="143" customWidth="1"/>
    <col min="2" max="2" width="10.85546875" style="143" customWidth="1"/>
    <col min="3" max="3" width="11.140625" style="143" hidden="1" customWidth="1"/>
    <col min="4" max="4" width="42.42578125" style="143" customWidth="1"/>
    <col min="5" max="5" width="9.140625" style="143" customWidth="1"/>
    <col min="6" max="6" width="8.28515625" style="143" hidden="1" customWidth="1"/>
    <col min="7" max="7" width="13.42578125" style="143" customWidth="1"/>
    <col min="8" max="8" width="14.5703125" style="143" customWidth="1"/>
    <col min="9" max="9" width="14.85546875" style="143" customWidth="1"/>
    <col min="10" max="10" width="13.85546875" style="143" customWidth="1"/>
    <col min="11" max="11" width="15.42578125" style="143" customWidth="1"/>
    <col min="12" max="12" width="15.5703125" style="143" customWidth="1"/>
    <col min="13" max="13" width="15.42578125" style="143" customWidth="1"/>
    <col min="14" max="16384" width="9.140625" style="143"/>
  </cols>
  <sheetData>
    <row r="1" spans="1:13" ht="22.5" customHeight="1" x14ac:dyDescent="0.25">
      <c r="A1" s="310" t="s">
        <v>1162</v>
      </c>
      <c r="B1" s="310"/>
      <c r="C1" s="310"/>
      <c r="D1" s="310"/>
      <c r="E1" s="310"/>
      <c r="F1" s="310"/>
      <c r="G1" s="310"/>
      <c r="H1" s="310"/>
      <c r="I1" s="310"/>
      <c r="J1" s="310"/>
      <c r="K1" s="310"/>
      <c r="L1" s="310"/>
      <c r="M1" s="36"/>
    </row>
    <row r="2" spans="1:13" ht="19.5" customHeight="1" x14ac:dyDescent="0.25">
      <c r="A2" s="309" t="s">
        <v>421</v>
      </c>
      <c r="B2" s="309"/>
      <c r="C2" s="309"/>
      <c r="D2" s="309"/>
      <c r="E2" s="309"/>
      <c r="F2" s="309"/>
      <c r="G2" s="309"/>
      <c r="H2" s="309"/>
      <c r="I2" s="309"/>
      <c r="J2" s="309"/>
      <c r="K2" s="309"/>
      <c r="L2" s="309"/>
      <c r="M2" s="36"/>
    </row>
    <row r="3" spans="1:13" ht="16.5" customHeight="1" x14ac:dyDescent="0.25">
      <c r="A3" s="2"/>
      <c r="B3" s="146"/>
      <c r="C3" s="36"/>
      <c r="D3" s="146"/>
      <c r="E3" s="2"/>
      <c r="F3" s="146"/>
      <c r="G3" s="36"/>
      <c r="H3" s="36"/>
      <c r="I3" s="36"/>
      <c r="J3" s="36"/>
      <c r="K3" s="36"/>
      <c r="L3" s="36"/>
      <c r="M3" s="146"/>
    </row>
    <row r="4" spans="1:13" ht="18.75" customHeight="1" x14ac:dyDescent="0.25">
      <c r="A4" s="105" t="s">
        <v>761</v>
      </c>
      <c r="B4" s="50" t="s">
        <v>178</v>
      </c>
      <c r="C4" s="140" t="s">
        <v>993</v>
      </c>
      <c r="D4" s="105" t="s">
        <v>850</v>
      </c>
      <c r="E4" s="105" t="s">
        <v>971</v>
      </c>
      <c r="F4" s="140" t="s">
        <v>639</v>
      </c>
      <c r="G4" s="134" t="s">
        <v>1192</v>
      </c>
      <c r="H4" s="67" t="s">
        <v>944</v>
      </c>
      <c r="I4" s="67" t="s">
        <v>731</v>
      </c>
      <c r="J4" s="67" t="s">
        <v>239</v>
      </c>
      <c r="K4" s="67" t="s">
        <v>401</v>
      </c>
      <c r="L4" s="92" t="s">
        <v>144</v>
      </c>
      <c r="M4" s="67" t="s">
        <v>563</v>
      </c>
    </row>
    <row r="5" spans="1:13" x14ac:dyDescent="0.25">
      <c r="A5" s="65"/>
      <c r="B5" s="31"/>
      <c r="C5" s="94"/>
      <c r="D5" s="129" t="s">
        <v>479</v>
      </c>
      <c r="E5" s="65"/>
      <c r="F5" s="94"/>
      <c r="G5" s="126"/>
      <c r="H5" s="54"/>
      <c r="I5" s="54"/>
      <c r="J5" s="54"/>
      <c r="K5" s="54"/>
      <c r="L5" s="54"/>
      <c r="M5" s="54"/>
    </row>
    <row r="6" spans="1:13" x14ac:dyDescent="0.25">
      <c r="A6" s="168">
        <v>1</v>
      </c>
      <c r="B6" s="84" t="s">
        <v>1059</v>
      </c>
      <c r="C6" s="34">
        <v>421</v>
      </c>
      <c r="D6" s="144" t="s">
        <v>711</v>
      </c>
      <c r="E6" s="168" t="s">
        <v>561</v>
      </c>
      <c r="F6" s="34"/>
      <c r="G6" s="60">
        <f>SUM(G7:G7)</f>
        <v>7.8202999999999996</v>
      </c>
      <c r="H6" s="166">
        <v>100000</v>
      </c>
      <c r="I6" s="166">
        <v>100000</v>
      </c>
      <c r="J6" s="166">
        <f>'Vật liệu'!W8</f>
        <v>100000</v>
      </c>
      <c r="K6" s="166">
        <f>J6-H6</f>
        <v>0</v>
      </c>
      <c r="L6" s="166">
        <f>ROUND(G6*K6,0)</f>
        <v>0</v>
      </c>
      <c r="M6" s="166">
        <f>ROUND(G6*J6,0)</f>
        <v>782030</v>
      </c>
    </row>
    <row r="7" spans="1:13" hidden="1" x14ac:dyDescent="0.25">
      <c r="A7" s="168"/>
      <c r="B7" s="133" t="str">
        <f>'Công trình'!B262</f>
        <v>AI.21152</v>
      </c>
      <c r="C7" s="34"/>
      <c r="D7" s="133" t="str">
        <f>'Công trình'!C262</f>
        <v>Sản xuất kết cấu thép lan can cầu đường bộ</v>
      </c>
      <c r="E7" s="168"/>
      <c r="F7" s="20">
        <v>1</v>
      </c>
      <c r="G7" s="45">
        <f>'Hao phí vật tư'!J1993</f>
        <v>7.8202999999999996</v>
      </c>
      <c r="H7" s="166"/>
      <c r="I7" s="166"/>
      <c r="J7" s="166"/>
      <c r="K7" s="166"/>
      <c r="L7" s="156">
        <f>ROUND(G7*K6,2)</f>
        <v>0</v>
      </c>
      <c r="M7" s="156">
        <f>ROUND(G7*J6,2)</f>
        <v>782030</v>
      </c>
    </row>
    <row r="8" spans="1:13" x14ac:dyDescent="0.25">
      <c r="A8" s="168">
        <v>2</v>
      </c>
      <c r="B8" s="84" t="s">
        <v>900</v>
      </c>
      <c r="C8" s="34">
        <v>520</v>
      </c>
      <c r="D8" s="144" t="s">
        <v>313</v>
      </c>
      <c r="E8" s="168" t="s">
        <v>1123</v>
      </c>
      <c r="F8" s="34"/>
      <c r="G8" s="60">
        <f>SUM(G9:G9)</f>
        <v>1485.8</v>
      </c>
      <c r="H8" s="166">
        <v>2000</v>
      </c>
      <c r="I8" s="166">
        <v>2000</v>
      </c>
      <c r="J8" s="166">
        <f>'Vật liệu'!W10</f>
        <v>2000</v>
      </c>
      <c r="K8" s="166">
        <f>J8-H8</f>
        <v>0</v>
      </c>
      <c r="L8" s="166">
        <f>ROUND(G8*K8,0)</f>
        <v>0</v>
      </c>
      <c r="M8" s="166">
        <f>ROUND(G8*J8,0)</f>
        <v>2971600</v>
      </c>
    </row>
    <row r="9" spans="1:13" ht="30" hidden="1" x14ac:dyDescent="0.25">
      <c r="A9" s="168"/>
      <c r="B9" s="133" t="str">
        <f>'Công trình'!B99</f>
        <v>TT</v>
      </c>
      <c r="C9" s="34"/>
      <c r="D9" s="133" t="str">
        <f>'Công trình'!C99</f>
        <v>Đắp đê quây bằng bao tải cát (VD định mức đắp bao tải đất theo QĐ số 4416/QĐ-BGTVT)</v>
      </c>
      <c r="E9" s="168"/>
      <c r="F9" s="20">
        <v>1</v>
      </c>
      <c r="G9" s="45">
        <f>'Hao phí vật tư'!J803</f>
        <v>1485.8</v>
      </c>
      <c r="H9" s="166"/>
      <c r="I9" s="166"/>
      <c r="J9" s="166"/>
      <c r="K9" s="166"/>
      <c r="L9" s="156">
        <f>ROUND(G9*K8,2)</f>
        <v>0</v>
      </c>
      <c r="M9" s="156">
        <f>ROUND(G9*J8,2)</f>
        <v>2971600</v>
      </c>
    </row>
    <row r="10" spans="1:13" x14ac:dyDescent="0.25">
      <c r="A10" s="168">
        <v>3</v>
      </c>
      <c r="B10" s="84" t="s">
        <v>732</v>
      </c>
      <c r="C10" s="34">
        <v>113</v>
      </c>
      <c r="D10" s="144" t="s">
        <v>1129</v>
      </c>
      <c r="E10" s="168" t="s">
        <v>1123</v>
      </c>
      <c r="F10" s="34"/>
      <c r="G10" s="60">
        <f>SUM(G11:G12)</f>
        <v>2254</v>
      </c>
      <c r="H10" s="166">
        <v>10000</v>
      </c>
      <c r="I10" s="166">
        <v>10000</v>
      </c>
      <c r="J10" s="166">
        <f>'Vật liệu'!W12</f>
        <v>10000</v>
      </c>
      <c r="K10" s="166">
        <f>J10-H10</f>
        <v>0</v>
      </c>
      <c r="L10" s="166">
        <f>ROUND(G10*K10,0)</f>
        <v>0</v>
      </c>
      <c r="M10" s="166">
        <f>ROUND(G10*J10,0)</f>
        <v>22540000</v>
      </c>
    </row>
    <row r="11" spans="1:13" hidden="1" x14ac:dyDescent="0.25">
      <c r="A11" s="168"/>
      <c r="B11" s="133" t="str">
        <f>'Công trình'!B264</f>
        <v>TT</v>
      </c>
      <c r="C11" s="34"/>
      <c r="D11" s="133" t="str">
        <f>'Công trình'!C264</f>
        <v>Bu long các loại</v>
      </c>
      <c r="E11" s="168"/>
      <c r="F11" s="20">
        <v>1</v>
      </c>
      <c r="G11" s="45">
        <f>'Hao phí vật tư'!J2019</f>
        <v>1750</v>
      </c>
      <c r="H11" s="166"/>
      <c r="I11" s="166"/>
      <c r="J11" s="166"/>
      <c r="K11" s="166"/>
      <c r="L11" s="156">
        <f>ROUND(G11*K10,2)</f>
        <v>0</v>
      </c>
      <c r="M11" s="156">
        <f>ROUND(G11*J10,2)</f>
        <v>17500000</v>
      </c>
    </row>
    <row r="12" spans="1:13" hidden="1" x14ac:dyDescent="0.25">
      <c r="A12" s="168"/>
      <c r="B12" s="133" t="str">
        <f>'Công trình'!B281</f>
        <v>TT</v>
      </c>
      <c r="C12" s="34"/>
      <c r="D12" s="133" t="str">
        <f>'Công trình'!C281</f>
        <v>Bu long các loại</v>
      </c>
      <c r="E12" s="168"/>
      <c r="F12" s="20">
        <v>1</v>
      </c>
      <c r="G12" s="45">
        <f>'Hao phí vật tư'!J2109</f>
        <v>504</v>
      </c>
      <c r="H12" s="166"/>
      <c r="I12" s="166"/>
      <c r="J12" s="166"/>
      <c r="K12" s="166"/>
      <c r="L12" s="156">
        <f>ROUND(G12*K10,2)</f>
        <v>0</v>
      </c>
      <c r="M12" s="156">
        <f>ROUND(G12*J10,2)</f>
        <v>5040000</v>
      </c>
    </row>
    <row r="13" spans="1:13" x14ac:dyDescent="0.25">
      <c r="A13" s="168">
        <v>4</v>
      </c>
      <c r="B13" s="84" t="s">
        <v>732</v>
      </c>
      <c r="C13" s="34">
        <v>114</v>
      </c>
      <c r="D13" s="144" t="s">
        <v>1129</v>
      </c>
      <c r="E13" s="168" t="s">
        <v>1123</v>
      </c>
      <c r="F13" s="34"/>
      <c r="G13" s="60">
        <f>SUM(G14:G14)</f>
        <v>31.2</v>
      </c>
      <c r="H13" s="166">
        <v>5000</v>
      </c>
      <c r="I13" s="166">
        <v>5000</v>
      </c>
      <c r="J13" s="166">
        <f>'Vật liệu'!W15</f>
        <v>5000</v>
      </c>
      <c r="K13" s="166">
        <f>J13-H13</f>
        <v>0</v>
      </c>
      <c r="L13" s="166">
        <f>ROUND(G13*K13,0)</f>
        <v>0</v>
      </c>
      <c r="M13" s="166">
        <f>ROUND(G13*J13,0)</f>
        <v>156000</v>
      </c>
    </row>
    <row r="14" spans="1:13" hidden="1" x14ac:dyDescent="0.25">
      <c r="A14" s="168"/>
      <c r="B14" s="133" t="str">
        <f>'Công trình'!B275</f>
        <v>AD.34130</v>
      </c>
      <c r="C14" s="34"/>
      <c r="D14" s="133" t="str">
        <f>'Công trình'!C275</f>
        <v>Lắp đặt dải phân cách bằng tôn lượn sóng</v>
      </c>
      <c r="E14" s="168"/>
      <c r="F14" s="20">
        <v>1</v>
      </c>
      <c r="G14" s="45">
        <f>'Hao phí vật tư'!J2086</f>
        <v>31.2</v>
      </c>
      <c r="H14" s="166"/>
      <c r="I14" s="166"/>
      <c r="J14" s="166"/>
      <c r="K14" s="166"/>
      <c r="L14" s="156">
        <f>ROUND(G14*K13,2)</f>
        <v>0</v>
      </c>
      <c r="M14" s="156">
        <f>ROUND(G14*J13,2)</f>
        <v>156000</v>
      </c>
    </row>
    <row r="15" spans="1:13" x14ac:dyDescent="0.25">
      <c r="A15" s="168">
        <v>5</v>
      </c>
      <c r="B15" s="84" t="s">
        <v>1050</v>
      </c>
      <c r="C15" s="34">
        <v>119</v>
      </c>
      <c r="D15" s="144" t="s">
        <v>1174</v>
      </c>
      <c r="E15" s="168" t="s">
        <v>1123</v>
      </c>
      <c r="F15" s="34"/>
      <c r="G15" s="60">
        <f>SUM(G16:G17)</f>
        <v>72</v>
      </c>
      <c r="H15" s="166">
        <v>7000</v>
      </c>
      <c r="I15" s="166">
        <v>7000</v>
      </c>
      <c r="J15" s="166">
        <f>'Vật liệu'!W17</f>
        <v>7000</v>
      </c>
      <c r="K15" s="166">
        <f>J15-H15</f>
        <v>0</v>
      </c>
      <c r="L15" s="166">
        <f>ROUND(G15*K15,0)</f>
        <v>0</v>
      </c>
      <c r="M15" s="166">
        <f>ROUND(G15*J15,0)</f>
        <v>504000</v>
      </c>
    </row>
    <row r="16" spans="1:13" hidden="1" x14ac:dyDescent="0.25">
      <c r="A16" s="168"/>
      <c r="B16" s="133" t="str">
        <f>'Công trình'!B270</f>
        <v>TT</v>
      </c>
      <c r="C16" s="34"/>
      <c r="D16" s="133" t="str">
        <f>'Công trình'!C270</f>
        <v>Bu lông M14</v>
      </c>
      <c r="E16" s="168"/>
      <c r="F16" s="20">
        <v>1</v>
      </c>
      <c r="G16" s="45">
        <f>'Hao phí vật tư'!J2065</f>
        <v>56</v>
      </c>
      <c r="H16" s="166"/>
      <c r="I16" s="166"/>
      <c r="J16" s="166"/>
      <c r="K16" s="166"/>
      <c r="L16" s="156">
        <f>ROUND(G16*K15,2)</f>
        <v>0</v>
      </c>
      <c r="M16" s="156">
        <f>ROUND(G16*J15,2)</f>
        <v>392000</v>
      </c>
    </row>
    <row r="17" spans="1:13" hidden="1" x14ac:dyDescent="0.25">
      <c r="A17" s="168"/>
      <c r="B17" s="133" t="str">
        <f>'Công trình'!B294</f>
        <v>TT</v>
      </c>
      <c r="C17" s="34"/>
      <c r="D17" s="133" t="str">
        <f>'Công trình'!C294</f>
        <v>Bu lông M14</v>
      </c>
      <c r="E17" s="168"/>
      <c r="F17" s="20">
        <v>1</v>
      </c>
      <c r="G17" s="45">
        <f>'Hao phí vật tư'!J2203</f>
        <v>16</v>
      </c>
      <c r="H17" s="166"/>
      <c r="I17" s="166"/>
      <c r="J17" s="166"/>
      <c r="K17" s="166"/>
      <c r="L17" s="156">
        <f>ROUND(G17*K15,2)</f>
        <v>0</v>
      </c>
      <c r="M17" s="156">
        <f>ROUND(G17*J15,2)</f>
        <v>112000</v>
      </c>
    </row>
    <row r="18" spans="1:13" x14ac:dyDescent="0.25">
      <c r="A18" s="168">
        <v>6</v>
      </c>
      <c r="B18" s="84" t="s">
        <v>492</v>
      </c>
      <c r="C18" s="34">
        <v>122</v>
      </c>
      <c r="D18" s="144" t="s">
        <v>929</v>
      </c>
      <c r="E18" s="168" t="s">
        <v>1123</v>
      </c>
      <c r="F18" s="34"/>
      <c r="G18" s="60">
        <f>SUM(G19:G27)</f>
        <v>2696.5978</v>
      </c>
      <c r="H18" s="166">
        <v>10000</v>
      </c>
      <c r="I18" s="166">
        <v>10000</v>
      </c>
      <c r="J18" s="166">
        <f>'Vật liệu'!W20</f>
        <v>10000</v>
      </c>
      <c r="K18" s="166">
        <f>J18-H18</f>
        <v>0</v>
      </c>
      <c r="L18" s="166">
        <f>ROUND(G18*K18,0)</f>
        <v>0</v>
      </c>
      <c r="M18" s="166">
        <f>ROUND(G18*J18,0)</f>
        <v>26965978</v>
      </c>
    </row>
    <row r="19" spans="1:13" ht="30" hidden="1" x14ac:dyDescent="0.25">
      <c r="A19" s="168"/>
      <c r="B19" s="133" t="str">
        <f>'Công trình'!B112</f>
        <v>AI.63311</v>
      </c>
      <c r="C19" s="34"/>
      <c r="D19" s="133" t="str">
        <f>'Công trình'!C112</f>
        <v>Lắp dựng kết cấu thép hệ khung dàn, sàn đạo trên cạn</v>
      </c>
      <c r="E19" s="168"/>
      <c r="F19" s="20">
        <v>1</v>
      </c>
      <c r="G19" s="45">
        <f>'Hao phí vật tư'!J889</f>
        <v>151.572</v>
      </c>
      <c r="H19" s="166"/>
      <c r="I19" s="166"/>
      <c r="J19" s="166"/>
      <c r="K19" s="166"/>
      <c r="L19" s="156">
        <f>ROUND(G19*K18,2)</f>
        <v>0</v>
      </c>
      <c r="M19" s="156">
        <f>ROUND(G19*J18,2)</f>
        <v>1515720</v>
      </c>
    </row>
    <row r="20" spans="1:13" ht="30" hidden="1" x14ac:dyDescent="0.25">
      <c r="A20" s="168"/>
      <c r="B20" s="133" t="str">
        <f>'Công trình'!B113</f>
        <v>AI.63311</v>
      </c>
      <c r="C20" s="34"/>
      <c r="D20" s="133" t="str">
        <f>'Công trình'!C113</f>
        <v>Tháo dỡ kết cấu thép hệ khung dàn, sàn đạo trên cạn (60% Đg)</v>
      </c>
      <c r="E20" s="168"/>
      <c r="F20" s="20">
        <v>1</v>
      </c>
      <c r="G20" s="45">
        <f>'Hao phí vật tư'!J900</f>
        <v>90.943200000000004</v>
      </c>
      <c r="H20" s="166"/>
      <c r="I20" s="166"/>
      <c r="J20" s="166"/>
      <c r="K20" s="166"/>
      <c r="L20" s="156">
        <f>ROUND(G20*K18,2)</f>
        <v>0</v>
      </c>
      <c r="M20" s="156">
        <f>ROUND(G20*J18,2)</f>
        <v>909432</v>
      </c>
    </row>
    <row r="21" spans="1:13" ht="30" hidden="1" x14ac:dyDescent="0.25">
      <c r="A21" s="168"/>
      <c r="B21" s="133" t="str">
        <f>'Công trình'!B123</f>
        <v>AI.63311</v>
      </c>
      <c r="C21" s="34"/>
      <c r="D21" s="133" t="str">
        <f>'Công trình'!C123</f>
        <v>Lắp dựng kết cấu thép hệ khung dàn, sàn đạo trên cạn</v>
      </c>
      <c r="E21" s="168"/>
      <c r="F21" s="20">
        <v>1</v>
      </c>
      <c r="G21" s="45">
        <f>'Hao phí vật tư'!J961</f>
        <v>62.466000000000001</v>
      </c>
      <c r="H21" s="166"/>
      <c r="I21" s="166"/>
      <c r="J21" s="166"/>
      <c r="K21" s="166"/>
      <c r="L21" s="156">
        <f>ROUND(G21*K18,2)</f>
        <v>0</v>
      </c>
      <c r="M21" s="156">
        <f>ROUND(G21*J18,2)</f>
        <v>624660</v>
      </c>
    </row>
    <row r="22" spans="1:13" ht="30" hidden="1" x14ac:dyDescent="0.25">
      <c r="A22" s="168"/>
      <c r="B22" s="133" t="str">
        <f>'Công trình'!B124</f>
        <v>AI.63311</v>
      </c>
      <c r="C22" s="34"/>
      <c r="D22" s="133" t="str">
        <f>'Công trình'!C124</f>
        <v>Tháo dỡ kết cấu thép hệ khung dàn, sàn đạo trên cạn (60% Đg)</v>
      </c>
      <c r="E22" s="168"/>
      <c r="F22" s="20">
        <v>1</v>
      </c>
      <c r="G22" s="45">
        <f>'Hao phí vật tư'!J972</f>
        <v>37.479599999999998</v>
      </c>
      <c r="H22" s="166"/>
      <c r="I22" s="166"/>
      <c r="J22" s="166"/>
      <c r="K22" s="166"/>
      <c r="L22" s="156">
        <f>ROUND(G22*K18,2)</f>
        <v>0</v>
      </c>
      <c r="M22" s="156">
        <f>ROUND(G22*J18,2)</f>
        <v>374796</v>
      </c>
    </row>
    <row r="23" spans="1:13" ht="30" hidden="1" x14ac:dyDescent="0.25">
      <c r="A23" s="168"/>
      <c r="B23" s="133" t="str">
        <f>'Công trình'!B139</f>
        <v>AI.63311</v>
      </c>
      <c r="C23" s="34"/>
      <c r="D23" s="133" t="str">
        <f>'Công trình'!C139</f>
        <v>Lắp dựng kết cấu thép hệ khung dàn, sàn đạo trên cạn</v>
      </c>
      <c r="E23" s="168"/>
      <c r="F23" s="20">
        <v>1</v>
      </c>
      <c r="G23" s="45">
        <f>'Hao phí vật tư'!J1062</f>
        <v>989.11680000000001</v>
      </c>
      <c r="H23" s="166"/>
      <c r="I23" s="166"/>
      <c r="J23" s="166"/>
      <c r="K23" s="166"/>
      <c r="L23" s="156">
        <f>ROUND(G23*K18,2)</f>
        <v>0</v>
      </c>
      <c r="M23" s="156">
        <f>ROUND(G23*J18,2)</f>
        <v>9891168</v>
      </c>
    </row>
    <row r="24" spans="1:13" ht="30" hidden="1" x14ac:dyDescent="0.25">
      <c r="A24" s="168"/>
      <c r="B24" s="133" t="str">
        <f>'Công trình'!B140</f>
        <v>AI.63311</v>
      </c>
      <c r="C24" s="34"/>
      <c r="D24" s="133" t="str">
        <f>'Công trình'!C140</f>
        <v>Tháo dỡ kết cấu thép hệ khung dàn, sàn đạo trên cạn (60% Đg)</v>
      </c>
      <c r="E24" s="168"/>
      <c r="F24" s="20">
        <v>1</v>
      </c>
      <c r="G24" s="45">
        <f>'Hao phí vật tư'!J1073</f>
        <v>593.4701</v>
      </c>
      <c r="H24" s="166"/>
      <c r="I24" s="166"/>
      <c r="J24" s="166"/>
      <c r="K24" s="166"/>
      <c r="L24" s="156">
        <f>ROUND(G24*K18,2)</f>
        <v>0</v>
      </c>
      <c r="M24" s="156">
        <f>ROUND(G24*J18,2)</f>
        <v>5934701</v>
      </c>
    </row>
    <row r="25" spans="1:13" ht="30" hidden="1" x14ac:dyDescent="0.25">
      <c r="A25" s="168"/>
      <c r="B25" s="133" t="str">
        <f>'Công trình'!B160</f>
        <v>AI.63311</v>
      </c>
      <c r="C25" s="34"/>
      <c r="D25" s="133" t="str">
        <f>'Công trình'!C160</f>
        <v>Lắp dựng kết cấu thép hệ khung dàn, sàn đạo trên cạn</v>
      </c>
      <c r="E25" s="168"/>
      <c r="F25" s="20">
        <v>1</v>
      </c>
      <c r="G25" s="45">
        <f>'Hao phí vật tư'!J1211</f>
        <v>482.21879999999999</v>
      </c>
      <c r="H25" s="166"/>
      <c r="I25" s="166"/>
      <c r="J25" s="166"/>
      <c r="K25" s="166"/>
      <c r="L25" s="156">
        <f>ROUND(G25*K18,2)</f>
        <v>0</v>
      </c>
      <c r="M25" s="156">
        <f>ROUND(G25*J18,2)</f>
        <v>4822188</v>
      </c>
    </row>
    <row r="26" spans="1:13" ht="30" hidden="1" x14ac:dyDescent="0.25">
      <c r="A26" s="168"/>
      <c r="B26" s="133" t="str">
        <f>'Công trình'!B161</f>
        <v>AI.63311</v>
      </c>
      <c r="C26" s="34"/>
      <c r="D26" s="133" t="str">
        <f>'Công trình'!C161</f>
        <v>Tháo dỡ kết cấu thép hệ khung dàn, sàn đạo trên cạn (60% Đg)</v>
      </c>
      <c r="E26" s="168"/>
      <c r="F26" s="20">
        <v>1</v>
      </c>
      <c r="G26" s="45">
        <f>'Hao phí vật tư'!J1222</f>
        <v>289.3313</v>
      </c>
      <c r="H26" s="166"/>
      <c r="I26" s="166"/>
      <c r="J26" s="166"/>
      <c r="K26" s="166"/>
      <c r="L26" s="156">
        <f>ROUND(G26*K18,2)</f>
        <v>0</v>
      </c>
      <c r="M26" s="156">
        <f>ROUND(G26*J18,2)</f>
        <v>2893313</v>
      </c>
    </row>
    <row r="27" spans="1:13" hidden="1" x14ac:dyDescent="0.25">
      <c r="A27" s="168"/>
      <c r="B27" s="133" t="str">
        <f>'Công trình'!B262</f>
        <v>AI.21152</v>
      </c>
      <c r="C27" s="34"/>
      <c r="D27" s="133" t="str">
        <f>'Công trình'!C262</f>
        <v>Sản xuất kết cấu thép lan can cầu đường bộ</v>
      </c>
      <c r="E27" s="168"/>
      <c r="F27" s="20">
        <v>1</v>
      </c>
      <c r="G27" s="45">
        <f>'Hao phí vật tư'!J1997</f>
        <v>0</v>
      </c>
      <c r="H27" s="166"/>
      <c r="I27" s="166"/>
      <c r="J27" s="166"/>
      <c r="K27" s="166"/>
      <c r="L27" s="156">
        <f>ROUND(G27*K18,2)</f>
        <v>0</v>
      </c>
      <c r="M27" s="156">
        <f>ROUND(G27*J18,2)</f>
        <v>0</v>
      </c>
    </row>
    <row r="28" spans="1:13" x14ac:dyDescent="0.25">
      <c r="A28" s="168">
        <v>7</v>
      </c>
      <c r="B28" s="84" t="s">
        <v>457</v>
      </c>
      <c r="C28" s="34">
        <v>123</v>
      </c>
      <c r="D28" s="144" t="s">
        <v>472</v>
      </c>
      <c r="E28" s="168" t="s">
        <v>1123</v>
      </c>
      <c r="F28" s="34"/>
      <c r="G28" s="60">
        <f>SUM(G29:G29)</f>
        <v>0.88919999999999999</v>
      </c>
      <c r="H28" s="166">
        <v>15000</v>
      </c>
      <c r="I28" s="166">
        <v>15000</v>
      </c>
      <c r="J28" s="166">
        <f>'Vật liệu'!W30</f>
        <v>15000</v>
      </c>
      <c r="K28" s="166">
        <f>J28-H28</f>
        <v>0</v>
      </c>
      <c r="L28" s="166">
        <f>ROUND(G28*K28,0)</f>
        <v>0</v>
      </c>
      <c r="M28" s="166">
        <f>ROUND(G28*J28,0)</f>
        <v>13338</v>
      </c>
    </row>
    <row r="29" spans="1:13" hidden="1" x14ac:dyDescent="0.25">
      <c r="A29" s="168"/>
      <c r="B29" s="133" t="str">
        <f>'Công trình'!B148</f>
        <v>AI.61171</v>
      </c>
      <c r="C29" s="34"/>
      <c r="D29" s="133" t="str">
        <f>'Công trình'!C148</f>
        <v>Lắp sàn thang sắt</v>
      </c>
      <c r="E29" s="168"/>
      <c r="F29" s="20">
        <v>1</v>
      </c>
      <c r="G29" s="45">
        <f>'Hao phí vật tư'!J1126</f>
        <v>0.88919999999999999</v>
      </c>
      <c r="H29" s="166"/>
      <c r="I29" s="166"/>
      <c r="J29" s="166"/>
      <c r="K29" s="166"/>
      <c r="L29" s="156">
        <f>ROUND(G29*K28,2)</f>
        <v>0</v>
      </c>
      <c r="M29" s="156">
        <f>ROUND(G29*J28,2)</f>
        <v>13338</v>
      </c>
    </row>
    <row r="30" spans="1:13" x14ac:dyDescent="0.25">
      <c r="A30" s="168">
        <v>8</v>
      </c>
      <c r="B30" s="84" t="s">
        <v>791</v>
      </c>
      <c r="C30" s="34">
        <v>452</v>
      </c>
      <c r="D30" s="144" t="s">
        <v>88</v>
      </c>
      <c r="E30" s="168" t="s">
        <v>1123</v>
      </c>
      <c r="F30" s="34"/>
      <c r="G30" s="60">
        <f>SUM(G31:G31)</f>
        <v>8</v>
      </c>
      <c r="H30" s="166">
        <v>25000</v>
      </c>
      <c r="I30" s="166">
        <v>25000</v>
      </c>
      <c r="J30" s="166">
        <f>'Vật liệu'!W32</f>
        <v>25000</v>
      </c>
      <c r="K30" s="166">
        <f>J30-H30</f>
        <v>0</v>
      </c>
      <c r="L30" s="166">
        <f>ROUND(G30*K30,0)</f>
        <v>0</v>
      </c>
      <c r="M30" s="166">
        <f>ROUND(G30*J30,0)</f>
        <v>200000</v>
      </c>
    </row>
    <row r="31" spans="1:13" hidden="1" x14ac:dyDescent="0.25">
      <c r="A31" s="168"/>
      <c r="B31" s="133" t="str">
        <f>'Công trình'!B25</f>
        <v>TT</v>
      </c>
      <c r="C31" s="34"/>
      <c r="D31" s="133" t="str">
        <f>'Công trình'!C25</f>
        <v>Bulong D32</v>
      </c>
      <c r="E31" s="168"/>
      <c r="F31" s="20">
        <v>1</v>
      </c>
      <c r="G31" s="45">
        <f>'Hao phí vật tư'!J177</f>
        <v>8</v>
      </c>
      <c r="H31" s="166"/>
      <c r="I31" s="166"/>
      <c r="J31" s="166"/>
      <c r="K31" s="166"/>
      <c r="L31" s="156">
        <f>ROUND(G31*K30,2)</f>
        <v>0</v>
      </c>
      <c r="M31" s="156">
        <f>ROUND(G31*J30,2)</f>
        <v>200000</v>
      </c>
    </row>
    <row r="32" spans="1:13" x14ac:dyDescent="0.25">
      <c r="A32" s="168">
        <v>9</v>
      </c>
      <c r="B32" s="84" t="s">
        <v>235</v>
      </c>
      <c r="C32" s="34">
        <v>448</v>
      </c>
      <c r="D32" s="144" t="s">
        <v>68</v>
      </c>
      <c r="E32" s="168" t="s">
        <v>1123</v>
      </c>
      <c r="F32" s="34"/>
      <c r="G32" s="60">
        <f>SUM(G33:G33)</f>
        <v>28</v>
      </c>
      <c r="H32" s="166">
        <v>12000</v>
      </c>
      <c r="I32" s="166">
        <v>12000</v>
      </c>
      <c r="J32" s="166">
        <f>'Vật liệu'!W34</f>
        <v>12000</v>
      </c>
      <c r="K32" s="166">
        <f>J32-H32</f>
        <v>0</v>
      </c>
      <c r="L32" s="166">
        <f>ROUND(G32*K32,0)</f>
        <v>0</v>
      </c>
      <c r="M32" s="166">
        <f>ROUND(G32*J32,0)</f>
        <v>336000</v>
      </c>
    </row>
    <row r="33" spans="1:13" hidden="1" x14ac:dyDescent="0.25">
      <c r="A33" s="168"/>
      <c r="B33" s="133" t="str">
        <f>'Công trình'!B40</f>
        <v>TT</v>
      </c>
      <c r="C33" s="34"/>
      <c r="D33" s="133" t="str">
        <f>'Công trình'!C40</f>
        <v>Bulong M10</v>
      </c>
      <c r="E33" s="168"/>
      <c r="F33" s="20">
        <v>1</v>
      </c>
      <c r="G33" s="45">
        <f>'Hao phí vật tư'!J307</f>
        <v>28</v>
      </c>
      <c r="H33" s="166"/>
      <c r="I33" s="166"/>
      <c r="J33" s="166"/>
      <c r="K33" s="166"/>
      <c r="L33" s="156">
        <f>ROUND(G33*K32,2)</f>
        <v>0</v>
      </c>
      <c r="M33" s="156">
        <f>ROUND(G33*J32,2)</f>
        <v>336000</v>
      </c>
    </row>
    <row r="34" spans="1:13" x14ac:dyDescent="0.25">
      <c r="A34" s="168">
        <v>10</v>
      </c>
      <c r="B34" s="84" t="s">
        <v>979</v>
      </c>
      <c r="C34" s="34">
        <v>462</v>
      </c>
      <c r="D34" s="144" t="s">
        <v>665</v>
      </c>
      <c r="E34" s="168" t="s">
        <v>143</v>
      </c>
      <c r="F34" s="34"/>
      <c r="G34" s="60">
        <f>SUM(G35:G35)</f>
        <v>116</v>
      </c>
      <c r="H34" s="166">
        <v>15000</v>
      </c>
      <c r="I34" s="166">
        <v>15000</v>
      </c>
      <c r="J34" s="166">
        <f>'Vật liệu'!W36</f>
        <v>15000</v>
      </c>
      <c r="K34" s="166">
        <f>J34-H34</f>
        <v>0</v>
      </c>
      <c r="L34" s="166">
        <f>ROUND(G34*K34,0)</f>
        <v>0</v>
      </c>
      <c r="M34" s="166">
        <f>ROUND(G34*J34,0)</f>
        <v>1740000</v>
      </c>
    </row>
    <row r="35" spans="1:13" hidden="1" x14ac:dyDescent="0.25">
      <c r="A35" s="168"/>
      <c r="B35" s="133" t="str">
        <f>'Công trình'!B214</f>
        <v>TT</v>
      </c>
      <c r="C35" s="34"/>
      <c r="D35" s="133" t="str">
        <f>'Công trình'!C214</f>
        <v>Bulông M16</v>
      </c>
      <c r="E35" s="168"/>
      <c r="F35" s="20">
        <v>1</v>
      </c>
      <c r="G35" s="45">
        <f>'Hao phí vật tư'!J1623</f>
        <v>116</v>
      </c>
      <c r="H35" s="166"/>
      <c r="I35" s="166"/>
      <c r="J35" s="166"/>
      <c r="K35" s="166"/>
      <c r="L35" s="156">
        <f>ROUND(G35*K34,2)</f>
        <v>0</v>
      </c>
      <c r="M35" s="156">
        <f>ROUND(G35*J34,2)</f>
        <v>1740000</v>
      </c>
    </row>
    <row r="36" spans="1:13" x14ac:dyDescent="0.25">
      <c r="A36" s="168">
        <v>11</v>
      </c>
      <c r="B36" s="84" t="s">
        <v>447</v>
      </c>
      <c r="C36" s="34">
        <v>453</v>
      </c>
      <c r="D36" s="144" t="s">
        <v>1185</v>
      </c>
      <c r="E36" s="168" t="s">
        <v>1123</v>
      </c>
      <c r="F36" s="34"/>
      <c r="G36" s="60">
        <f>SUM(G37:G37)</f>
        <v>1952</v>
      </c>
      <c r="H36" s="166">
        <v>21000</v>
      </c>
      <c r="I36" s="166">
        <v>21000</v>
      </c>
      <c r="J36" s="166">
        <f>'Vật liệu'!W38</f>
        <v>21000</v>
      </c>
      <c r="K36" s="166">
        <f>J36-H36</f>
        <v>0</v>
      </c>
      <c r="L36" s="166">
        <f>ROUND(G36*K36,0)</f>
        <v>0</v>
      </c>
      <c r="M36" s="166">
        <f>ROUND(G36*J36,0)</f>
        <v>40992000</v>
      </c>
    </row>
    <row r="37" spans="1:13" hidden="1" x14ac:dyDescent="0.25">
      <c r="A37" s="168"/>
      <c r="B37" s="133" t="str">
        <f>'Công trình'!B141</f>
        <v>TT</v>
      </c>
      <c r="C37" s="34"/>
      <c r="D37" s="133" t="str">
        <f>'Công trình'!C141</f>
        <v>Bu long M22</v>
      </c>
      <c r="E37" s="168"/>
      <c r="F37" s="20">
        <v>1</v>
      </c>
      <c r="G37" s="45">
        <f>'Hao phí vật tư'!J1082</f>
        <v>1952</v>
      </c>
      <c r="H37" s="166"/>
      <c r="I37" s="166"/>
      <c r="J37" s="166"/>
      <c r="K37" s="166"/>
      <c r="L37" s="156">
        <f>ROUND(G37*K36,2)</f>
        <v>0</v>
      </c>
      <c r="M37" s="156">
        <f>ROUND(G37*J36,2)</f>
        <v>40992000</v>
      </c>
    </row>
    <row r="38" spans="1:13" x14ac:dyDescent="0.25">
      <c r="A38" s="168">
        <v>12</v>
      </c>
      <c r="B38" s="84" t="s">
        <v>211</v>
      </c>
      <c r="C38" s="34">
        <v>132</v>
      </c>
      <c r="D38" s="144" t="s">
        <v>282</v>
      </c>
      <c r="E38" s="168" t="s">
        <v>155</v>
      </c>
      <c r="F38" s="34"/>
      <c r="G38" s="60">
        <f>SUM(G39:G40)</f>
        <v>184.60000000000002</v>
      </c>
      <c r="H38" s="166">
        <v>230000</v>
      </c>
      <c r="I38" s="139">
        <v>204882</v>
      </c>
      <c r="J38" s="139">
        <f>'Vật liệu'!W40</f>
        <v>204882</v>
      </c>
      <c r="K38" s="166">
        <f>J38-H38</f>
        <v>-25118</v>
      </c>
      <c r="L38" s="166">
        <f>ROUND(G38*K38,0)</f>
        <v>-4636783</v>
      </c>
      <c r="M38" s="166">
        <f>ROUND(G38*J38,0)</f>
        <v>37821217</v>
      </c>
    </row>
    <row r="39" spans="1:13" hidden="1" x14ac:dyDescent="0.25">
      <c r="A39" s="168"/>
      <c r="B39" s="133" t="str">
        <f>'Công trình'!B98</f>
        <v>AD.11212</v>
      </c>
      <c r="C39" s="34"/>
      <c r="D39" s="133" t="str">
        <f>'Công trình'!C98</f>
        <v>Cấp phối đá 0x4</v>
      </c>
      <c r="E39" s="168"/>
      <c r="F39" s="20">
        <v>1</v>
      </c>
      <c r="G39" s="45">
        <f>'Hao phí vật tư'!J789</f>
        <v>85.2</v>
      </c>
      <c r="H39" s="166"/>
      <c r="I39" s="166"/>
      <c r="J39" s="166"/>
      <c r="K39" s="166"/>
      <c r="L39" s="156">
        <f>ROUND(G39*K38,2)</f>
        <v>-2140053.6</v>
      </c>
      <c r="M39" s="156">
        <f>ROUND(G39*J38,2)</f>
        <v>17455946.399999999</v>
      </c>
    </row>
    <row r="40" spans="1:13" hidden="1" x14ac:dyDescent="0.25">
      <c r="A40" s="168"/>
      <c r="B40" s="133" t="str">
        <f>'Công trình'!B93</f>
        <v>AD.11212</v>
      </c>
      <c r="C40" s="34"/>
      <c r="D40" s="133" t="str">
        <f>'Công trình'!C93</f>
        <v>Cấp phối đá 0x4</v>
      </c>
      <c r="E40" s="168"/>
      <c r="F40" s="20">
        <v>1</v>
      </c>
      <c r="G40" s="45">
        <f>'Hao phí vật tư'!J755</f>
        <v>99.4</v>
      </c>
      <c r="H40" s="166"/>
      <c r="I40" s="166"/>
      <c r="J40" s="166"/>
      <c r="K40" s="166"/>
      <c r="L40" s="156">
        <f>ROUND(G40*K38,2)</f>
        <v>-2496729.2000000002</v>
      </c>
      <c r="M40" s="156">
        <f>ROUND(G40*J38,2)</f>
        <v>20365270.800000001</v>
      </c>
    </row>
    <row r="41" spans="1:13" x14ac:dyDescent="0.25">
      <c r="A41" s="168">
        <v>13</v>
      </c>
      <c r="B41" s="84" t="s">
        <v>901</v>
      </c>
      <c r="C41" s="34">
        <v>454</v>
      </c>
      <c r="D41" s="144" t="s">
        <v>41</v>
      </c>
      <c r="E41" s="168" t="s">
        <v>155</v>
      </c>
      <c r="F41" s="34"/>
      <c r="G41" s="60">
        <f>SUM(G42:G42)</f>
        <v>151.99680000000001</v>
      </c>
      <c r="H41" s="166">
        <v>250000</v>
      </c>
      <c r="I41" s="156">
        <v>251458</v>
      </c>
      <c r="J41" s="156">
        <f>'Vật liệu'!W43</f>
        <v>251458</v>
      </c>
      <c r="K41" s="166">
        <f>J41-H41</f>
        <v>1458</v>
      </c>
      <c r="L41" s="166">
        <f>ROUND(G41*K41,0)</f>
        <v>221611</v>
      </c>
      <c r="M41" s="166">
        <f>ROUND(G41*J41,0)</f>
        <v>38220811</v>
      </c>
    </row>
    <row r="42" spans="1:13" ht="30" hidden="1" x14ac:dyDescent="0.25">
      <c r="A42" s="168"/>
      <c r="B42" s="133" t="str">
        <f>'Công trình'!B241</f>
        <v>AD.11222</v>
      </c>
      <c r="C42" s="34"/>
      <c r="D42" s="133" t="str">
        <f>'Công trình'!C241</f>
        <v>Làm móng lớp trên cấp phối đá dăm, đường làm mới</v>
      </c>
      <c r="E42" s="168"/>
      <c r="F42" s="20">
        <v>1</v>
      </c>
      <c r="G42" s="45">
        <f>'Hao phí vật tư'!J1823</f>
        <v>151.99680000000001</v>
      </c>
      <c r="H42" s="166"/>
      <c r="I42" s="166"/>
      <c r="J42" s="166"/>
      <c r="K42" s="166"/>
      <c r="L42" s="156">
        <f>ROUND(G42*K41,2)</f>
        <v>221611.33</v>
      </c>
      <c r="M42" s="156">
        <f>ROUND(G42*J41,2)</f>
        <v>38220811.329999998</v>
      </c>
    </row>
    <row r="43" spans="1:13" x14ac:dyDescent="0.25">
      <c r="A43" s="168">
        <v>14</v>
      </c>
      <c r="B43" s="84" t="s">
        <v>807</v>
      </c>
      <c r="C43" s="34">
        <v>127</v>
      </c>
      <c r="D43" s="144" t="s">
        <v>342</v>
      </c>
      <c r="E43" s="168" t="s">
        <v>155</v>
      </c>
      <c r="F43" s="34"/>
      <c r="G43" s="60">
        <f>SUM(G44:G47)</f>
        <v>2436.6206000000002</v>
      </c>
      <c r="H43" s="166">
        <v>140000</v>
      </c>
      <c r="I43" s="156">
        <v>225000</v>
      </c>
      <c r="J43" s="156">
        <f>'Vật liệu'!W45</f>
        <v>225000</v>
      </c>
      <c r="K43" s="166">
        <f>J43-H43</f>
        <v>85000</v>
      </c>
      <c r="L43" s="166">
        <f>ROUND(G43*K43,0)</f>
        <v>207112751</v>
      </c>
      <c r="M43" s="166">
        <f>ROUND(G43*J43,0)</f>
        <v>548239635</v>
      </c>
    </row>
    <row r="44" spans="1:13" ht="30" hidden="1" x14ac:dyDescent="0.25">
      <c r="A44" s="168"/>
      <c r="B44" s="133" t="str">
        <f>'Công trình'!B99</f>
        <v>TT</v>
      </c>
      <c r="C44" s="34"/>
      <c r="D44" s="133" t="str">
        <f>'Công trình'!C99</f>
        <v>Đắp đê quây bằng bao tải cát (VD định mức đắp bao tải đất theo QĐ số 4416/QĐ-BGTVT)</v>
      </c>
      <c r="E44" s="168"/>
      <c r="F44" s="20">
        <v>1</v>
      </c>
      <c r="G44" s="45">
        <f>'Hao phí vật tư'!J802</f>
        <v>56.12</v>
      </c>
      <c r="H44" s="166"/>
      <c r="I44" s="166"/>
      <c r="J44" s="166"/>
      <c r="K44" s="166"/>
      <c r="L44" s="156">
        <f>ROUND(G44*K43,2)</f>
        <v>4770200</v>
      </c>
      <c r="M44" s="156">
        <f>ROUND(G44*J43,2)</f>
        <v>12627000</v>
      </c>
    </row>
    <row r="45" spans="1:13" ht="30" hidden="1" x14ac:dyDescent="0.25">
      <c r="A45" s="168"/>
      <c r="B45" s="133" t="str">
        <f>'Công trình'!B100</f>
        <v>AB.66112</v>
      </c>
      <c r="C45" s="34"/>
      <c r="D45" s="133" t="str">
        <f>'Công trình'!C100</f>
        <v>Đắp cát công trình bằng máy đầm 9T, độ chặt K=0,90</v>
      </c>
      <c r="E45" s="168"/>
      <c r="F45" s="20">
        <v>1</v>
      </c>
      <c r="G45" s="45">
        <f>'Hao phí vật tư'!J809</f>
        <v>449.44799999999998</v>
      </c>
      <c r="H45" s="166"/>
      <c r="I45" s="166"/>
      <c r="J45" s="166"/>
      <c r="K45" s="166"/>
      <c r="L45" s="156">
        <f>ROUND(G45*K43,2)</f>
        <v>38203080</v>
      </c>
      <c r="M45" s="156">
        <f>ROUND(G45*J43,2)</f>
        <v>101125800</v>
      </c>
    </row>
    <row r="46" spans="1:13" hidden="1" x14ac:dyDescent="0.25">
      <c r="A46" s="168"/>
      <c r="B46" s="133" t="str">
        <f>'Công trình'!B152</f>
        <v>AB.13411</v>
      </c>
      <c r="C46" s="34"/>
      <c r="D46" s="133" t="str">
        <f>'Công trình'!C152</f>
        <v>Đắp cát nền móng công trình</v>
      </c>
      <c r="E46" s="168"/>
      <c r="F46" s="20">
        <v>1</v>
      </c>
      <c r="G46" s="45">
        <f>'Hao phí vật tư'!J1154</f>
        <v>6.0511999999999997</v>
      </c>
      <c r="H46" s="166"/>
      <c r="I46" s="166"/>
      <c r="J46" s="166"/>
      <c r="K46" s="166"/>
      <c r="L46" s="156">
        <f>ROUND(G46*K43,2)</f>
        <v>514352</v>
      </c>
      <c r="M46" s="156">
        <f>ROUND(G46*J43,2)</f>
        <v>1361520</v>
      </c>
    </row>
    <row r="47" spans="1:13" ht="30" hidden="1" x14ac:dyDescent="0.25">
      <c r="A47" s="168"/>
      <c r="B47" s="133" t="str">
        <f>'Công trình'!B242</f>
        <v>AB.66114</v>
      </c>
      <c r="C47" s="34"/>
      <c r="D47" s="133" t="str">
        <f>'Công trình'!C242</f>
        <v>Đắp cát công trình bằng máy đầm 9T, độ chặt K=0,98</v>
      </c>
      <c r="E47" s="168"/>
      <c r="F47" s="20">
        <v>1</v>
      </c>
      <c r="G47" s="45">
        <f>'Hao phí vật tư'!J1835</f>
        <v>1925.0014000000001</v>
      </c>
      <c r="H47" s="166"/>
      <c r="I47" s="166"/>
      <c r="J47" s="166"/>
      <c r="K47" s="166"/>
      <c r="L47" s="156">
        <f>ROUND(G47*K43,2)</f>
        <v>163625119</v>
      </c>
      <c r="M47" s="156">
        <f>ROUND(G47*J43,2)</f>
        <v>433125315</v>
      </c>
    </row>
    <row r="48" spans="1:13" x14ac:dyDescent="0.25">
      <c r="A48" s="168">
        <v>15</v>
      </c>
      <c r="B48" s="84" t="s">
        <v>1008</v>
      </c>
      <c r="C48" s="34">
        <v>124</v>
      </c>
      <c r="D48" s="144" t="s">
        <v>802</v>
      </c>
      <c r="E48" s="168" t="s">
        <v>155</v>
      </c>
      <c r="F48" s="34"/>
      <c r="G48" s="60">
        <f>SUM(G49:G49)</f>
        <v>0.29480000000000001</v>
      </c>
      <c r="H48" s="166">
        <v>150000</v>
      </c>
      <c r="I48" s="156">
        <v>293182</v>
      </c>
      <c r="J48" s="156">
        <f>'Vật liệu'!W50</f>
        <v>293182</v>
      </c>
      <c r="K48" s="166">
        <f>J48-H48</f>
        <v>143182</v>
      </c>
      <c r="L48" s="166">
        <f>ROUND(G48*K48,0)</f>
        <v>42210</v>
      </c>
      <c r="M48" s="166">
        <f>ROUND(G48*J48,0)</f>
        <v>86430</v>
      </c>
    </row>
    <row r="49" spans="1:13" hidden="1" x14ac:dyDescent="0.25">
      <c r="A49" s="168"/>
      <c r="B49" s="133" t="str">
        <f>'Công trình'!B263</f>
        <v>AI.63211</v>
      </c>
      <c r="C49" s="34"/>
      <c r="D49" s="133" t="str">
        <f>'Công trình'!C263</f>
        <v>Lắp dựng lan can sắt, vữa XM mác 75</v>
      </c>
      <c r="E49" s="168"/>
      <c r="F49" s="20">
        <v>1</v>
      </c>
      <c r="G49" s="45">
        <f>'Hao phí vật tư'!J2010</f>
        <v>0.29480000000000001</v>
      </c>
      <c r="H49" s="166"/>
      <c r="I49" s="166"/>
      <c r="J49" s="166"/>
      <c r="K49" s="166"/>
      <c r="L49" s="156">
        <f>ROUND(G49*K48,2)</f>
        <v>42210.05</v>
      </c>
      <c r="M49" s="156">
        <f>ROUND(G49*J48,2)</f>
        <v>86430.05</v>
      </c>
    </row>
    <row r="50" spans="1:13" x14ac:dyDescent="0.25">
      <c r="A50" s="168">
        <v>16</v>
      </c>
      <c r="B50" s="84" t="s">
        <v>807</v>
      </c>
      <c r="C50" s="34">
        <v>128</v>
      </c>
      <c r="D50" s="144" t="s">
        <v>885</v>
      </c>
      <c r="E50" s="168" t="s">
        <v>155</v>
      </c>
      <c r="F50" s="34"/>
      <c r="G50" s="60">
        <f>SUM(G51:G51)</f>
        <v>46.677199999999999</v>
      </c>
      <c r="H50" s="166">
        <v>140000</v>
      </c>
      <c r="I50" s="156">
        <v>420000</v>
      </c>
      <c r="J50" s="156">
        <f>'Vật liệu'!W52</f>
        <v>420000</v>
      </c>
      <c r="K50" s="166">
        <f>J50-H50</f>
        <v>280000</v>
      </c>
      <c r="L50" s="166">
        <f>ROUND(G50*K50,0)</f>
        <v>13069616</v>
      </c>
      <c r="M50" s="166">
        <f>ROUND(G50*J50,0)</f>
        <v>19604424</v>
      </c>
    </row>
    <row r="51" spans="1:13" hidden="1" x14ac:dyDescent="0.25">
      <c r="A51" s="168"/>
      <c r="B51" s="133" t="str">
        <f>'Công trình'!B54</f>
        <v>AB.13411</v>
      </c>
      <c r="C51" s="34"/>
      <c r="D51" s="133" t="str">
        <f>'Công trình'!C54</f>
        <v>Đắp cát nền móng công trình</v>
      </c>
      <c r="E51" s="168"/>
      <c r="F51" s="20">
        <v>1</v>
      </c>
      <c r="G51" s="45">
        <f>'Hao phí vật tư'!J395</f>
        <v>46.677199999999999</v>
      </c>
      <c r="H51" s="166"/>
      <c r="I51" s="166"/>
      <c r="J51" s="166"/>
      <c r="K51" s="166"/>
      <c r="L51" s="156">
        <f>ROUND(G51*K50,2)</f>
        <v>13069616</v>
      </c>
      <c r="M51" s="156">
        <f>ROUND(G51*J50,2)</f>
        <v>19604424</v>
      </c>
    </row>
    <row r="52" spans="1:13" x14ac:dyDescent="0.25">
      <c r="A52" s="168">
        <v>17</v>
      </c>
      <c r="B52" s="84" t="s">
        <v>843</v>
      </c>
      <c r="C52" s="34">
        <v>125</v>
      </c>
      <c r="D52" s="144" t="s">
        <v>942</v>
      </c>
      <c r="E52" s="168" t="s">
        <v>155</v>
      </c>
      <c r="F52" s="34"/>
      <c r="G52" s="60">
        <f>SUM(G53:G98)</f>
        <v>932.63239999999985</v>
      </c>
      <c r="H52" s="166">
        <v>220000</v>
      </c>
      <c r="I52" s="156">
        <v>420000</v>
      </c>
      <c r="J52" s="156">
        <f>'Vật liệu'!W54</f>
        <v>420000</v>
      </c>
      <c r="K52" s="166">
        <f>J52-H52</f>
        <v>200000</v>
      </c>
      <c r="L52" s="166">
        <f>ROUND(G52*K52,0)</f>
        <v>186526480</v>
      </c>
      <c r="M52" s="166">
        <f>ROUND(G52*J52,0)</f>
        <v>391705608</v>
      </c>
    </row>
    <row r="53" spans="1:13" ht="30" hidden="1" x14ac:dyDescent="0.25">
      <c r="A53" s="168"/>
      <c r="B53" s="133" t="str">
        <f>'Công trình'!B18</f>
        <v>AF.12314</v>
      </c>
      <c r="C53" s="34"/>
      <c r="D53" s="133" t="str">
        <f>'Công trình'!C18</f>
        <v>Bê tông xà dầm, giằng nhà đá 1x2, vữa BT mác 250</v>
      </c>
      <c r="E53" s="168"/>
      <c r="F53" s="20">
        <v>1</v>
      </c>
      <c r="G53" s="45">
        <f>'Hao phí vật tư'!J124</f>
        <v>31.556000000000001</v>
      </c>
      <c r="H53" s="166"/>
      <c r="I53" s="166"/>
      <c r="J53" s="166"/>
      <c r="K53" s="166"/>
      <c r="L53" s="156">
        <f>ROUND(G53*K52,2)</f>
        <v>6311200</v>
      </c>
      <c r="M53" s="156">
        <f>ROUND(G53*J52,2)</f>
        <v>13253520</v>
      </c>
    </row>
    <row r="54" spans="1:13" ht="30" hidden="1" x14ac:dyDescent="0.25">
      <c r="A54" s="168"/>
      <c r="B54" s="133" t="str">
        <f>'Công trình'!B30</f>
        <v>AF.12113</v>
      </c>
      <c r="C54" s="34"/>
      <c r="D54" s="133" t="str">
        <f>'Công trình'!C30</f>
        <v>Bê tông tường dày &lt;=45cm, chiều cao &lt;=4m đá 1x2, vữa BT mác 200</v>
      </c>
      <c r="E54" s="168"/>
      <c r="F54" s="20">
        <v>1</v>
      </c>
      <c r="G54" s="45">
        <f>'Hao phí vật tư'!J204</f>
        <v>13.2288</v>
      </c>
      <c r="H54" s="166"/>
      <c r="I54" s="166"/>
      <c r="J54" s="166"/>
      <c r="K54" s="166"/>
      <c r="L54" s="156">
        <f>ROUND(G54*K52,2)</f>
        <v>2645760</v>
      </c>
      <c r="M54" s="156">
        <f>ROUND(G54*J52,2)</f>
        <v>5556096</v>
      </c>
    </row>
    <row r="55" spans="1:13" ht="30" hidden="1" x14ac:dyDescent="0.25">
      <c r="A55" s="168"/>
      <c r="B55" s="133" t="str">
        <f>'Công trình'!B43</f>
        <v>AF.11212</v>
      </c>
      <c r="C55" s="34"/>
      <c r="D55" s="133" t="str">
        <f>'Công trình'!C43</f>
        <v>Bê tông móng rộng &lt;=250cm đá 1x2, vữa BT mác 150</v>
      </c>
      <c r="E55" s="168"/>
      <c r="F55" s="20">
        <v>1</v>
      </c>
      <c r="G55" s="45">
        <f>'Hao phí vật tư'!J322</f>
        <v>3.1399999999999997E-2</v>
      </c>
      <c r="H55" s="166"/>
      <c r="I55" s="166"/>
      <c r="J55" s="166"/>
      <c r="K55" s="166"/>
      <c r="L55" s="156">
        <f>ROUND(G55*K52,2)</f>
        <v>6280</v>
      </c>
      <c r="M55" s="156">
        <f>ROUND(G55*J52,2)</f>
        <v>13188</v>
      </c>
    </row>
    <row r="56" spans="1:13" ht="30" hidden="1" x14ac:dyDescent="0.25">
      <c r="A56" s="168"/>
      <c r="B56" s="133" t="str">
        <f>'Công trình'!B44</f>
        <v>AF.11213</v>
      </c>
      <c r="C56" s="34"/>
      <c r="D56" s="133" t="str">
        <f>'Công trình'!C44</f>
        <v>Bê tông móng rộng &lt;=250cm đá 1x2, vữa BT mác 200</v>
      </c>
      <c r="E56" s="168"/>
      <c r="F56" s="20">
        <v>1</v>
      </c>
      <c r="G56" s="45">
        <f>'Hao phí vật tư'!J334</f>
        <v>0.1011</v>
      </c>
      <c r="H56" s="166"/>
      <c r="I56" s="166"/>
      <c r="J56" s="166"/>
      <c r="K56" s="166"/>
      <c r="L56" s="156">
        <f>ROUND(G56*K52,2)</f>
        <v>20220</v>
      </c>
      <c r="M56" s="156">
        <f>ROUND(G56*J52,2)</f>
        <v>42462</v>
      </c>
    </row>
    <row r="57" spans="1:13" ht="30" hidden="1" x14ac:dyDescent="0.25">
      <c r="A57" s="168"/>
      <c r="B57" s="133" t="str">
        <f>'Công trình'!B52</f>
        <v>AG.11412</v>
      </c>
      <c r="C57" s="34"/>
      <c r="D57" s="133" t="str">
        <f>'Công trình'!C52</f>
        <v>Sản xuất bê tông tấm BT tự chèn đúc sẵn đá 1x2, vữa BT mác 150</v>
      </c>
      <c r="E57" s="168"/>
      <c r="F57" s="20">
        <v>1</v>
      </c>
      <c r="G57" s="45">
        <f>'Hao phí vật tư'!J379</f>
        <v>47.532899999999998</v>
      </c>
      <c r="H57" s="166"/>
      <c r="I57" s="166"/>
      <c r="J57" s="166"/>
      <c r="K57" s="166"/>
      <c r="L57" s="156">
        <f>ROUND(G57*K52,2)</f>
        <v>9506580</v>
      </c>
      <c r="M57" s="156">
        <f>ROUND(G57*J52,2)</f>
        <v>19963818</v>
      </c>
    </row>
    <row r="58" spans="1:13" ht="30" hidden="1" x14ac:dyDescent="0.25">
      <c r="A58" s="168"/>
      <c r="B58" s="133" t="str">
        <f>'Công trình'!B55</f>
        <v>AG.42111</v>
      </c>
      <c r="C58" s="34"/>
      <c r="D58" s="133" t="str">
        <f>'Công trình'!C55</f>
        <v>Lắp các loại cấu kiện BT đúc sẵn bằng thủ công trọng lượng &lt;=50kg, vữa XM mác 100</v>
      </c>
      <c r="E58" s="168"/>
      <c r="F58" s="20">
        <v>1</v>
      </c>
      <c r="G58" s="45">
        <f>'Hao phí vật tư'!J402</f>
        <v>15.940200000000001</v>
      </c>
      <c r="H58" s="166"/>
      <c r="I58" s="166"/>
      <c r="J58" s="166"/>
      <c r="K58" s="166"/>
      <c r="L58" s="156">
        <f>ROUND(G58*K52,2)</f>
        <v>3188040</v>
      </c>
      <c r="M58" s="156">
        <f>ROUND(G58*J52,2)</f>
        <v>6694884</v>
      </c>
    </row>
    <row r="59" spans="1:13" hidden="1" x14ac:dyDescent="0.25">
      <c r="A59" s="168"/>
      <c r="B59" s="133" t="str">
        <f>'Công trình'!B57</f>
        <v>AF.12313</v>
      </c>
      <c r="C59" s="34"/>
      <c r="D59" s="133" t="str">
        <f>'Công trình'!C57</f>
        <v>Bê tông xà dầm, giằng đá 1x2, vữa BT mác 200</v>
      </c>
      <c r="E59" s="168"/>
      <c r="F59" s="20">
        <v>1</v>
      </c>
      <c r="G59" s="45">
        <f>'Hao phí vật tư'!J421</f>
        <v>17.619800000000001</v>
      </c>
      <c r="H59" s="166"/>
      <c r="I59" s="166"/>
      <c r="J59" s="166"/>
      <c r="K59" s="166"/>
      <c r="L59" s="156">
        <f>ROUND(G59*K52,2)</f>
        <v>3523960</v>
      </c>
      <c r="M59" s="156">
        <f>ROUND(G59*J52,2)</f>
        <v>7400316</v>
      </c>
    </row>
    <row r="60" spans="1:13" hidden="1" x14ac:dyDescent="0.25">
      <c r="A60" s="168"/>
      <c r="B60" s="133" t="str">
        <f>'Công trình'!B58</f>
        <v>AK.41124</v>
      </c>
      <c r="C60" s="34"/>
      <c r="D60" s="133" t="str">
        <f>'Công trình'!C58</f>
        <v>Vữa lót M75 dày 3cm</v>
      </c>
      <c r="E60" s="168"/>
      <c r="F60" s="20">
        <v>1</v>
      </c>
      <c r="G60" s="45">
        <f>'Hao phí vật tư'!J434</f>
        <v>3.452</v>
      </c>
      <c r="H60" s="166"/>
      <c r="I60" s="166"/>
      <c r="J60" s="166"/>
      <c r="K60" s="166"/>
      <c r="L60" s="156">
        <f>ROUND(G60*K52,2)</f>
        <v>690400</v>
      </c>
      <c r="M60" s="156">
        <f>ROUND(G60*J52,2)</f>
        <v>1449840</v>
      </c>
    </row>
    <row r="61" spans="1:13" ht="30" hidden="1" x14ac:dyDescent="0.25">
      <c r="A61" s="168"/>
      <c r="B61" s="133" t="str">
        <f>'Công trình'!B63</f>
        <v>AF.11223</v>
      </c>
      <c r="C61" s="34"/>
      <c r="D61" s="133" t="str">
        <f>'Công trình'!C63</f>
        <v>Bê tông lát mái rộng &gt;250cm đá 1x2, vữa BT mác 200</v>
      </c>
      <c r="E61" s="168"/>
      <c r="F61" s="20">
        <v>1</v>
      </c>
      <c r="G61" s="45">
        <f>'Hao phí vật tư'!J476</f>
        <v>82.369</v>
      </c>
      <c r="H61" s="166"/>
      <c r="I61" s="166"/>
      <c r="J61" s="166"/>
      <c r="K61" s="166"/>
      <c r="L61" s="156">
        <f>ROUND(G61*K52,2)</f>
        <v>16473800</v>
      </c>
      <c r="M61" s="156">
        <f>ROUND(G61*J52,2)</f>
        <v>34594980</v>
      </c>
    </row>
    <row r="62" spans="1:13" hidden="1" x14ac:dyDescent="0.25">
      <c r="A62" s="168"/>
      <c r="B62" s="133" t="str">
        <f>'Công trình'!B64</f>
        <v>AK.41124</v>
      </c>
      <c r="C62" s="34"/>
      <c r="D62" s="133" t="str">
        <f>'Công trình'!C64</f>
        <v>Vữa lót M75 dày 3cm</v>
      </c>
      <c r="E62" s="168"/>
      <c r="F62" s="20">
        <v>1</v>
      </c>
      <c r="G62" s="45">
        <f>'Hao phí vật tư'!J489</f>
        <v>53.79</v>
      </c>
      <c r="H62" s="166"/>
      <c r="I62" s="166"/>
      <c r="J62" s="166"/>
      <c r="K62" s="166"/>
      <c r="L62" s="156">
        <f>ROUND(G62*K52,2)</f>
        <v>10758000</v>
      </c>
      <c r="M62" s="156">
        <f>ROUND(G62*J52,2)</f>
        <v>22591800</v>
      </c>
    </row>
    <row r="63" spans="1:13" ht="30" hidden="1" x14ac:dyDescent="0.25">
      <c r="A63" s="168"/>
      <c r="B63" s="133" t="str">
        <f>'Công trình'!B68</f>
        <v>AG.11125</v>
      </c>
      <c r="C63" s="34"/>
      <c r="D63" s="133" t="str">
        <f>'Công trình'!C68</f>
        <v>Sản xuất bê tông cọc cừ đúc sẵn đá 1x2, vữa BT mác 300</v>
      </c>
      <c r="E63" s="168"/>
      <c r="F63" s="20">
        <v>1</v>
      </c>
      <c r="G63" s="45">
        <f>'Hao phí vật tư'!J507</f>
        <v>33.127099999999999</v>
      </c>
      <c r="H63" s="166"/>
      <c r="I63" s="166"/>
      <c r="J63" s="166"/>
      <c r="K63" s="166"/>
      <c r="L63" s="156">
        <f>ROUND(G63*K52,2)</f>
        <v>6625420</v>
      </c>
      <c r="M63" s="156">
        <f>ROUND(G63*J52,2)</f>
        <v>13913382</v>
      </c>
    </row>
    <row r="64" spans="1:13" ht="30" hidden="1" x14ac:dyDescent="0.25">
      <c r="A64" s="168"/>
      <c r="B64" s="133" t="str">
        <f>'Công trình'!B79</f>
        <v>AG.11125</v>
      </c>
      <c r="C64" s="34"/>
      <c r="D64" s="133" t="str">
        <f>'Công trình'!C79</f>
        <v>Sản xuất bê tông cọc cừ đúc sẵn đá 1x2, vữa BT mác 300</v>
      </c>
      <c r="E64" s="168"/>
      <c r="F64" s="20">
        <v>1</v>
      </c>
      <c r="G64" s="45">
        <f>'Hao phí vật tư'!J623</f>
        <v>12.975300000000001</v>
      </c>
      <c r="H64" s="166"/>
      <c r="I64" s="166"/>
      <c r="J64" s="166"/>
      <c r="K64" s="166"/>
      <c r="L64" s="156">
        <f>ROUND(G64*K52,2)</f>
        <v>2595060</v>
      </c>
      <c r="M64" s="156">
        <f>ROUND(G64*J52,2)</f>
        <v>5449626</v>
      </c>
    </row>
    <row r="65" spans="1:13" hidden="1" x14ac:dyDescent="0.25">
      <c r="A65" s="168"/>
      <c r="B65" s="133" t="str">
        <f>'Công trình'!B92</f>
        <v>AF.11121</v>
      </c>
      <c r="C65" s="34"/>
      <c r="D65" s="133" t="str">
        <f>'Công trình'!C92</f>
        <v>Bê tông M100 đá 4x6</v>
      </c>
      <c r="E65" s="168"/>
      <c r="F65" s="20">
        <v>1</v>
      </c>
      <c r="G65" s="45">
        <f>'Hao phí vật tư'!J745</f>
        <v>54.744500000000002</v>
      </c>
      <c r="H65" s="166"/>
      <c r="I65" s="166"/>
      <c r="J65" s="166"/>
      <c r="K65" s="166"/>
      <c r="L65" s="156">
        <f>ROUND(G65*K52,2)</f>
        <v>10948900</v>
      </c>
      <c r="M65" s="156">
        <f>ROUND(G65*J52,2)</f>
        <v>22992690</v>
      </c>
    </row>
    <row r="66" spans="1:13" ht="30" hidden="1" x14ac:dyDescent="0.25">
      <c r="A66" s="168"/>
      <c r="B66" s="133" t="str">
        <f>'Công trình'!B167</f>
        <v>AG.11413</v>
      </c>
      <c r="C66" s="34"/>
      <c r="D66" s="133" t="str">
        <f>'Công trình'!C167</f>
        <v>Bê tông tấm đan đúc sẵn đá 1x2, vữa BT mác 200</v>
      </c>
      <c r="E66" s="168"/>
      <c r="F66" s="20">
        <v>1</v>
      </c>
      <c r="G66" s="45">
        <f>'Hao phí vật tư'!J1260</f>
        <v>4.3935000000000004</v>
      </c>
      <c r="H66" s="166"/>
      <c r="I66" s="166"/>
      <c r="J66" s="166"/>
      <c r="K66" s="166"/>
      <c r="L66" s="156">
        <f>ROUND(G66*K52,2)</f>
        <v>878700</v>
      </c>
      <c r="M66" s="156">
        <f>ROUND(G66*J52,2)</f>
        <v>1845270</v>
      </c>
    </row>
    <row r="67" spans="1:13" ht="30" hidden="1" x14ac:dyDescent="0.25">
      <c r="A67" s="168"/>
      <c r="B67" s="133" t="str">
        <f>'Công trình'!B169</f>
        <v>AG.42141</v>
      </c>
      <c r="C67" s="34"/>
      <c r="D67" s="133" t="str">
        <f>'Công trình'!C169</f>
        <v>Lắp các loại cấu kiện BT đúc sẵn bằng thủ công trọng lượng &gt;250kg, vữa XM mác 100</v>
      </c>
      <c r="E67" s="168"/>
      <c r="F67" s="20">
        <v>1</v>
      </c>
      <c r="G67" s="45">
        <f>'Hao phí vật tư'!J1282</f>
        <v>0.67710000000000004</v>
      </c>
      <c r="H67" s="166"/>
      <c r="I67" s="166"/>
      <c r="J67" s="166"/>
      <c r="K67" s="166"/>
      <c r="L67" s="156">
        <f>ROUND(G67*K52,2)</f>
        <v>135420</v>
      </c>
      <c r="M67" s="156">
        <f>ROUND(G67*J52,2)</f>
        <v>284382</v>
      </c>
    </row>
    <row r="68" spans="1:13" ht="30" hidden="1" x14ac:dyDescent="0.25">
      <c r="A68" s="168"/>
      <c r="B68" s="133" t="str">
        <f>'Công trình'!B174</f>
        <v>AF.14115</v>
      </c>
      <c r="C68" s="34"/>
      <c r="D68" s="133" t="str">
        <f>'Công trình'!C174</f>
        <v>Bê tông móng, mố trụ cầu trên cạn đá 1x2, vữa BT mác 300</v>
      </c>
      <c r="E68" s="168"/>
      <c r="F68" s="20">
        <v>1</v>
      </c>
      <c r="G68" s="45">
        <f>'Hao phí vật tư'!J1299</f>
        <v>46.1233</v>
      </c>
      <c r="H68" s="166"/>
      <c r="I68" s="166"/>
      <c r="J68" s="166"/>
      <c r="K68" s="166"/>
      <c r="L68" s="156">
        <f>ROUND(G68*K52,2)</f>
        <v>9224660</v>
      </c>
      <c r="M68" s="156">
        <f>ROUND(G68*J52,2)</f>
        <v>19371786</v>
      </c>
    </row>
    <row r="69" spans="1:13" hidden="1" x14ac:dyDescent="0.25">
      <c r="A69" s="168"/>
      <c r="B69" s="133" t="str">
        <f>'Công trình'!B176</f>
        <v>AK.41125</v>
      </c>
      <c r="C69" s="34"/>
      <c r="D69" s="133" t="str">
        <f>'Công trình'!C176</f>
        <v>Vữa xi măng M100 độ dốc 10%</v>
      </c>
      <c r="E69" s="168"/>
      <c r="F69" s="20">
        <v>1</v>
      </c>
      <c r="G69" s="45">
        <f>'Hao phí vật tư'!J1328</f>
        <v>0.183</v>
      </c>
      <c r="H69" s="166"/>
      <c r="I69" s="166"/>
      <c r="J69" s="166"/>
      <c r="K69" s="166"/>
      <c r="L69" s="156">
        <f>ROUND(G69*K52,2)</f>
        <v>36600</v>
      </c>
      <c r="M69" s="156">
        <f>ROUND(G69*J52,2)</f>
        <v>76860</v>
      </c>
    </row>
    <row r="70" spans="1:13" ht="30" hidden="1" x14ac:dyDescent="0.25">
      <c r="A70" s="168"/>
      <c r="B70" s="133" t="str">
        <f>'Công trình'!B177</f>
        <v>AF.11121</v>
      </c>
      <c r="C70" s="34"/>
      <c r="D70" s="133" t="str">
        <f>'Công trình'!C177</f>
        <v>Bê tông lót móng rộng &gt;250cm đá 4x6, vữa BT mác 100</v>
      </c>
      <c r="E70" s="168"/>
      <c r="F70" s="20">
        <v>1</v>
      </c>
      <c r="G70" s="45">
        <f>'Hao phí vật tư'!J1337</f>
        <v>4.3955000000000002</v>
      </c>
      <c r="H70" s="166"/>
      <c r="I70" s="166"/>
      <c r="J70" s="166"/>
      <c r="K70" s="166"/>
      <c r="L70" s="156">
        <f>ROUND(G70*K52,2)</f>
        <v>879100</v>
      </c>
      <c r="M70" s="156">
        <f>ROUND(G70*J52,2)</f>
        <v>1846110</v>
      </c>
    </row>
    <row r="71" spans="1:13" ht="30" hidden="1" x14ac:dyDescent="0.25">
      <c r="A71" s="168"/>
      <c r="B71" s="133" t="str">
        <f>'Công trình'!B186</f>
        <v>AF.14115</v>
      </c>
      <c r="C71" s="34"/>
      <c r="D71" s="133" t="str">
        <f>'Công trình'!C186</f>
        <v>Bê tông móng, mố trụ cầu trên cạn đá 1x2, vữa BT mác 300</v>
      </c>
      <c r="E71" s="168"/>
      <c r="F71" s="20">
        <v>1</v>
      </c>
      <c r="G71" s="45">
        <f>'Hao phí vật tư'!J1416</f>
        <v>1.6488</v>
      </c>
      <c r="H71" s="166"/>
      <c r="I71" s="166"/>
      <c r="J71" s="166"/>
      <c r="K71" s="166"/>
      <c r="L71" s="156">
        <f>ROUND(G71*K52,2)</f>
        <v>329760</v>
      </c>
      <c r="M71" s="156">
        <f>ROUND(G71*J52,2)</f>
        <v>692496</v>
      </c>
    </row>
    <row r="72" spans="1:13" hidden="1" x14ac:dyDescent="0.25">
      <c r="A72" s="168"/>
      <c r="B72" s="133" t="str">
        <f>'Công trình'!B187</f>
        <v>AK.41125</v>
      </c>
      <c r="C72" s="34"/>
      <c r="D72" s="133" t="str">
        <f>'Công trình'!C187</f>
        <v>Vữa xi măng dày 3cm, vữa XM mác 100</v>
      </c>
      <c r="E72" s="168"/>
      <c r="F72" s="20">
        <v>1</v>
      </c>
      <c r="G72" s="45">
        <f>'Hao phí vật tư'!J1430</f>
        <v>3.73E-2</v>
      </c>
      <c r="H72" s="166"/>
      <c r="I72" s="166"/>
      <c r="J72" s="166"/>
      <c r="K72" s="166"/>
      <c r="L72" s="156">
        <f>ROUND(G72*K52,2)</f>
        <v>7460</v>
      </c>
      <c r="M72" s="156">
        <f>ROUND(G72*J52,2)</f>
        <v>15666</v>
      </c>
    </row>
    <row r="73" spans="1:13" hidden="1" x14ac:dyDescent="0.25">
      <c r="A73" s="168"/>
      <c r="B73" s="133" t="str">
        <f>'Công trình'!B196</f>
        <v>AF.14315</v>
      </c>
      <c r="C73" s="34"/>
      <c r="D73" s="133" t="str">
        <f>'Công trình'!C196</f>
        <v>Bê tông mặt cầu đá 1x2, vữa BT mác 300</v>
      </c>
      <c r="E73" s="168"/>
      <c r="F73" s="20">
        <v>1</v>
      </c>
      <c r="G73" s="45">
        <f>'Hao phí vật tư'!J1497</f>
        <v>25.603899999999999</v>
      </c>
      <c r="H73" s="166"/>
      <c r="I73" s="166"/>
      <c r="J73" s="166"/>
      <c r="K73" s="166"/>
      <c r="L73" s="156">
        <f>ROUND(G73*K52,2)</f>
        <v>5120780</v>
      </c>
      <c r="M73" s="156">
        <f>ROUND(G73*J52,2)</f>
        <v>10753638</v>
      </c>
    </row>
    <row r="74" spans="1:13" hidden="1" x14ac:dyDescent="0.25">
      <c r="A74" s="168"/>
      <c r="B74" s="133" t="str">
        <f>'Công trình'!B197</f>
        <v>AF.15225</v>
      </c>
      <c r="C74" s="34"/>
      <c r="D74" s="133" t="str">
        <f>'Công trình'!C197</f>
        <v>Bê tông dầm cầu đá 1x2, vữa BT mác 300</v>
      </c>
      <c r="E74" s="168"/>
      <c r="F74" s="20">
        <v>1</v>
      </c>
      <c r="G74" s="45">
        <f>'Hao phí vật tư'!J1511</f>
        <v>1.4379999999999999</v>
      </c>
      <c r="H74" s="166"/>
      <c r="I74" s="166"/>
      <c r="J74" s="166"/>
      <c r="K74" s="166"/>
      <c r="L74" s="156">
        <f>ROUND(G74*K52,2)</f>
        <v>287600</v>
      </c>
      <c r="M74" s="156">
        <f>ROUND(G74*J52,2)</f>
        <v>603960</v>
      </c>
    </row>
    <row r="75" spans="1:13" hidden="1" x14ac:dyDescent="0.25">
      <c r="A75" s="168"/>
      <c r="B75" s="133" t="str">
        <f>'Công trình'!B217</f>
        <v>AF.11215</v>
      </c>
      <c r="C75" s="34"/>
      <c r="D75" s="133" t="str">
        <f>'Công trình'!C217</f>
        <v>BT M300 đổ sau có phụ gia</v>
      </c>
      <c r="E75" s="168"/>
      <c r="F75" s="20">
        <v>1</v>
      </c>
      <c r="G75" s="45">
        <f>'Hao phí vật tư'!J1633</f>
        <v>0.54210000000000003</v>
      </c>
      <c r="H75" s="166"/>
      <c r="I75" s="166"/>
      <c r="J75" s="166"/>
      <c r="K75" s="166"/>
      <c r="L75" s="156">
        <f>ROUND(G75*K52,2)</f>
        <v>108420</v>
      </c>
      <c r="M75" s="156">
        <f>ROUND(G75*J52,2)</f>
        <v>227682</v>
      </c>
    </row>
    <row r="76" spans="1:13" ht="30" hidden="1" x14ac:dyDescent="0.25">
      <c r="A76" s="168"/>
      <c r="B76" s="133" t="str">
        <f>'Công trình'!B225</f>
        <v>AG.11125</v>
      </c>
      <c r="C76" s="34"/>
      <c r="D76" s="133" t="str">
        <f>'Công trình'!C225</f>
        <v>Sản xuất bê tông cọc cừ đúc sẵn đá 1x2, vữa BT mác 300</v>
      </c>
      <c r="E76" s="168"/>
      <c r="F76" s="20">
        <v>1</v>
      </c>
      <c r="G76" s="45">
        <f>'Hao phí vật tư'!J1683</f>
        <v>35.803800000000003</v>
      </c>
      <c r="H76" s="166"/>
      <c r="I76" s="166"/>
      <c r="J76" s="166"/>
      <c r="K76" s="166"/>
      <c r="L76" s="156">
        <f>ROUND(G76*K52,2)</f>
        <v>7160760</v>
      </c>
      <c r="M76" s="156">
        <f>ROUND(G76*J52,2)</f>
        <v>15037596</v>
      </c>
    </row>
    <row r="77" spans="1:13" ht="30" hidden="1" x14ac:dyDescent="0.25">
      <c r="A77" s="168"/>
      <c r="B77" s="133" t="str">
        <f>'Công trình'!B247</f>
        <v>AF.12313</v>
      </c>
      <c r="C77" s="34"/>
      <c r="D77" s="133" t="str">
        <f>'Công trình'!C247</f>
        <v>Bê tông dầm chặn chân, đá 1x2, vữa BT mác 200</v>
      </c>
      <c r="E77" s="168"/>
      <c r="F77" s="20">
        <v>1</v>
      </c>
      <c r="G77" s="45">
        <f>'Hao phí vật tư'!J1866</f>
        <v>9.0145999999999997</v>
      </c>
      <c r="H77" s="166"/>
      <c r="I77" s="166"/>
      <c r="J77" s="166"/>
      <c r="K77" s="166"/>
      <c r="L77" s="156">
        <f>ROUND(G77*K52,2)</f>
        <v>1802920</v>
      </c>
      <c r="M77" s="156">
        <f>ROUND(G77*J52,2)</f>
        <v>3786132</v>
      </c>
    </row>
    <row r="78" spans="1:13" hidden="1" x14ac:dyDescent="0.25">
      <c r="A78" s="168"/>
      <c r="B78" s="133" t="str">
        <f>'Công trình'!B248</f>
        <v>AK.41124</v>
      </c>
      <c r="C78" s="34"/>
      <c r="D78" s="133" t="str">
        <f>'Công trình'!C248</f>
        <v>Vữa lót M75-3cm</v>
      </c>
      <c r="E78" s="168"/>
      <c r="F78" s="20">
        <v>1</v>
      </c>
      <c r="G78" s="45">
        <f>'Hao phí vật tư'!J1879</f>
        <v>2.8258999999999999</v>
      </c>
      <c r="H78" s="166"/>
      <c r="I78" s="166"/>
      <c r="J78" s="166"/>
      <c r="K78" s="166"/>
      <c r="L78" s="156">
        <f>ROUND(G78*K52,2)</f>
        <v>565180</v>
      </c>
      <c r="M78" s="156">
        <f>ROUND(G78*J52,2)</f>
        <v>1186878</v>
      </c>
    </row>
    <row r="79" spans="1:13" ht="30" hidden="1" x14ac:dyDescent="0.25">
      <c r="A79" s="168"/>
      <c r="B79" s="133" t="str">
        <f>'Công trình'!B250</f>
        <v>AG.11413</v>
      </c>
      <c r="C79" s="34"/>
      <c r="D79" s="133" t="str">
        <f>'Công trình'!C250</f>
        <v>Sản xuất bê tông lục giác, đá 1x2, vữa BT mác 200</v>
      </c>
      <c r="E79" s="168"/>
      <c r="F79" s="20">
        <v>1</v>
      </c>
      <c r="G79" s="45">
        <f>'Hao phí vật tư'!J1901</f>
        <v>36.259</v>
      </c>
      <c r="H79" s="166"/>
      <c r="I79" s="166"/>
      <c r="J79" s="166"/>
      <c r="K79" s="166"/>
      <c r="L79" s="156">
        <f>ROUND(G79*K52,2)</f>
        <v>7251800</v>
      </c>
      <c r="M79" s="156">
        <f>ROUND(G79*J52,2)</f>
        <v>15228780</v>
      </c>
    </row>
    <row r="80" spans="1:13" ht="30" hidden="1" x14ac:dyDescent="0.25">
      <c r="A80" s="168"/>
      <c r="B80" s="133" t="str">
        <f>'Công trình'!B255</f>
        <v>AF.14325</v>
      </c>
      <c r="C80" s="34"/>
      <c r="D80" s="133" t="str">
        <f>'Công trình'!C255</f>
        <v>Bê tông lan can, gờ chắn đá 1x2, vữa BT mác 300</v>
      </c>
      <c r="E80" s="168"/>
      <c r="F80" s="20">
        <v>1</v>
      </c>
      <c r="G80" s="45">
        <f>'Hao phí vật tư'!J1937</f>
        <v>10.037800000000001</v>
      </c>
      <c r="H80" s="166"/>
      <c r="I80" s="166"/>
      <c r="J80" s="166"/>
      <c r="K80" s="166"/>
      <c r="L80" s="156">
        <f>ROUND(G80*K52,2)</f>
        <v>2007560</v>
      </c>
      <c r="M80" s="156">
        <f>ROUND(G80*J52,2)</f>
        <v>4215876</v>
      </c>
    </row>
    <row r="81" spans="1:13" ht="30" hidden="1" x14ac:dyDescent="0.25">
      <c r="A81" s="168"/>
      <c r="B81" s="133" t="str">
        <f>'Công trình'!B267</f>
        <v>AF.11212</v>
      </c>
      <c r="C81" s="34"/>
      <c r="D81" s="133" t="str">
        <f>'Công trình'!C267</f>
        <v>Bê tông móng rộng &lt;=250cm đá 1x2, vữa BT mác 150</v>
      </c>
      <c r="E81" s="168"/>
      <c r="F81" s="20">
        <v>1</v>
      </c>
      <c r="G81" s="45">
        <f>'Hao phí vật tư'!J2032</f>
        <v>1.7775000000000001</v>
      </c>
      <c r="H81" s="166"/>
      <c r="I81" s="166"/>
      <c r="J81" s="166"/>
      <c r="K81" s="166"/>
      <c r="L81" s="156">
        <f>ROUND(G81*K52,2)</f>
        <v>355500</v>
      </c>
      <c r="M81" s="156">
        <f>ROUND(G81*J52,2)</f>
        <v>746550</v>
      </c>
    </row>
    <row r="82" spans="1:13" ht="30" hidden="1" x14ac:dyDescent="0.25">
      <c r="A82" s="168"/>
      <c r="B82" s="133" t="str">
        <f>'Công trình'!B284</f>
        <v>AF.11213</v>
      </c>
      <c r="C82" s="34"/>
      <c r="D82" s="133" t="str">
        <f>'Công trình'!C284</f>
        <v>Bê tông móng rộng &lt;=250cm đá 1x2, vữa BT mác 200</v>
      </c>
      <c r="E82" s="168"/>
      <c r="F82" s="20">
        <v>1</v>
      </c>
      <c r="G82" s="45">
        <f>'Hao phí vật tư'!J2123</f>
        <v>3.9615999999999998</v>
      </c>
      <c r="H82" s="166"/>
      <c r="I82" s="166"/>
      <c r="J82" s="166"/>
      <c r="K82" s="166"/>
      <c r="L82" s="156">
        <f>ROUND(G82*K52,2)</f>
        <v>792320</v>
      </c>
      <c r="M82" s="156">
        <f>ROUND(G82*J52,2)</f>
        <v>1663872</v>
      </c>
    </row>
    <row r="83" spans="1:13" ht="30" hidden="1" x14ac:dyDescent="0.25">
      <c r="A83" s="168"/>
      <c r="B83" s="133" t="str">
        <f>'Công trình'!B285</f>
        <v>AF.11212</v>
      </c>
      <c r="C83" s="34"/>
      <c r="D83" s="133" t="str">
        <f>'Công trình'!C285</f>
        <v>Bê tông móng rộng &lt;=250cm đá 1x2, vữa BT mác 150</v>
      </c>
      <c r="E83" s="168"/>
      <c r="F83" s="20">
        <v>1</v>
      </c>
      <c r="G83" s="45">
        <f>'Hao phí vật tư'!J2135</f>
        <v>0.7319</v>
      </c>
      <c r="H83" s="166"/>
      <c r="I83" s="166"/>
      <c r="J83" s="166"/>
      <c r="K83" s="166"/>
      <c r="L83" s="156">
        <f>ROUND(G83*K52,2)</f>
        <v>146380</v>
      </c>
      <c r="M83" s="156">
        <f>ROUND(G83*J52,2)</f>
        <v>307398</v>
      </c>
    </row>
    <row r="84" spans="1:13" hidden="1" x14ac:dyDescent="0.25">
      <c r="A84" s="168"/>
      <c r="B84" s="133" t="str">
        <f>'Công trình'!B286</f>
        <v>AK.41124</v>
      </c>
      <c r="C84" s="34"/>
      <c r="D84" s="133" t="str">
        <f>'Công trình'!C286</f>
        <v>Vữa lót M75 dày 3cm</v>
      </c>
      <c r="E84" s="168"/>
      <c r="F84" s="20">
        <v>1</v>
      </c>
      <c r="G84" s="45">
        <f>'Hao phí vật tư'!J2147</f>
        <v>0.4491</v>
      </c>
      <c r="H84" s="166"/>
      <c r="I84" s="166"/>
      <c r="J84" s="166"/>
      <c r="K84" s="166"/>
      <c r="L84" s="156">
        <f>ROUND(G84*K52,2)</f>
        <v>89820</v>
      </c>
      <c r="M84" s="156">
        <f>ROUND(G84*J52,2)</f>
        <v>188622</v>
      </c>
    </row>
    <row r="85" spans="1:13" ht="30" hidden="1" x14ac:dyDescent="0.25">
      <c r="A85" s="168"/>
      <c r="B85" s="133" t="str">
        <f>'Công trình'!B252</f>
        <v>AG.42111</v>
      </c>
      <c r="C85" s="34"/>
      <c r="D85" s="133" t="str">
        <f>'Công trình'!C252</f>
        <v>Lắp các loại cấu kiện BT đúc sẵn bằng thủ công trọng lượng &lt;=50kg, vữa XM mác 100</v>
      </c>
      <c r="E85" s="168"/>
      <c r="F85" s="20">
        <v>1</v>
      </c>
      <c r="G85" s="45">
        <f>'Hao phí vật tư'!J1923</f>
        <v>22.994399999999999</v>
      </c>
      <c r="H85" s="166"/>
      <c r="I85" s="166"/>
      <c r="J85" s="166"/>
      <c r="K85" s="166"/>
      <c r="L85" s="156">
        <f>ROUND(G85*K52,2)</f>
        <v>4598880</v>
      </c>
      <c r="M85" s="156">
        <f>ROUND(G85*J52,2)</f>
        <v>9657648</v>
      </c>
    </row>
    <row r="86" spans="1:13" hidden="1" x14ac:dyDescent="0.25">
      <c r="A86" s="168"/>
      <c r="B86" s="133" t="str">
        <f>'Công trình'!B265</f>
        <v>AK.41115</v>
      </c>
      <c r="C86" s="34"/>
      <c r="D86" s="133" t="str">
        <f>'Công trình'!C265</f>
        <v>Vữa xi măng M100</v>
      </c>
      <c r="E86" s="168"/>
      <c r="F86" s="20">
        <v>1</v>
      </c>
      <c r="G86" s="45">
        <f>'Hao phí vật tư'!J2023</f>
        <v>0.44479999999999997</v>
      </c>
      <c r="H86" s="166"/>
      <c r="I86" s="166"/>
      <c r="J86" s="166"/>
      <c r="K86" s="166"/>
      <c r="L86" s="156">
        <f>ROUND(G86*K52,2)</f>
        <v>88960</v>
      </c>
      <c r="M86" s="156">
        <f>ROUND(G86*J52,2)</f>
        <v>186816</v>
      </c>
    </row>
    <row r="87" spans="1:13" ht="30" hidden="1" x14ac:dyDescent="0.25">
      <c r="A87" s="168"/>
      <c r="B87" s="133" t="str">
        <f>'Công trình'!B295</f>
        <v>AF.11213</v>
      </c>
      <c r="C87" s="34"/>
      <c r="D87" s="133" t="str">
        <f>'Công trình'!C295</f>
        <v>Bê tông móng rộng &lt;=250cm đá 1x2, vữa BT mác 200</v>
      </c>
      <c r="E87" s="168"/>
      <c r="F87" s="20">
        <v>1</v>
      </c>
      <c r="G87" s="45">
        <f>'Hao phí vật tư'!J2207</f>
        <v>8.5900000000000004E-2</v>
      </c>
      <c r="H87" s="166"/>
      <c r="I87" s="166"/>
      <c r="J87" s="166"/>
      <c r="K87" s="166"/>
      <c r="L87" s="156">
        <f>ROUND(G87*K52,2)</f>
        <v>17180</v>
      </c>
      <c r="M87" s="156">
        <f>ROUND(G87*J52,2)</f>
        <v>36078</v>
      </c>
    </row>
    <row r="88" spans="1:13" ht="30" hidden="1" x14ac:dyDescent="0.25">
      <c r="A88" s="168"/>
      <c r="B88" s="133" t="str">
        <f>'Công trình'!B296</f>
        <v>AF.11212</v>
      </c>
      <c r="C88" s="34"/>
      <c r="D88" s="133" t="str">
        <f>'Công trình'!C296</f>
        <v>Bê tông móng rộng &lt;=250cm đá 1x2, vữa BT mác 150</v>
      </c>
      <c r="E88" s="168"/>
      <c r="F88" s="20">
        <v>1</v>
      </c>
      <c r="G88" s="45">
        <f>'Hao phí vật tư'!J2219</f>
        <v>3.1399999999999997E-2</v>
      </c>
      <c r="H88" s="166"/>
      <c r="I88" s="166"/>
      <c r="J88" s="166"/>
      <c r="K88" s="166"/>
      <c r="L88" s="156">
        <f>ROUND(G88*K52,2)</f>
        <v>6280</v>
      </c>
      <c r="M88" s="156">
        <f>ROUND(G88*J52,2)</f>
        <v>13188</v>
      </c>
    </row>
    <row r="89" spans="1:13" ht="30" hidden="1" x14ac:dyDescent="0.25">
      <c r="A89" s="168"/>
      <c r="B89" s="133" t="str">
        <f>'Công trình'!B300</f>
        <v>AG.11113</v>
      </c>
      <c r="C89" s="34"/>
      <c r="D89" s="133" t="str">
        <f>'Công trình'!C300</f>
        <v>Sản xuất bê tông cọc, cột đúc sẵn đá 1x2, vữa BT mác 200</v>
      </c>
      <c r="E89" s="168"/>
      <c r="F89" s="20">
        <v>1</v>
      </c>
      <c r="G89" s="45">
        <f>'Hao phí vật tư'!J2241</f>
        <v>0.45040000000000002</v>
      </c>
      <c r="H89" s="166"/>
      <c r="I89" s="166"/>
      <c r="J89" s="166"/>
      <c r="K89" s="166"/>
      <c r="L89" s="156">
        <f>ROUND(G89*K52,2)</f>
        <v>90080</v>
      </c>
      <c r="M89" s="156">
        <f>ROUND(G89*J52,2)</f>
        <v>189168</v>
      </c>
    </row>
    <row r="90" spans="1:13" ht="30" hidden="1" x14ac:dyDescent="0.25">
      <c r="A90" s="168"/>
      <c r="B90" s="133" t="str">
        <f>'Công trình'!B301</f>
        <v>AF.11212</v>
      </c>
      <c r="C90" s="34"/>
      <c r="D90" s="133" t="str">
        <f>'Công trình'!C301</f>
        <v>Bê tông móng rộng &lt;=250cm đá 1x2, vữa BT mác 150</v>
      </c>
      <c r="E90" s="168"/>
      <c r="F90" s="20">
        <v>1</v>
      </c>
      <c r="G90" s="45">
        <f>'Hao phí vật tư'!J2254</f>
        <v>0.75280000000000002</v>
      </c>
      <c r="H90" s="166"/>
      <c r="I90" s="166"/>
      <c r="J90" s="166"/>
      <c r="K90" s="166"/>
      <c r="L90" s="156">
        <f>ROUND(G90*K52,2)</f>
        <v>150560</v>
      </c>
      <c r="M90" s="156">
        <f>ROUND(G90*J52,2)</f>
        <v>316176</v>
      </c>
    </row>
    <row r="91" spans="1:13" ht="30" hidden="1" x14ac:dyDescent="0.25">
      <c r="A91" s="168"/>
      <c r="B91" s="133" t="str">
        <f>'Công trình'!B303</f>
        <v>AG.42111</v>
      </c>
      <c r="C91" s="34"/>
      <c r="D91" s="133" t="str">
        <f>'Công trình'!C303</f>
        <v>Lắp các loại cấu kiện BT đúc sẵn bằng thủ công trọng lượng &lt;=50kg, vữa XM mác 100</v>
      </c>
      <c r="E91" s="168"/>
      <c r="F91" s="20">
        <v>1</v>
      </c>
      <c r="G91" s="45">
        <f>'Hao phí vật tư'!J2274</f>
        <v>0.13200000000000001</v>
      </c>
      <c r="H91" s="166"/>
      <c r="I91" s="166"/>
      <c r="J91" s="166"/>
      <c r="K91" s="166"/>
      <c r="L91" s="156">
        <f>ROUND(G91*K52,2)</f>
        <v>26400</v>
      </c>
      <c r="M91" s="156">
        <f>ROUND(G91*J52,2)</f>
        <v>55440</v>
      </c>
    </row>
    <row r="92" spans="1:13" ht="30" hidden="1" x14ac:dyDescent="0.25">
      <c r="A92" s="168"/>
      <c r="B92" s="133" t="str">
        <f>'Công trình'!B7</f>
        <v>AF.11224</v>
      </c>
      <c r="C92" s="34"/>
      <c r="D92" s="133" t="str">
        <f>'Công trình'!C7</f>
        <v>Bê tông móng rộng &gt;250cm đá 1x2, vữa BT mác 250</v>
      </c>
      <c r="E92" s="168"/>
      <c r="F92" s="20">
        <v>1</v>
      </c>
      <c r="G92" s="45">
        <f>'Hao phí vật tư'!J12</f>
        <v>80.017099999999999</v>
      </c>
      <c r="H92" s="166"/>
      <c r="I92" s="166"/>
      <c r="J92" s="166"/>
      <c r="K92" s="166"/>
      <c r="L92" s="156">
        <f>ROUND(G92*K52,2)</f>
        <v>16003420</v>
      </c>
      <c r="M92" s="156">
        <f>ROUND(G92*J52,2)</f>
        <v>33607182</v>
      </c>
    </row>
    <row r="93" spans="1:13" ht="30" hidden="1" x14ac:dyDescent="0.25">
      <c r="A93" s="168"/>
      <c r="B93" s="133" t="str">
        <f>'Công trình'!B8</f>
        <v>AF.12144</v>
      </c>
      <c r="C93" s="34"/>
      <c r="D93" s="133" t="str">
        <f>'Công trình'!C8</f>
        <v>Bê tông tường dày &gt;45cm, chiều cao &lt;=16m đá 1x2, vữa BT mác 250</v>
      </c>
      <c r="E93" s="168"/>
      <c r="F93" s="20">
        <v>1</v>
      </c>
      <c r="G93" s="45">
        <f>'Hao phí vật tư'!J27</f>
        <v>78.230199999999996</v>
      </c>
      <c r="H93" s="166"/>
      <c r="I93" s="166"/>
      <c r="J93" s="166"/>
      <c r="K93" s="166"/>
      <c r="L93" s="156">
        <f>ROUND(G93*K52,2)</f>
        <v>15646040</v>
      </c>
      <c r="M93" s="156">
        <f>ROUND(G93*J52,2)</f>
        <v>32856684</v>
      </c>
    </row>
    <row r="94" spans="1:13" hidden="1" x14ac:dyDescent="0.25">
      <c r="A94" s="168"/>
      <c r="B94" s="133" t="str">
        <f>'Công trình'!B198</f>
        <v>TT</v>
      </c>
      <c r="C94" s="34"/>
      <c r="D94" s="133" t="str">
        <f>'Công trình'!C198</f>
        <v>Vữa xi măng dày 7cm, vữa XM mác 400</v>
      </c>
      <c r="E94" s="168"/>
      <c r="F94" s="20">
        <v>1</v>
      </c>
      <c r="G94" s="45">
        <f>'Hao phí vật tư'!J1526</f>
        <v>20.815799999999999</v>
      </c>
      <c r="H94" s="166"/>
      <c r="I94" s="166"/>
      <c r="J94" s="166"/>
      <c r="K94" s="166"/>
      <c r="L94" s="156">
        <f>ROUND(G94*K52,2)</f>
        <v>4163160</v>
      </c>
      <c r="M94" s="156">
        <f>ROUND(G94*J52,2)</f>
        <v>8742636</v>
      </c>
    </row>
    <row r="95" spans="1:13" hidden="1" x14ac:dyDescent="0.25">
      <c r="A95" s="168"/>
      <c r="B95" s="133" t="str">
        <f>'Công trình'!B175</f>
        <v>AF.11225</v>
      </c>
      <c r="C95" s="34"/>
      <c r="D95" s="133" t="str">
        <f>'Công trình'!C175</f>
        <v>Bê tông bản dẫn đá 1x2, vữa BT mác 300</v>
      </c>
      <c r="E95" s="168"/>
      <c r="F95" s="20">
        <v>1</v>
      </c>
      <c r="G95" s="45">
        <f>'Hao phí vật tư'!J1315</f>
        <v>8.4312000000000005</v>
      </c>
      <c r="H95" s="166"/>
      <c r="I95" s="166"/>
      <c r="J95" s="166"/>
      <c r="K95" s="166"/>
      <c r="L95" s="156">
        <f>ROUND(G95*K52,2)</f>
        <v>1686240</v>
      </c>
      <c r="M95" s="156">
        <f>ROUND(G95*J52,2)</f>
        <v>3541104</v>
      </c>
    </row>
    <row r="96" spans="1:13" hidden="1" x14ac:dyDescent="0.25">
      <c r="A96" s="168"/>
      <c r="B96" s="133" t="str">
        <f>'Công trình'!B9</f>
        <v>AF.11333</v>
      </c>
      <c r="C96" s="34"/>
      <c r="D96" s="133" t="str">
        <f>'Công trình'!C9</f>
        <v>Bê tông bịt đáy đá 4x6, vữa BT mác 200</v>
      </c>
      <c r="E96" s="168"/>
      <c r="F96" s="20">
        <v>1</v>
      </c>
      <c r="G96" s="45">
        <f>'Hao phí vật tư'!J41</f>
        <v>133.63999999999999</v>
      </c>
      <c r="H96" s="166"/>
      <c r="I96" s="166"/>
      <c r="J96" s="166"/>
      <c r="K96" s="166"/>
      <c r="L96" s="156">
        <f>ROUND(G96*K52,2)</f>
        <v>26728000</v>
      </c>
      <c r="M96" s="156">
        <f>ROUND(G96*J52,2)</f>
        <v>56128800</v>
      </c>
    </row>
    <row r="97" spans="1:13" ht="30" hidden="1" x14ac:dyDescent="0.25">
      <c r="A97" s="168"/>
      <c r="B97" s="133" t="str">
        <f>'Công trình'!B10</f>
        <v>AF.11121</v>
      </c>
      <c r="C97" s="34"/>
      <c r="D97" s="133" t="str">
        <f>'Công trình'!C10</f>
        <v>Bê tông lót móng rộng &gt;250cm đá 4x6, vữa BT mác 100</v>
      </c>
      <c r="E97" s="168"/>
      <c r="F97" s="20">
        <v>1</v>
      </c>
      <c r="G97" s="45">
        <f>'Hao phí vật tư'!J53</f>
        <v>29.0199</v>
      </c>
      <c r="H97" s="166"/>
      <c r="I97" s="166"/>
      <c r="J97" s="166"/>
      <c r="K97" s="166"/>
      <c r="L97" s="156">
        <f>ROUND(G97*K52,2)</f>
        <v>5803980</v>
      </c>
      <c r="M97" s="156">
        <f>ROUND(G97*J52,2)</f>
        <v>12188358</v>
      </c>
    </row>
    <row r="98" spans="1:13" hidden="1" x14ac:dyDescent="0.25">
      <c r="A98" s="168"/>
      <c r="B98" s="133" t="str">
        <f>'Công trình'!B34</f>
        <v>AF.12313</v>
      </c>
      <c r="C98" s="34"/>
      <c r="D98" s="133" t="str">
        <f>'Công trình'!C34</f>
        <v>Bê tông dầm, giằng đá 1x2, vữa BT mác 200</v>
      </c>
      <c r="E98" s="168"/>
      <c r="F98" s="20">
        <v>1</v>
      </c>
      <c r="G98" s="45">
        <f>'Hao phí vật tư'!J248</f>
        <v>5.2146999999999997</v>
      </c>
      <c r="H98" s="166"/>
      <c r="I98" s="166"/>
      <c r="J98" s="166"/>
      <c r="K98" s="166"/>
      <c r="L98" s="156">
        <f>ROUND(G98*K52,2)</f>
        <v>1042940</v>
      </c>
      <c r="M98" s="156">
        <f>ROUND(G98*J52,2)</f>
        <v>2190174</v>
      </c>
    </row>
    <row r="99" spans="1:13" x14ac:dyDescent="0.25">
      <c r="A99" s="168">
        <v>18</v>
      </c>
      <c r="B99" s="84" t="s">
        <v>1055</v>
      </c>
      <c r="C99" s="34">
        <v>129</v>
      </c>
      <c r="D99" s="144" t="s">
        <v>834</v>
      </c>
      <c r="E99" s="168" t="s">
        <v>72</v>
      </c>
      <c r="F99" s="34"/>
      <c r="G99" s="60">
        <f>SUM(G100:G104)</f>
        <v>293.70830000000001</v>
      </c>
      <c r="H99" s="166">
        <v>13000</v>
      </c>
      <c r="I99" s="156">
        <v>18182</v>
      </c>
      <c r="J99" s="156">
        <f>'Vật liệu'!W101</f>
        <v>18182</v>
      </c>
      <c r="K99" s="166">
        <f>J99-H99</f>
        <v>5182</v>
      </c>
      <c r="L99" s="166">
        <f>ROUND(G99*K99,0)</f>
        <v>1521996</v>
      </c>
      <c r="M99" s="166">
        <f>ROUND(G99*J99,0)</f>
        <v>5340204</v>
      </c>
    </row>
    <row r="100" spans="1:13" ht="30" hidden="1" x14ac:dyDescent="0.25">
      <c r="A100" s="168"/>
      <c r="B100" s="133" t="str">
        <f>'Công trình'!B42</f>
        <v>AC.11121</v>
      </c>
      <c r="C100" s="34"/>
      <c r="D100" s="133" t="str">
        <f>'Công trình'!C42</f>
        <v>Đóng cọc tràm chiều dài cọc ngập đất &gt;2,5m đất cấp I</v>
      </c>
      <c r="E100" s="168"/>
      <c r="F100" s="20">
        <v>1</v>
      </c>
      <c r="G100" s="45">
        <f>'Hao phí vật tư'!J315</f>
        <v>0.44550000000000001</v>
      </c>
      <c r="H100" s="166"/>
      <c r="I100" s="166"/>
      <c r="J100" s="166"/>
      <c r="K100" s="166"/>
      <c r="L100" s="156">
        <f>ROUND(G100*K99,2)</f>
        <v>2308.58</v>
      </c>
      <c r="M100" s="156">
        <f>ROUND(G100*J99,2)</f>
        <v>8100.08</v>
      </c>
    </row>
    <row r="101" spans="1:13" ht="30" hidden="1" x14ac:dyDescent="0.25">
      <c r="A101" s="168"/>
      <c r="B101" s="133" t="str">
        <f>'Công trình'!B50</f>
        <v>AC.11121</v>
      </c>
      <c r="C101" s="34"/>
      <c r="D101" s="133" t="str">
        <f>'Công trình'!C50</f>
        <v>Đóng cọc tràm chiều dài cọc ngập đất &gt;2,5m đất cấp I</v>
      </c>
      <c r="E101" s="168"/>
      <c r="F101" s="20">
        <v>1</v>
      </c>
      <c r="G101" s="45">
        <f>'Hao phí vật tư'!J372</f>
        <v>220.74529999999999</v>
      </c>
      <c r="H101" s="166"/>
      <c r="I101" s="166"/>
      <c r="J101" s="166"/>
      <c r="K101" s="166"/>
      <c r="L101" s="156">
        <f>ROUND(G101*K99,2)</f>
        <v>1143902.1399999999</v>
      </c>
      <c r="M101" s="156">
        <f>ROUND(G101*J99,2)</f>
        <v>4013591.04</v>
      </c>
    </row>
    <row r="102" spans="1:13" ht="30" hidden="1" x14ac:dyDescent="0.25">
      <c r="A102" s="168"/>
      <c r="B102" s="133" t="str">
        <f>'Công trình'!B96</f>
        <v>AC.11121</v>
      </c>
      <c r="C102" s="34"/>
      <c r="D102" s="133" t="str">
        <f>'Công trình'!C96</f>
        <v>Đóng cọc tràm chiều dài cọc ngập đất &gt;2,5m đất cấp I</v>
      </c>
      <c r="E102" s="168"/>
      <c r="F102" s="20">
        <v>1</v>
      </c>
      <c r="G102" s="45">
        <f>'Hao phí vật tư'!J777</f>
        <v>35.64</v>
      </c>
      <c r="H102" s="166"/>
      <c r="I102" s="166"/>
      <c r="J102" s="166"/>
      <c r="K102" s="166"/>
      <c r="L102" s="156">
        <f>ROUND(G102*K99,2)</f>
        <v>184686.48</v>
      </c>
      <c r="M102" s="156">
        <f>ROUND(G102*J99,2)</f>
        <v>648006.48</v>
      </c>
    </row>
    <row r="103" spans="1:13" ht="30" hidden="1" x14ac:dyDescent="0.25">
      <c r="A103" s="168"/>
      <c r="B103" s="133" t="str">
        <f>'Công trình'!B149</f>
        <v>AC.11121</v>
      </c>
      <c r="C103" s="34"/>
      <c r="D103" s="133" t="str">
        <f>'Công trình'!C149</f>
        <v>Đóng cọc tràm chiều dài cọc ngập đất &gt;2,5m đất cấp I</v>
      </c>
      <c r="E103" s="168"/>
      <c r="F103" s="20">
        <v>1</v>
      </c>
      <c r="G103" s="45">
        <f>'Hao phí vật tư'!J1137</f>
        <v>34.897500000000001</v>
      </c>
      <c r="H103" s="166"/>
      <c r="I103" s="166"/>
      <c r="J103" s="166"/>
      <c r="K103" s="166"/>
      <c r="L103" s="156">
        <f>ROUND(G103*K99,2)</f>
        <v>180838.85</v>
      </c>
      <c r="M103" s="156">
        <f>ROUND(G103*J99,2)</f>
        <v>634506.35</v>
      </c>
    </row>
    <row r="104" spans="1:13" ht="30" hidden="1" x14ac:dyDescent="0.25">
      <c r="A104" s="168"/>
      <c r="B104" s="133" t="str">
        <f>'Công trình'!B271</f>
        <v>AC.11121</v>
      </c>
      <c r="C104" s="34"/>
      <c r="D104" s="133" t="str">
        <f>'Công trình'!C271</f>
        <v>Đóng cọc tràm chiều dài cọc ngập đất &gt;2,5m đất cấp I</v>
      </c>
      <c r="E104" s="168"/>
      <c r="F104" s="20">
        <v>1</v>
      </c>
      <c r="G104" s="45">
        <f>'Hao phí vật tư'!J2070</f>
        <v>1.98</v>
      </c>
      <c r="H104" s="166"/>
      <c r="I104" s="166"/>
      <c r="J104" s="166"/>
      <c r="K104" s="166"/>
      <c r="L104" s="156">
        <f>ROUND(G104*K99,2)</f>
        <v>10260.36</v>
      </c>
      <c r="M104" s="156">
        <f>ROUND(G104*J99,2)</f>
        <v>36000.36</v>
      </c>
    </row>
    <row r="105" spans="1:13" x14ac:dyDescent="0.25">
      <c r="A105" s="168">
        <v>19</v>
      </c>
      <c r="B105" s="84" t="s">
        <v>1176</v>
      </c>
      <c r="C105" s="34">
        <v>524</v>
      </c>
      <c r="D105" s="144" t="s">
        <v>641</v>
      </c>
      <c r="E105" s="168" t="s">
        <v>1123</v>
      </c>
      <c r="F105" s="34"/>
      <c r="G105" s="60">
        <f>SUM(G106:G106)</f>
        <v>4</v>
      </c>
      <c r="H105" s="166">
        <v>12000</v>
      </c>
      <c r="I105" s="166">
        <v>12000</v>
      </c>
      <c r="J105" s="166">
        <f>'Vật liệu'!W107</f>
        <v>12000</v>
      </c>
      <c r="K105" s="166">
        <f>J105-H105</f>
        <v>0</v>
      </c>
      <c r="L105" s="166">
        <f>ROUND(G105*K105,0)</f>
        <v>0</v>
      </c>
      <c r="M105" s="166">
        <f>ROUND(G105*J105,0)</f>
        <v>48000</v>
      </c>
    </row>
    <row r="106" spans="1:13" hidden="1" x14ac:dyDescent="0.25">
      <c r="A106" s="168"/>
      <c r="B106" s="133" t="str">
        <f>'Công trình'!B293</f>
        <v>TT</v>
      </c>
      <c r="C106" s="34"/>
      <c r="D106" s="133" t="str">
        <f>'Công trình'!C293</f>
        <v>Chụp nhựa chắn nước</v>
      </c>
      <c r="E106" s="168"/>
      <c r="F106" s="20">
        <v>1</v>
      </c>
      <c r="G106" s="45">
        <f>'Hao phí vật tư'!J2200</f>
        <v>4</v>
      </c>
      <c r="H106" s="166"/>
      <c r="I106" s="166"/>
      <c r="J106" s="166"/>
      <c r="K106" s="166"/>
      <c r="L106" s="156">
        <f>ROUND(G106*K105,2)</f>
        <v>0</v>
      </c>
      <c r="M106" s="156">
        <f>ROUND(G106*J105,2)</f>
        <v>48000</v>
      </c>
    </row>
    <row r="107" spans="1:13" x14ac:dyDescent="0.25">
      <c r="A107" s="168">
        <v>20</v>
      </c>
      <c r="B107" s="84" t="s">
        <v>388</v>
      </c>
      <c r="C107" s="34">
        <v>456</v>
      </c>
      <c r="D107" s="144" t="s">
        <v>1112</v>
      </c>
      <c r="E107" s="168" t="s">
        <v>113</v>
      </c>
      <c r="F107" s="34"/>
      <c r="G107" s="60">
        <f>SUM(G108:G108)</f>
        <v>0</v>
      </c>
      <c r="H107" s="166">
        <v>439950</v>
      </c>
      <c r="I107" s="166">
        <v>439950</v>
      </c>
      <c r="J107" s="166">
        <f>'Vật liệu'!W109</f>
        <v>439950</v>
      </c>
      <c r="K107" s="166">
        <f>J107-H107</f>
        <v>0</v>
      </c>
      <c r="L107" s="166">
        <f>ROUND(G107*K107,0)</f>
        <v>0</v>
      </c>
      <c r="M107" s="166">
        <f>ROUND(G107*J107,0)</f>
        <v>0</v>
      </c>
    </row>
    <row r="108" spans="1:13" ht="30" hidden="1" x14ac:dyDescent="0.25">
      <c r="A108" s="168"/>
      <c r="B108" s="133" t="str">
        <f>'Công trình'!B86</f>
        <v>AC.17111</v>
      </c>
      <c r="C108" s="34"/>
      <c r="D108" s="133" t="str">
        <f>'Công trình'!C86</f>
        <v>Đóng cọc BTCT 30x30 chiều dài &lt;=24m trên mặt nước bằng tàu đóng cọc búa 1,8T</v>
      </c>
      <c r="E108" s="168"/>
      <c r="F108" s="20">
        <v>1</v>
      </c>
      <c r="G108" s="45">
        <f>'Hao phí vật tư'!J706</f>
        <v>0</v>
      </c>
      <c r="H108" s="166"/>
      <c r="I108" s="166"/>
      <c r="J108" s="166"/>
      <c r="K108" s="166"/>
      <c r="L108" s="156">
        <f>ROUND(G108*K107,2)</f>
        <v>0</v>
      </c>
      <c r="M108" s="156">
        <f>ROUND(G108*J107,2)</f>
        <v>0</v>
      </c>
    </row>
    <row r="109" spans="1:13" x14ac:dyDescent="0.25">
      <c r="A109" s="168">
        <v>21</v>
      </c>
      <c r="B109" s="84" t="s">
        <v>792</v>
      </c>
      <c r="C109" s="34">
        <v>457</v>
      </c>
      <c r="D109" s="144" t="s">
        <v>1022</v>
      </c>
      <c r="E109" s="168" t="s">
        <v>113</v>
      </c>
      <c r="F109" s="34"/>
      <c r="G109" s="60">
        <f>SUM(G110:G114)</f>
        <v>0</v>
      </c>
      <c r="H109" s="166">
        <v>594300</v>
      </c>
      <c r="I109" s="166">
        <v>594300</v>
      </c>
      <c r="J109" s="166">
        <f>'Vật liệu'!W111</f>
        <v>594300</v>
      </c>
      <c r="K109" s="166">
        <f>J109-H109</f>
        <v>0</v>
      </c>
      <c r="L109" s="166">
        <f>ROUND(G109*K109,0)</f>
        <v>0</v>
      </c>
      <c r="M109" s="166">
        <f>ROUND(G109*J109,0)</f>
        <v>0</v>
      </c>
    </row>
    <row r="110" spans="1:13" ht="30" hidden="1" x14ac:dyDescent="0.25">
      <c r="A110" s="168"/>
      <c r="B110" s="133" t="str">
        <f>'Công trình'!B75</f>
        <v>AC.17112</v>
      </c>
      <c r="C110" s="34"/>
      <c r="D110" s="133" t="str">
        <f>'Công trình'!C75</f>
        <v>Đóng cọc BTCT 35x35 chiều dài &lt;=24m trên mặt nước bằng tàu đóng cọc búa 1,8T</v>
      </c>
      <c r="E110" s="168"/>
      <c r="F110" s="20">
        <v>1</v>
      </c>
      <c r="G110" s="45">
        <f>'Hao phí vật tư'!J590</f>
        <v>0</v>
      </c>
      <c r="H110" s="166"/>
      <c r="I110" s="166"/>
      <c r="J110" s="166"/>
      <c r="K110" s="166"/>
      <c r="L110" s="156">
        <f>ROUND(G110*K109,2)</f>
        <v>0</v>
      </c>
      <c r="M110" s="156">
        <f>ROUND(G110*J109,2)</f>
        <v>0</v>
      </c>
    </row>
    <row r="111" spans="1:13" ht="30" hidden="1" x14ac:dyDescent="0.25">
      <c r="A111" s="168"/>
      <c r="B111" s="133" t="str">
        <f>'Công trình'!B107</f>
        <v>AC.17112</v>
      </c>
      <c r="C111" s="34"/>
      <c r="D111" s="133" t="str">
        <f>'Công trình'!C107</f>
        <v>Đóng cọc âm BTCT 35x35 chiều dài &lt;=24m trên mặt nước bằng tàu đóng cọc búa 1,8T</v>
      </c>
      <c r="E111" s="168"/>
      <c r="F111" s="20">
        <v>1</v>
      </c>
      <c r="G111" s="45">
        <f>'Hao phí vật tư'!J853</f>
        <v>0</v>
      </c>
      <c r="H111" s="166"/>
      <c r="I111" s="166"/>
      <c r="J111" s="166"/>
      <c r="K111" s="166"/>
      <c r="L111" s="156">
        <f>ROUND(G111*K109,2)</f>
        <v>0</v>
      </c>
      <c r="M111" s="156">
        <f>ROUND(G111*J109,2)</f>
        <v>0</v>
      </c>
    </row>
    <row r="112" spans="1:13" ht="30" hidden="1" x14ac:dyDescent="0.25">
      <c r="A112" s="168"/>
      <c r="B112" s="133" t="str">
        <f>'Công trình'!B232</f>
        <v>AC.14114</v>
      </c>
      <c r="C112" s="34"/>
      <c r="D112" s="133" t="str">
        <f>'Công trình'!C232</f>
        <v>Đóng cọc BTCT 35x35 chiều dài &lt;=24m trên mặt đất, trọng lượng đầu búa 1,8T, đất cấp I</v>
      </c>
      <c r="E112" s="168"/>
      <c r="F112" s="20">
        <v>1</v>
      </c>
      <c r="G112" s="45">
        <f>'Hao phí vật tư'!J1766</f>
        <v>0</v>
      </c>
      <c r="H112" s="166"/>
      <c r="I112" s="166"/>
      <c r="J112" s="166"/>
      <c r="K112" s="166"/>
      <c r="L112" s="156">
        <f>ROUND(G112*K109,2)</f>
        <v>0</v>
      </c>
      <c r="M112" s="156">
        <f>ROUND(G112*J109,2)</f>
        <v>0</v>
      </c>
    </row>
    <row r="113" spans="1:13" ht="45" hidden="1" x14ac:dyDescent="0.25">
      <c r="A113" s="168"/>
      <c r="B113" s="133" t="str">
        <f>'Công trình'!B233</f>
        <v>AC.14114</v>
      </c>
      <c r="C113" s="34"/>
      <c r="D113" s="133" t="str">
        <f>'Công trình'!C233</f>
        <v>Đóng cọc xiên BTCT 35x35 chiều dài &lt;=24m trên mặt đất, trọng lượng đầu búa 1,8T, đất cấp I (HS NC, MTC x 1,22)</v>
      </c>
      <c r="E113" s="168"/>
      <c r="F113" s="20">
        <v>1</v>
      </c>
      <c r="G113" s="45">
        <f>'Hao phí vật tư'!J1775</f>
        <v>0</v>
      </c>
      <c r="H113" s="166"/>
      <c r="I113" s="166"/>
      <c r="J113" s="166"/>
      <c r="K113" s="166"/>
      <c r="L113" s="156">
        <f>ROUND(G113*K109,2)</f>
        <v>0</v>
      </c>
      <c r="M113" s="156">
        <f>ROUND(G113*J109,2)</f>
        <v>0</v>
      </c>
    </row>
    <row r="114" spans="1:13" ht="30" hidden="1" x14ac:dyDescent="0.25">
      <c r="A114" s="168"/>
      <c r="B114" s="133" t="str">
        <f>'Công trình'!B236</f>
        <v>AC.14114</v>
      </c>
      <c r="C114" s="34"/>
      <c r="D114" s="133" t="str">
        <f>'Công trình'!C236</f>
        <v>Đóng cọc âm chiều dài &lt;=24m trên mặt đất, trọng lượng đầu búa 1,8T, đất cấp I</v>
      </c>
      <c r="E114" s="168"/>
      <c r="F114" s="20">
        <v>1</v>
      </c>
      <c r="G114" s="45">
        <f>'Hao phí vật tư'!J1804</f>
        <v>0</v>
      </c>
      <c r="H114" s="166"/>
      <c r="I114" s="166"/>
      <c r="J114" s="166"/>
      <c r="K114" s="166"/>
      <c r="L114" s="156">
        <f>ROUND(G114*K109,2)</f>
        <v>0</v>
      </c>
      <c r="M114" s="156">
        <f>ROUND(G114*J109,2)</f>
        <v>0</v>
      </c>
    </row>
    <row r="115" spans="1:13" x14ac:dyDescent="0.25">
      <c r="A115" s="168">
        <v>22</v>
      </c>
      <c r="B115" s="84" t="s">
        <v>29</v>
      </c>
      <c r="C115" s="34">
        <v>430</v>
      </c>
      <c r="D115" s="144" t="s">
        <v>918</v>
      </c>
      <c r="E115" s="168" t="s">
        <v>113</v>
      </c>
      <c r="F115" s="34"/>
      <c r="G115" s="60">
        <f>SUM(G116:G121)</f>
        <v>17.740000000000002</v>
      </c>
      <c r="H115" s="166">
        <v>842975</v>
      </c>
      <c r="I115" s="156">
        <v>1830000</v>
      </c>
      <c r="J115" s="156">
        <f>'Vật liệu'!W117</f>
        <v>1830000</v>
      </c>
      <c r="K115" s="166">
        <f>J115-H115</f>
        <v>987025</v>
      </c>
      <c r="L115" s="166">
        <f>ROUND(G115*K115,0)</f>
        <v>17509824</v>
      </c>
      <c r="M115" s="166">
        <f>ROUND(G115*J115,0)</f>
        <v>32464200</v>
      </c>
    </row>
    <row r="116" spans="1:13" ht="30" hidden="1" x14ac:dyDescent="0.25">
      <c r="A116" s="168"/>
      <c r="B116" s="133" t="str">
        <f>'Công trình'!B114</f>
        <v>AC.22522</v>
      </c>
      <c r="C116" s="34"/>
      <c r="D116" s="133" t="str">
        <f>'Công trình'!C114</f>
        <v>Đóng cọc thép hình H300 trên mặt đất, chiều dài cọc &gt;10m, đất cấp II, phần ngập đất</v>
      </c>
      <c r="E116" s="168"/>
      <c r="F116" s="20">
        <v>1</v>
      </c>
      <c r="G116" s="45">
        <f>'Hao phí vật tư'!J909</f>
        <v>0</v>
      </c>
      <c r="H116" s="166"/>
      <c r="I116" s="166"/>
      <c r="J116" s="166"/>
      <c r="K116" s="166"/>
      <c r="L116" s="156">
        <f>ROUND(G116*K115,2)</f>
        <v>0</v>
      </c>
      <c r="M116" s="156">
        <f>ROUND(G116*J115,2)</f>
        <v>0</v>
      </c>
    </row>
    <row r="117" spans="1:13" ht="45" hidden="1" x14ac:dyDescent="0.25">
      <c r="A117" s="168"/>
      <c r="B117" s="133" t="str">
        <f>'Công trình'!B115</f>
        <v>AC.22522</v>
      </c>
      <c r="C117" s="34"/>
      <c r="D117" s="133" t="str">
        <f>'Công trình'!C115</f>
        <v>Đóng cọc thép hình H300 trên mặt đất, chiều dài cọc &gt;10m, đất cấp II, phần không ngập đất (NC, MTC * 0,75)</v>
      </c>
      <c r="E117" s="168"/>
      <c r="F117" s="20">
        <v>1</v>
      </c>
      <c r="G117" s="45">
        <f>'Hao phí vật tư'!J918</f>
        <v>0</v>
      </c>
      <c r="H117" s="166"/>
      <c r="I117" s="166"/>
      <c r="J117" s="166"/>
      <c r="K117" s="166"/>
      <c r="L117" s="156">
        <f>ROUND(G117*K115,2)</f>
        <v>0</v>
      </c>
      <c r="M117" s="156">
        <f>ROUND(G117*J115,2)</f>
        <v>0</v>
      </c>
    </row>
    <row r="118" spans="1:13" ht="30" hidden="1" x14ac:dyDescent="0.25">
      <c r="A118" s="168"/>
      <c r="B118" s="133" t="str">
        <f>'Công trình'!B125</f>
        <v>AC.22522</v>
      </c>
      <c r="C118" s="34"/>
      <c r="D118" s="133" t="str">
        <f>'Công trình'!C125</f>
        <v>Đóng cọc thép hình H300 trên mặt đất, chiều dài cọc &gt;10m, đất cấp II, phần ngập đất</v>
      </c>
      <c r="E118" s="168"/>
      <c r="F118" s="20">
        <v>1</v>
      </c>
      <c r="G118" s="45">
        <f>'Hao phí vật tư'!J981</f>
        <v>0</v>
      </c>
      <c r="H118" s="166"/>
      <c r="I118" s="166"/>
      <c r="J118" s="166"/>
      <c r="K118" s="166"/>
      <c r="L118" s="156">
        <f>ROUND(G118*K115,2)</f>
        <v>0</v>
      </c>
      <c r="M118" s="156">
        <f>ROUND(G118*J115,2)</f>
        <v>0</v>
      </c>
    </row>
    <row r="119" spans="1:13" ht="45" hidden="1" x14ac:dyDescent="0.25">
      <c r="A119" s="168"/>
      <c r="B119" s="133" t="str">
        <f>'Công trình'!B126</f>
        <v>AC.22522</v>
      </c>
      <c r="C119" s="34"/>
      <c r="D119" s="133" t="str">
        <f>'Công trình'!C126</f>
        <v>Đóng cọc thép hình H300 trên mặt đất, chiều dài cọc &gt;10m, đất cấp II, phần không ngập đất (NC, MTC * 0,75)</v>
      </c>
      <c r="E119" s="168"/>
      <c r="F119" s="20">
        <v>1</v>
      </c>
      <c r="G119" s="45">
        <f>'Hao phí vật tư'!J990</f>
        <v>0</v>
      </c>
      <c r="H119" s="166"/>
      <c r="I119" s="166"/>
      <c r="J119" s="166"/>
      <c r="K119" s="166"/>
      <c r="L119" s="156">
        <f>ROUND(G119*K115,2)</f>
        <v>0</v>
      </c>
      <c r="M119" s="156">
        <f>ROUND(G119*J115,2)</f>
        <v>0</v>
      </c>
    </row>
    <row r="120" spans="1:13" ht="30" hidden="1" x14ac:dyDescent="0.25">
      <c r="A120" s="168"/>
      <c r="B120" s="133" t="str">
        <f>'Công trình'!B116</f>
        <v>TT</v>
      </c>
      <c r="C120" s="34"/>
      <c r="D120" s="133" t="str">
        <f>'Công trình'!C116</f>
        <v>Khấu hao cọc thép hình (Thi công trong vòng 3 tháng và 1 lần đóng nhổ)</v>
      </c>
      <c r="E120" s="168"/>
      <c r="F120" s="20">
        <v>1</v>
      </c>
      <c r="G120" s="45">
        <f>'Hao phí vật tư'!J927</f>
        <v>10.46</v>
      </c>
      <c r="H120" s="166"/>
      <c r="I120" s="166"/>
      <c r="J120" s="166"/>
      <c r="K120" s="166"/>
      <c r="L120" s="156">
        <f>ROUND(G120*K115,2)</f>
        <v>10324281.5</v>
      </c>
      <c r="M120" s="156">
        <f>ROUND(G120*J115,2)</f>
        <v>19141800</v>
      </c>
    </row>
    <row r="121" spans="1:13" ht="30" hidden="1" x14ac:dyDescent="0.25">
      <c r="A121" s="168"/>
      <c r="B121" s="133" t="str">
        <f>'Công trình'!B127</f>
        <v>TT</v>
      </c>
      <c r="C121" s="34"/>
      <c r="D121" s="133" t="str">
        <f>'Công trình'!C127</f>
        <v>Khấu hao cọc thép hình (Thi công trong vòng 3 tháng và 1 lần đóng nhổ)</v>
      </c>
      <c r="E121" s="168"/>
      <c r="F121" s="20">
        <v>1</v>
      </c>
      <c r="G121" s="45">
        <f>'Hao phí vật tư'!J999</f>
        <v>7.28</v>
      </c>
      <c r="H121" s="166"/>
      <c r="I121" s="166"/>
      <c r="J121" s="166"/>
      <c r="K121" s="166"/>
      <c r="L121" s="156">
        <f>ROUND(G121*K115,2)</f>
        <v>7185542</v>
      </c>
      <c r="M121" s="156">
        <f>ROUND(G121*J115,2)</f>
        <v>13322400</v>
      </c>
    </row>
    <row r="122" spans="1:13" x14ac:dyDescent="0.25">
      <c r="A122" s="168">
        <v>23</v>
      </c>
      <c r="B122" s="84" t="s">
        <v>686</v>
      </c>
      <c r="C122" s="34">
        <v>466</v>
      </c>
      <c r="D122" s="144" t="s">
        <v>7</v>
      </c>
      <c r="E122" s="168" t="s">
        <v>113</v>
      </c>
      <c r="F122" s="34"/>
      <c r="G122" s="60">
        <f>SUM(G123:G127)</f>
        <v>18690.525000000001</v>
      </c>
      <c r="H122" s="166">
        <v>4000</v>
      </c>
      <c r="I122" s="156">
        <v>6364</v>
      </c>
      <c r="J122" s="156">
        <f>'Vật liệu'!W124</f>
        <v>6364</v>
      </c>
      <c r="K122" s="166">
        <f>J122-H122</f>
        <v>2364</v>
      </c>
      <c r="L122" s="166">
        <f>ROUND(G122*K122,0)</f>
        <v>44184401</v>
      </c>
      <c r="M122" s="166">
        <f>ROUND(G122*J122,0)</f>
        <v>118946501</v>
      </c>
    </row>
    <row r="123" spans="1:13" ht="30" hidden="1" x14ac:dyDescent="0.25">
      <c r="A123" s="168"/>
      <c r="B123" s="133" t="str">
        <f>'Công trình'!B42</f>
        <v>AC.11121</v>
      </c>
      <c r="C123" s="34"/>
      <c r="D123" s="133" t="str">
        <f>'Công trình'!C42</f>
        <v>Đóng cọc tràm chiều dài cọc ngập đất &gt;2,5m đất cấp I</v>
      </c>
      <c r="E123" s="168"/>
      <c r="F123" s="20">
        <v>1</v>
      </c>
      <c r="G123" s="45">
        <f>'Hao phí vật tư'!J314</f>
        <v>28.35</v>
      </c>
      <c r="H123" s="166"/>
      <c r="I123" s="166"/>
      <c r="J123" s="166"/>
      <c r="K123" s="166"/>
      <c r="L123" s="156">
        <f>ROUND(G123*K122,2)</f>
        <v>67019.399999999994</v>
      </c>
      <c r="M123" s="156">
        <f>ROUND(G123*J122,2)</f>
        <v>180419.4</v>
      </c>
    </row>
    <row r="124" spans="1:13" ht="30" hidden="1" x14ac:dyDescent="0.25">
      <c r="A124" s="168"/>
      <c r="B124" s="133" t="str">
        <f>'Công trình'!B50</f>
        <v>AC.11121</v>
      </c>
      <c r="C124" s="34"/>
      <c r="D124" s="133" t="str">
        <f>'Công trình'!C50</f>
        <v>Đóng cọc tràm chiều dài cọc ngập đất &gt;2,5m đất cấp I</v>
      </c>
      <c r="E124" s="168"/>
      <c r="F124" s="20">
        <v>1</v>
      </c>
      <c r="G124" s="45">
        <f>'Hao phí vật tư'!J371</f>
        <v>14047.424999999999</v>
      </c>
      <c r="H124" s="166"/>
      <c r="I124" s="166"/>
      <c r="J124" s="166"/>
      <c r="K124" s="166"/>
      <c r="L124" s="156">
        <f>ROUND(G124*K122,2)</f>
        <v>33208112.699999999</v>
      </c>
      <c r="M124" s="156">
        <f>ROUND(G124*J122,2)</f>
        <v>89397812.700000003</v>
      </c>
    </row>
    <row r="125" spans="1:13" ht="30" hidden="1" x14ac:dyDescent="0.25">
      <c r="A125" s="168"/>
      <c r="B125" s="133" t="str">
        <f>'Công trình'!B96</f>
        <v>AC.11121</v>
      </c>
      <c r="C125" s="34"/>
      <c r="D125" s="133" t="str">
        <f>'Công trình'!C96</f>
        <v>Đóng cọc tràm chiều dài cọc ngập đất &gt;2,5m đất cấp I</v>
      </c>
      <c r="E125" s="168"/>
      <c r="F125" s="20">
        <v>1</v>
      </c>
      <c r="G125" s="45">
        <f>'Hao phí vật tư'!J776</f>
        <v>2268</v>
      </c>
      <c r="H125" s="166"/>
      <c r="I125" s="166"/>
      <c r="J125" s="166"/>
      <c r="K125" s="166"/>
      <c r="L125" s="156">
        <f>ROUND(G125*K122,2)</f>
        <v>5361552</v>
      </c>
      <c r="M125" s="156">
        <f>ROUND(G125*J122,2)</f>
        <v>14433552</v>
      </c>
    </row>
    <row r="126" spans="1:13" ht="30" hidden="1" x14ac:dyDescent="0.25">
      <c r="A126" s="168"/>
      <c r="B126" s="133" t="str">
        <f>'Công trình'!B149</f>
        <v>AC.11121</v>
      </c>
      <c r="C126" s="34"/>
      <c r="D126" s="133" t="str">
        <f>'Công trình'!C149</f>
        <v>Đóng cọc tràm chiều dài cọc ngập đất &gt;2,5m đất cấp I</v>
      </c>
      <c r="E126" s="168"/>
      <c r="F126" s="20">
        <v>1</v>
      </c>
      <c r="G126" s="45">
        <f>'Hao phí vật tư'!J1136</f>
        <v>2220.75</v>
      </c>
      <c r="H126" s="166"/>
      <c r="I126" s="166"/>
      <c r="J126" s="166"/>
      <c r="K126" s="166"/>
      <c r="L126" s="156">
        <f>ROUND(G126*K122,2)</f>
        <v>5249853</v>
      </c>
      <c r="M126" s="156">
        <f>ROUND(G126*J122,2)</f>
        <v>14132853</v>
      </c>
    </row>
    <row r="127" spans="1:13" ht="30" hidden="1" x14ac:dyDescent="0.25">
      <c r="A127" s="168"/>
      <c r="B127" s="133" t="str">
        <f>'Công trình'!B271</f>
        <v>AC.11121</v>
      </c>
      <c r="C127" s="34"/>
      <c r="D127" s="133" t="str">
        <f>'Công trình'!C271</f>
        <v>Đóng cọc tràm chiều dài cọc ngập đất &gt;2,5m đất cấp I</v>
      </c>
      <c r="E127" s="168"/>
      <c r="F127" s="20">
        <v>1</v>
      </c>
      <c r="G127" s="45">
        <f>'Hao phí vật tư'!J2069</f>
        <v>126</v>
      </c>
      <c r="H127" s="166"/>
      <c r="I127" s="166"/>
      <c r="J127" s="166"/>
      <c r="K127" s="166"/>
      <c r="L127" s="156">
        <f>ROUND(G127*K122,2)</f>
        <v>297864</v>
      </c>
      <c r="M127" s="156">
        <f>ROUND(G127*J122,2)</f>
        <v>801864</v>
      </c>
    </row>
    <row r="128" spans="1:13" x14ac:dyDescent="0.25">
      <c r="A128" s="168">
        <v>24</v>
      </c>
      <c r="B128" s="84" t="s">
        <v>298</v>
      </c>
      <c r="C128" s="34">
        <v>499</v>
      </c>
      <c r="D128" s="144" t="s">
        <v>889</v>
      </c>
      <c r="E128" s="168" t="s">
        <v>1123</v>
      </c>
      <c r="F128" s="34"/>
      <c r="G128" s="60">
        <f>SUM(G129:G129)</f>
        <v>56</v>
      </c>
      <c r="H128" s="166">
        <v>1080378</v>
      </c>
      <c r="I128" s="166">
        <v>1080378</v>
      </c>
      <c r="J128" s="166">
        <f>'Vật liệu'!W130</f>
        <v>1080378</v>
      </c>
      <c r="K128" s="166">
        <f>J128-H128</f>
        <v>0</v>
      </c>
      <c r="L128" s="166">
        <f>ROUND(G128*K128,0)</f>
        <v>0</v>
      </c>
      <c r="M128" s="166">
        <f>ROUND(G128*J128,0)</f>
        <v>60501168</v>
      </c>
    </row>
    <row r="129" spans="1:13" hidden="1" x14ac:dyDescent="0.25">
      <c r="A129" s="168"/>
      <c r="B129" s="133" t="str">
        <f>'Công trình'!B278</f>
        <v>TT</v>
      </c>
      <c r="C129" s="34"/>
      <c r="D129" s="133" t="str">
        <f>'Công trình'!C278</f>
        <v>Cột U(160x160x5x1750)mm</v>
      </c>
      <c r="E129" s="168"/>
      <c r="F129" s="20">
        <v>1</v>
      </c>
      <c r="G129" s="45">
        <f>'Hao phí vật tư'!J2100</f>
        <v>56</v>
      </c>
      <c r="H129" s="166"/>
      <c r="I129" s="166"/>
      <c r="J129" s="166"/>
      <c r="K129" s="166"/>
      <c r="L129" s="156">
        <f>ROUND(G129*K128,2)</f>
        <v>0</v>
      </c>
      <c r="M129" s="156">
        <f>ROUND(G129*J128,2)</f>
        <v>60501168</v>
      </c>
    </row>
    <row r="130" spans="1:13" x14ac:dyDescent="0.25">
      <c r="A130" s="168">
        <v>25</v>
      </c>
      <c r="B130" s="84" t="s">
        <v>50</v>
      </c>
      <c r="C130" s="34">
        <v>443</v>
      </c>
      <c r="D130" s="144" t="s">
        <v>99</v>
      </c>
      <c r="E130" s="168" t="s">
        <v>113</v>
      </c>
      <c r="F130" s="34"/>
      <c r="G130" s="60">
        <f>SUM(G131:G131)</f>
        <v>327.60000000000002</v>
      </c>
      <c r="H130" s="166">
        <v>35065</v>
      </c>
      <c r="I130" s="166">
        <v>35065</v>
      </c>
      <c r="J130" s="166">
        <f>'Vật liệu'!W132</f>
        <v>35065</v>
      </c>
      <c r="K130" s="166">
        <f>J130-H130</f>
        <v>0</v>
      </c>
      <c r="L130" s="166">
        <f>ROUND(G130*K130,0)</f>
        <v>0</v>
      </c>
      <c r="M130" s="166">
        <f>ROUND(G130*J130,0)</f>
        <v>11487294</v>
      </c>
    </row>
    <row r="131" spans="1:13" ht="30" hidden="1" x14ac:dyDescent="0.25">
      <c r="A131" s="168"/>
      <c r="B131" s="133" t="str">
        <f>'Công trình'!B95</f>
        <v>KH.0102</v>
      </c>
      <c r="C131" s="34"/>
      <c r="D131" s="133" t="str">
        <f>'Công trình'!C95</f>
        <v>Đóng cừ dừa bằng máy đào (TT theo MHĐM KH.0102  định mức 1751)</v>
      </c>
      <c r="E131" s="168"/>
      <c r="F131" s="20">
        <v>1</v>
      </c>
      <c r="G131" s="45">
        <f>'Hao phí vật tư'!J768</f>
        <v>327.60000000000002</v>
      </c>
      <c r="H131" s="166"/>
      <c r="I131" s="166"/>
      <c r="J131" s="166"/>
      <c r="K131" s="166"/>
      <c r="L131" s="156">
        <f>ROUND(G131*K130,2)</f>
        <v>0</v>
      </c>
      <c r="M131" s="156">
        <f>ROUND(G131*J130,2)</f>
        <v>11487294</v>
      </c>
    </row>
    <row r="132" spans="1:13" x14ac:dyDescent="0.25">
      <c r="A132" s="168">
        <v>26</v>
      </c>
      <c r="B132" s="84" t="s">
        <v>1177</v>
      </c>
      <c r="C132" s="34">
        <v>435</v>
      </c>
      <c r="D132" s="144" t="s">
        <v>1116</v>
      </c>
      <c r="E132" s="168" t="s">
        <v>113</v>
      </c>
      <c r="F132" s="34"/>
      <c r="G132" s="60">
        <f>SUM(G133:G135)</f>
        <v>223.34</v>
      </c>
      <c r="H132" s="166">
        <v>842975</v>
      </c>
      <c r="I132" s="156">
        <v>1162133</v>
      </c>
      <c r="J132" s="156">
        <f>'Vật liệu'!W134</f>
        <v>1162133</v>
      </c>
      <c r="K132" s="166">
        <f>J132-H132</f>
        <v>319158</v>
      </c>
      <c r="L132" s="166">
        <f>ROUND(G132*K132,0)</f>
        <v>71280748</v>
      </c>
      <c r="M132" s="166">
        <f>ROUND(G132*J132,0)</f>
        <v>259550784</v>
      </c>
    </row>
    <row r="133" spans="1:13" ht="30" hidden="1" x14ac:dyDescent="0.25">
      <c r="A133" s="168"/>
      <c r="B133" s="133" t="str">
        <f>'Công trình'!B131</f>
        <v>AC.22112</v>
      </c>
      <c r="C133" s="34"/>
      <c r="D133" s="133" t="str">
        <f>'Công trình'!C131</f>
        <v>Đóng cừ Larsen IV trên mặt đất chiều dài cọc &lt;=12m đất cấp II, ngập đất 15,5m</v>
      </c>
      <c r="E133" s="168"/>
      <c r="F133" s="20">
        <v>1</v>
      </c>
      <c r="G133" s="45">
        <f>'Hao phí vật tư'!J1009</f>
        <v>0</v>
      </c>
      <c r="H133" s="166"/>
      <c r="I133" s="166"/>
      <c r="J133" s="166"/>
      <c r="K133" s="166"/>
      <c r="L133" s="156">
        <f>ROUND(G133*K132,2)</f>
        <v>0</v>
      </c>
      <c r="M133" s="156">
        <f>ROUND(G133*J132,2)</f>
        <v>0</v>
      </c>
    </row>
    <row r="134" spans="1:13" ht="45" hidden="1" x14ac:dyDescent="0.25">
      <c r="A134" s="168"/>
      <c r="B134" s="133" t="str">
        <f>'Công trình'!B132</f>
        <v>AC.22112</v>
      </c>
      <c r="C134" s="34"/>
      <c r="D134" s="133" t="str">
        <f>'Công trình'!C132</f>
        <v>Đóng cừ Larsen IV trên mặt đất chiều dài cọc &lt;=12m đất cấp II, không ngập đất (NC, MTC * 0,75)</v>
      </c>
      <c r="E134" s="168"/>
      <c r="F134" s="20">
        <v>1</v>
      </c>
      <c r="G134" s="45">
        <f>'Hao phí vật tư'!J1018</f>
        <v>0</v>
      </c>
      <c r="H134" s="166"/>
      <c r="I134" s="166"/>
      <c r="J134" s="166"/>
      <c r="K134" s="166"/>
      <c r="L134" s="156">
        <f>ROUND(G134*K132,2)</f>
        <v>0</v>
      </c>
      <c r="M134" s="156">
        <f>ROUND(G134*J132,2)</f>
        <v>0</v>
      </c>
    </row>
    <row r="135" spans="1:13" ht="30" hidden="1" x14ac:dyDescent="0.25">
      <c r="A135" s="168"/>
      <c r="B135" s="133" t="str">
        <f>'Công trình'!B133</f>
        <v>TT</v>
      </c>
      <c r="C135" s="34"/>
      <c r="D135" s="133" t="str">
        <f>'Công trình'!C133</f>
        <v>Khấu hao cừ Larsen (Thi công trong vòng 3 tháng và 1 lần đóng nhổ)</v>
      </c>
      <c r="E135" s="168"/>
      <c r="F135" s="20">
        <v>1</v>
      </c>
      <c r="G135" s="45">
        <f>'Hao phí vật tư'!J1027</f>
        <v>223.34</v>
      </c>
      <c r="H135" s="166"/>
      <c r="I135" s="166"/>
      <c r="J135" s="166"/>
      <c r="K135" s="166"/>
      <c r="L135" s="156">
        <f>ROUND(G135*K132,2)</f>
        <v>71280747.719999999</v>
      </c>
      <c r="M135" s="156">
        <f>ROUND(G135*J132,2)</f>
        <v>259550784.22</v>
      </c>
    </row>
    <row r="136" spans="1:13" x14ac:dyDescent="0.25">
      <c r="A136" s="168">
        <v>27</v>
      </c>
      <c r="B136" s="84" t="s">
        <v>1118</v>
      </c>
      <c r="C136" s="34">
        <v>130</v>
      </c>
      <c r="D136" s="144" t="s">
        <v>811</v>
      </c>
      <c r="E136" s="168" t="s">
        <v>1123</v>
      </c>
      <c r="F136" s="34"/>
      <c r="G136" s="60">
        <f>SUM(G137:G137)</f>
        <v>6.5124000000000004</v>
      </c>
      <c r="H136" s="166">
        <v>5000</v>
      </c>
      <c r="I136" s="166">
        <v>5000</v>
      </c>
      <c r="J136" s="166">
        <f>'Vật liệu'!W138</f>
        <v>5000</v>
      </c>
      <c r="K136" s="166">
        <f>J136-H136</f>
        <v>0</v>
      </c>
      <c r="L136" s="166">
        <f>ROUND(G136*K136,0)</f>
        <v>0</v>
      </c>
      <c r="M136" s="166">
        <f>ROUND(G136*J136,0)</f>
        <v>32562</v>
      </c>
    </row>
    <row r="137" spans="1:13" ht="45" hidden="1" x14ac:dyDescent="0.25">
      <c r="A137" s="168"/>
      <c r="B137" s="133" t="str">
        <f>'Công trình'!B26</f>
        <v>AC.12412</v>
      </c>
      <c r="C137" s="34"/>
      <c r="D137" s="133" t="str">
        <f>'Công trình'!C26</f>
        <v>Đóng cọc cừ máng bê tông dự ứng lực trên cạn bằng búa rung kết hợp tách mũi nước áp lực SW600A, chiều cao máng cọc 60-84cm, L=18M</v>
      </c>
      <c r="E137" s="168"/>
      <c r="F137" s="20">
        <v>1</v>
      </c>
      <c r="G137" s="45">
        <f>'Hao phí vật tư'!J181</f>
        <v>6.5124000000000004</v>
      </c>
      <c r="H137" s="166"/>
      <c r="I137" s="166"/>
      <c r="J137" s="166"/>
      <c r="K137" s="166"/>
      <c r="L137" s="156">
        <f>ROUND(G137*K136,2)</f>
        <v>0</v>
      </c>
      <c r="M137" s="156">
        <f>ROUND(G137*J136,2)</f>
        <v>32562</v>
      </c>
    </row>
    <row r="138" spans="1:13" x14ac:dyDescent="0.25">
      <c r="A138" s="168">
        <v>28</v>
      </c>
      <c r="B138" s="84" t="s">
        <v>160</v>
      </c>
      <c r="C138" s="34">
        <v>476</v>
      </c>
      <c r="D138" s="144" t="s">
        <v>841</v>
      </c>
      <c r="E138" s="168" t="s">
        <v>927</v>
      </c>
      <c r="F138" s="34"/>
      <c r="G138" s="60">
        <f>SUM(G139:G139)</f>
        <v>20</v>
      </c>
      <c r="H138" s="166">
        <v>61000</v>
      </c>
      <c r="I138" s="166">
        <v>61000</v>
      </c>
      <c r="J138" s="166">
        <f>'Vật liệu'!W140</f>
        <v>61000</v>
      </c>
      <c r="K138" s="166">
        <f>J138-H138</f>
        <v>0</v>
      </c>
      <c r="L138" s="166">
        <f>ROUND(G138*K138,0)</f>
        <v>0</v>
      </c>
      <c r="M138" s="166">
        <f>ROUND(G138*J138,0)</f>
        <v>1220000</v>
      </c>
    </row>
    <row r="139" spans="1:13" hidden="1" x14ac:dyDescent="0.25">
      <c r="A139" s="168"/>
      <c r="B139" s="133" t="str">
        <f>'Công trình'!B260</f>
        <v>BB.26119</v>
      </c>
      <c r="C139" s="34"/>
      <c r="D139" s="133" t="str">
        <f>'Công trình'!C260</f>
        <v>Cút nối 90 độ thép mạ kẽm</v>
      </c>
      <c r="E139" s="168"/>
      <c r="F139" s="20">
        <v>1</v>
      </c>
      <c r="G139" s="45">
        <f>'Hao phí vật tư'!J1986</f>
        <v>20</v>
      </c>
      <c r="H139" s="166"/>
      <c r="I139" s="166"/>
      <c r="J139" s="166"/>
      <c r="K139" s="166"/>
      <c r="L139" s="156">
        <f>ROUND(G139*K138,2)</f>
        <v>0</v>
      </c>
      <c r="M139" s="156">
        <f>ROUND(G139*J138,2)</f>
        <v>1220000</v>
      </c>
    </row>
    <row r="140" spans="1:13" x14ac:dyDescent="0.25">
      <c r="A140" s="168">
        <v>29</v>
      </c>
      <c r="B140" s="84" t="s">
        <v>733</v>
      </c>
      <c r="C140" s="34">
        <v>416</v>
      </c>
      <c r="D140" s="144" t="s">
        <v>393</v>
      </c>
      <c r="E140" s="168" t="s">
        <v>155</v>
      </c>
      <c r="F140" s="34"/>
      <c r="G140" s="60">
        <f>SUM(G141:G169)</f>
        <v>1048.6644000000003</v>
      </c>
      <c r="H140" s="166">
        <v>300000</v>
      </c>
      <c r="I140" s="156">
        <v>360886</v>
      </c>
      <c r="J140" s="156">
        <f>'Vật liệu'!W142</f>
        <v>360886</v>
      </c>
      <c r="K140" s="166">
        <f>J140-H140</f>
        <v>60886</v>
      </c>
      <c r="L140" s="166">
        <f>ROUND(G140*K140,0)</f>
        <v>63848981</v>
      </c>
      <c r="M140" s="166">
        <f>ROUND(G140*J140,0)</f>
        <v>378448301</v>
      </c>
    </row>
    <row r="141" spans="1:13" ht="30" hidden="1" x14ac:dyDescent="0.25">
      <c r="A141" s="168"/>
      <c r="B141" s="133" t="str">
        <f>'Công trình'!B18</f>
        <v>AF.12314</v>
      </c>
      <c r="C141" s="34"/>
      <c r="D141" s="133" t="str">
        <f>'Công trình'!C18</f>
        <v>Bê tông xà dầm, giằng nhà đá 1x2, vữa BT mác 250</v>
      </c>
      <c r="E141" s="168"/>
      <c r="F141" s="20">
        <v>1</v>
      </c>
      <c r="G141" s="45">
        <f>'Hao phí vật tư'!J125</f>
        <v>58.523400000000002</v>
      </c>
      <c r="H141" s="166"/>
      <c r="I141" s="166"/>
      <c r="J141" s="166"/>
      <c r="K141" s="166"/>
      <c r="L141" s="156">
        <f>ROUND(G141*K140,2)</f>
        <v>3563255.73</v>
      </c>
      <c r="M141" s="156">
        <f>ROUND(G141*J140,2)</f>
        <v>21120275.73</v>
      </c>
    </row>
    <row r="142" spans="1:13" ht="30" hidden="1" x14ac:dyDescent="0.25">
      <c r="A142" s="168"/>
      <c r="B142" s="133" t="str">
        <f>'Công trình'!B30</f>
        <v>AF.12113</v>
      </c>
      <c r="C142" s="34"/>
      <c r="D142" s="133" t="str">
        <f>'Công trình'!C30</f>
        <v>Bê tông tường dày &lt;=45cm, chiều cao &lt;=4m đá 1x2, vữa BT mác 200</v>
      </c>
      <c r="E142" s="168"/>
      <c r="F142" s="20">
        <v>1</v>
      </c>
      <c r="G142" s="45">
        <f>'Hao phí vật tư'!J205</f>
        <v>23.9102</v>
      </c>
      <c r="H142" s="166"/>
      <c r="I142" s="166"/>
      <c r="J142" s="166"/>
      <c r="K142" s="166"/>
      <c r="L142" s="156">
        <f>ROUND(G142*K140,2)</f>
        <v>1455796.44</v>
      </c>
      <c r="M142" s="156">
        <f>ROUND(G142*J140,2)</f>
        <v>8628856.4399999995</v>
      </c>
    </row>
    <row r="143" spans="1:13" ht="30" hidden="1" x14ac:dyDescent="0.25">
      <c r="A143" s="168"/>
      <c r="B143" s="133" t="str">
        <f>'Công trình'!B43</f>
        <v>AF.11212</v>
      </c>
      <c r="C143" s="34"/>
      <c r="D143" s="133" t="str">
        <f>'Công trình'!C43</f>
        <v>Bê tông móng rộng &lt;=250cm đá 1x2, vữa BT mác 150</v>
      </c>
      <c r="E143" s="168"/>
      <c r="F143" s="20">
        <v>1</v>
      </c>
      <c r="G143" s="45">
        <f>'Hao phí vật tư'!J323</f>
        <v>5.5500000000000001E-2</v>
      </c>
      <c r="H143" s="166"/>
      <c r="I143" s="166"/>
      <c r="J143" s="166"/>
      <c r="K143" s="166"/>
      <c r="L143" s="156">
        <f>ROUND(G143*K140,2)</f>
        <v>3379.17</v>
      </c>
      <c r="M143" s="156">
        <f>ROUND(G143*J140,2)</f>
        <v>20029.169999999998</v>
      </c>
    </row>
    <row r="144" spans="1:13" ht="30" hidden="1" x14ac:dyDescent="0.25">
      <c r="A144" s="168"/>
      <c r="B144" s="133" t="str">
        <f>'Công trình'!B44</f>
        <v>AF.11213</v>
      </c>
      <c r="C144" s="34"/>
      <c r="D144" s="133" t="str">
        <f>'Công trình'!C44</f>
        <v>Bê tông móng rộng &lt;=250cm đá 1x2, vữa BT mác 200</v>
      </c>
      <c r="E144" s="168"/>
      <c r="F144" s="20">
        <v>1</v>
      </c>
      <c r="G144" s="45">
        <f>'Hao phí vật tư'!J335</f>
        <v>0.1827</v>
      </c>
      <c r="H144" s="166"/>
      <c r="I144" s="166"/>
      <c r="J144" s="166"/>
      <c r="K144" s="166"/>
      <c r="L144" s="156">
        <f>ROUND(G144*K140,2)</f>
        <v>11123.87</v>
      </c>
      <c r="M144" s="156">
        <f>ROUND(G144*J140,2)</f>
        <v>65933.87</v>
      </c>
    </row>
    <row r="145" spans="1:13" ht="30" hidden="1" x14ac:dyDescent="0.25">
      <c r="A145" s="168"/>
      <c r="B145" s="133" t="str">
        <f>'Công trình'!B52</f>
        <v>AG.11412</v>
      </c>
      <c r="C145" s="34"/>
      <c r="D145" s="133" t="str">
        <f>'Công trình'!C52</f>
        <v>Sản xuất bê tông tấm BT tự chèn đúc sẵn đá 1x2, vữa BT mác 150</v>
      </c>
      <c r="E145" s="168"/>
      <c r="F145" s="20">
        <v>1</v>
      </c>
      <c r="G145" s="45">
        <f>'Hao phí vật tư'!J380</f>
        <v>84.149000000000001</v>
      </c>
      <c r="H145" s="166"/>
      <c r="I145" s="166"/>
      <c r="J145" s="166"/>
      <c r="K145" s="166"/>
      <c r="L145" s="156">
        <f>ROUND(G145*K140,2)</f>
        <v>5123496.01</v>
      </c>
      <c r="M145" s="156">
        <f>ROUND(G145*J140,2)</f>
        <v>30368196.010000002</v>
      </c>
    </row>
    <row r="146" spans="1:13" hidden="1" x14ac:dyDescent="0.25">
      <c r="A146" s="168"/>
      <c r="B146" s="133" t="str">
        <f>'Công trình'!B57</f>
        <v>AF.12313</v>
      </c>
      <c r="C146" s="34"/>
      <c r="D146" s="133" t="str">
        <f>'Công trình'!C57</f>
        <v>Bê tông xà dầm, giằng đá 1x2, vữa BT mác 200</v>
      </c>
      <c r="E146" s="168"/>
      <c r="F146" s="20">
        <v>1</v>
      </c>
      <c r="G146" s="45">
        <f>'Hao phí vật tư'!J422</f>
        <v>31.846800000000002</v>
      </c>
      <c r="H146" s="166"/>
      <c r="I146" s="166"/>
      <c r="J146" s="166"/>
      <c r="K146" s="166"/>
      <c r="L146" s="156">
        <f>ROUND(G146*K140,2)</f>
        <v>1939024.26</v>
      </c>
      <c r="M146" s="156">
        <f>ROUND(G146*J140,2)</f>
        <v>11493064.26</v>
      </c>
    </row>
    <row r="147" spans="1:13" ht="30" hidden="1" x14ac:dyDescent="0.25">
      <c r="A147" s="168"/>
      <c r="B147" s="133" t="str">
        <f>'Công trình'!B63</f>
        <v>AF.11223</v>
      </c>
      <c r="C147" s="34"/>
      <c r="D147" s="133" t="str">
        <f>'Công trình'!C63</f>
        <v>Bê tông lát mái rộng &gt;250cm đá 1x2, vữa BT mác 200</v>
      </c>
      <c r="E147" s="168"/>
      <c r="F147" s="20">
        <v>1</v>
      </c>
      <c r="G147" s="45">
        <f>'Hao phí vật tư'!J477</f>
        <v>148.87700000000001</v>
      </c>
      <c r="H147" s="166"/>
      <c r="I147" s="166"/>
      <c r="J147" s="166"/>
      <c r="K147" s="166"/>
      <c r="L147" s="156">
        <f>ROUND(G147*K140,2)</f>
        <v>9064525.0199999996</v>
      </c>
      <c r="M147" s="156">
        <f>ROUND(G147*J140,2)</f>
        <v>53727625.020000003</v>
      </c>
    </row>
    <row r="148" spans="1:13" ht="30" hidden="1" x14ac:dyDescent="0.25">
      <c r="A148" s="168"/>
      <c r="B148" s="133" t="str">
        <f>'Công trình'!B68</f>
        <v>AG.11125</v>
      </c>
      <c r="C148" s="34"/>
      <c r="D148" s="133" t="str">
        <f>'Công trình'!C68</f>
        <v>Sản xuất bê tông cọc cừ đúc sẵn đá 1x2, vữa BT mác 300</v>
      </c>
      <c r="E148" s="168"/>
      <c r="F148" s="20">
        <v>1</v>
      </c>
      <c r="G148" s="45">
        <f>'Hao phí vật tư'!J508</f>
        <v>63.204999999999998</v>
      </c>
      <c r="H148" s="166"/>
      <c r="I148" s="166"/>
      <c r="J148" s="166"/>
      <c r="K148" s="166"/>
      <c r="L148" s="156">
        <f>ROUND(G148*K140,2)</f>
        <v>3848299.63</v>
      </c>
      <c r="M148" s="156">
        <f>ROUND(G148*J140,2)</f>
        <v>22809799.629999999</v>
      </c>
    </row>
    <row r="149" spans="1:13" ht="30" hidden="1" x14ac:dyDescent="0.25">
      <c r="A149" s="168"/>
      <c r="B149" s="133" t="str">
        <f>'Công trình'!B79</f>
        <v>AG.11125</v>
      </c>
      <c r="C149" s="34"/>
      <c r="D149" s="133" t="str">
        <f>'Công trình'!C79</f>
        <v>Sản xuất bê tông cọc cừ đúc sẵn đá 1x2, vữa BT mác 300</v>
      </c>
      <c r="E149" s="168"/>
      <c r="F149" s="20">
        <v>1</v>
      </c>
      <c r="G149" s="45">
        <f>'Hao phí vật tư'!J624</f>
        <v>24.7562</v>
      </c>
      <c r="H149" s="166"/>
      <c r="I149" s="166"/>
      <c r="J149" s="166"/>
      <c r="K149" s="166"/>
      <c r="L149" s="156">
        <f>ROUND(G149*K140,2)</f>
        <v>1507305.99</v>
      </c>
      <c r="M149" s="156">
        <f>ROUND(G149*J140,2)</f>
        <v>8934165.9900000002</v>
      </c>
    </row>
    <row r="150" spans="1:13" ht="30" hidden="1" x14ac:dyDescent="0.25">
      <c r="A150" s="168"/>
      <c r="B150" s="133" t="str">
        <f>'Công trình'!B151</f>
        <v>TT</v>
      </c>
      <c r="C150" s="34"/>
      <c r="D150" s="133" t="str">
        <f>'Công trình'!C151</f>
        <v>Làm tầng lọc đá dăm 1x2 (Tính theo QĐ65/2003/029)</v>
      </c>
      <c r="E150" s="168"/>
      <c r="F150" s="20">
        <v>1</v>
      </c>
      <c r="G150" s="45">
        <f>'Hao phí vật tư'!J1149</f>
        <v>9.0646000000000004</v>
      </c>
      <c r="H150" s="166"/>
      <c r="I150" s="166"/>
      <c r="J150" s="166"/>
      <c r="K150" s="166"/>
      <c r="L150" s="156">
        <f>ROUND(G150*K140,2)</f>
        <v>551907.24</v>
      </c>
      <c r="M150" s="156">
        <f>ROUND(G150*J140,2)</f>
        <v>3271287.24</v>
      </c>
    </row>
    <row r="151" spans="1:13" ht="30" hidden="1" x14ac:dyDescent="0.25">
      <c r="A151" s="168"/>
      <c r="B151" s="133" t="str">
        <f>'Công trình'!B167</f>
        <v>AG.11413</v>
      </c>
      <c r="C151" s="34"/>
      <c r="D151" s="133" t="str">
        <f>'Công trình'!C167</f>
        <v>Bê tông tấm đan đúc sẵn đá 1x2, vữa BT mác 200</v>
      </c>
      <c r="E151" s="168"/>
      <c r="F151" s="20">
        <v>1</v>
      </c>
      <c r="G151" s="45">
        <f>'Hao phí vật tư'!J1261</f>
        <v>7.9405999999999999</v>
      </c>
      <c r="H151" s="166"/>
      <c r="I151" s="166"/>
      <c r="J151" s="166"/>
      <c r="K151" s="166"/>
      <c r="L151" s="156">
        <f>ROUND(G151*K140,2)</f>
        <v>483471.37</v>
      </c>
      <c r="M151" s="156">
        <f>ROUND(G151*J140,2)</f>
        <v>2865651.37</v>
      </c>
    </row>
    <row r="152" spans="1:13" ht="30" hidden="1" x14ac:dyDescent="0.25">
      <c r="A152" s="168"/>
      <c r="B152" s="133" t="str">
        <f>'Công trình'!B174</f>
        <v>AF.14115</v>
      </c>
      <c r="C152" s="34"/>
      <c r="D152" s="133" t="str">
        <f>'Công trình'!C174</f>
        <v>Bê tông móng, mố trụ cầu trên cạn đá 1x2, vữa BT mác 300</v>
      </c>
      <c r="E152" s="168"/>
      <c r="F152" s="20">
        <v>1</v>
      </c>
      <c r="G152" s="45">
        <f>'Hao phí vật tư'!J1300</f>
        <v>88.012500000000003</v>
      </c>
      <c r="H152" s="166"/>
      <c r="I152" s="166"/>
      <c r="J152" s="166"/>
      <c r="K152" s="166"/>
      <c r="L152" s="156">
        <f>ROUND(G152*K140,2)</f>
        <v>5358729.08</v>
      </c>
      <c r="M152" s="156">
        <f>ROUND(G152*J140,2)</f>
        <v>31762479.079999998</v>
      </c>
    </row>
    <row r="153" spans="1:13" ht="30" hidden="1" x14ac:dyDescent="0.25">
      <c r="A153" s="168"/>
      <c r="B153" s="133" t="str">
        <f>'Công trình'!B186</f>
        <v>AF.14115</v>
      </c>
      <c r="C153" s="34"/>
      <c r="D153" s="133" t="str">
        <f>'Công trình'!C186</f>
        <v>Bê tông móng, mố trụ cầu trên cạn đá 1x2, vữa BT mác 300</v>
      </c>
      <c r="E153" s="168"/>
      <c r="F153" s="20">
        <v>1</v>
      </c>
      <c r="G153" s="45">
        <f>'Hao phí vật tư'!J1417</f>
        <v>3.1461999999999999</v>
      </c>
      <c r="H153" s="166"/>
      <c r="I153" s="166"/>
      <c r="J153" s="166"/>
      <c r="K153" s="166"/>
      <c r="L153" s="156">
        <f>ROUND(G153*K140,2)</f>
        <v>191559.53</v>
      </c>
      <c r="M153" s="156">
        <f>ROUND(G153*J140,2)</f>
        <v>1135419.53</v>
      </c>
    </row>
    <row r="154" spans="1:13" hidden="1" x14ac:dyDescent="0.25">
      <c r="A154" s="168"/>
      <c r="B154" s="133" t="str">
        <f>'Công trình'!B197</f>
        <v>AF.15225</v>
      </c>
      <c r="C154" s="34"/>
      <c r="D154" s="133" t="str">
        <f>'Công trình'!C197</f>
        <v>Bê tông dầm cầu đá 1x2, vữa BT mác 300</v>
      </c>
      <c r="E154" s="168"/>
      <c r="F154" s="20">
        <v>1</v>
      </c>
      <c r="G154" s="45">
        <f>'Hao phí vật tư'!J1512</f>
        <v>2.7440000000000002</v>
      </c>
      <c r="H154" s="166"/>
      <c r="I154" s="166"/>
      <c r="J154" s="166"/>
      <c r="K154" s="166"/>
      <c r="L154" s="156">
        <f>ROUND(G154*K140,2)</f>
        <v>167071.18</v>
      </c>
      <c r="M154" s="156">
        <f>ROUND(G154*J140,2)</f>
        <v>990271.18</v>
      </c>
    </row>
    <row r="155" spans="1:13" ht="30" hidden="1" x14ac:dyDescent="0.25">
      <c r="A155" s="168"/>
      <c r="B155" s="133" t="str">
        <f>'Công trình'!B225</f>
        <v>AG.11125</v>
      </c>
      <c r="C155" s="34"/>
      <c r="D155" s="133" t="str">
        <f>'Công trình'!C225</f>
        <v>Sản xuất bê tông cọc cừ đúc sẵn đá 1x2, vữa BT mác 300</v>
      </c>
      <c r="E155" s="168"/>
      <c r="F155" s="20">
        <v>1</v>
      </c>
      <c r="G155" s="45">
        <f>'Hao phí vật tư'!J1684</f>
        <v>68.311999999999998</v>
      </c>
      <c r="H155" s="166"/>
      <c r="I155" s="166"/>
      <c r="J155" s="166"/>
      <c r="K155" s="166"/>
      <c r="L155" s="156">
        <f>ROUND(G155*K140,2)</f>
        <v>4159244.43</v>
      </c>
      <c r="M155" s="156">
        <f>ROUND(G155*J140,2)</f>
        <v>24652844.43</v>
      </c>
    </row>
    <row r="156" spans="1:13" ht="30" hidden="1" x14ac:dyDescent="0.25">
      <c r="A156" s="168"/>
      <c r="B156" s="133" t="str">
        <f>'Công trình'!B247</f>
        <v>AF.12313</v>
      </c>
      <c r="C156" s="34"/>
      <c r="D156" s="133" t="str">
        <f>'Công trình'!C247</f>
        <v>Bê tông dầm chặn chân, đá 1x2, vữa BT mác 200</v>
      </c>
      <c r="E156" s="168"/>
      <c r="F156" s="20">
        <v>1</v>
      </c>
      <c r="G156" s="45">
        <f>'Hao phí vật tư'!J1867</f>
        <v>16.293299999999999</v>
      </c>
      <c r="H156" s="166"/>
      <c r="I156" s="166"/>
      <c r="J156" s="166"/>
      <c r="K156" s="166"/>
      <c r="L156" s="156">
        <f>ROUND(G156*K140,2)</f>
        <v>992033.86</v>
      </c>
      <c r="M156" s="156">
        <f>ROUND(G156*J140,2)</f>
        <v>5880023.8600000003</v>
      </c>
    </row>
    <row r="157" spans="1:13" ht="30" hidden="1" x14ac:dyDescent="0.25">
      <c r="A157" s="168"/>
      <c r="B157" s="133" t="str">
        <f>'Công trình'!B250</f>
        <v>AG.11413</v>
      </c>
      <c r="C157" s="34"/>
      <c r="D157" s="133" t="str">
        <f>'Công trình'!C250</f>
        <v>Sản xuất bê tông lục giác, đá 1x2, vữa BT mác 200</v>
      </c>
      <c r="E157" s="168"/>
      <c r="F157" s="20">
        <v>1</v>
      </c>
      <c r="G157" s="45">
        <f>'Hao phí vật tư'!J1902</f>
        <v>65.532799999999995</v>
      </c>
      <c r="H157" s="166"/>
      <c r="I157" s="166"/>
      <c r="J157" s="166"/>
      <c r="K157" s="166"/>
      <c r="L157" s="156">
        <f>ROUND(G157*K140,2)</f>
        <v>3990030.06</v>
      </c>
      <c r="M157" s="156">
        <f>ROUND(G157*J140,2)</f>
        <v>23649870.059999999</v>
      </c>
    </row>
    <row r="158" spans="1:13" ht="30" hidden="1" x14ac:dyDescent="0.25">
      <c r="A158" s="168"/>
      <c r="B158" s="133" t="str">
        <f>'Công trình'!B255</f>
        <v>AF.14325</v>
      </c>
      <c r="C158" s="34"/>
      <c r="D158" s="133" t="str">
        <f>'Công trình'!C255</f>
        <v>Bê tông lan can, gờ chắn đá 1x2, vữa BT mác 300</v>
      </c>
      <c r="E158" s="168"/>
      <c r="F158" s="20">
        <v>1</v>
      </c>
      <c r="G158" s="45">
        <f>'Hao phí vật tư'!J1938</f>
        <v>19.1541</v>
      </c>
      <c r="H158" s="166"/>
      <c r="I158" s="166"/>
      <c r="J158" s="166"/>
      <c r="K158" s="166"/>
      <c r="L158" s="156">
        <f>ROUND(G158*K140,2)</f>
        <v>1166216.53</v>
      </c>
      <c r="M158" s="156">
        <f>ROUND(G158*J140,2)</f>
        <v>6912446.5300000003</v>
      </c>
    </row>
    <row r="159" spans="1:13" ht="30" hidden="1" x14ac:dyDescent="0.25">
      <c r="A159" s="168"/>
      <c r="B159" s="133" t="str">
        <f>'Công trình'!B267</f>
        <v>AF.11212</v>
      </c>
      <c r="C159" s="34"/>
      <c r="D159" s="133" t="str">
        <f>'Công trình'!C267</f>
        <v>Bê tông móng rộng &lt;=250cm đá 1x2, vữa BT mác 150</v>
      </c>
      <c r="E159" s="168"/>
      <c r="F159" s="20">
        <v>1</v>
      </c>
      <c r="G159" s="45">
        <f>'Hao phí vật tư'!J2033</f>
        <v>3.1469999999999998</v>
      </c>
      <c r="H159" s="166"/>
      <c r="I159" s="166"/>
      <c r="J159" s="166"/>
      <c r="K159" s="166"/>
      <c r="L159" s="156">
        <f>ROUND(G159*K140,2)</f>
        <v>191608.24</v>
      </c>
      <c r="M159" s="156">
        <f>ROUND(G159*J140,2)</f>
        <v>1135708.24</v>
      </c>
    </row>
    <row r="160" spans="1:13" ht="30" hidden="1" x14ac:dyDescent="0.25">
      <c r="A160" s="168"/>
      <c r="B160" s="133" t="str">
        <f>'Công trình'!B284</f>
        <v>AF.11213</v>
      </c>
      <c r="C160" s="34"/>
      <c r="D160" s="133" t="str">
        <f>'Công trình'!C284</f>
        <v>Bê tông móng rộng &lt;=250cm đá 1x2, vữa BT mác 200</v>
      </c>
      <c r="E160" s="168"/>
      <c r="F160" s="20">
        <v>1</v>
      </c>
      <c r="G160" s="45">
        <f>'Hao phí vật tư'!J2124</f>
        <v>7.1603000000000003</v>
      </c>
      <c r="H160" s="166"/>
      <c r="I160" s="166"/>
      <c r="J160" s="166"/>
      <c r="K160" s="166"/>
      <c r="L160" s="156">
        <f>ROUND(G160*K140,2)</f>
        <v>435962.03</v>
      </c>
      <c r="M160" s="156">
        <f>ROUND(G160*J140,2)</f>
        <v>2584052.0299999998</v>
      </c>
    </row>
    <row r="161" spans="1:13" ht="30" hidden="1" x14ac:dyDescent="0.25">
      <c r="A161" s="168"/>
      <c r="B161" s="133" t="str">
        <f>'Công trình'!B285</f>
        <v>AF.11212</v>
      </c>
      <c r="C161" s="34"/>
      <c r="D161" s="133" t="str">
        <f>'Công trình'!C285</f>
        <v>Bê tông móng rộng &lt;=250cm đá 1x2, vữa BT mác 150</v>
      </c>
      <c r="E161" s="168"/>
      <c r="F161" s="20">
        <v>1</v>
      </c>
      <c r="G161" s="45">
        <f>'Hao phí vật tư'!J2136</f>
        <v>1.2958000000000001</v>
      </c>
      <c r="H161" s="166"/>
      <c r="I161" s="166"/>
      <c r="J161" s="166"/>
      <c r="K161" s="166"/>
      <c r="L161" s="156">
        <f>ROUND(G161*K140,2)</f>
        <v>78896.08</v>
      </c>
      <c r="M161" s="156">
        <f>ROUND(G161*J140,2)</f>
        <v>467636.08</v>
      </c>
    </row>
    <row r="162" spans="1:13" ht="30" hidden="1" x14ac:dyDescent="0.25">
      <c r="A162" s="168"/>
      <c r="B162" s="133" t="str">
        <f>'Công trình'!B295</f>
        <v>AF.11213</v>
      </c>
      <c r="C162" s="34"/>
      <c r="D162" s="133" t="str">
        <f>'Công trình'!C295</f>
        <v>Bê tông móng rộng &lt;=250cm đá 1x2, vữa BT mác 200</v>
      </c>
      <c r="E162" s="168"/>
      <c r="F162" s="20">
        <v>1</v>
      </c>
      <c r="G162" s="45">
        <f>'Hao phí vật tư'!J2208</f>
        <v>0.15529999999999999</v>
      </c>
      <c r="H162" s="166"/>
      <c r="I162" s="166"/>
      <c r="J162" s="166"/>
      <c r="K162" s="166"/>
      <c r="L162" s="156">
        <f>ROUND(G162*K140,2)</f>
        <v>9455.6</v>
      </c>
      <c r="M162" s="156">
        <f>ROUND(G162*J140,2)</f>
        <v>56045.599999999999</v>
      </c>
    </row>
    <row r="163" spans="1:13" ht="30" hidden="1" x14ac:dyDescent="0.25">
      <c r="A163" s="168"/>
      <c r="B163" s="133" t="str">
        <f>'Công trình'!B296</f>
        <v>AF.11212</v>
      </c>
      <c r="C163" s="34"/>
      <c r="D163" s="133" t="str">
        <f>'Công trình'!C296</f>
        <v>Bê tông móng rộng &lt;=250cm đá 1x2, vữa BT mác 150</v>
      </c>
      <c r="E163" s="168"/>
      <c r="F163" s="20">
        <v>1</v>
      </c>
      <c r="G163" s="45">
        <f>'Hao phí vật tư'!J2220</f>
        <v>5.5500000000000001E-2</v>
      </c>
      <c r="H163" s="166"/>
      <c r="I163" s="166"/>
      <c r="J163" s="166"/>
      <c r="K163" s="166"/>
      <c r="L163" s="156">
        <f>ROUND(G163*K140,2)</f>
        <v>3379.17</v>
      </c>
      <c r="M163" s="156">
        <f>ROUND(G163*J140,2)</f>
        <v>20029.169999999998</v>
      </c>
    </row>
    <row r="164" spans="1:13" ht="30" hidden="1" x14ac:dyDescent="0.25">
      <c r="A164" s="168"/>
      <c r="B164" s="133" t="str">
        <f>'Công trình'!B300</f>
        <v>AG.11113</v>
      </c>
      <c r="C164" s="34"/>
      <c r="D164" s="133" t="str">
        <f>'Công trình'!C300</f>
        <v>Sản xuất bê tông cọc, cột đúc sẵn đá 1x2, vữa BT mác 200</v>
      </c>
      <c r="E164" s="168"/>
      <c r="F164" s="20">
        <v>1</v>
      </c>
      <c r="G164" s="45">
        <f>'Hao phí vật tư'!J2242</f>
        <v>0.81399999999999995</v>
      </c>
      <c r="H164" s="166"/>
      <c r="I164" s="166"/>
      <c r="J164" s="166"/>
      <c r="K164" s="166"/>
      <c r="L164" s="156">
        <f>ROUND(G164*K140,2)</f>
        <v>49561.2</v>
      </c>
      <c r="M164" s="156">
        <f>ROUND(G164*J140,2)</f>
        <v>293761.2</v>
      </c>
    </row>
    <row r="165" spans="1:13" ht="30" hidden="1" x14ac:dyDescent="0.25">
      <c r="A165" s="168"/>
      <c r="B165" s="133" t="str">
        <f>'Công trình'!B301</f>
        <v>AF.11212</v>
      </c>
      <c r="C165" s="34"/>
      <c r="D165" s="133" t="str">
        <f>'Công trình'!C301</f>
        <v>Bê tông móng rộng &lt;=250cm đá 1x2, vữa BT mác 150</v>
      </c>
      <c r="E165" s="168"/>
      <c r="F165" s="20">
        <v>1</v>
      </c>
      <c r="G165" s="45">
        <f>'Hao phí vật tư'!J2255</f>
        <v>1.3329</v>
      </c>
      <c r="H165" s="166"/>
      <c r="I165" s="166"/>
      <c r="J165" s="166"/>
      <c r="K165" s="166"/>
      <c r="L165" s="156">
        <f>ROUND(G165*K140,2)</f>
        <v>81154.95</v>
      </c>
      <c r="M165" s="156">
        <f>ROUND(G165*J140,2)</f>
        <v>481024.95</v>
      </c>
    </row>
    <row r="166" spans="1:13" ht="30" hidden="1" x14ac:dyDescent="0.25">
      <c r="A166" s="168"/>
      <c r="B166" s="133" t="str">
        <f>'Công trình'!B7</f>
        <v>AF.11224</v>
      </c>
      <c r="C166" s="34"/>
      <c r="D166" s="133" t="str">
        <f>'Công trình'!C7</f>
        <v>Bê tông móng rộng &gt;250cm đá 1x2, vữa BT mác 250</v>
      </c>
      <c r="E166" s="168"/>
      <c r="F166" s="20">
        <v>1</v>
      </c>
      <c r="G166" s="45">
        <f>'Hao phí vật tư'!J13</f>
        <v>148.399</v>
      </c>
      <c r="H166" s="166"/>
      <c r="I166" s="166"/>
      <c r="J166" s="166"/>
      <c r="K166" s="166"/>
      <c r="L166" s="156">
        <f>ROUND(G166*K140,2)</f>
        <v>9035421.5099999998</v>
      </c>
      <c r="M166" s="156">
        <f>ROUND(G166*J140,2)</f>
        <v>53555121.509999998</v>
      </c>
    </row>
    <row r="167" spans="1:13" ht="30" hidden="1" x14ac:dyDescent="0.25">
      <c r="A167" s="168"/>
      <c r="B167" s="133" t="str">
        <f>'Công trình'!B8</f>
        <v>AF.12144</v>
      </c>
      <c r="C167" s="34"/>
      <c r="D167" s="133" t="str">
        <f>'Công trình'!C8</f>
        <v>Bê tông tường dày &gt;45cm, chiều cao &lt;=16m đá 1x2, vữa BT mác 250</v>
      </c>
      <c r="E167" s="168"/>
      <c r="F167" s="20">
        <v>1</v>
      </c>
      <c r="G167" s="45">
        <f>'Hao phí vật tư'!J28</f>
        <v>145.08500000000001</v>
      </c>
      <c r="H167" s="166"/>
      <c r="I167" s="166"/>
      <c r="J167" s="166"/>
      <c r="K167" s="166"/>
      <c r="L167" s="156">
        <f>ROUND(G167*K140,2)</f>
        <v>8833645.3100000005</v>
      </c>
      <c r="M167" s="156">
        <f>ROUND(G167*J140,2)</f>
        <v>52359145.310000002</v>
      </c>
    </row>
    <row r="168" spans="1:13" hidden="1" x14ac:dyDescent="0.25">
      <c r="A168" s="168"/>
      <c r="B168" s="133" t="str">
        <f>'Công trình'!B175</f>
        <v>AF.11225</v>
      </c>
      <c r="C168" s="34"/>
      <c r="D168" s="133" t="str">
        <f>'Công trình'!C175</f>
        <v>Bê tông bản dẫn đá 1x2, vữa BT mác 300</v>
      </c>
      <c r="E168" s="168"/>
      <c r="F168" s="20">
        <v>1</v>
      </c>
      <c r="G168" s="45">
        <f>'Hao phí vật tư'!J1316</f>
        <v>16.0884</v>
      </c>
      <c r="H168" s="166"/>
      <c r="I168" s="166"/>
      <c r="J168" s="166"/>
      <c r="K168" s="166"/>
      <c r="L168" s="156">
        <f>ROUND(G168*K140,2)</f>
        <v>979558.32</v>
      </c>
      <c r="M168" s="156">
        <f>ROUND(G168*J140,2)</f>
        <v>5806078.3200000003</v>
      </c>
    </row>
    <row r="169" spans="1:13" hidden="1" x14ac:dyDescent="0.25">
      <c r="A169" s="168"/>
      <c r="B169" s="133" t="str">
        <f>'Công trình'!B34</f>
        <v>AF.12313</v>
      </c>
      <c r="C169" s="34"/>
      <c r="D169" s="133" t="str">
        <f>'Công trình'!C34</f>
        <v>Bê tông dầm, giằng đá 1x2, vữa BT mác 200</v>
      </c>
      <c r="E169" s="168"/>
      <c r="F169" s="20">
        <v>1</v>
      </c>
      <c r="G169" s="45">
        <f>'Hao phí vật tư'!J249</f>
        <v>9.4253</v>
      </c>
      <c r="H169" s="166"/>
      <c r="I169" s="166"/>
      <c r="J169" s="166"/>
      <c r="K169" s="166"/>
      <c r="L169" s="156">
        <f>ROUND(G169*K140,2)</f>
        <v>573868.81999999995</v>
      </c>
      <c r="M169" s="156">
        <f>ROUND(G169*J140,2)</f>
        <v>3401458.82</v>
      </c>
    </row>
    <row r="170" spans="1:13" x14ac:dyDescent="0.25">
      <c r="A170" s="168">
        <v>30</v>
      </c>
      <c r="B170" s="84" t="s">
        <v>634</v>
      </c>
      <c r="C170" s="34">
        <v>419</v>
      </c>
      <c r="D170" s="144" t="s">
        <v>1108</v>
      </c>
      <c r="E170" s="168" t="s">
        <v>155</v>
      </c>
      <c r="F170" s="34"/>
      <c r="G170" s="60">
        <f>SUM(G171:G174)</f>
        <v>394.99810000000002</v>
      </c>
      <c r="H170" s="166">
        <v>260000</v>
      </c>
      <c r="I170" s="156">
        <v>310636</v>
      </c>
      <c r="J170" s="156">
        <f>'Vật liệu'!W172</f>
        <v>310636</v>
      </c>
      <c r="K170" s="166">
        <f>J170-H170</f>
        <v>50636</v>
      </c>
      <c r="L170" s="166">
        <f>ROUND(G170*K170,0)</f>
        <v>20001124</v>
      </c>
      <c r="M170" s="166">
        <f>ROUND(G170*J170,0)</f>
        <v>122700630</v>
      </c>
    </row>
    <row r="171" spans="1:13" hidden="1" x14ac:dyDescent="0.25">
      <c r="A171" s="168"/>
      <c r="B171" s="133" t="str">
        <f>'Công trình'!B92</f>
        <v>AF.11121</v>
      </c>
      <c r="C171" s="34"/>
      <c r="D171" s="133" t="str">
        <f>'Công trình'!C92</f>
        <v>Bê tông M100 đá 4x6</v>
      </c>
      <c r="E171" s="168"/>
      <c r="F171" s="20">
        <v>1</v>
      </c>
      <c r="G171" s="45">
        <f>'Hao phí vật tư'!J746</f>
        <v>96.438900000000004</v>
      </c>
      <c r="H171" s="166"/>
      <c r="I171" s="166"/>
      <c r="J171" s="166"/>
      <c r="K171" s="166"/>
      <c r="L171" s="156">
        <f>ROUND(G171*K170,2)</f>
        <v>4883280.1399999997</v>
      </c>
      <c r="M171" s="156">
        <f>ROUND(G171*J170,2)</f>
        <v>29957394.140000001</v>
      </c>
    </row>
    <row r="172" spans="1:13" ht="30" hidden="1" x14ac:dyDescent="0.25">
      <c r="A172" s="168"/>
      <c r="B172" s="133" t="str">
        <f>'Công trình'!B177</f>
        <v>AF.11121</v>
      </c>
      <c r="C172" s="34"/>
      <c r="D172" s="133" t="str">
        <f>'Công trình'!C177</f>
        <v>Bê tông lót móng rộng &gt;250cm đá 4x6, vữa BT mác 100</v>
      </c>
      <c r="E172" s="168"/>
      <c r="F172" s="20">
        <v>1</v>
      </c>
      <c r="G172" s="45">
        <f>'Hao phí vật tư'!J1338</f>
        <v>7.7431999999999999</v>
      </c>
      <c r="H172" s="166"/>
      <c r="I172" s="166"/>
      <c r="J172" s="166"/>
      <c r="K172" s="166"/>
      <c r="L172" s="156">
        <f>ROUND(G172*K170,2)</f>
        <v>392084.68</v>
      </c>
      <c r="M172" s="156">
        <f>ROUND(G172*J170,2)</f>
        <v>2405316.6800000002</v>
      </c>
    </row>
    <row r="173" spans="1:13" hidden="1" x14ac:dyDescent="0.25">
      <c r="A173" s="168"/>
      <c r="B173" s="133" t="str">
        <f>'Công trình'!B9</f>
        <v>AF.11333</v>
      </c>
      <c r="C173" s="34"/>
      <c r="D173" s="133" t="str">
        <f>'Công trình'!C9</f>
        <v>Bê tông bịt đáy đá 4x6, vữa BT mác 200</v>
      </c>
      <c r="E173" s="168"/>
      <c r="F173" s="20">
        <v>1</v>
      </c>
      <c r="G173" s="45">
        <f>'Hao phí vật tư'!J42</f>
        <v>239.69399999999999</v>
      </c>
      <c r="H173" s="166"/>
      <c r="I173" s="166"/>
      <c r="J173" s="166"/>
      <c r="K173" s="166"/>
      <c r="L173" s="156">
        <f>ROUND(G173*K170,2)</f>
        <v>12137145.380000001</v>
      </c>
      <c r="M173" s="156">
        <f>ROUND(G173*J170,2)</f>
        <v>74457585.379999995</v>
      </c>
    </row>
    <row r="174" spans="1:13" ht="30" hidden="1" x14ac:dyDescent="0.25">
      <c r="A174" s="168"/>
      <c r="B174" s="133" t="str">
        <f>'Công trình'!B10</f>
        <v>AF.11121</v>
      </c>
      <c r="C174" s="34"/>
      <c r="D174" s="133" t="str">
        <f>'Công trình'!C10</f>
        <v>Bê tông lót móng rộng &gt;250cm đá 4x6, vữa BT mác 100</v>
      </c>
      <c r="E174" s="168"/>
      <c r="F174" s="20">
        <v>1</v>
      </c>
      <c r="G174" s="45">
        <f>'Hao phí vật tư'!J54</f>
        <v>51.122</v>
      </c>
      <c r="H174" s="166"/>
      <c r="I174" s="166"/>
      <c r="J174" s="166"/>
      <c r="K174" s="166"/>
      <c r="L174" s="156">
        <f>ROUND(G174*K170,2)</f>
        <v>2588613.59</v>
      </c>
      <c r="M174" s="156">
        <f>ROUND(G174*J170,2)</f>
        <v>15880333.59</v>
      </c>
    </row>
    <row r="175" spans="1:13" x14ac:dyDescent="0.25">
      <c r="A175" s="168">
        <v>31</v>
      </c>
      <c r="B175" s="84" t="s">
        <v>531</v>
      </c>
      <c r="C175" s="34">
        <v>446</v>
      </c>
      <c r="D175" s="144" t="s">
        <v>222</v>
      </c>
      <c r="E175" s="168" t="s">
        <v>155</v>
      </c>
      <c r="F175" s="34"/>
      <c r="G175" s="60">
        <f>SUM(G176:G176)</f>
        <v>0</v>
      </c>
      <c r="H175" s="166">
        <v>240000</v>
      </c>
      <c r="I175" s="166">
        <v>240000</v>
      </c>
      <c r="J175" s="166">
        <f>'Vật liệu'!W177</f>
        <v>240000</v>
      </c>
      <c r="K175" s="166">
        <f>J175-H175</f>
        <v>0</v>
      </c>
      <c r="L175" s="166">
        <f>ROUND(G175*K175,0)</f>
        <v>0</v>
      </c>
      <c r="M175" s="166">
        <f>ROUND(G175*J175,0)</f>
        <v>0</v>
      </c>
    </row>
    <row r="176" spans="1:13" hidden="1" x14ac:dyDescent="0.25">
      <c r="A176" s="168"/>
      <c r="B176" s="133" t="str">
        <f>'Công trình'!B198</f>
        <v>TT</v>
      </c>
      <c r="C176" s="34"/>
      <c r="D176" s="133" t="str">
        <f>'Công trình'!C198</f>
        <v>Vữa xi măng dày 7cm, vữa XM mác 400</v>
      </c>
      <c r="E176" s="168"/>
      <c r="F176" s="20">
        <v>1</v>
      </c>
      <c r="G176" s="45">
        <f>'Hao phí vật tư'!J1527</f>
        <v>0</v>
      </c>
      <c r="H176" s="166"/>
      <c r="I176" s="166"/>
      <c r="J176" s="166"/>
      <c r="K176" s="166"/>
      <c r="L176" s="156">
        <f>ROUND(G176*K175,2)</f>
        <v>0</v>
      </c>
      <c r="M176" s="156">
        <f>ROUND(G176*J175,2)</f>
        <v>0</v>
      </c>
    </row>
    <row r="177" spans="1:13" x14ac:dyDescent="0.25">
      <c r="A177" s="168">
        <v>32</v>
      </c>
      <c r="B177" s="84" t="s">
        <v>1075</v>
      </c>
      <c r="C177" s="34">
        <v>404</v>
      </c>
      <c r="D177" s="144" t="s">
        <v>386</v>
      </c>
      <c r="E177" s="168" t="s">
        <v>155</v>
      </c>
      <c r="F177" s="34"/>
      <c r="G177" s="60">
        <f>SUM(G178:G179)</f>
        <v>50.789299999999997</v>
      </c>
      <c r="H177" s="166">
        <v>300000</v>
      </c>
      <c r="I177" s="156">
        <v>360886</v>
      </c>
      <c r="J177" s="156">
        <f>'Vật liệu'!W179</f>
        <v>360886</v>
      </c>
      <c r="K177" s="166">
        <f>J177-H177</f>
        <v>60886</v>
      </c>
      <c r="L177" s="166">
        <f>ROUND(G177*K177,0)</f>
        <v>3092357</v>
      </c>
      <c r="M177" s="166">
        <f>ROUND(G177*J177,0)</f>
        <v>18329147</v>
      </c>
    </row>
    <row r="178" spans="1:13" hidden="1" x14ac:dyDescent="0.25">
      <c r="A178" s="168"/>
      <c r="B178" s="133" t="str">
        <f>'Công trình'!B196</f>
        <v>AF.14315</v>
      </c>
      <c r="C178" s="34"/>
      <c r="D178" s="133" t="str">
        <f>'Công trình'!C196</f>
        <v>Bê tông mặt cầu đá 1x2, vữa BT mác 300</v>
      </c>
      <c r="E178" s="168"/>
      <c r="F178" s="20">
        <v>1</v>
      </c>
      <c r="G178" s="45">
        <f>'Hao phí vật tư'!J1498</f>
        <v>49.880099999999999</v>
      </c>
      <c r="H178" s="166"/>
      <c r="I178" s="166"/>
      <c r="J178" s="166"/>
      <c r="K178" s="166"/>
      <c r="L178" s="156">
        <f>ROUND(G178*K177,2)</f>
        <v>3036999.77</v>
      </c>
      <c r="M178" s="156">
        <f>ROUND(G178*J177,2)</f>
        <v>18001029.77</v>
      </c>
    </row>
    <row r="179" spans="1:13" hidden="1" x14ac:dyDescent="0.25">
      <c r="A179" s="168"/>
      <c r="B179" s="133" t="str">
        <f>'Công trình'!B217</f>
        <v>AF.11215</v>
      </c>
      <c r="C179" s="34"/>
      <c r="D179" s="133" t="str">
        <f>'Công trình'!C217</f>
        <v>BT M300 đổ sau có phụ gia</v>
      </c>
      <c r="E179" s="168"/>
      <c r="F179" s="20">
        <v>1</v>
      </c>
      <c r="G179" s="45">
        <f>'Hao phí vật tư'!J1634</f>
        <v>0.90920000000000001</v>
      </c>
      <c r="H179" s="166"/>
      <c r="I179" s="166"/>
      <c r="J179" s="166"/>
      <c r="K179" s="166"/>
      <c r="L179" s="156">
        <f>ROUND(G179*K177,2)</f>
        <v>55357.55</v>
      </c>
      <c r="M179" s="156">
        <f>ROUND(G179*J177,2)</f>
        <v>328117.55</v>
      </c>
    </row>
    <row r="180" spans="1:13" x14ac:dyDescent="0.25">
      <c r="A180" s="168">
        <v>33</v>
      </c>
      <c r="B180" s="84" t="s">
        <v>255</v>
      </c>
      <c r="C180" s="34">
        <v>470</v>
      </c>
      <c r="D180" s="144" t="s">
        <v>902</v>
      </c>
      <c r="E180" s="168" t="s">
        <v>155</v>
      </c>
      <c r="F180" s="34"/>
      <c r="G180" s="60">
        <f>SUM(G181:G183)</f>
        <v>899.52609999999993</v>
      </c>
      <c r="H180" s="166">
        <v>260000</v>
      </c>
      <c r="I180" s="156">
        <v>438545</v>
      </c>
      <c r="J180" s="156">
        <f>'Vật liệu'!W182</f>
        <v>438545</v>
      </c>
      <c r="K180" s="166">
        <f>J180-H180</f>
        <v>178545</v>
      </c>
      <c r="L180" s="166">
        <f>ROUND(G180*K180,0)</f>
        <v>160605888</v>
      </c>
      <c r="M180" s="166">
        <f>ROUND(G180*J180,0)</f>
        <v>394482674</v>
      </c>
    </row>
    <row r="181" spans="1:13" hidden="1" x14ac:dyDescent="0.25">
      <c r="A181" s="168"/>
      <c r="B181" s="133" t="str">
        <f>'Công trình'!B47</f>
        <v>035.41</v>
      </c>
      <c r="C181" s="34"/>
      <c r="D181" s="133" t="str">
        <f>'Công trình'!C47</f>
        <v>Thả rọ thép đá hộc, loai rọ 2x1x0.5 trên cạn</v>
      </c>
      <c r="E181" s="168"/>
      <c r="F181" s="20">
        <v>1</v>
      </c>
      <c r="G181" s="45">
        <f>'Hao phí vật tư'!J352</f>
        <v>220</v>
      </c>
      <c r="H181" s="166"/>
      <c r="I181" s="166"/>
      <c r="J181" s="166"/>
      <c r="K181" s="166"/>
      <c r="L181" s="156">
        <f>ROUND(G181*K180,2)</f>
        <v>39279900</v>
      </c>
      <c r="M181" s="156">
        <f>ROUND(G181*J180,2)</f>
        <v>96479900</v>
      </c>
    </row>
    <row r="182" spans="1:13" hidden="1" x14ac:dyDescent="0.25">
      <c r="A182" s="168"/>
      <c r="B182" s="133" t="str">
        <f>'Công trình'!B48</f>
        <v>035.41</v>
      </c>
      <c r="C182" s="34"/>
      <c r="D182" s="133" t="str">
        <f>'Công trình'!C48</f>
        <v>Thả rọ thép đá hộc, loai rọ 2x1x0.3 trên cạn</v>
      </c>
      <c r="E182" s="168"/>
      <c r="F182" s="20">
        <v>1</v>
      </c>
      <c r="G182" s="45">
        <f>'Hao phí vật tư'!J358</f>
        <v>653.12609999999995</v>
      </c>
      <c r="H182" s="166"/>
      <c r="I182" s="166"/>
      <c r="J182" s="166"/>
      <c r="K182" s="166"/>
      <c r="L182" s="156">
        <f>ROUND(G182*K180,2)</f>
        <v>116612399.52</v>
      </c>
      <c r="M182" s="156">
        <f>ROUND(G182*J180,2)</f>
        <v>286425185.51999998</v>
      </c>
    </row>
    <row r="183" spans="1:13" hidden="1" x14ac:dyDescent="0.25">
      <c r="A183" s="168"/>
      <c r="B183" s="133" t="str">
        <f>'Công trình'!B170</f>
        <v>035.41</v>
      </c>
      <c r="C183" s="34"/>
      <c r="D183" s="133" t="str">
        <f>'Công trình'!C170</f>
        <v>Thả rọ thép đá hộc, loai rọ 2x1x0.5 trên cạn</v>
      </c>
      <c r="E183" s="168"/>
      <c r="F183" s="20">
        <v>1</v>
      </c>
      <c r="G183" s="45">
        <f>'Hao phí vật tư'!J1289</f>
        <v>26.4</v>
      </c>
      <c r="H183" s="166"/>
      <c r="I183" s="166"/>
      <c r="J183" s="166"/>
      <c r="K183" s="166"/>
      <c r="L183" s="156">
        <f>ROUND(G183*K180,2)</f>
        <v>4713588</v>
      </c>
      <c r="M183" s="156">
        <f>ROUND(G183*J180,2)</f>
        <v>11577588</v>
      </c>
    </row>
    <row r="184" spans="1:13" x14ac:dyDescent="0.25">
      <c r="A184" s="168">
        <v>34</v>
      </c>
      <c r="B184" s="84" t="s">
        <v>570</v>
      </c>
      <c r="C184" s="34">
        <v>407</v>
      </c>
      <c r="D184" s="144" t="s">
        <v>970</v>
      </c>
      <c r="E184" s="168" t="s">
        <v>871</v>
      </c>
      <c r="F184" s="34"/>
      <c r="G184" s="60">
        <f>SUM(G185:G197)</f>
        <v>50.7881</v>
      </c>
      <c r="H184" s="166">
        <v>13200</v>
      </c>
      <c r="I184" s="166">
        <v>13200</v>
      </c>
      <c r="J184" s="166">
        <f>'Vật liệu'!W186</f>
        <v>13200</v>
      </c>
      <c r="K184" s="166">
        <f>J184-H184</f>
        <v>0</v>
      </c>
      <c r="L184" s="166">
        <f>ROUND(G184*K184,0)</f>
        <v>0</v>
      </c>
      <c r="M184" s="166">
        <f>ROUND(G184*J184,0)</f>
        <v>670403</v>
      </c>
    </row>
    <row r="185" spans="1:13" ht="30" hidden="1" x14ac:dyDescent="0.25">
      <c r="A185" s="168"/>
      <c r="B185" s="133" t="str">
        <f>'Công trình'!B39</f>
        <v>AI.13111</v>
      </c>
      <c r="C185" s="34"/>
      <c r="D185" s="133" t="str">
        <f>'Công trình'!C39</f>
        <v>Sản xuất cấu kiện thép đặt sẵn trong bê tông, khối lượng &lt;=10kg/cấu kiện</v>
      </c>
      <c r="E185" s="168"/>
      <c r="F185" s="20">
        <v>1</v>
      </c>
      <c r="G185" s="45">
        <f>'Hao phí vật tư'!J291</f>
        <v>7.3000000000000001E-3</v>
      </c>
      <c r="H185" s="166"/>
      <c r="I185" s="166"/>
      <c r="J185" s="166"/>
      <c r="K185" s="166"/>
      <c r="L185" s="156">
        <f>ROUND(G185*K184,2)</f>
        <v>0</v>
      </c>
      <c r="M185" s="156">
        <f>ROUND(G185*J184,2)</f>
        <v>96.36</v>
      </c>
    </row>
    <row r="186" spans="1:13" ht="30" hidden="1" x14ac:dyDescent="0.25">
      <c r="A186" s="168"/>
      <c r="B186" s="133" t="str">
        <f>'Công trình'!B72</f>
        <v>AI.13111</v>
      </c>
      <c r="C186" s="34"/>
      <c r="D186" s="133" t="str">
        <f>'Công trình'!C72</f>
        <v>Sản xuất cấu kiện thép đặt sẵn trong bê tông, khối lượng &lt;=10kg/cấu kiện</v>
      </c>
      <c r="E186" s="168"/>
      <c r="F186" s="20">
        <v>1</v>
      </c>
      <c r="G186" s="45">
        <f>'Hao phí vật tư'!J547</f>
        <v>0.75939999999999996</v>
      </c>
      <c r="H186" s="166"/>
      <c r="I186" s="166"/>
      <c r="J186" s="166"/>
      <c r="K186" s="166"/>
      <c r="L186" s="156">
        <f>ROUND(G186*K184,2)</f>
        <v>0</v>
      </c>
      <c r="M186" s="156">
        <f>ROUND(G186*J184,2)</f>
        <v>10024.08</v>
      </c>
    </row>
    <row r="187" spans="1:13" hidden="1" x14ac:dyDescent="0.25">
      <c r="A187" s="168"/>
      <c r="B187" s="133" t="str">
        <f>'Công trình'!B74</f>
        <v>AI.52211</v>
      </c>
      <c r="C187" s="34"/>
      <c r="D187" s="133" t="str">
        <f>'Công trình'!C74</f>
        <v>Sản xuất kết cấu thép hộp nối cọc</v>
      </c>
      <c r="E187" s="168"/>
      <c r="F187" s="20">
        <v>1</v>
      </c>
      <c r="G187" s="45">
        <f>'Hao phí vật tư'!J579</f>
        <v>0.73750000000000004</v>
      </c>
      <c r="H187" s="166"/>
      <c r="I187" s="166"/>
      <c r="J187" s="166"/>
      <c r="K187" s="166"/>
      <c r="L187" s="156">
        <f>ROUND(G187*K184,2)</f>
        <v>0</v>
      </c>
      <c r="M187" s="156">
        <f>ROUND(G187*J184,2)</f>
        <v>9735</v>
      </c>
    </row>
    <row r="188" spans="1:13" ht="30" hidden="1" x14ac:dyDescent="0.25">
      <c r="A188" s="168"/>
      <c r="B188" s="133" t="str">
        <f>'Công trình'!B83</f>
        <v>AI.13111</v>
      </c>
      <c r="C188" s="34"/>
      <c r="D188" s="133" t="str">
        <f>'Công trình'!C83</f>
        <v>Sản xuất cấu kiện thép đặt sẵn trong bê tông, khối lượng &lt;=10kg/cấu kiện</v>
      </c>
      <c r="E188" s="168"/>
      <c r="F188" s="20">
        <v>1</v>
      </c>
      <c r="G188" s="45">
        <f>'Hao phí vật tư'!J663</f>
        <v>0.35859999999999997</v>
      </c>
      <c r="H188" s="166"/>
      <c r="I188" s="166"/>
      <c r="J188" s="166"/>
      <c r="K188" s="166"/>
      <c r="L188" s="156">
        <f>ROUND(G188*K184,2)</f>
        <v>0</v>
      </c>
      <c r="M188" s="156">
        <f>ROUND(G188*J184,2)</f>
        <v>4733.5200000000004</v>
      </c>
    </row>
    <row r="189" spans="1:13" hidden="1" x14ac:dyDescent="0.25">
      <c r="A189" s="168"/>
      <c r="B189" s="133" t="str">
        <f>'Công trình'!B85</f>
        <v>AI.52211</v>
      </c>
      <c r="C189" s="34"/>
      <c r="D189" s="133" t="str">
        <f>'Công trình'!C85</f>
        <v>Sản xuất kết cấu thép hộp nối cọc</v>
      </c>
      <c r="E189" s="168"/>
      <c r="F189" s="20">
        <v>1</v>
      </c>
      <c r="G189" s="45">
        <f>'Hao phí vật tư'!J695</f>
        <v>0.32079999999999997</v>
      </c>
      <c r="H189" s="166"/>
      <c r="I189" s="166"/>
      <c r="J189" s="166"/>
      <c r="K189" s="166"/>
      <c r="L189" s="156">
        <f>ROUND(G189*K184,2)</f>
        <v>0</v>
      </c>
      <c r="M189" s="156">
        <f>ROUND(G189*J184,2)</f>
        <v>4234.5600000000004</v>
      </c>
    </row>
    <row r="190" spans="1:13" ht="30" hidden="1" x14ac:dyDescent="0.25">
      <c r="A190" s="168"/>
      <c r="B190" s="133" t="str">
        <f>'Công trình'!B229</f>
        <v>AI.13111</v>
      </c>
      <c r="C190" s="34"/>
      <c r="D190" s="133" t="str">
        <f>'Công trình'!C229</f>
        <v>Sản xuất cấu kiện thép đặt sẵn trong bê tông, khối lượng &lt;=10kg/cấu kiện</v>
      </c>
      <c r="E190" s="168"/>
      <c r="F190" s="20">
        <v>1</v>
      </c>
      <c r="G190" s="45">
        <f>'Hao phí vật tư'!J1723</f>
        <v>0.69379999999999997</v>
      </c>
      <c r="H190" s="166"/>
      <c r="I190" s="166"/>
      <c r="J190" s="166"/>
      <c r="K190" s="166"/>
      <c r="L190" s="156">
        <f>ROUND(G190*K184,2)</f>
        <v>0</v>
      </c>
      <c r="M190" s="156">
        <f>ROUND(G190*J184,2)</f>
        <v>9158.16</v>
      </c>
    </row>
    <row r="191" spans="1:13" hidden="1" x14ac:dyDescent="0.25">
      <c r="A191" s="168"/>
      <c r="B191" s="133" t="str">
        <f>'Công trình'!B231</f>
        <v>AI.52211</v>
      </c>
      <c r="C191" s="34"/>
      <c r="D191" s="133" t="str">
        <f>'Công trình'!C231</f>
        <v>Thép hình hộp nối cọc</v>
      </c>
      <c r="E191" s="168"/>
      <c r="F191" s="20">
        <v>1</v>
      </c>
      <c r="G191" s="45">
        <f>'Hao phí vật tư'!J1755</f>
        <v>0.69140000000000001</v>
      </c>
      <c r="H191" s="166"/>
      <c r="I191" s="166"/>
      <c r="J191" s="166"/>
      <c r="K191" s="166"/>
      <c r="L191" s="156">
        <f>ROUND(G191*K184,2)</f>
        <v>0</v>
      </c>
      <c r="M191" s="156">
        <f>ROUND(G191*J184,2)</f>
        <v>9126.48</v>
      </c>
    </row>
    <row r="192" spans="1:13" hidden="1" x14ac:dyDescent="0.25">
      <c r="A192" s="168"/>
      <c r="B192" s="133" t="str">
        <f>'Công trình'!B322</f>
        <v>AI.65411</v>
      </c>
      <c r="C192" s="34"/>
      <c r="D192" s="133" t="str">
        <f>'Công trình'!C322</f>
        <v>Lắp đặt kết cấu thép khe van, khe phai</v>
      </c>
      <c r="E192" s="168"/>
      <c r="F192" s="20">
        <v>1</v>
      </c>
      <c r="G192" s="45">
        <f>'Hao phí vật tư'!J2410</f>
        <v>1.1668000000000001</v>
      </c>
      <c r="H192" s="166"/>
      <c r="I192" s="166"/>
      <c r="J192" s="166"/>
      <c r="K192" s="166"/>
      <c r="L192" s="156">
        <f>ROUND(G192*K184,2)</f>
        <v>0</v>
      </c>
      <c r="M192" s="156">
        <f>ROUND(G192*J184,2)</f>
        <v>15401.76</v>
      </c>
    </row>
    <row r="193" spans="1:13" hidden="1" x14ac:dyDescent="0.25">
      <c r="A193" s="168"/>
      <c r="B193" s="133" t="str">
        <f>'Công trình'!B316</f>
        <v>AI.52211</v>
      </c>
      <c r="C193" s="34"/>
      <c r="D193" s="133" t="str">
        <f>'Công trình'!C316</f>
        <v>Sản xuất kết cấu thép khe phai - thép CT3</v>
      </c>
      <c r="E193" s="168"/>
      <c r="F193" s="20">
        <v>1</v>
      </c>
      <c r="G193" s="45">
        <f>'Hao phí vật tư'!J2311</f>
        <v>0.187</v>
      </c>
      <c r="H193" s="166"/>
      <c r="I193" s="166"/>
      <c r="J193" s="166"/>
      <c r="K193" s="166"/>
      <c r="L193" s="156">
        <f>ROUND(G193*K184,2)</f>
        <v>0</v>
      </c>
      <c r="M193" s="156">
        <f>ROUND(G193*J184,2)</f>
        <v>2468.4</v>
      </c>
    </row>
    <row r="194" spans="1:13" hidden="1" x14ac:dyDescent="0.25">
      <c r="A194" s="168"/>
      <c r="B194" s="133" t="str">
        <f>'Công trình'!B317</f>
        <v>AI.52211</v>
      </c>
      <c r="C194" s="34"/>
      <c r="D194" s="133" t="str">
        <f>'Công trình'!C317</f>
        <v>Sản xuất kết cấu thép khe phai - thép SUS304</v>
      </c>
      <c r="E194" s="168"/>
      <c r="F194" s="20">
        <v>1</v>
      </c>
      <c r="G194" s="45">
        <f>'Hao phí vật tư'!J2326</f>
        <v>0.25559999999999999</v>
      </c>
      <c r="H194" s="166"/>
      <c r="I194" s="166"/>
      <c r="J194" s="166"/>
      <c r="K194" s="166"/>
      <c r="L194" s="156">
        <f>ROUND(G194*K184,2)</f>
        <v>0</v>
      </c>
      <c r="M194" s="156">
        <f>ROUND(G194*J184,2)</f>
        <v>3373.92</v>
      </c>
    </row>
    <row r="195" spans="1:13" hidden="1" x14ac:dyDescent="0.25">
      <c r="A195" s="168"/>
      <c r="B195" s="133" t="str">
        <f>'Công trình'!B318</f>
        <v>AI.52211</v>
      </c>
      <c r="C195" s="34"/>
      <c r="D195" s="133" t="str">
        <f>'Công trình'!C318</f>
        <v>Sản xuất kết cấu thép khe cửa - thép CT3</v>
      </c>
      <c r="E195" s="168"/>
      <c r="F195" s="20">
        <v>1</v>
      </c>
      <c r="G195" s="45">
        <f>'Hao phí vật tư'!J2342</f>
        <v>0.18909999999999999</v>
      </c>
      <c r="H195" s="166"/>
      <c r="I195" s="166"/>
      <c r="J195" s="166"/>
      <c r="K195" s="166"/>
      <c r="L195" s="156">
        <f>ROUND(G195*K184,2)</f>
        <v>0</v>
      </c>
      <c r="M195" s="156">
        <f>ROUND(G195*J184,2)</f>
        <v>2496.12</v>
      </c>
    </row>
    <row r="196" spans="1:13" hidden="1" x14ac:dyDescent="0.25">
      <c r="A196" s="168"/>
      <c r="B196" s="133" t="str">
        <f>'Công trình'!B319</f>
        <v>AI.52211</v>
      </c>
      <c r="C196" s="34"/>
      <c r="D196" s="133" t="str">
        <f>'Công trình'!C319</f>
        <v>Sản xuất kết cấu thép khe cửa- thép SUS304</v>
      </c>
      <c r="E196" s="168"/>
      <c r="F196" s="20">
        <v>1</v>
      </c>
      <c r="G196" s="45">
        <f>'Hao phí vật tư'!J2357</f>
        <v>0.30180000000000001</v>
      </c>
      <c r="H196" s="166"/>
      <c r="I196" s="166"/>
      <c r="J196" s="166"/>
      <c r="K196" s="166"/>
      <c r="L196" s="156">
        <f>ROUND(G196*K184,2)</f>
        <v>0</v>
      </c>
      <c r="M196" s="156">
        <f>ROUND(G196*J184,2)</f>
        <v>3983.76</v>
      </c>
    </row>
    <row r="197" spans="1:13" ht="30" hidden="1" x14ac:dyDescent="0.25">
      <c r="A197" s="168"/>
      <c r="B197" s="133" t="str">
        <f>'Công trình'!B320</f>
        <v>CV.0102</v>
      </c>
      <c r="C197" s="34"/>
      <c r="D197" s="133" t="str">
        <f>'Công trình'!C320</f>
        <v>Sản xuất cửa van bằng thép không gỉ, chiều rộng cống (B) &lt;= 8m</v>
      </c>
      <c r="E197" s="168"/>
      <c r="F197" s="20">
        <v>1</v>
      </c>
      <c r="G197" s="45">
        <f>'Hao phí vật tư'!J2371</f>
        <v>45.119</v>
      </c>
      <c r="H197" s="166"/>
      <c r="I197" s="166"/>
      <c r="J197" s="166"/>
      <c r="K197" s="166"/>
      <c r="L197" s="156">
        <f>ROUND(G197*K184,2)</f>
        <v>0</v>
      </c>
      <c r="M197" s="156">
        <f>ROUND(G197*J184,2)</f>
        <v>595570.80000000005</v>
      </c>
    </row>
    <row r="198" spans="1:13" x14ac:dyDescent="0.25">
      <c r="A198" s="168">
        <v>35</v>
      </c>
      <c r="B198" s="84" t="s">
        <v>530</v>
      </c>
      <c r="C198" s="34">
        <v>98</v>
      </c>
      <c r="D198" s="144" t="s">
        <v>1178</v>
      </c>
      <c r="E198" s="168" t="s">
        <v>818</v>
      </c>
      <c r="F198" s="34"/>
      <c r="G198" s="60">
        <f>SUM(G199:G199)</f>
        <v>6</v>
      </c>
      <c r="H198" s="166">
        <v>8952556</v>
      </c>
      <c r="I198" s="166">
        <v>8952556</v>
      </c>
      <c r="J198" s="166">
        <f>'Vật liệu'!W194</f>
        <v>8952556</v>
      </c>
      <c r="K198" s="166">
        <f>J198-H198</f>
        <v>0</v>
      </c>
      <c r="L198" s="166">
        <f>ROUND(G198*K198,0)</f>
        <v>0</v>
      </c>
      <c r="M198" s="166">
        <f>ROUND(G198*J198,0)</f>
        <v>53715336</v>
      </c>
    </row>
    <row r="199" spans="1:13" hidden="1" x14ac:dyDescent="0.25">
      <c r="A199" s="168"/>
      <c r="B199" s="133" t="str">
        <f>'Công trình'!B195</f>
        <v>TT</v>
      </c>
      <c r="C199" s="34"/>
      <c r="D199" s="133" t="str">
        <f>'Công trình'!C195</f>
        <v>Dầm I400 DƯL bản 8,65M</v>
      </c>
      <c r="E199" s="168"/>
      <c r="F199" s="20">
        <v>1</v>
      </c>
      <c r="G199" s="45">
        <f>'Hao phí vật tư'!J1493</f>
        <v>6</v>
      </c>
      <c r="H199" s="166"/>
      <c r="I199" s="166"/>
      <c r="J199" s="166"/>
      <c r="K199" s="166"/>
      <c r="L199" s="156">
        <f>ROUND(G199*K198,2)</f>
        <v>0</v>
      </c>
      <c r="M199" s="156">
        <f>ROUND(G199*J198,2)</f>
        <v>53715336</v>
      </c>
    </row>
    <row r="200" spans="1:13" x14ac:dyDescent="0.25">
      <c r="A200" s="168">
        <v>36</v>
      </c>
      <c r="B200" s="84" t="s">
        <v>908</v>
      </c>
      <c r="C200" s="34">
        <v>99</v>
      </c>
      <c r="D200" s="144" t="s">
        <v>94</v>
      </c>
      <c r="E200" s="168" t="s">
        <v>818</v>
      </c>
      <c r="F200" s="34"/>
      <c r="G200" s="60">
        <f>SUM(G201:G201)</f>
        <v>12</v>
      </c>
      <c r="H200" s="166">
        <v>22500000</v>
      </c>
      <c r="I200" s="166">
        <v>22500000</v>
      </c>
      <c r="J200" s="166">
        <f>'Vật liệu'!W196</f>
        <v>22500000</v>
      </c>
      <c r="K200" s="166">
        <f>J200-H200</f>
        <v>0</v>
      </c>
      <c r="L200" s="166">
        <f>ROUND(G200*K200,0)</f>
        <v>0</v>
      </c>
      <c r="M200" s="166">
        <f>ROUND(G200*J200,0)</f>
        <v>270000000</v>
      </c>
    </row>
    <row r="201" spans="1:13" hidden="1" x14ac:dyDescent="0.25">
      <c r="A201" s="168"/>
      <c r="B201" s="133" t="str">
        <f>'Công trình'!B194</f>
        <v>TT</v>
      </c>
      <c r="C201" s="34"/>
      <c r="D201" s="133" t="str">
        <f>'Công trình'!C194</f>
        <v>Dầm I650 DƯL bản 18M</v>
      </c>
      <c r="E201" s="168"/>
      <c r="F201" s="20">
        <v>1</v>
      </c>
      <c r="G201" s="45">
        <f>'Hao phí vật tư'!J1490</f>
        <v>12</v>
      </c>
      <c r="H201" s="166"/>
      <c r="I201" s="166"/>
      <c r="J201" s="166"/>
      <c r="K201" s="166"/>
      <c r="L201" s="156">
        <f>ROUND(G201*K200,2)</f>
        <v>0</v>
      </c>
      <c r="M201" s="156">
        <f>ROUND(G201*J200,2)</f>
        <v>270000000</v>
      </c>
    </row>
    <row r="202" spans="1:13" x14ac:dyDescent="0.25">
      <c r="A202" s="168">
        <v>37</v>
      </c>
      <c r="B202" s="84" t="s">
        <v>288</v>
      </c>
      <c r="C202" s="34">
        <v>410</v>
      </c>
      <c r="D202" s="144" t="s">
        <v>478</v>
      </c>
      <c r="E202" s="168" t="s">
        <v>155</v>
      </c>
      <c r="F202" s="34"/>
      <c r="G202" s="60">
        <f>SUM(G203:G203)</f>
        <v>2068.4149000000002</v>
      </c>
      <c r="H202" s="166">
        <v>45000</v>
      </c>
      <c r="I202" s="156">
        <v>192673</v>
      </c>
      <c r="J202" s="156">
        <f>'Vật liệu'!W198</f>
        <v>192673</v>
      </c>
      <c r="K202" s="166">
        <f>J202-H202</f>
        <v>147673</v>
      </c>
      <c r="L202" s="166">
        <f>ROUND(G202*K202,0)</f>
        <v>305449034</v>
      </c>
      <c r="M202" s="166">
        <f>ROUND(G202*J202,0)</f>
        <v>398527704</v>
      </c>
    </row>
    <row r="203" spans="1:13" hidden="1" x14ac:dyDescent="0.25">
      <c r="A203" s="168"/>
      <c r="B203" s="133" t="str">
        <f>'Công trình'!B246</f>
        <v>TT</v>
      </c>
      <c r="C203" s="34"/>
      <c r="D203" s="133" t="str">
        <f>'Công trình'!C246</f>
        <v>Mua đất chọn lọc để đắp (HS 1,14*1,07)</v>
      </c>
      <c r="E203" s="168"/>
      <c r="F203" s="20">
        <v>1</v>
      </c>
      <c r="G203" s="45">
        <f>'Hao phí vật tư'!J1862</f>
        <v>2068.4149000000002</v>
      </c>
      <c r="H203" s="166"/>
      <c r="I203" s="166"/>
      <c r="J203" s="166"/>
      <c r="K203" s="166"/>
      <c r="L203" s="156">
        <f>ROUND(G203*K202,2)</f>
        <v>305449033.52999997</v>
      </c>
      <c r="M203" s="156">
        <f>ROUND(G203*J202,2)</f>
        <v>398527704.02999997</v>
      </c>
    </row>
    <row r="204" spans="1:13" x14ac:dyDescent="0.25">
      <c r="A204" s="168">
        <v>38</v>
      </c>
      <c r="B204" s="84" t="s">
        <v>582</v>
      </c>
      <c r="C204" s="34">
        <v>411</v>
      </c>
      <c r="D204" s="144" t="s">
        <v>59</v>
      </c>
      <c r="E204" s="168" t="s">
        <v>555</v>
      </c>
      <c r="F204" s="34"/>
      <c r="G204" s="60">
        <f>SUM(G205:G226)</f>
        <v>1240.2107999999998</v>
      </c>
      <c r="H204" s="166">
        <v>14000</v>
      </c>
      <c r="I204" s="166">
        <v>14000</v>
      </c>
      <c r="J204" s="166">
        <f>'Vật liệu'!W200</f>
        <v>14000</v>
      </c>
      <c r="K204" s="166">
        <f>J204-H204</f>
        <v>0</v>
      </c>
      <c r="L204" s="166">
        <f>ROUND(G204*K204,0)</f>
        <v>0</v>
      </c>
      <c r="M204" s="166">
        <f>ROUND(G204*J204,0)</f>
        <v>17362951</v>
      </c>
    </row>
    <row r="205" spans="1:13" ht="30" hidden="1" x14ac:dyDescent="0.25">
      <c r="A205" s="168"/>
      <c r="B205" s="133" t="str">
        <f>'Công trình'!B39</f>
        <v>AI.13111</v>
      </c>
      <c r="C205" s="34"/>
      <c r="D205" s="133" t="str">
        <f>'Công trình'!C39</f>
        <v>Sản xuất cấu kiện thép đặt sẵn trong bê tông, khối lượng &lt;=10kg/cấu kiện</v>
      </c>
      <c r="E205" s="168"/>
      <c r="F205" s="20">
        <v>1</v>
      </c>
      <c r="G205" s="45">
        <f>'Hao phí vật tư'!J293</f>
        <v>0.15390000000000001</v>
      </c>
      <c r="H205" s="166"/>
      <c r="I205" s="166"/>
      <c r="J205" s="166"/>
      <c r="K205" s="166"/>
      <c r="L205" s="156">
        <f>ROUND(G205*K204,2)</f>
        <v>0</v>
      </c>
      <c r="M205" s="156">
        <f>ROUND(G205*J204,2)</f>
        <v>2154.6</v>
      </c>
    </row>
    <row r="206" spans="1:13" ht="30" hidden="1" x14ac:dyDescent="0.25">
      <c r="A206" s="168"/>
      <c r="B206" s="133" t="str">
        <f>'Công trình'!B72</f>
        <v>AI.13111</v>
      </c>
      <c r="C206" s="34"/>
      <c r="D206" s="133" t="str">
        <f>'Công trình'!C72</f>
        <v>Sản xuất cấu kiện thép đặt sẵn trong bê tông, khối lượng &lt;=10kg/cấu kiện</v>
      </c>
      <c r="E206" s="168"/>
      <c r="F206" s="20">
        <v>1</v>
      </c>
      <c r="G206" s="45">
        <f>'Hao phí vật tư'!J549</f>
        <v>16.055</v>
      </c>
      <c r="H206" s="166"/>
      <c r="I206" s="166"/>
      <c r="J206" s="166"/>
      <c r="K206" s="166"/>
      <c r="L206" s="156">
        <f>ROUND(G206*K204,2)</f>
        <v>0</v>
      </c>
      <c r="M206" s="156">
        <f>ROUND(G206*J204,2)</f>
        <v>224770</v>
      </c>
    </row>
    <row r="207" spans="1:13" hidden="1" x14ac:dyDescent="0.25">
      <c r="A207" s="168"/>
      <c r="B207" s="133" t="str">
        <f>'Công trình'!B74</f>
        <v>AI.52211</v>
      </c>
      <c r="C207" s="34"/>
      <c r="D207" s="133" t="str">
        <f>'Công trình'!C74</f>
        <v>Sản xuất kết cấu thép hộp nối cọc</v>
      </c>
      <c r="E207" s="168"/>
      <c r="F207" s="20">
        <v>1</v>
      </c>
      <c r="G207" s="45">
        <f>'Hao phí vật tư'!J574</f>
        <v>25.338100000000001</v>
      </c>
      <c r="H207" s="166"/>
      <c r="I207" s="166"/>
      <c r="J207" s="166"/>
      <c r="K207" s="166"/>
      <c r="L207" s="156">
        <f>ROUND(G207*K204,2)</f>
        <v>0</v>
      </c>
      <c r="M207" s="156">
        <f>ROUND(G207*J204,2)</f>
        <v>354733.4</v>
      </c>
    </row>
    <row r="208" spans="1:13" ht="30" hidden="1" x14ac:dyDescent="0.25">
      <c r="A208" s="168"/>
      <c r="B208" s="133" t="str">
        <f>'Công trình'!B83</f>
        <v>AI.13111</v>
      </c>
      <c r="C208" s="34"/>
      <c r="D208" s="133" t="str">
        <f>'Công trình'!C83</f>
        <v>Sản xuất cấu kiện thép đặt sẵn trong bê tông, khối lượng &lt;=10kg/cấu kiện</v>
      </c>
      <c r="E208" s="168"/>
      <c r="F208" s="20">
        <v>1</v>
      </c>
      <c r="G208" s="45">
        <f>'Hao phí vật tư'!J665</f>
        <v>7.5819999999999999</v>
      </c>
      <c r="H208" s="166"/>
      <c r="I208" s="166"/>
      <c r="J208" s="166"/>
      <c r="K208" s="166"/>
      <c r="L208" s="156">
        <f>ROUND(G208*K204,2)</f>
        <v>0</v>
      </c>
      <c r="M208" s="156">
        <f>ROUND(G208*J204,2)</f>
        <v>106148</v>
      </c>
    </row>
    <row r="209" spans="1:13" hidden="1" x14ac:dyDescent="0.25">
      <c r="A209" s="168"/>
      <c r="B209" s="133" t="str">
        <f>'Công trình'!B85</f>
        <v>AI.52211</v>
      </c>
      <c r="C209" s="34"/>
      <c r="D209" s="133" t="str">
        <f>'Công trình'!C85</f>
        <v>Sản xuất kết cấu thép hộp nối cọc</v>
      </c>
      <c r="E209" s="168"/>
      <c r="F209" s="20">
        <v>1</v>
      </c>
      <c r="G209" s="45">
        <f>'Hao phí vật tư'!J690</f>
        <v>11.0207</v>
      </c>
      <c r="H209" s="166"/>
      <c r="I209" s="166"/>
      <c r="J209" s="166"/>
      <c r="K209" s="166"/>
      <c r="L209" s="156">
        <f>ROUND(G209*K204,2)</f>
        <v>0</v>
      </c>
      <c r="M209" s="156">
        <f>ROUND(G209*J204,2)</f>
        <v>154289.79999999999</v>
      </c>
    </row>
    <row r="210" spans="1:13" ht="30" hidden="1" x14ac:dyDescent="0.25">
      <c r="A210" s="168"/>
      <c r="B210" s="133" t="str">
        <f>'Công trình'!B105</f>
        <v>AI.11131</v>
      </c>
      <c r="C210" s="34"/>
      <c r="D210" s="133" t="str">
        <f>'Công trình'!C105</f>
        <v>Khấu hao cọc dẫn bằng thép hình (đóng nhổ 40 lần trong 1 tháng)</v>
      </c>
      <c r="E210" s="168"/>
      <c r="F210" s="20">
        <v>1</v>
      </c>
      <c r="G210" s="45">
        <f>'Hao phí vật tư'!J845</f>
        <v>0</v>
      </c>
      <c r="H210" s="166"/>
      <c r="I210" s="166"/>
      <c r="J210" s="166"/>
      <c r="K210" s="166"/>
      <c r="L210" s="156">
        <f>ROUND(G210*K204,2)</f>
        <v>0</v>
      </c>
      <c r="M210" s="156">
        <f>ROUND(G210*J204,2)</f>
        <v>0</v>
      </c>
    </row>
    <row r="211" spans="1:13" hidden="1" x14ac:dyDescent="0.25">
      <c r="A211" s="168"/>
      <c r="B211" s="133" t="str">
        <f>'Công trình'!B109</f>
        <v>AI.11912</v>
      </c>
      <c r="C211" s="34"/>
      <c r="D211" s="133" t="str">
        <f>'Công trình'!C109</f>
        <v>Sản xuất hệ sàn đạo, sàn thao tác</v>
      </c>
      <c r="E211" s="168"/>
      <c r="F211" s="20">
        <v>1</v>
      </c>
      <c r="G211" s="45">
        <f>'Hao phí vật tư'!J866</f>
        <v>21.220099999999999</v>
      </c>
      <c r="H211" s="166"/>
      <c r="I211" s="166"/>
      <c r="J211" s="166"/>
      <c r="K211" s="166"/>
      <c r="L211" s="156">
        <f>ROUND(G211*K204,2)</f>
        <v>0</v>
      </c>
      <c r="M211" s="156">
        <f>ROUND(G211*J204,2)</f>
        <v>297081.40000000002</v>
      </c>
    </row>
    <row r="212" spans="1:13" ht="30" hidden="1" x14ac:dyDescent="0.25">
      <c r="A212" s="168"/>
      <c r="B212" s="133" t="str">
        <f>'Công trình'!B110</f>
        <v>TT</v>
      </c>
      <c r="C212" s="34"/>
      <c r="D212" s="133" t="str">
        <f>'Công trình'!C110</f>
        <v>Khấu hao hệ sàn đạo, sàn thao tác (Thi công trong vòng 1 tháng và 5 lần đóng nhổ)</v>
      </c>
      <c r="E212" s="168"/>
      <c r="F212" s="20">
        <v>1</v>
      </c>
      <c r="G212" s="45">
        <f>'Hao phí vật tư'!J880</f>
        <v>0</v>
      </c>
      <c r="H212" s="166"/>
      <c r="I212" s="166"/>
      <c r="J212" s="166"/>
      <c r="K212" s="166"/>
      <c r="L212" s="156">
        <f>ROUND(G212*K204,2)</f>
        <v>0</v>
      </c>
      <c r="M212" s="156">
        <f>ROUND(G212*J204,2)</f>
        <v>0</v>
      </c>
    </row>
    <row r="213" spans="1:13" hidden="1" x14ac:dyDescent="0.25">
      <c r="A213" s="168"/>
      <c r="B213" s="133" t="str">
        <f>'Công trình'!B104</f>
        <v>AI.11131</v>
      </c>
      <c r="C213" s="34"/>
      <c r="D213" s="133" t="str">
        <f>'Công trình'!C104</f>
        <v>Sản xuất cọc dẫn bằng thép hình</v>
      </c>
      <c r="E213" s="168"/>
      <c r="F213" s="20">
        <v>1</v>
      </c>
      <c r="G213" s="45">
        <f>'Hao phí vật tư'!J829</f>
        <v>14.5412</v>
      </c>
      <c r="H213" s="166"/>
      <c r="I213" s="166"/>
      <c r="J213" s="166"/>
      <c r="K213" s="166"/>
      <c r="L213" s="156">
        <f>ROUND(G213*K204,2)</f>
        <v>0</v>
      </c>
      <c r="M213" s="156">
        <f>ROUND(G213*J204,2)</f>
        <v>203576.8</v>
      </c>
    </row>
    <row r="214" spans="1:13" hidden="1" x14ac:dyDescent="0.25">
      <c r="A214" s="168"/>
      <c r="B214" s="133" t="str">
        <f>'Công trình'!B120</f>
        <v>AI.11912</v>
      </c>
      <c r="C214" s="34"/>
      <c r="D214" s="133" t="str">
        <f>'Công trình'!C120</f>
        <v>Sản xuất hệ sàn đạo, sàn thao tác</v>
      </c>
      <c r="E214" s="168"/>
      <c r="F214" s="20">
        <v>1</v>
      </c>
      <c r="G214" s="45">
        <f>'Hao phí vật tư'!J938</f>
        <v>43.726199999999999</v>
      </c>
      <c r="H214" s="166"/>
      <c r="I214" s="166"/>
      <c r="J214" s="166"/>
      <c r="K214" s="166"/>
      <c r="L214" s="156">
        <f>ROUND(G214*K204,2)</f>
        <v>0</v>
      </c>
      <c r="M214" s="156">
        <f>ROUND(G214*J204,2)</f>
        <v>612166.80000000005</v>
      </c>
    </row>
    <row r="215" spans="1:13" ht="30" hidden="1" x14ac:dyDescent="0.25">
      <c r="A215" s="168"/>
      <c r="B215" s="133" t="str">
        <f>'Công trình'!B121</f>
        <v>TT</v>
      </c>
      <c r="C215" s="34"/>
      <c r="D215" s="133" t="str">
        <f>'Công trình'!C121</f>
        <v>Khấu hao hệ sàn đạo, sàn thao tác (Thi công trong vòng 1 tháng và 4 lần đóng nhổ)</v>
      </c>
      <c r="E215" s="168"/>
      <c r="F215" s="20">
        <v>1</v>
      </c>
      <c r="G215" s="45">
        <f>'Hao phí vật tư'!J952</f>
        <v>0</v>
      </c>
      <c r="H215" s="166"/>
      <c r="I215" s="166"/>
      <c r="J215" s="166"/>
      <c r="K215" s="166"/>
      <c r="L215" s="156">
        <f>ROUND(G215*K204,2)</f>
        <v>0</v>
      </c>
      <c r="M215" s="156">
        <f>ROUND(G215*J204,2)</f>
        <v>0</v>
      </c>
    </row>
    <row r="216" spans="1:13" hidden="1" x14ac:dyDescent="0.25">
      <c r="A216" s="168"/>
      <c r="B216" s="133" t="str">
        <f>'Công trình'!B136</f>
        <v>AI.11912</v>
      </c>
      <c r="C216" s="34"/>
      <c r="D216" s="133" t="str">
        <f>'Công trình'!C136</f>
        <v>Sản xuất hệ sàn đạo, sàn thao tác</v>
      </c>
      <c r="E216" s="168"/>
      <c r="F216" s="20">
        <v>1</v>
      </c>
      <c r="G216" s="45">
        <f>'Hao phí vật tư'!J1039</f>
        <v>692.3818</v>
      </c>
      <c r="H216" s="166"/>
      <c r="I216" s="166"/>
      <c r="J216" s="166"/>
      <c r="K216" s="166"/>
      <c r="L216" s="156">
        <f>ROUND(G216*K204,2)</f>
        <v>0</v>
      </c>
      <c r="M216" s="156">
        <f>ROUND(G216*J204,2)</f>
        <v>9693345.1999999993</v>
      </c>
    </row>
    <row r="217" spans="1:13" ht="30" hidden="1" x14ac:dyDescent="0.25">
      <c r="A217" s="168"/>
      <c r="B217" s="133" t="str">
        <f>'Công trình'!B137</f>
        <v>TT</v>
      </c>
      <c r="C217" s="34"/>
      <c r="D217" s="133" t="str">
        <f>'Công trình'!C137</f>
        <v>Khấu hao hệ sàn đạo, sàn thao tác (Thi công trong vòng 3 tháng và 1 lần đóng nhổ)</v>
      </c>
      <c r="E217" s="168"/>
      <c r="F217" s="20">
        <v>1</v>
      </c>
      <c r="G217" s="45">
        <f>'Hao phí vật tư'!J1053</f>
        <v>0</v>
      </c>
      <c r="H217" s="166"/>
      <c r="I217" s="166"/>
      <c r="J217" s="166"/>
      <c r="K217" s="166"/>
      <c r="L217" s="156">
        <f>ROUND(G217*K204,2)</f>
        <v>0</v>
      </c>
      <c r="M217" s="156">
        <f>ROUND(G217*J204,2)</f>
        <v>0</v>
      </c>
    </row>
    <row r="218" spans="1:13" hidden="1" x14ac:dyDescent="0.25">
      <c r="A218" s="168"/>
      <c r="B218" s="133" t="str">
        <f>'Công trình'!B147</f>
        <v>AI.11411</v>
      </c>
      <c r="C218" s="34"/>
      <c r="D218" s="133" t="str">
        <f>'Công trình'!C147</f>
        <v>Sản xuất thang sắt</v>
      </c>
      <c r="E218" s="168"/>
      <c r="F218" s="20">
        <v>1</v>
      </c>
      <c r="G218" s="45">
        <f>'Hao phí vật tư'!J1114</f>
        <v>0.14299999999999999</v>
      </c>
      <c r="H218" s="166"/>
      <c r="I218" s="166"/>
      <c r="J218" s="166"/>
      <c r="K218" s="166"/>
      <c r="L218" s="156">
        <f>ROUND(G218*K204,2)</f>
        <v>0</v>
      </c>
      <c r="M218" s="156">
        <f>ROUND(G218*J204,2)</f>
        <v>2002</v>
      </c>
    </row>
    <row r="219" spans="1:13" ht="30" hidden="1" x14ac:dyDescent="0.25">
      <c r="A219" s="168"/>
      <c r="B219" s="133" t="str">
        <f>'Công trình'!B158</f>
        <v>TT</v>
      </c>
      <c r="C219" s="34"/>
      <c r="D219" s="133" t="str">
        <f>'Công trình'!C158</f>
        <v>Khấu hao hệ sàn đạo, sàn thao tác (Thi công trong vòng 3 tháng và 1 lần đóng nhổ)</v>
      </c>
      <c r="E219" s="168"/>
      <c r="F219" s="20">
        <v>1</v>
      </c>
      <c r="G219" s="45">
        <f>'Hao phí vật tư'!J1202</f>
        <v>0</v>
      </c>
      <c r="H219" s="166"/>
      <c r="I219" s="166"/>
      <c r="J219" s="166"/>
      <c r="K219" s="166"/>
      <c r="L219" s="156">
        <f>ROUND(G219*K204,2)</f>
        <v>0</v>
      </c>
      <c r="M219" s="156">
        <f>ROUND(G219*J204,2)</f>
        <v>0</v>
      </c>
    </row>
    <row r="220" spans="1:13" hidden="1" x14ac:dyDescent="0.25">
      <c r="A220" s="168"/>
      <c r="B220" s="133" t="str">
        <f>'Công trình'!B157</f>
        <v>AI.11912</v>
      </c>
      <c r="C220" s="34"/>
      <c r="D220" s="133" t="str">
        <f>'Công trình'!C157</f>
        <v>Sản xuất cầu công tác</v>
      </c>
      <c r="E220" s="168"/>
      <c r="F220" s="20">
        <v>1</v>
      </c>
      <c r="G220" s="45">
        <f>'Hao phí vật tư'!J1188</f>
        <v>337.5532</v>
      </c>
      <c r="H220" s="166"/>
      <c r="I220" s="166"/>
      <c r="J220" s="166"/>
      <c r="K220" s="166"/>
      <c r="L220" s="156">
        <f>ROUND(G220*K204,2)</f>
        <v>0</v>
      </c>
      <c r="M220" s="156">
        <f>ROUND(G220*J204,2)</f>
        <v>4725744.8</v>
      </c>
    </row>
    <row r="221" spans="1:13" ht="30" hidden="1" x14ac:dyDescent="0.25">
      <c r="A221" s="168"/>
      <c r="B221" s="133" t="str">
        <f>'Công trình'!B229</f>
        <v>AI.13111</v>
      </c>
      <c r="C221" s="34"/>
      <c r="D221" s="133" t="str">
        <f>'Công trình'!C229</f>
        <v>Sản xuất cấu kiện thép đặt sẵn trong bê tông, khối lượng &lt;=10kg/cấu kiện</v>
      </c>
      <c r="E221" s="168"/>
      <c r="F221" s="20">
        <v>1</v>
      </c>
      <c r="G221" s="45">
        <f>'Hao phí vật tư'!J1725</f>
        <v>14.6698</v>
      </c>
      <c r="H221" s="166"/>
      <c r="I221" s="166"/>
      <c r="J221" s="166"/>
      <c r="K221" s="166"/>
      <c r="L221" s="156">
        <f>ROUND(G221*K204,2)</f>
        <v>0</v>
      </c>
      <c r="M221" s="156">
        <f>ROUND(G221*J204,2)</f>
        <v>205377.2</v>
      </c>
    </row>
    <row r="222" spans="1:13" hidden="1" x14ac:dyDescent="0.25">
      <c r="A222" s="168"/>
      <c r="B222" s="133" t="str">
        <f>'Công trình'!B231</f>
        <v>AI.52211</v>
      </c>
      <c r="C222" s="34"/>
      <c r="D222" s="133" t="str">
        <f>'Công trình'!C231</f>
        <v>Thép hình hộp nối cọc</v>
      </c>
      <c r="E222" s="168"/>
      <c r="F222" s="20">
        <v>1</v>
      </c>
      <c r="G222" s="45">
        <f>'Hao phí vật tư'!J1750</f>
        <v>23.7547</v>
      </c>
      <c r="H222" s="166"/>
      <c r="I222" s="166"/>
      <c r="J222" s="166"/>
      <c r="K222" s="166"/>
      <c r="L222" s="156">
        <f>ROUND(G222*K204,2)</f>
        <v>0</v>
      </c>
      <c r="M222" s="156">
        <f>ROUND(G222*J204,2)</f>
        <v>332565.8</v>
      </c>
    </row>
    <row r="223" spans="1:13" hidden="1" x14ac:dyDescent="0.25">
      <c r="A223" s="168"/>
      <c r="B223" s="133" t="str">
        <f>'Công trình'!B316</f>
        <v>AI.52211</v>
      </c>
      <c r="C223" s="34"/>
      <c r="D223" s="133" t="str">
        <f>'Công trình'!C316</f>
        <v>Sản xuất kết cấu thép khe phai - thép CT3</v>
      </c>
      <c r="E223" s="168"/>
      <c r="F223" s="20">
        <v>1</v>
      </c>
      <c r="G223" s="45">
        <f>'Hao phí vật tư'!J2306</f>
        <v>6.4241999999999999</v>
      </c>
      <c r="H223" s="166"/>
      <c r="I223" s="166"/>
      <c r="J223" s="166"/>
      <c r="K223" s="166"/>
      <c r="L223" s="156">
        <f>ROUND(G223*K204,2)</f>
        <v>0</v>
      </c>
      <c r="M223" s="156">
        <f>ROUND(G223*J204,2)</f>
        <v>89938.8</v>
      </c>
    </row>
    <row r="224" spans="1:13" hidden="1" x14ac:dyDescent="0.25">
      <c r="A224" s="168"/>
      <c r="B224" s="133" t="str">
        <f>'Công trình'!B317</f>
        <v>AI.52211</v>
      </c>
      <c r="C224" s="34"/>
      <c r="D224" s="133" t="str">
        <f>'Công trình'!C317</f>
        <v>Sản xuất kết cấu thép khe phai - thép SUS304</v>
      </c>
      <c r="E224" s="168"/>
      <c r="F224" s="20">
        <v>1</v>
      </c>
      <c r="G224" s="45">
        <f>'Hao phí vật tư'!J2322</f>
        <v>8.7811000000000003</v>
      </c>
      <c r="H224" s="166"/>
      <c r="I224" s="166"/>
      <c r="J224" s="166"/>
      <c r="K224" s="166"/>
      <c r="L224" s="156">
        <f>ROUND(G224*K204,2)</f>
        <v>0</v>
      </c>
      <c r="M224" s="156">
        <f>ROUND(G224*J204,2)</f>
        <v>122935.4</v>
      </c>
    </row>
    <row r="225" spans="1:13" hidden="1" x14ac:dyDescent="0.25">
      <c r="A225" s="168"/>
      <c r="B225" s="133" t="str">
        <f>'Công trình'!B318</f>
        <v>AI.52211</v>
      </c>
      <c r="C225" s="34"/>
      <c r="D225" s="133" t="str">
        <f>'Công trình'!C318</f>
        <v>Sản xuất kết cấu thép khe cửa - thép CT3</v>
      </c>
      <c r="E225" s="168"/>
      <c r="F225" s="20">
        <v>1</v>
      </c>
      <c r="G225" s="45">
        <f>'Hao phí vật tư'!J2337</f>
        <v>6.4954000000000001</v>
      </c>
      <c r="H225" s="166"/>
      <c r="I225" s="166"/>
      <c r="J225" s="166"/>
      <c r="K225" s="166"/>
      <c r="L225" s="156">
        <f>ROUND(G225*K204,2)</f>
        <v>0</v>
      </c>
      <c r="M225" s="156">
        <f>ROUND(G225*J204,2)</f>
        <v>90935.6</v>
      </c>
    </row>
    <row r="226" spans="1:13" hidden="1" x14ac:dyDescent="0.25">
      <c r="A226" s="168"/>
      <c r="B226" s="133" t="str">
        <f>'Công trình'!B319</f>
        <v>AI.52211</v>
      </c>
      <c r="C226" s="34"/>
      <c r="D226" s="133" t="str">
        <f>'Công trình'!C319</f>
        <v>Sản xuất kết cấu thép khe cửa- thép SUS304</v>
      </c>
      <c r="E226" s="168"/>
      <c r="F226" s="20">
        <v>1</v>
      </c>
      <c r="G226" s="45">
        <f>'Hao phí vật tư'!J2353</f>
        <v>10.3704</v>
      </c>
      <c r="H226" s="166"/>
      <c r="I226" s="166"/>
      <c r="J226" s="166"/>
      <c r="K226" s="166"/>
      <c r="L226" s="156">
        <f>ROUND(G226*K204,2)</f>
        <v>0</v>
      </c>
      <c r="M226" s="156">
        <f>ROUND(G226*J204,2)</f>
        <v>145185.60000000001</v>
      </c>
    </row>
    <row r="227" spans="1:13" x14ac:dyDescent="0.25">
      <c r="A227" s="168">
        <v>39</v>
      </c>
      <c r="B227" s="84" t="s">
        <v>279</v>
      </c>
      <c r="C227" s="34">
        <v>821</v>
      </c>
      <c r="D227" s="144" t="s">
        <v>630</v>
      </c>
      <c r="E227" s="168" t="s">
        <v>555</v>
      </c>
      <c r="F227" s="34"/>
      <c r="G227" s="60">
        <f>SUM(G228:G228)</f>
        <v>15.0021</v>
      </c>
      <c r="H227" s="166">
        <v>58177</v>
      </c>
      <c r="I227" s="166">
        <v>58177</v>
      </c>
      <c r="J227" s="166">
        <f>'Vật liệu'!W931</f>
        <v>58177</v>
      </c>
      <c r="K227" s="166">
        <f>J227-H227</f>
        <v>0</v>
      </c>
      <c r="L227" s="166">
        <f>ROUND(G227*K227,0)</f>
        <v>0</v>
      </c>
      <c r="M227" s="166">
        <f>ROUND(G227*J227,0)</f>
        <v>872777</v>
      </c>
    </row>
    <row r="228" spans="1:13" hidden="1" x14ac:dyDescent="0.25">
      <c r="A228" s="168"/>
      <c r="B228" s="133" t="str">
        <f>'Công trình'!B322</f>
        <v>AI.65411</v>
      </c>
      <c r="C228" s="34"/>
      <c r="D228" s="133" t="str">
        <f>'Công trình'!C322</f>
        <v>Lắp đặt kết cấu thép khe van, khe phai</v>
      </c>
      <c r="E228" s="168"/>
      <c r="F228" s="20">
        <v>1</v>
      </c>
      <c r="G228" s="45">
        <f>'Hao phí vật tư'!J2405</f>
        <v>15.0021</v>
      </c>
      <c r="H228" s="166"/>
      <c r="I228" s="166"/>
      <c r="J228" s="166"/>
      <c r="K228" s="166"/>
      <c r="L228" s="156">
        <f>ROUND(G228*K227,2)</f>
        <v>0</v>
      </c>
      <c r="M228" s="156">
        <f>ROUND(G228*J227,2)</f>
        <v>872777.17</v>
      </c>
    </row>
    <row r="229" spans="1:13" x14ac:dyDescent="0.25">
      <c r="A229" s="168">
        <v>40</v>
      </c>
      <c r="B229" s="84" t="s">
        <v>1081</v>
      </c>
      <c r="C229" s="34">
        <v>134</v>
      </c>
      <c r="D229" s="144" t="s">
        <v>626</v>
      </c>
      <c r="E229" s="168" t="s">
        <v>555</v>
      </c>
      <c r="F229" s="34"/>
      <c r="G229" s="60">
        <f>SUM(G230:G230)</f>
        <v>0.46</v>
      </c>
      <c r="H229" s="166">
        <v>14000</v>
      </c>
      <c r="I229" s="166">
        <v>14000</v>
      </c>
      <c r="J229" s="166">
        <f>'Vật liệu'!W219</f>
        <v>14000</v>
      </c>
      <c r="K229" s="166">
        <f>J229-H229</f>
        <v>0</v>
      </c>
      <c r="L229" s="166">
        <f>ROUND(G229*K229,0)</f>
        <v>0</v>
      </c>
      <c r="M229" s="166">
        <f>ROUND(G229*J229,0)</f>
        <v>6440</v>
      </c>
    </row>
    <row r="230" spans="1:13" ht="30" hidden="1" x14ac:dyDescent="0.25">
      <c r="A230" s="168"/>
      <c r="B230" s="133" t="str">
        <f>'Công trình'!B99</f>
        <v>TT</v>
      </c>
      <c r="C230" s="34"/>
      <c r="D230" s="133" t="str">
        <f>'Công trình'!C99</f>
        <v>Đắp đê quây bằng bao tải cát (VD định mức đắp bao tải đất theo QĐ số 4416/QĐ-BGTVT)</v>
      </c>
      <c r="E230" s="168"/>
      <c r="F230" s="20">
        <v>1</v>
      </c>
      <c r="G230" s="45">
        <f>'Hao phí vật tư'!J804</f>
        <v>0.46</v>
      </c>
      <c r="H230" s="166"/>
      <c r="I230" s="166"/>
      <c r="J230" s="166"/>
      <c r="K230" s="166"/>
      <c r="L230" s="156">
        <f>ROUND(G230*K229,2)</f>
        <v>0</v>
      </c>
      <c r="M230" s="156">
        <f>ROUND(G230*J229,2)</f>
        <v>6440</v>
      </c>
    </row>
    <row r="231" spans="1:13" x14ac:dyDescent="0.25">
      <c r="A231" s="168">
        <v>41</v>
      </c>
      <c r="B231" s="84" t="s">
        <v>281</v>
      </c>
      <c r="C231" s="34">
        <v>135</v>
      </c>
      <c r="D231" s="144" t="s">
        <v>343</v>
      </c>
      <c r="E231" s="168" t="s">
        <v>555</v>
      </c>
      <c r="F231" s="34"/>
      <c r="G231" s="60">
        <f>SUM(G232:G271)</f>
        <v>1473.8676999999998</v>
      </c>
      <c r="H231" s="166">
        <v>17500</v>
      </c>
      <c r="I231" s="166">
        <v>17500</v>
      </c>
      <c r="J231" s="166">
        <f>'Vật liệu'!W221</f>
        <v>17500</v>
      </c>
      <c r="K231" s="166">
        <f>J231-H231</f>
        <v>0</v>
      </c>
      <c r="L231" s="166">
        <f>ROUND(G231*K231,0)</f>
        <v>0</v>
      </c>
      <c r="M231" s="166">
        <f>ROUND(G231*J231,0)</f>
        <v>25792685</v>
      </c>
    </row>
    <row r="232" spans="1:13" ht="30" hidden="1" x14ac:dyDescent="0.25">
      <c r="A232" s="168"/>
      <c r="B232" s="133" t="str">
        <f>'Công trình'!B11</f>
        <v>AF.61120</v>
      </c>
      <c r="C232" s="34"/>
      <c r="D232" s="133" t="str">
        <f>'Công trình'!C11</f>
        <v>Sản xuất, lắp dựng cốt thép móng đường kính &lt;=18mm</v>
      </c>
      <c r="E232" s="168"/>
      <c r="F232" s="20">
        <v>1</v>
      </c>
      <c r="G232" s="45">
        <f>'Hao phí vật tư'!J64</f>
        <v>129.1755</v>
      </c>
      <c r="H232" s="166"/>
      <c r="I232" s="166"/>
      <c r="J232" s="166"/>
      <c r="K232" s="166"/>
      <c r="L232" s="156">
        <f>ROUND(G232*K231,2)</f>
        <v>0</v>
      </c>
      <c r="M232" s="156">
        <f>ROUND(G232*J231,2)</f>
        <v>2260571.25</v>
      </c>
    </row>
    <row r="233" spans="1:13" ht="30" hidden="1" x14ac:dyDescent="0.25">
      <c r="A233" s="168"/>
      <c r="B233" s="133" t="str">
        <f>'Công trình'!B12</f>
        <v>AF.61130</v>
      </c>
      <c r="C233" s="34"/>
      <c r="D233" s="133" t="str">
        <f>'Công trình'!C12</f>
        <v>Sản xuất, lắp dựng cốt thép móng đường kính &gt;18mm</v>
      </c>
      <c r="E233" s="168"/>
      <c r="F233" s="20">
        <v>1</v>
      </c>
      <c r="G233" s="45">
        <f>'Hao phí vật tư'!J74</f>
        <v>37.487900000000003</v>
      </c>
      <c r="H233" s="166"/>
      <c r="I233" s="166"/>
      <c r="J233" s="166"/>
      <c r="K233" s="166"/>
      <c r="L233" s="156">
        <f>ROUND(G233*K231,2)</f>
        <v>0</v>
      </c>
      <c r="M233" s="156">
        <f>ROUND(G233*J231,2)</f>
        <v>656038.25</v>
      </c>
    </row>
    <row r="234" spans="1:13" ht="30" hidden="1" x14ac:dyDescent="0.25">
      <c r="A234" s="168"/>
      <c r="B234" s="133" t="str">
        <f>'Công trình'!B13</f>
        <v>AF.61321</v>
      </c>
      <c r="C234" s="34"/>
      <c r="D234" s="133" t="str">
        <f>'Công trình'!C13</f>
        <v>Sản xuất, lắp dựng cốt thép tường đường kính &lt;=18mm, chiều cao &lt;=4m</v>
      </c>
      <c r="E234" s="168"/>
      <c r="F234" s="20">
        <v>1</v>
      </c>
      <c r="G234" s="45">
        <f>'Hao phí vật tư'!J84</f>
        <v>108.8907</v>
      </c>
      <c r="H234" s="166"/>
      <c r="I234" s="166"/>
      <c r="J234" s="166"/>
      <c r="K234" s="166"/>
      <c r="L234" s="156">
        <f>ROUND(G234*K231,2)</f>
        <v>0</v>
      </c>
      <c r="M234" s="156">
        <f>ROUND(G234*J231,2)</f>
        <v>1905587.25</v>
      </c>
    </row>
    <row r="235" spans="1:13" ht="30" hidden="1" x14ac:dyDescent="0.25">
      <c r="A235" s="168"/>
      <c r="B235" s="133" t="str">
        <f>'Công trình'!B14</f>
        <v>AF.61331</v>
      </c>
      <c r="C235" s="34"/>
      <c r="D235" s="133" t="str">
        <f>'Công trình'!C14</f>
        <v>Sản xuất, lắp dựng cốt thép tường đường kính &gt;18mm, chiều cao &lt;=4m</v>
      </c>
      <c r="E235" s="168"/>
      <c r="F235" s="20">
        <v>1</v>
      </c>
      <c r="G235" s="45">
        <f>'Hao phí vật tư'!J94</f>
        <v>42.154600000000002</v>
      </c>
      <c r="H235" s="166"/>
      <c r="I235" s="166"/>
      <c r="J235" s="166"/>
      <c r="K235" s="166"/>
      <c r="L235" s="156">
        <f>ROUND(G235*K231,2)</f>
        <v>0</v>
      </c>
      <c r="M235" s="156">
        <f>ROUND(G235*J231,2)</f>
        <v>737705.5</v>
      </c>
    </row>
    <row r="236" spans="1:13" ht="30" hidden="1" x14ac:dyDescent="0.25">
      <c r="A236" s="168"/>
      <c r="B236" s="133" t="str">
        <f>'Công trình'!B20</f>
        <v>AF.61511</v>
      </c>
      <c r="C236" s="34"/>
      <c r="D236" s="133" t="str">
        <f>'Công trình'!C20</f>
        <v>Sản xuất, lắp dựng cốt thép xà dầm, giằng đường kính &lt;=10mm, chiều cao &lt;=4m</v>
      </c>
      <c r="E236" s="168"/>
      <c r="F236" s="20">
        <v>1</v>
      </c>
      <c r="G236" s="45">
        <f>'Hao phí vật tư'!J149</f>
        <v>23.662700000000001</v>
      </c>
      <c r="H236" s="166"/>
      <c r="I236" s="166"/>
      <c r="J236" s="166"/>
      <c r="K236" s="166"/>
      <c r="L236" s="156">
        <f>ROUND(G236*K231,2)</f>
        <v>0</v>
      </c>
      <c r="M236" s="156">
        <f>ROUND(G236*J231,2)</f>
        <v>414097.25</v>
      </c>
    </row>
    <row r="237" spans="1:13" ht="30" hidden="1" x14ac:dyDescent="0.25">
      <c r="A237" s="168"/>
      <c r="B237" s="133" t="str">
        <f>'Công trình'!B22</f>
        <v>AF.61521</v>
      </c>
      <c r="C237" s="34"/>
      <c r="D237" s="133" t="str">
        <f>'Công trình'!C22</f>
        <v>Sản xuất, lắp dựng cốt thép xà dầm, giằng đường kính &lt;=18mm, chiều cao &lt;=4m</v>
      </c>
      <c r="E237" s="168"/>
      <c r="F237" s="20">
        <v>1</v>
      </c>
      <c r="G237" s="45">
        <f>'Hao phí vật tư'!J158</f>
        <v>30.841899999999999</v>
      </c>
      <c r="H237" s="166"/>
      <c r="I237" s="166"/>
      <c r="J237" s="166"/>
      <c r="K237" s="166"/>
      <c r="L237" s="156">
        <f>ROUND(G237*K231,2)</f>
        <v>0</v>
      </c>
      <c r="M237" s="156">
        <f>ROUND(G237*J231,2)</f>
        <v>539733.25</v>
      </c>
    </row>
    <row r="238" spans="1:13" ht="30" hidden="1" x14ac:dyDescent="0.25">
      <c r="A238" s="168"/>
      <c r="B238" s="133" t="str">
        <f>'Công trình'!B32</f>
        <v>AF.61311</v>
      </c>
      <c r="C238" s="34"/>
      <c r="D238" s="133" t="str">
        <f>'Công trình'!C32</f>
        <v>Sản xuất, lắp dựng cốt thép tường đường kính &lt;=10mm, chiều cao &lt;=4m</v>
      </c>
      <c r="E238" s="168"/>
      <c r="F238" s="20">
        <v>1</v>
      </c>
      <c r="G238" s="45">
        <f>'Hao phí vật tư'!J229</f>
        <v>18.7468</v>
      </c>
      <c r="H238" s="166"/>
      <c r="I238" s="166"/>
      <c r="J238" s="166"/>
      <c r="K238" s="166"/>
      <c r="L238" s="156">
        <f>ROUND(G238*K231,2)</f>
        <v>0</v>
      </c>
      <c r="M238" s="156">
        <f>ROUND(G238*J231,2)</f>
        <v>328069</v>
      </c>
    </row>
    <row r="239" spans="1:13" ht="30" hidden="1" x14ac:dyDescent="0.25">
      <c r="A239" s="168"/>
      <c r="B239" s="133" t="str">
        <f>'Công trình'!B33</f>
        <v>AF.61321</v>
      </c>
      <c r="C239" s="34"/>
      <c r="D239" s="133" t="str">
        <f>'Công trình'!C33</f>
        <v>Sản xuất, lắp dựng cốt thép tường đường kính &lt;=18mm, chiều cao &lt;=4m</v>
      </c>
      <c r="E239" s="168"/>
      <c r="F239" s="20">
        <v>1</v>
      </c>
      <c r="G239" s="45">
        <f>'Hao phí vật tư'!J238</f>
        <v>12.0695</v>
      </c>
      <c r="H239" s="166"/>
      <c r="I239" s="166"/>
      <c r="J239" s="166"/>
      <c r="K239" s="166"/>
      <c r="L239" s="156">
        <f>ROUND(G239*K231,2)</f>
        <v>0</v>
      </c>
      <c r="M239" s="156">
        <f>ROUND(G239*J231,2)</f>
        <v>211216.25</v>
      </c>
    </row>
    <row r="240" spans="1:13" ht="30" hidden="1" x14ac:dyDescent="0.25">
      <c r="A240" s="168"/>
      <c r="B240" s="133" t="str">
        <f>'Công trình'!B60</f>
        <v>AF.61511</v>
      </c>
      <c r="C240" s="34"/>
      <c r="D240" s="133" t="str">
        <f>'Công trình'!C60</f>
        <v>Sản xuất, lắp dựng cốt thép xà dầm, giằng đường kính &lt;=10mm, chiều cao &lt;=4m</v>
      </c>
      <c r="E240" s="168"/>
      <c r="F240" s="20">
        <v>1</v>
      </c>
      <c r="G240" s="45">
        <f>'Hao phí vật tư'!J455</f>
        <v>9.0371000000000006</v>
      </c>
      <c r="H240" s="166"/>
      <c r="I240" s="166"/>
      <c r="J240" s="166"/>
      <c r="K240" s="166"/>
      <c r="L240" s="156">
        <f>ROUND(G240*K231,2)</f>
        <v>0</v>
      </c>
      <c r="M240" s="156">
        <f>ROUND(G240*J231,2)</f>
        <v>158149.25</v>
      </c>
    </row>
    <row r="241" spans="1:13" ht="30" hidden="1" x14ac:dyDescent="0.25">
      <c r="A241" s="168"/>
      <c r="B241" s="133" t="str">
        <f>'Công trình'!B61</f>
        <v>AF.61521</v>
      </c>
      <c r="C241" s="34"/>
      <c r="D241" s="133" t="str">
        <f>'Công trình'!C61</f>
        <v>Sản xuất, lắp dựng cốt thép xà dầm, giằng đường kính &lt;=18mm, chiều cao &lt;=4m</v>
      </c>
      <c r="E241" s="168"/>
      <c r="F241" s="20">
        <v>1</v>
      </c>
      <c r="G241" s="45">
        <f>'Hao phí vật tư'!J464</f>
        <v>26.132400000000001</v>
      </c>
      <c r="H241" s="166"/>
      <c r="I241" s="166"/>
      <c r="J241" s="166"/>
      <c r="K241" s="166"/>
      <c r="L241" s="156">
        <f>ROUND(G241*K231,2)</f>
        <v>0</v>
      </c>
      <c r="M241" s="156">
        <f>ROUND(G241*J231,2)</f>
        <v>457317</v>
      </c>
    </row>
    <row r="242" spans="1:13" ht="30" hidden="1" x14ac:dyDescent="0.25">
      <c r="A242" s="168"/>
      <c r="B242" s="133" t="str">
        <f>'Công trình'!B69</f>
        <v>AG.13111</v>
      </c>
      <c r="C242" s="34"/>
      <c r="D242" s="133" t="str">
        <f>'Công trình'!C69</f>
        <v>Sản xuất, lắp dựng cốt thép BT đúc sẵn cọc, đường kính &lt;=10mm</v>
      </c>
      <c r="E242" s="168"/>
      <c r="F242" s="20">
        <v>1</v>
      </c>
      <c r="G242" s="45">
        <f>'Hao phí vật tư'!J519</f>
        <v>49.345300000000002</v>
      </c>
      <c r="H242" s="166"/>
      <c r="I242" s="166"/>
      <c r="J242" s="166"/>
      <c r="K242" s="166"/>
      <c r="L242" s="156">
        <f>ROUND(G242*K231,2)</f>
        <v>0</v>
      </c>
      <c r="M242" s="156">
        <f>ROUND(G242*J231,2)</f>
        <v>863542.75</v>
      </c>
    </row>
    <row r="243" spans="1:13" ht="30" hidden="1" x14ac:dyDescent="0.25">
      <c r="A243" s="168"/>
      <c r="B243" s="133" t="str">
        <f>'Công trình'!B70</f>
        <v>AG.13121</v>
      </c>
      <c r="C243" s="34"/>
      <c r="D243" s="133" t="str">
        <f>'Công trình'!C70</f>
        <v>Sản xuất, lắp dựng cốt thép BT đúc sẵn cọc, đường kính &lt;=18mm</v>
      </c>
      <c r="E243" s="168"/>
      <c r="F243" s="20">
        <v>1</v>
      </c>
      <c r="G243" s="45">
        <f>'Hao phí vật tư'!J528</f>
        <v>6.0004999999999997</v>
      </c>
      <c r="H243" s="166"/>
      <c r="I243" s="166"/>
      <c r="J243" s="166"/>
      <c r="K243" s="166"/>
      <c r="L243" s="156">
        <f>ROUND(G243*K231,2)</f>
        <v>0</v>
      </c>
      <c r="M243" s="156">
        <f>ROUND(G243*J231,2)</f>
        <v>105008.75</v>
      </c>
    </row>
    <row r="244" spans="1:13" ht="30" hidden="1" x14ac:dyDescent="0.25">
      <c r="A244" s="168"/>
      <c r="B244" s="133" t="str">
        <f>'Công trình'!B71</f>
        <v>AG.13131</v>
      </c>
      <c r="C244" s="34"/>
      <c r="D244" s="133" t="str">
        <f>'Công trình'!C71</f>
        <v>Sản xuất, lắp dựng cốt thép BT đúc sẵn cọc, đường kính &gt;18mm</v>
      </c>
      <c r="E244" s="168"/>
      <c r="F244" s="20">
        <v>1</v>
      </c>
      <c r="G244" s="45">
        <f>'Hao phí vật tư'!J538</f>
        <v>179.3297</v>
      </c>
      <c r="H244" s="166"/>
      <c r="I244" s="166"/>
      <c r="J244" s="166"/>
      <c r="K244" s="166"/>
      <c r="L244" s="156">
        <f>ROUND(G244*K231,2)</f>
        <v>0</v>
      </c>
      <c r="M244" s="156">
        <f>ROUND(G244*J231,2)</f>
        <v>3138269.75</v>
      </c>
    </row>
    <row r="245" spans="1:13" ht="30" hidden="1" x14ac:dyDescent="0.25">
      <c r="A245" s="168"/>
      <c r="B245" s="133" t="str">
        <f>'Công trình'!B80</f>
        <v>AG.13111</v>
      </c>
      <c r="C245" s="34"/>
      <c r="D245" s="133" t="str">
        <f>'Công trình'!C80</f>
        <v>Sản xuất, lắp dựng cốt thép BT đúc sẵn cọc, đường kính &lt;=10mm</v>
      </c>
      <c r="E245" s="168"/>
      <c r="F245" s="20">
        <v>1</v>
      </c>
      <c r="G245" s="45">
        <f>'Hao phí vật tư'!J635</f>
        <v>25.3399</v>
      </c>
      <c r="H245" s="166"/>
      <c r="I245" s="166"/>
      <c r="J245" s="166"/>
      <c r="K245" s="166"/>
      <c r="L245" s="156">
        <f>ROUND(G245*K231,2)</f>
        <v>0</v>
      </c>
      <c r="M245" s="156">
        <f>ROUND(G245*J231,2)</f>
        <v>443448.25</v>
      </c>
    </row>
    <row r="246" spans="1:13" ht="30" hidden="1" x14ac:dyDescent="0.25">
      <c r="A246" s="168"/>
      <c r="B246" s="133" t="str">
        <f>'Công trình'!B81</f>
        <v>AG.13121</v>
      </c>
      <c r="C246" s="34"/>
      <c r="D246" s="133" t="str">
        <f>'Công trình'!C81</f>
        <v>Sản xuất, lắp dựng cốt thép BT đúc sẵn cọc, đường kính &lt;=18mm</v>
      </c>
      <c r="E246" s="168"/>
      <c r="F246" s="20">
        <v>1</v>
      </c>
      <c r="G246" s="45">
        <f>'Hao phí vật tư'!J644</f>
        <v>3.2644000000000002</v>
      </c>
      <c r="H246" s="166"/>
      <c r="I246" s="166"/>
      <c r="J246" s="166"/>
      <c r="K246" s="166"/>
      <c r="L246" s="156">
        <f>ROUND(G246*K231,2)</f>
        <v>0</v>
      </c>
      <c r="M246" s="156">
        <f>ROUND(G246*J231,2)</f>
        <v>57127</v>
      </c>
    </row>
    <row r="247" spans="1:13" ht="30" hidden="1" x14ac:dyDescent="0.25">
      <c r="A247" s="168"/>
      <c r="B247" s="133" t="str">
        <f>'Công trình'!B82</f>
        <v>AG.13131</v>
      </c>
      <c r="C247" s="34"/>
      <c r="D247" s="133" t="str">
        <f>'Công trình'!C82</f>
        <v>Sản xuất, lắp dựng cốt thép BT đúc sẵn cọc, đường kính &gt;18mm</v>
      </c>
      <c r="E247" s="168"/>
      <c r="F247" s="20">
        <v>1</v>
      </c>
      <c r="G247" s="45">
        <f>'Hao phí vật tư'!J654</f>
        <v>94.8035</v>
      </c>
      <c r="H247" s="166"/>
      <c r="I247" s="166"/>
      <c r="J247" s="166"/>
      <c r="K247" s="166"/>
      <c r="L247" s="156">
        <f>ROUND(G247*K231,2)</f>
        <v>0</v>
      </c>
      <c r="M247" s="156">
        <f>ROUND(G247*J231,2)</f>
        <v>1659061.25</v>
      </c>
    </row>
    <row r="248" spans="1:13" ht="30" hidden="1" x14ac:dyDescent="0.25">
      <c r="A248" s="168"/>
      <c r="B248" s="133" t="str">
        <f>'Công trình'!B101</f>
        <v>AF.61110</v>
      </c>
      <c r="C248" s="34"/>
      <c r="D248" s="133" t="str">
        <f>'Công trình'!C101</f>
        <v>Sản xuất, lắp dựng cốt thép móng đường kính &lt;=10mm</v>
      </c>
      <c r="E248" s="168"/>
      <c r="F248" s="20">
        <v>1</v>
      </c>
      <c r="G248" s="45">
        <f>'Hao phí vật tư'!J818</f>
        <v>2.1120000000000001</v>
      </c>
      <c r="H248" s="166"/>
      <c r="I248" s="166"/>
      <c r="J248" s="166"/>
      <c r="K248" s="166"/>
      <c r="L248" s="156">
        <f>ROUND(G248*K231,2)</f>
        <v>0</v>
      </c>
      <c r="M248" s="156">
        <f>ROUND(G248*J231,2)</f>
        <v>36960</v>
      </c>
    </row>
    <row r="249" spans="1:13" ht="30" hidden="1" x14ac:dyDescent="0.25">
      <c r="A249" s="168"/>
      <c r="B249" s="133" t="str">
        <f>'Công trình'!B181</f>
        <v>AF.65120</v>
      </c>
      <c r="C249" s="34"/>
      <c r="D249" s="133" t="str">
        <f>'Công trình'!C181</f>
        <v>Sản xuất, lắp dựng cốt thép móng, mố, trụ, mũ mố, mũ trụ cầu trên cạn đường kính &lt;=18mm</v>
      </c>
      <c r="E249" s="168"/>
      <c r="F249" s="20">
        <v>1</v>
      </c>
      <c r="G249" s="45">
        <f>'Hao phí vật tư'!J1376</f>
        <v>61.1327</v>
      </c>
      <c r="H249" s="166"/>
      <c r="I249" s="166"/>
      <c r="J249" s="166"/>
      <c r="K249" s="166"/>
      <c r="L249" s="156">
        <f>ROUND(G249*K231,2)</f>
        <v>0</v>
      </c>
      <c r="M249" s="156">
        <f>ROUND(G249*J231,2)</f>
        <v>1069822.25</v>
      </c>
    </row>
    <row r="250" spans="1:13" ht="30" hidden="1" x14ac:dyDescent="0.25">
      <c r="A250" s="168"/>
      <c r="B250" s="133" t="str">
        <f>'Công trình'!B182</f>
        <v>AF.65130</v>
      </c>
      <c r="C250" s="34"/>
      <c r="D250" s="133" t="str">
        <f>'Công trình'!C182</f>
        <v>Sản xuất, lắp dựng cốt thép móng, mố, trụ, mũ mố, mũ trụ cầu trên cạn đường kính &gt;18mm</v>
      </c>
      <c r="E250" s="168"/>
      <c r="F250" s="20">
        <v>1</v>
      </c>
      <c r="G250" s="45">
        <f>'Hao phí vật tư'!J1387</f>
        <v>67.765699999999995</v>
      </c>
      <c r="H250" s="166"/>
      <c r="I250" s="166"/>
      <c r="J250" s="166"/>
      <c r="K250" s="166"/>
      <c r="L250" s="156">
        <f>ROUND(G250*K231,2)</f>
        <v>0</v>
      </c>
      <c r="M250" s="156">
        <f>ROUND(G250*J231,2)</f>
        <v>1185899.75</v>
      </c>
    </row>
    <row r="251" spans="1:13" ht="30" hidden="1" x14ac:dyDescent="0.25">
      <c r="A251" s="168"/>
      <c r="B251" s="133" t="str">
        <f>'Công trình'!B183</f>
        <v>AF.61110</v>
      </c>
      <c r="C251" s="34"/>
      <c r="D251" s="133" t="str">
        <f>'Công trình'!C183</f>
        <v>Sản xuất, lắp dựng cốt thép bản dẫn đường kính &lt;=10mm</v>
      </c>
      <c r="E251" s="168"/>
      <c r="F251" s="20">
        <v>1</v>
      </c>
      <c r="G251" s="45">
        <f>'Hao phí vật tư'!J1397</f>
        <v>0.28489999999999999</v>
      </c>
      <c r="H251" s="166"/>
      <c r="I251" s="166"/>
      <c r="J251" s="166"/>
      <c r="K251" s="166"/>
      <c r="L251" s="156">
        <f>ROUND(G251*K231,2)</f>
        <v>0</v>
      </c>
      <c r="M251" s="156">
        <f>ROUND(G251*J231,2)</f>
        <v>4985.75</v>
      </c>
    </row>
    <row r="252" spans="1:13" ht="30" hidden="1" x14ac:dyDescent="0.25">
      <c r="A252" s="168"/>
      <c r="B252" s="133" t="str">
        <f>'Công trình'!B184</f>
        <v>AF.61120</v>
      </c>
      <c r="C252" s="34"/>
      <c r="D252" s="133" t="str">
        <f>'Công trình'!C184</f>
        <v>Sản xuất, lắp dựng cốt thép bản dẫn đường kính &lt;=18mm</v>
      </c>
      <c r="E252" s="168"/>
      <c r="F252" s="20">
        <v>1</v>
      </c>
      <c r="G252" s="45">
        <f>'Hao phí vật tư'!J1406</f>
        <v>14.2043</v>
      </c>
      <c r="H252" s="166"/>
      <c r="I252" s="166"/>
      <c r="J252" s="166"/>
      <c r="K252" s="166"/>
      <c r="L252" s="156">
        <f>ROUND(G252*K231,2)</f>
        <v>0</v>
      </c>
      <c r="M252" s="156">
        <f>ROUND(G252*J231,2)</f>
        <v>248575.25</v>
      </c>
    </row>
    <row r="253" spans="1:13" ht="30" hidden="1" x14ac:dyDescent="0.25">
      <c r="A253" s="168"/>
      <c r="B253" s="133" t="str">
        <f>'Công trình'!B190</f>
        <v>AF.65120</v>
      </c>
      <c r="C253" s="34"/>
      <c r="D253" s="133" t="str">
        <f>'Công trình'!C190</f>
        <v>Sản xuất, lắp dựng cốt thép móng, mố, trụ, mũ mố, mũ trụ cầu trên cạn đường kính &lt;=18mm</v>
      </c>
      <c r="E253" s="168"/>
      <c r="F253" s="20">
        <v>1</v>
      </c>
      <c r="G253" s="45">
        <f>'Hao phí vật tư'!J1460</f>
        <v>7.0656999999999996</v>
      </c>
      <c r="H253" s="166"/>
      <c r="I253" s="166"/>
      <c r="J253" s="166"/>
      <c r="K253" s="166"/>
      <c r="L253" s="156">
        <f>ROUND(G253*K231,2)</f>
        <v>0</v>
      </c>
      <c r="M253" s="156">
        <f>ROUND(G253*J231,2)</f>
        <v>123649.75</v>
      </c>
    </row>
    <row r="254" spans="1:13" ht="30" hidden="1" x14ac:dyDescent="0.25">
      <c r="A254" s="168"/>
      <c r="B254" s="133" t="str">
        <f>'Công trình'!B191</f>
        <v>AF.65130</v>
      </c>
      <c r="C254" s="34"/>
      <c r="D254" s="133" t="str">
        <f>'Công trình'!C191</f>
        <v>Sản xuất, lắp dựng cốt thép móng, mố, trụ, mũ mố, mũ trụ cầu trên cạn đường kính &gt;18mm</v>
      </c>
      <c r="E254" s="168"/>
      <c r="F254" s="20">
        <v>1</v>
      </c>
      <c r="G254" s="45">
        <f>'Hao phí vật tư'!J1471</f>
        <v>27.003499999999999</v>
      </c>
      <c r="H254" s="166"/>
      <c r="I254" s="166"/>
      <c r="J254" s="166"/>
      <c r="K254" s="166"/>
      <c r="L254" s="156">
        <f>ROUND(G254*K231,2)</f>
        <v>0</v>
      </c>
      <c r="M254" s="156">
        <f>ROUND(G254*J231,2)</f>
        <v>472561.25</v>
      </c>
    </row>
    <row r="255" spans="1:13" ht="30" hidden="1" x14ac:dyDescent="0.25">
      <c r="A255" s="168"/>
      <c r="B255" s="133" t="str">
        <f>'Công trình'!B202</f>
        <v>AF.61711</v>
      </c>
      <c r="C255" s="34"/>
      <c r="D255" s="133" t="str">
        <f>'Công trình'!C202</f>
        <v>Sản xuất, lắp dựng cốt thép mặt cầu đường kính &lt;=10mm, chiều cao &lt;=16m</v>
      </c>
      <c r="E255" s="168"/>
      <c r="F255" s="20">
        <v>1</v>
      </c>
      <c r="G255" s="45">
        <f>'Hao phí vật tư'!J1565</f>
        <v>1.8335999999999999</v>
      </c>
      <c r="H255" s="166"/>
      <c r="I255" s="166"/>
      <c r="J255" s="166"/>
      <c r="K255" s="166"/>
      <c r="L255" s="156">
        <f>ROUND(G255*K231,2)</f>
        <v>0</v>
      </c>
      <c r="M255" s="156">
        <f>ROUND(G255*J231,2)</f>
        <v>32088</v>
      </c>
    </row>
    <row r="256" spans="1:13" ht="30" hidden="1" x14ac:dyDescent="0.25">
      <c r="A256" s="168"/>
      <c r="B256" s="133" t="str">
        <f>'Công trình'!B204</f>
        <v>AF.61721</v>
      </c>
      <c r="C256" s="34"/>
      <c r="D256" s="133" t="str">
        <f>'Công trình'!C204</f>
        <v>Sản xuất, lắp dựng cốt thép mặt cầu đường kính &gt;10mm, chiều cao &lt;=16m</v>
      </c>
      <c r="E256" s="168"/>
      <c r="F256" s="20">
        <v>1</v>
      </c>
      <c r="G256" s="45">
        <f>'Hao phí vật tư'!J1575</f>
        <v>147.5324</v>
      </c>
      <c r="H256" s="166"/>
      <c r="I256" s="166"/>
      <c r="J256" s="166"/>
      <c r="K256" s="166"/>
      <c r="L256" s="156">
        <f>ROUND(G256*K231,2)</f>
        <v>0</v>
      </c>
      <c r="M256" s="156">
        <f>ROUND(G256*J231,2)</f>
        <v>2581817</v>
      </c>
    </row>
    <row r="257" spans="1:13" ht="30" hidden="1" x14ac:dyDescent="0.25">
      <c r="A257" s="168"/>
      <c r="B257" s="133" t="str">
        <f>'Công trình'!B206</f>
        <v>AF.65410</v>
      </c>
      <c r="C257" s="34"/>
      <c r="D257" s="133" t="str">
        <f>'Công trình'!C206</f>
        <v>Công tác sản xuất lắp dựng cốt thép bê tông tại chỗ, cốt thép dầm cầu trên cạn, D ≤10mm</v>
      </c>
      <c r="E257" s="168"/>
      <c r="F257" s="20">
        <v>1</v>
      </c>
      <c r="G257" s="45">
        <f>'Hao phí vật tư'!J1586</f>
        <v>5.9569000000000001</v>
      </c>
      <c r="H257" s="166"/>
      <c r="I257" s="166"/>
      <c r="J257" s="166"/>
      <c r="K257" s="166"/>
      <c r="L257" s="156">
        <f>ROUND(G257*K231,2)</f>
        <v>0</v>
      </c>
      <c r="M257" s="156">
        <f>ROUND(G257*J231,2)</f>
        <v>104245.75</v>
      </c>
    </row>
    <row r="258" spans="1:13" ht="30" hidden="1" x14ac:dyDescent="0.25">
      <c r="A258" s="168"/>
      <c r="B258" s="133" t="str">
        <f>'Công trình'!B208</f>
        <v>AF.65420</v>
      </c>
      <c r="C258" s="34"/>
      <c r="D258" s="133" t="str">
        <f>'Công trình'!C208</f>
        <v>Công tác sản xuất lắp dựng cốt thép bê tông tại chỗ, cốt thép dầm cầu trên cạn, D ≤18mm</v>
      </c>
      <c r="E258" s="168"/>
      <c r="F258" s="20">
        <v>1</v>
      </c>
      <c r="G258" s="45">
        <f>'Hao phí vật tư'!J1596</f>
        <v>1.7422</v>
      </c>
      <c r="H258" s="166"/>
      <c r="I258" s="166"/>
      <c r="J258" s="166"/>
      <c r="K258" s="166"/>
      <c r="L258" s="156">
        <f>ROUND(G258*K231,2)</f>
        <v>0</v>
      </c>
      <c r="M258" s="156">
        <f>ROUND(G258*J231,2)</f>
        <v>30488.5</v>
      </c>
    </row>
    <row r="259" spans="1:13" ht="30" hidden="1" x14ac:dyDescent="0.25">
      <c r="A259" s="168"/>
      <c r="B259" s="133" t="str">
        <f>'Công trình'!B210</f>
        <v>AF.65430</v>
      </c>
      <c r="C259" s="34"/>
      <c r="D259" s="133" t="str">
        <f>'Công trình'!C210</f>
        <v>Công tác sản xuất lắp dựng cốt thép bê tông tại chỗ, cốt thép dầm cầu trên cạn, D &gt;18mm</v>
      </c>
      <c r="E259" s="168"/>
      <c r="F259" s="20">
        <v>1</v>
      </c>
      <c r="G259" s="45">
        <f>'Hao phí vật tư'!J1607</f>
        <v>3.0373999999999999</v>
      </c>
      <c r="H259" s="166"/>
      <c r="I259" s="166"/>
      <c r="J259" s="166"/>
      <c r="K259" s="166"/>
      <c r="L259" s="156">
        <f>ROUND(G259*K231,2)</f>
        <v>0</v>
      </c>
      <c r="M259" s="156">
        <f>ROUND(G259*J231,2)</f>
        <v>53154.5</v>
      </c>
    </row>
    <row r="260" spans="1:13" ht="30" hidden="1" x14ac:dyDescent="0.25">
      <c r="A260" s="168"/>
      <c r="B260" s="133" t="str">
        <f>'Công trình'!B218</f>
        <v>AF.61120</v>
      </c>
      <c r="C260" s="34"/>
      <c r="D260" s="133" t="str">
        <f>'Công trình'!C218</f>
        <v>Sản xuất, lắp dựng cốt thép móng đường kính &lt;=18mm</v>
      </c>
      <c r="E260" s="168"/>
      <c r="F260" s="20">
        <v>1</v>
      </c>
      <c r="G260" s="45">
        <f>'Hao phí vật tư'!J1646</f>
        <v>4.4397000000000002</v>
      </c>
      <c r="H260" s="166"/>
      <c r="I260" s="166"/>
      <c r="J260" s="166"/>
      <c r="K260" s="166"/>
      <c r="L260" s="156">
        <f>ROUND(G260*K231,2)</f>
        <v>0</v>
      </c>
      <c r="M260" s="156">
        <f>ROUND(G260*J231,2)</f>
        <v>77694.75</v>
      </c>
    </row>
    <row r="261" spans="1:13" hidden="1" x14ac:dyDescent="0.25">
      <c r="A261" s="168"/>
      <c r="B261" s="133" t="str">
        <f>'Công trình'!B220</f>
        <v>AF.61110</v>
      </c>
      <c r="C261" s="34"/>
      <c r="D261" s="133" t="str">
        <f>'Công trình'!C220</f>
        <v>Sản xuất, lắp dựng cốt thép đường kính &lt;=10mm</v>
      </c>
      <c r="E261" s="168"/>
      <c r="F261" s="20">
        <v>1</v>
      </c>
      <c r="G261" s="45">
        <f>'Hao phí vật tư'!J1655</f>
        <v>0.32129999999999997</v>
      </c>
      <c r="H261" s="166"/>
      <c r="I261" s="166"/>
      <c r="J261" s="166"/>
      <c r="K261" s="166"/>
      <c r="L261" s="156">
        <f>ROUND(G261*K231,2)</f>
        <v>0</v>
      </c>
      <c r="M261" s="156">
        <f>ROUND(G261*J231,2)</f>
        <v>5622.75</v>
      </c>
    </row>
    <row r="262" spans="1:13" hidden="1" x14ac:dyDescent="0.25">
      <c r="A262" s="168"/>
      <c r="B262" s="133" t="str">
        <f>'Công trình'!B221</f>
        <v>AF.61120</v>
      </c>
      <c r="C262" s="34"/>
      <c r="D262" s="133" t="str">
        <f>'Công trình'!C221</f>
        <v>Sản xuất, lắp dựng cốt thép đường kính &lt;=18mm</v>
      </c>
      <c r="E262" s="168"/>
      <c r="F262" s="20">
        <v>1</v>
      </c>
      <c r="G262" s="45">
        <f>'Hao phí vật tư'!J1664</f>
        <v>25.3127</v>
      </c>
      <c r="H262" s="166"/>
      <c r="I262" s="166"/>
      <c r="J262" s="166"/>
      <c r="K262" s="166"/>
      <c r="L262" s="156">
        <f>ROUND(G262*K231,2)</f>
        <v>0</v>
      </c>
      <c r="M262" s="156">
        <f>ROUND(G262*J231,2)</f>
        <v>442972.25</v>
      </c>
    </row>
    <row r="263" spans="1:13" ht="30" hidden="1" x14ac:dyDescent="0.25">
      <c r="A263" s="168"/>
      <c r="B263" s="133" t="str">
        <f>'Công trình'!B226</f>
        <v>AG.13111</v>
      </c>
      <c r="C263" s="34"/>
      <c r="D263" s="133" t="str">
        <f>'Công trình'!C226</f>
        <v>Sản xuất, lắp dựng cốt thép BT đúc sẵn cọc, đường kính &lt;=10mm</v>
      </c>
      <c r="E263" s="168"/>
      <c r="F263" s="20">
        <v>1</v>
      </c>
      <c r="G263" s="45">
        <f>'Hao phí vật tư'!J1695</f>
        <v>52.378300000000003</v>
      </c>
      <c r="H263" s="166"/>
      <c r="I263" s="166"/>
      <c r="J263" s="166"/>
      <c r="K263" s="166"/>
      <c r="L263" s="156">
        <f>ROUND(G263*K231,2)</f>
        <v>0</v>
      </c>
      <c r="M263" s="156">
        <f>ROUND(G263*J231,2)</f>
        <v>916620.25</v>
      </c>
    </row>
    <row r="264" spans="1:13" ht="30" hidden="1" x14ac:dyDescent="0.25">
      <c r="A264" s="168"/>
      <c r="B264" s="133" t="str">
        <f>'Công trình'!B227</f>
        <v>AG.13121</v>
      </c>
      <c r="C264" s="34"/>
      <c r="D264" s="133" t="str">
        <f>'Công trình'!C227</f>
        <v>Sản xuất, lắp dựng cốt thép BT đúc sẵn cọc, đường kính &lt;=18mm</v>
      </c>
      <c r="E264" s="168"/>
      <c r="F264" s="20">
        <v>1</v>
      </c>
      <c r="G264" s="45">
        <f>'Hao phí vật tư'!J1704</f>
        <v>6.1218000000000004</v>
      </c>
      <c r="H264" s="166"/>
      <c r="I264" s="166"/>
      <c r="J264" s="166"/>
      <c r="K264" s="166"/>
      <c r="L264" s="156">
        <f>ROUND(G264*K231,2)</f>
        <v>0</v>
      </c>
      <c r="M264" s="156">
        <f>ROUND(G264*J231,2)</f>
        <v>107131.5</v>
      </c>
    </row>
    <row r="265" spans="1:13" ht="30" hidden="1" x14ac:dyDescent="0.25">
      <c r="A265" s="168"/>
      <c r="B265" s="133" t="str">
        <f>'Công trình'!B228</f>
        <v>AG.13131</v>
      </c>
      <c r="C265" s="34"/>
      <c r="D265" s="133" t="str">
        <f>'Công trình'!C228</f>
        <v>Sản xuất, lắp dựng cốt thép BT đúc sẵn cọc, đường kính &gt;18mm</v>
      </c>
      <c r="E265" s="168"/>
      <c r="F265" s="20">
        <v>1</v>
      </c>
      <c r="G265" s="45">
        <f>'Hao phí vật tư'!J1714</f>
        <v>190.0925</v>
      </c>
      <c r="H265" s="166"/>
      <c r="I265" s="166"/>
      <c r="J265" s="166"/>
      <c r="K265" s="166"/>
      <c r="L265" s="156">
        <f>ROUND(G265*K231,2)</f>
        <v>0</v>
      </c>
      <c r="M265" s="156">
        <f>ROUND(G265*J231,2)</f>
        <v>3326618.75</v>
      </c>
    </row>
    <row r="266" spans="1:13" hidden="1" x14ac:dyDescent="0.25">
      <c r="A266" s="168"/>
      <c r="B266" s="133" t="str">
        <f>'Công trình'!B257</f>
        <v>AF.61110</v>
      </c>
      <c r="C266" s="34"/>
      <c r="D266" s="133" t="str">
        <f>'Công trình'!C257</f>
        <v>Sản xuất, lắp dựng cốt thép đường kính &lt;=10mm</v>
      </c>
      <c r="E266" s="168"/>
      <c r="F266" s="20">
        <v>1</v>
      </c>
      <c r="G266" s="45">
        <f>'Hao phí vật tư'!J1961</f>
        <v>35.741399999999999</v>
      </c>
      <c r="H266" s="166"/>
      <c r="I266" s="166"/>
      <c r="J266" s="166"/>
      <c r="K266" s="166"/>
      <c r="L266" s="156">
        <f>ROUND(G266*K231,2)</f>
        <v>0</v>
      </c>
      <c r="M266" s="156">
        <f>ROUND(G266*J231,2)</f>
        <v>625474.5</v>
      </c>
    </row>
    <row r="267" spans="1:13" hidden="1" x14ac:dyDescent="0.25">
      <c r="A267" s="168"/>
      <c r="B267" s="133" t="str">
        <f>'Công trình'!B258</f>
        <v>AF.61120</v>
      </c>
      <c r="C267" s="34"/>
      <c r="D267" s="133" t="str">
        <f>'Công trình'!C258</f>
        <v>Sản xuất, lắp dựng cốt thép đường kính &lt;=18mm</v>
      </c>
      <c r="E267" s="168"/>
      <c r="F267" s="20">
        <v>1</v>
      </c>
      <c r="G267" s="45">
        <f>'Hao phí vật tư'!J1970</f>
        <v>9.0906000000000002</v>
      </c>
      <c r="H267" s="166"/>
      <c r="I267" s="166"/>
      <c r="J267" s="166"/>
      <c r="K267" s="166"/>
      <c r="L267" s="156">
        <f>ROUND(G267*K231,2)</f>
        <v>0</v>
      </c>
      <c r="M267" s="156">
        <f>ROUND(G267*J231,2)</f>
        <v>159085.5</v>
      </c>
    </row>
    <row r="268" spans="1:13" ht="30" hidden="1" x14ac:dyDescent="0.25">
      <c r="A268" s="168"/>
      <c r="B268" s="133" t="str">
        <f>'Công trình'!B302</f>
        <v>AF.61110</v>
      </c>
      <c r="C268" s="34"/>
      <c r="D268" s="133" t="str">
        <f>'Công trình'!C302</f>
        <v>Sản xuất, lắp dựng cốt thép móng đường kính &lt;=10mm</v>
      </c>
      <c r="E268" s="168"/>
      <c r="F268" s="20">
        <v>1</v>
      </c>
      <c r="G268" s="45">
        <f>'Hao phí vật tư'!J2265</f>
        <v>2.4762</v>
      </c>
      <c r="H268" s="166"/>
      <c r="I268" s="166"/>
      <c r="J268" s="166"/>
      <c r="K268" s="166"/>
      <c r="L268" s="156">
        <f>ROUND(G268*K231,2)</f>
        <v>0</v>
      </c>
      <c r="M268" s="156">
        <f>ROUND(G268*J231,2)</f>
        <v>43333.5</v>
      </c>
    </row>
    <row r="269" spans="1:13" hidden="1" x14ac:dyDescent="0.25">
      <c r="A269" s="168"/>
      <c r="B269" s="133" t="str">
        <f>'Công trình'!B24</f>
        <v>AF.61130</v>
      </c>
      <c r="C269" s="34"/>
      <c r="D269" s="133" t="str">
        <f>'Công trình'!C24</f>
        <v>Neo dầm mang cống bằng thép D32 SUS304</v>
      </c>
      <c r="E269" s="168"/>
      <c r="F269" s="20">
        <v>1</v>
      </c>
      <c r="G269" s="45">
        <f>'Hao phí vật tư'!J168</f>
        <v>0</v>
      </c>
      <c r="H269" s="166"/>
      <c r="I269" s="166"/>
      <c r="J269" s="166"/>
      <c r="K269" s="166"/>
      <c r="L269" s="156">
        <f>ROUND(G269*K231,2)</f>
        <v>0</v>
      </c>
      <c r="M269" s="156">
        <f>ROUND(G269*J231,2)</f>
        <v>0</v>
      </c>
    </row>
    <row r="270" spans="1:13" ht="30" hidden="1" x14ac:dyDescent="0.25">
      <c r="A270" s="168"/>
      <c r="B270" s="133" t="str">
        <f>'Công trình'!B37</f>
        <v>AF.61521</v>
      </c>
      <c r="C270" s="34"/>
      <c r="D270" s="133" t="str">
        <f>'Công trình'!C37</f>
        <v>Sản xuất, lắp dựng cốt thép xà dầm, giằng đường kính &lt;=18mm, chiều cao &lt;=4m</v>
      </c>
      <c r="E270" s="168"/>
      <c r="F270" s="20">
        <v>1</v>
      </c>
      <c r="G270" s="45">
        <f>'Hao phí vật tư'!J282</f>
        <v>3.8898999999999999</v>
      </c>
      <c r="H270" s="166"/>
      <c r="I270" s="166"/>
      <c r="J270" s="166"/>
      <c r="K270" s="166"/>
      <c r="L270" s="156">
        <f>ROUND(G270*K231,2)</f>
        <v>0</v>
      </c>
      <c r="M270" s="156">
        <f>ROUND(G270*J231,2)</f>
        <v>68073.25</v>
      </c>
    </row>
    <row r="271" spans="1:13" ht="30" hidden="1" x14ac:dyDescent="0.25">
      <c r="A271" s="168"/>
      <c r="B271" s="133" t="str">
        <f>'Công trình'!B36</f>
        <v>AF.61511</v>
      </c>
      <c r="C271" s="34"/>
      <c r="D271" s="133" t="str">
        <f>'Công trình'!C36</f>
        <v>Sản xuất, lắp dựng cốt thép xà dầm, giằng đường kính &lt;=10mm, chiều cao &lt;=4m</v>
      </c>
      <c r="E271" s="168"/>
      <c r="F271" s="20">
        <v>1</v>
      </c>
      <c r="G271" s="45">
        <f>'Hao phí vật tư'!J273</f>
        <v>8.0495999999999999</v>
      </c>
      <c r="H271" s="166"/>
      <c r="I271" s="166"/>
      <c r="J271" s="166"/>
      <c r="K271" s="166"/>
      <c r="L271" s="156">
        <f>ROUND(G271*K231,2)</f>
        <v>0</v>
      </c>
      <c r="M271" s="156">
        <f>ROUND(G271*J231,2)</f>
        <v>140868</v>
      </c>
    </row>
    <row r="272" spans="1:13" ht="30" x14ac:dyDescent="0.25">
      <c r="A272" s="168">
        <v>42</v>
      </c>
      <c r="B272" s="84" t="s">
        <v>566</v>
      </c>
      <c r="C272" s="34">
        <v>471</v>
      </c>
      <c r="D272" s="144" t="s">
        <v>347</v>
      </c>
      <c r="E272" s="168" t="s">
        <v>205</v>
      </c>
      <c r="F272" s="34"/>
      <c r="G272" s="60">
        <f>SUM(G273:G275)</f>
        <v>7604.4684999999999</v>
      </c>
      <c r="H272" s="166">
        <v>14000</v>
      </c>
      <c r="I272" s="156">
        <v>51565</v>
      </c>
      <c r="J272" s="156">
        <f>'Vật liệu'!W262</f>
        <v>51565</v>
      </c>
      <c r="K272" s="166">
        <f>J272-H272</f>
        <v>37565</v>
      </c>
      <c r="L272" s="166">
        <f>ROUND(G272*K272,0)</f>
        <v>285661859</v>
      </c>
      <c r="M272" s="166">
        <f>ROUND(G272*J272,0)</f>
        <v>392124418</v>
      </c>
    </row>
    <row r="273" spans="1:13" hidden="1" x14ac:dyDescent="0.25">
      <c r="A273" s="168"/>
      <c r="B273" s="133" t="str">
        <f>'Công trình'!B47</f>
        <v>035.41</v>
      </c>
      <c r="C273" s="34"/>
      <c r="D273" s="133" t="str">
        <f>'Công trình'!C47</f>
        <v>Thả rọ thép đá hộc, loai rọ 2x1x0.5 trên cạn</v>
      </c>
      <c r="E273" s="168"/>
      <c r="F273" s="20">
        <v>1</v>
      </c>
      <c r="G273" s="45">
        <f>'Hao phí vật tư'!J353</f>
        <v>1400</v>
      </c>
      <c r="H273" s="166"/>
      <c r="I273" s="166"/>
      <c r="J273" s="166"/>
      <c r="K273" s="166"/>
      <c r="L273" s="156">
        <f>ROUND(G273*K272,2)</f>
        <v>52591000</v>
      </c>
      <c r="M273" s="156">
        <f>ROUND(G273*J272,2)</f>
        <v>72191000</v>
      </c>
    </row>
    <row r="274" spans="1:13" hidden="1" x14ac:dyDescent="0.25">
      <c r="A274" s="168"/>
      <c r="B274" s="133" t="str">
        <f>'Công trình'!B48</f>
        <v>035.41</v>
      </c>
      <c r="C274" s="34"/>
      <c r="D274" s="133" t="str">
        <f>'Công trình'!C48</f>
        <v>Thả rọ thép đá hộc, loai rọ 2x1x0.3 trên cạn</v>
      </c>
      <c r="E274" s="168"/>
      <c r="F274" s="20">
        <v>1</v>
      </c>
      <c r="G274" s="45">
        <f>'Hao phí vật tư'!J359</f>
        <v>6036.4684999999999</v>
      </c>
      <c r="H274" s="166"/>
      <c r="I274" s="166"/>
      <c r="J274" s="166"/>
      <c r="K274" s="166"/>
      <c r="L274" s="156">
        <f>ROUND(G274*K272,2)</f>
        <v>226759939.19999999</v>
      </c>
      <c r="M274" s="156">
        <f>ROUND(G274*J272,2)</f>
        <v>311270498.19999999</v>
      </c>
    </row>
    <row r="275" spans="1:13" hidden="1" x14ac:dyDescent="0.25">
      <c r="A275" s="168"/>
      <c r="B275" s="133" t="str">
        <f>'Công trình'!B170</f>
        <v>035.41</v>
      </c>
      <c r="C275" s="34"/>
      <c r="D275" s="133" t="str">
        <f>'Công trình'!C170</f>
        <v>Thả rọ thép đá hộc, loai rọ 2x1x0.5 trên cạn</v>
      </c>
      <c r="E275" s="168"/>
      <c r="F275" s="20">
        <v>1</v>
      </c>
      <c r="G275" s="45">
        <f>'Hao phí vật tư'!J1290</f>
        <v>168</v>
      </c>
      <c r="H275" s="166"/>
      <c r="I275" s="166"/>
      <c r="J275" s="166"/>
      <c r="K275" s="166"/>
      <c r="L275" s="156">
        <f>ROUND(G275*K272,2)</f>
        <v>6310920</v>
      </c>
      <c r="M275" s="156">
        <f>ROUND(G275*J272,2)</f>
        <v>8662920</v>
      </c>
    </row>
    <row r="276" spans="1:13" x14ac:dyDescent="0.25">
      <c r="A276" s="168">
        <v>43</v>
      </c>
      <c r="B276" s="84" t="s">
        <v>129</v>
      </c>
      <c r="C276" s="34">
        <v>507</v>
      </c>
      <c r="D276" s="144" t="s">
        <v>100</v>
      </c>
      <c r="E276" s="168" t="s">
        <v>1123</v>
      </c>
      <c r="F276" s="34"/>
      <c r="G276" s="60">
        <f>SUM(G277:G277)</f>
        <v>56</v>
      </c>
      <c r="H276" s="166">
        <v>174000</v>
      </c>
      <c r="I276" s="166">
        <v>174000</v>
      </c>
      <c r="J276" s="166">
        <f>'Vật liệu'!W266</f>
        <v>174000</v>
      </c>
      <c r="K276" s="166">
        <f>J276-H276</f>
        <v>0</v>
      </c>
      <c r="L276" s="166">
        <f>ROUND(G276*K276,0)</f>
        <v>0</v>
      </c>
      <c r="M276" s="166">
        <f>ROUND(G276*J276,0)</f>
        <v>9744000</v>
      </c>
    </row>
    <row r="277" spans="1:13" hidden="1" x14ac:dyDescent="0.25">
      <c r="A277" s="168"/>
      <c r="B277" s="133" t="str">
        <f>'Công trình'!B280</f>
        <v>TT</v>
      </c>
      <c r="C277" s="34"/>
      <c r="D277" s="133" t="str">
        <f>'Công trình'!C280</f>
        <v>Đệm U(160x160x5x310)mm</v>
      </c>
      <c r="E277" s="168"/>
      <c r="F277" s="20">
        <v>1</v>
      </c>
      <c r="G277" s="45">
        <f>'Hao phí vật tư'!J2106</f>
        <v>56</v>
      </c>
      <c r="H277" s="166"/>
      <c r="I277" s="166"/>
      <c r="J277" s="166"/>
      <c r="K277" s="166"/>
      <c r="L277" s="156">
        <f>ROUND(G277*K276,2)</f>
        <v>0</v>
      </c>
      <c r="M277" s="156">
        <f>ROUND(G277*J276,2)</f>
        <v>9744000</v>
      </c>
    </row>
    <row r="278" spans="1:13" x14ac:dyDescent="0.25">
      <c r="A278" s="168">
        <v>44</v>
      </c>
      <c r="B278" s="84" t="s">
        <v>95</v>
      </c>
      <c r="C278" s="34">
        <v>401</v>
      </c>
      <c r="D278" s="144" t="s">
        <v>329</v>
      </c>
      <c r="E278" s="168" t="s">
        <v>555</v>
      </c>
      <c r="F278" s="34"/>
      <c r="G278" s="60">
        <f>SUM(G279:G284)</f>
        <v>66.250699999999995</v>
      </c>
      <c r="H278" s="166">
        <v>20000</v>
      </c>
      <c r="I278" s="166">
        <v>20000</v>
      </c>
      <c r="J278" s="166">
        <f>'Vật liệu'!W268</f>
        <v>20000</v>
      </c>
      <c r="K278" s="166">
        <f>J278-H278</f>
        <v>0</v>
      </c>
      <c r="L278" s="166">
        <f>ROUND(G278*K278,0)</f>
        <v>0</v>
      </c>
      <c r="M278" s="166">
        <f>ROUND(G278*J278,0)</f>
        <v>1325014</v>
      </c>
    </row>
    <row r="279" spans="1:13" ht="30" hidden="1" x14ac:dyDescent="0.25">
      <c r="A279" s="168"/>
      <c r="B279" s="133" t="str">
        <f>'Công trình'!B30</f>
        <v>AF.12113</v>
      </c>
      <c r="C279" s="34"/>
      <c r="D279" s="133" t="str">
        <f>'Công trình'!C30</f>
        <v>Bê tông tường dày &lt;=45cm, chiều cao &lt;=4m đá 1x2, vữa BT mác 200</v>
      </c>
      <c r="E279" s="168"/>
      <c r="F279" s="20">
        <v>1</v>
      </c>
      <c r="G279" s="45">
        <f>'Hao phí vật tư'!J202</f>
        <v>5.2098000000000004</v>
      </c>
      <c r="H279" s="166"/>
      <c r="I279" s="166"/>
      <c r="J279" s="166"/>
      <c r="K279" s="166"/>
      <c r="L279" s="156">
        <f>ROUND(G279*K278,2)</f>
        <v>0</v>
      </c>
      <c r="M279" s="156">
        <f>ROUND(G279*J278,2)</f>
        <v>104196</v>
      </c>
    </row>
    <row r="280" spans="1:13" ht="30" hidden="1" x14ac:dyDescent="0.25">
      <c r="A280" s="168"/>
      <c r="B280" s="133" t="str">
        <f>'Công trình'!B63</f>
        <v>AF.11223</v>
      </c>
      <c r="C280" s="34"/>
      <c r="D280" s="133" t="str">
        <f>'Công trình'!C63</f>
        <v>Bê tông lát mái rộng &gt;250cm đá 1x2, vữa BT mác 200</v>
      </c>
      <c r="E280" s="168"/>
      <c r="F280" s="20">
        <v>1</v>
      </c>
      <c r="G280" s="45">
        <f>'Hao phí vật tư'!J474</f>
        <v>19.8872</v>
      </c>
      <c r="H280" s="166"/>
      <c r="I280" s="166"/>
      <c r="J280" s="166"/>
      <c r="K280" s="166"/>
      <c r="L280" s="156">
        <f>ROUND(G280*K278,2)</f>
        <v>0</v>
      </c>
      <c r="M280" s="156">
        <f>ROUND(G280*J278,2)</f>
        <v>397744</v>
      </c>
    </row>
    <row r="281" spans="1:13" hidden="1" x14ac:dyDescent="0.25">
      <c r="A281" s="168"/>
      <c r="B281" s="133" t="str">
        <f>'Công trình'!B65</f>
        <v>AF.82511</v>
      </c>
      <c r="C281" s="34"/>
      <c r="D281" s="133" t="str">
        <f>'Công trình'!C65</f>
        <v>Sản xuất, lắp dựng tháo dỡ ván khuôn lát mái</v>
      </c>
      <c r="E281" s="168"/>
      <c r="F281" s="20">
        <v>1</v>
      </c>
      <c r="G281" s="45">
        <f>'Hao phí vật tư'!J497</f>
        <v>11.196</v>
      </c>
      <c r="H281" s="166"/>
      <c r="I281" s="166"/>
      <c r="J281" s="166"/>
      <c r="K281" s="166"/>
      <c r="L281" s="156">
        <f>ROUND(G281*K278,2)</f>
        <v>0</v>
      </c>
      <c r="M281" s="156">
        <f>ROUND(G281*J278,2)</f>
        <v>223920</v>
      </c>
    </row>
    <row r="282" spans="1:13" ht="30" hidden="1" x14ac:dyDescent="0.25">
      <c r="A282" s="168"/>
      <c r="B282" s="133" t="str">
        <f>'Công trình'!B7</f>
        <v>AF.11224</v>
      </c>
      <c r="C282" s="34"/>
      <c r="D282" s="133" t="str">
        <f>'Công trình'!C7</f>
        <v>Bê tông móng rộng &gt;250cm đá 1x2, vữa BT mác 250</v>
      </c>
      <c r="E282" s="168"/>
      <c r="F282" s="20">
        <v>1</v>
      </c>
      <c r="G282" s="45">
        <f>'Hao phí vật tư'!J10</f>
        <v>20.049499999999998</v>
      </c>
      <c r="H282" s="166"/>
      <c r="I282" s="166"/>
      <c r="J282" s="166"/>
      <c r="K282" s="166"/>
      <c r="L282" s="156">
        <f>ROUND(G282*K278,2)</f>
        <v>0</v>
      </c>
      <c r="M282" s="156">
        <f>ROUND(G282*J278,2)</f>
        <v>400990</v>
      </c>
    </row>
    <row r="283" spans="1:13" ht="30" hidden="1" x14ac:dyDescent="0.25">
      <c r="A283" s="168"/>
      <c r="B283" s="133" t="str">
        <f>'Công trình'!B8</f>
        <v>AF.12144</v>
      </c>
      <c r="C283" s="34"/>
      <c r="D283" s="133" t="str">
        <f>'Công trình'!C8</f>
        <v>Bê tông tường dày &gt;45cm, chiều cao &lt;=16m đá 1x2, vữa BT mác 250</v>
      </c>
      <c r="E283" s="168"/>
      <c r="F283" s="20">
        <v>1</v>
      </c>
      <c r="G283" s="45">
        <f>'Hao phí vật tư'!J25</f>
        <v>7.7122000000000002</v>
      </c>
      <c r="H283" s="166"/>
      <c r="I283" s="166"/>
      <c r="J283" s="166"/>
      <c r="K283" s="166"/>
      <c r="L283" s="156">
        <f>ROUND(G283*K278,2)</f>
        <v>0</v>
      </c>
      <c r="M283" s="156">
        <f>ROUND(G283*J278,2)</f>
        <v>154244</v>
      </c>
    </row>
    <row r="284" spans="1:13" hidden="1" x14ac:dyDescent="0.25">
      <c r="A284" s="168"/>
      <c r="B284" s="133" t="str">
        <f>'Công trình'!B175</f>
        <v>AF.11225</v>
      </c>
      <c r="C284" s="34"/>
      <c r="D284" s="133" t="str">
        <f>'Công trình'!C175</f>
        <v>Bê tông bản dẫn đá 1x2, vữa BT mác 300</v>
      </c>
      <c r="E284" s="168"/>
      <c r="F284" s="20">
        <v>1</v>
      </c>
      <c r="G284" s="45">
        <f>'Hao phí vật tư'!J1313</f>
        <v>2.1960000000000002</v>
      </c>
      <c r="H284" s="166"/>
      <c r="I284" s="166"/>
      <c r="J284" s="166"/>
      <c r="K284" s="166"/>
      <c r="L284" s="156">
        <f>ROUND(G284*K278,2)</f>
        <v>0</v>
      </c>
      <c r="M284" s="156">
        <f>ROUND(G284*J278,2)</f>
        <v>43920</v>
      </c>
    </row>
    <row r="285" spans="1:13" x14ac:dyDescent="0.25">
      <c r="A285" s="168">
        <v>45</v>
      </c>
      <c r="B285" s="84" t="s">
        <v>856</v>
      </c>
      <c r="C285" s="34">
        <v>403</v>
      </c>
      <c r="D285" s="144" t="s">
        <v>878</v>
      </c>
      <c r="E285" s="168" t="s">
        <v>1123</v>
      </c>
      <c r="F285" s="34"/>
      <c r="G285" s="60">
        <f>SUM(G286:G290)</f>
        <v>287.60459999999995</v>
      </c>
      <c r="H285" s="166">
        <v>500</v>
      </c>
      <c r="I285" s="166">
        <v>500</v>
      </c>
      <c r="J285" s="166">
        <f>'Vật liệu'!W275</f>
        <v>500</v>
      </c>
      <c r="K285" s="166">
        <f>J285-H285</f>
        <v>0</v>
      </c>
      <c r="L285" s="166">
        <f>ROUND(G285*K285,0)</f>
        <v>0</v>
      </c>
      <c r="M285" s="166">
        <f>ROUND(G285*J285,0)</f>
        <v>143802</v>
      </c>
    </row>
    <row r="286" spans="1:13" ht="30" hidden="1" x14ac:dyDescent="0.25">
      <c r="A286" s="168"/>
      <c r="B286" s="133" t="str">
        <f>'Công trình'!B30</f>
        <v>AF.12113</v>
      </c>
      <c r="C286" s="34"/>
      <c r="D286" s="133" t="str">
        <f>'Công trình'!C30</f>
        <v>Bê tông tường dày &lt;=45cm, chiều cao &lt;=4m đá 1x2, vữa BT mác 200</v>
      </c>
      <c r="E286" s="168"/>
      <c r="F286" s="20">
        <v>1</v>
      </c>
      <c r="G286" s="45">
        <f>'Hao phí vật tư'!J201</f>
        <v>22.802800000000001</v>
      </c>
      <c r="H286" s="166"/>
      <c r="I286" s="166"/>
      <c r="J286" s="166"/>
      <c r="K286" s="166"/>
      <c r="L286" s="156">
        <f>ROUND(G286*K285,2)</f>
        <v>0</v>
      </c>
      <c r="M286" s="156">
        <f>ROUND(G286*J285,2)</f>
        <v>11401.4</v>
      </c>
    </row>
    <row r="287" spans="1:13" ht="30" hidden="1" x14ac:dyDescent="0.25">
      <c r="A287" s="168"/>
      <c r="B287" s="133" t="str">
        <f>'Công trình'!B63</f>
        <v>AF.11223</v>
      </c>
      <c r="C287" s="34"/>
      <c r="D287" s="133" t="str">
        <f>'Công trình'!C63</f>
        <v>Bê tông lát mái rộng &gt;250cm đá 1x2, vữa BT mác 200</v>
      </c>
      <c r="E287" s="168"/>
      <c r="F287" s="20">
        <v>1</v>
      </c>
      <c r="G287" s="45">
        <f>'Hao phí vật tư'!J473</f>
        <v>98.295000000000002</v>
      </c>
      <c r="H287" s="166"/>
      <c r="I287" s="166"/>
      <c r="J287" s="166"/>
      <c r="K287" s="166"/>
      <c r="L287" s="156">
        <f>ROUND(G287*K285,2)</f>
        <v>0</v>
      </c>
      <c r="M287" s="156">
        <f>ROUND(G287*J285,2)</f>
        <v>49147.5</v>
      </c>
    </row>
    <row r="288" spans="1:13" ht="30" hidden="1" x14ac:dyDescent="0.25">
      <c r="A288" s="168"/>
      <c r="B288" s="133" t="str">
        <f>'Công trình'!B7</f>
        <v>AF.11224</v>
      </c>
      <c r="C288" s="34"/>
      <c r="D288" s="133" t="str">
        <f>'Công trình'!C7</f>
        <v>Bê tông móng rộng &gt;250cm đá 1x2, vữa BT mác 250</v>
      </c>
      <c r="E288" s="168"/>
      <c r="F288" s="20">
        <v>1</v>
      </c>
      <c r="G288" s="45">
        <f>'Hao phí vật tư'!J9</f>
        <v>99.096999999999994</v>
      </c>
      <c r="H288" s="166"/>
      <c r="I288" s="166"/>
      <c r="J288" s="166"/>
      <c r="K288" s="166"/>
      <c r="L288" s="156">
        <f>ROUND(G288*K285,2)</f>
        <v>0</v>
      </c>
      <c r="M288" s="156">
        <f>ROUND(G288*J285,2)</f>
        <v>49548.5</v>
      </c>
    </row>
    <row r="289" spans="1:13" ht="30" hidden="1" x14ac:dyDescent="0.25">
      <c r="A289" s="168"/>
      <c r="B289" s="133" t="str">
        <f>'Công trình'!B8</f>
        <v>AF.12144</v>
      </c>
      <c r="C289" s="34"/>
      <c r="D289" s="133" t="str">
        <f>'Công trình'!C8</f>
        <v>Bê tông tường dày &gt;45cm, chiều cao &lt;=16m đá 1x2, vữa BT mác 250</v>
      </c>
      <c r="E289" s="168"/>
      <c r="F289" s="20">
        <v>1</v>
      </c>
      <c r="G289" s="45">
        <f>'Hao phí vật tư'!J24</f>
        <v>56.555799999999998</v>
      </c>
      <c r="H289" s="166"/>
      <c r="I289" s="166"/>
      <c r="J289" s="166"/>
      <c r="K289" s="166"/>
      <c r="L289" s="156">
        <f>ROUND(G289*K285,2)</f>
        <v>0</v>
      </c>
      <c r="M289" s="156">
        <f>ROUND(G289*J285,2)</f>
        <v>28277.9</v>
      </c>
    </row>
    <row r="290" spans="1:13" hidden="1" x14ac:dyDescent="0.25">
      <c r="A290" s="168"/>
      <c r="B290" s="133" t="str">
        <f>'Công trình'!B175</f>
        <v>AF.11225</v>
      </c>
      <c r="C290" s="34"/>
      <c r="D290" s="133" t="str">
        <f>'Công trình'!C175</f>
        <v>Bê tông bản dẫn đá 1x2, vữa BT mác 300</v>
      </c>
      <c r="E290" s="168"/>
      <c r="F290" s="20">
        <v>1</v>
      </c>
      <c r="G290" s="45">
        <f>'Hao phí vật tư'!J1312</f>
        <v>10.853999999999999</v>
      </c>
      <c r="H290" s="166"/>
      <c r="I290" s="166"/>
      <c r="J290" s="166"/>
      <c r="K290" s="166"/>
      <c r="L290" s="156">
        <f>ROUND(G290*K285,2)</f>
        <v>0</v>
      </c>
      <c r="M290" s="156">
        <f>ROUND(G290*J285,2)</f>
        <v>5427</v>
      </c>
    </row>
    <row r="291" spans="1:13" x14ac:dyDescent="0.25">
      <c r="A291" s="168">
        <v>46</v>
      </c>
      <c r="B291" s="84" t="s">
        <v>151</v>
      </c>
      <c r="C291" s="34">
        <v>438</v>
      </c>
      <c r="D291" s="144" t="s">
        <v>568</v>
      </c>
      <c r="E291" s="168" t="s">
        <v>414</v>
      </c>
      <c r="F291" s="34"/>
      <c r="G291" s="60">
        <f>SUM(G292:G294)</f>
        <v>1.0760000000000001</v>
      </c>
      <c r="H291" s="166">
        <v>60000</v>
      </c>
      <c r="I291" s="166">
        <v>60000</v>
      </c>
      <c r="J291" s="166">
        <f>'Vật liệu'!W281</f>
        <v>60000</v>
      </c>
      <c r="K291" s="166">
        <f>J291-H291</f>
        <v>0</v>
      </c>
      <c r="L291" s="166">
        <f>ROUND(G291*K291,0)</f>
        <v>0</v>
      </c>
      <c r="M291" s="166">
        <f>ROUND(G291*J291,0)</f>
        <v>64560</v>
      </c>
    </row>
    <row r="292" spans="1:13" hidden="1" x14ac:dyDescent="0.25">
      <c r="A292" s="168"/>
      <c r="B292" s="133" t="str">
        <f>'Công trình'!B269</f>
        <v>AD.32411</v>
      </c>
      <c r="C292" s="34"/>
      <c r="D292" s="133" t="str">
        <f>'Công trình'!C269</f>
        <v>Biển báo (1.2 x 1.2)m</v>
      </c>
      <c r="E292" s="168"/>
      <c r="F292" s="20">
        <v>1</v>
      </c>
      <c r="G292" s="45">
        <f>'Hao phí vật tư'!J2057</f>
        <v>1.02</v>
      </c>
      <c r="H292" s="166"/>
      <c r="I292" s="166"/>
      <c r="J292" s="166"/>
      <c r="K292" s="166"/>
      <c r="L292" s="156">
        <f>ROUND(G292*K291,2)</f>
        <v>0</v>
      </c>
      <c r="M292" s="156">
        <f>ROUND(G292*J291,2)</f>
        <v>61200</v>
      </c>
    </row>
    <row r="293" spans="1:13" ht="30" hidden="1" x14ac:dyDescent="0.25">
      <c r="A293" s="168"/>
      <c r="B293" s="133" t="str">
        <f>'Công trình'!B290</f>
        <v>AD.32421</v>
      </c>
      <c r="C293" s="34"/>
      <c r="D293" s="133" t="str">
        <f>'Công trình'!C290</f>
        <v>Biển báo bằng tôn hình tròn D70cm, dày 1.2mm, sơn phản quang (Biển 115)</v>
      </c>
      <c r="E293" s="168"/>
      <c r="F293" s="20">
        <v>1</v>
      </c>
      <c r="G293" s="45">
        <f>'Hao phí vật tư'!J2173</f>
        <v>3.2000000000000001E-2</v>
      </c>
      <c r="H293" s="166"/>
      <c r="I293" s="166"/>
      <c r="J293" s="166"/>
      <c r="K293" s="166"/>
      <c r="L293" s="156">
        <f>ROUND(G293*K291,2)</f>
        <v>0</v>
      </c>
      <c r="M293" s="156">
        <f>ROUND(G293*J291,2)</f>
        <v>1920</v>
      </c>
    </row>
    <row r="294" spans="1:13" hidden="1" x14ac:dyDescent="0.25">
      <c r="A294" s="168"/>
      <c r="B294" s="133" t="str">
        <f>'Công trình'!B291</f>
        <v>AD.32441</v>
      </c>
      <c r="C294" s="34"/>
      <c r="D294" s="133" t="str">
        <f>'Công trình'!C291</f>
        <v>Biển hình chữ nhật (40x60) (biển 439)</v>
      </c>
      <c r="E294" s="168"/>
      <c r="F294" s="20">
        <v>1</v>
      </c>
      <c r="G294" s="45">
        <f>'Hao phí vật tư'!J2185</f>
        <v>2.4E-2</v>
      </c>
      <c r="H294" s="166"/>
      <c r="I294" s="166"/>
      <c r="J294" s="166"/>
      <c r="K294" s="166"/>
      <c r="L294" s="156">
        <f>ROUND(G294*K291,2)</f>
        <v>0</v>
      </c>
      <c r="M294" s="156">
        <f>ROUND(G294*J291,2)</f>
        <v>1440</v>
      </c>
    </row>
    <row r="295" spans="1:13" x14ac:dyDescent="0.25">
      <c r="A295" s="168">
        <v>47</v>
      </c>
      <c r="B295" s="84" t="s">
        <v>1127</v>
      </c>
      <c r="C295" s="34">
        <v>133</v>
      </c>
      <c r="D295" s="144" t="s">
        <v>996</v>
      </c>
      <c r="E295" s="168" t="s">
        <v>414</v>
      </c>
      <c r="F295" s="34"/>
      <c r="G295" s="60">
        <f>SUM(G296:G298)</f>
        <v>2.7280000000000002</v>
      </c>
      <c r="H295" s="166">
        <v>60000</v>
      </c>
      <c r="I295" s="166">
        <v>60000</v>
      </c>
      <c r="J295" s="166">
        <f>'Vật liệu'!W285</f>
        <v>60000</v>
      </c>
      <c r="K295" s="166">
        <f>J295-H295</f>
        <v>0</v>
      </c>
      <c r="L295" s="166">
        <f>ROUND(G295*K295,0)</f>
        <v>0</v>
      </c>
      <c r="M295" s="166">
        <f>ROUND(G295*J295,0)</f>
        <v>163680</v>
      </c>
    </row>
    <row r="296" spans="1:13" hidden="1" x14ac:dyDescent="0.25">
      <c r="A296" s="168"/>
      <c r="B296" s="133" t="str">
        <f>'Công trình'!B269</f>
        <v>AD.32411</v>
      </c>
      <c r="C296" s="34"/>
      <c r="D296" s="133" t="str">
        <f>'Công trình'!C269</f>
        <v>Biển báo (1.2 x 1.2)m</v>
      </c>
      <c r="E296" s="168"/>
      <c r="F296" s="20">
        <v>1</v>
      </c>
      <c r="G296" s="45">
        <f>'Hao phí vật tư'!J2053</f>
        <v>2.5840000000000001</v>
      </c>
      <c r="H296" s="166"/>
      <c r="I296" s="166"/>
      <c r="J296" s="166"/>
      <c r="K296" s="166"/>
      <c r="L296" s="156">
        <f>ROUND(G296*K295,2)</f>
        <v>0</v>
      </c>
      <c r="M296" s="156">
        <f>ROUND(G296*J295,2)</f>
        <v>155040</v>
      </c>
    </row>
    <row r="297" spans="1:13" ht="30" hidden="1" x14ac:dyDescent="0.25">
      <c r="A297" s="168"/>
      <c r="B297" s="133" t="str">
        <f>'Công trình'!B290</f>
        <v>AD.32421</v>
      </c>
      <c r="C297" s="34"/>
      <c r="D297" s="133" t="str">
        <f>'Công trình'!C290</f>
        <v>Biển báo bằng tôn hình tròn D70cm, dày 1.2mm, sơn phản quang (Biển 115)</v>
      </c>
      <c r="E297" s="168"/>
      <c r="F297" s="20">
        <v>1</v>
      </c>
      <c r="G297" s="45">
        <f>'Hao phí vật tư'!J2169</f>
        <v>0.08</v>
      </c>
      <c r="H297" s="166"/>
      <c r="I297" s="166"/>
      <c r="J297" s="166"/>
      <c r="K297" s="166"/>
      <c r="L297" s="156">
        <f>ROUND(G297*K295,2)</f>
        <v>0</v>
      </c>
      <c r="M297" s="156">
        <f>ROUND(G297*J295,2)</f>
        <v>4800</v>
      </c>
    </row>
    <row r="298" spans="1:13" hidden="1" x14ac:dyDescent="0.25">
      <c r="A298" s="168"/>
      <c r="B298" s="133" t="str">
        <f>'Công trình'!B291</f>
        <v>AD.32441</v>
      </c>
      <c r="C298" s="34"/>
      <c r="D298" s="133" t="str">
        <f>'Công trình'!C291</f>
        <v>Biển hình chữ nhật (40x60) (biển 439)</v>
      </c>
      <c r="E298" s="168"/>
      <c r="F298" s="20">
        <v>1</v>
      </c>
      <c r="G298" s="45">
        <f>'Hao phí vật tư'!J2181</f>
        <v>6.4000000000000001E-2</v>
      </c>
      <c r="H298" s="166"/>
      <c r="I298" s="166"/>
      <c r="J298" s="166"/>
      <c r="K298" s="166"/>
      <c r="L298" s="156">
        <f>ROUND(G298*K295,2)</f>
        <v>0</v>
      </c>
      <c r="M298" s="156">
        <f>ROUND(G298*J295,2)</f>
        <v>3840</v>
      </c>
    </row>
    <row r="299" spans="1:13" x14ac:dyDescent="0.25">
      <c r="A299" s="168">
        <v>48</v>
      </c>
      <c r="B299" s="84" t="s">
        <v>1065</v>
      </c>
      <c r="C299" s="34">
        <v>136</v>
      </c>
      <c r="D299" s="144" t="s">
        <v>142</v>
      </c>
      <c r="E299" s="168" t="s">
        <v>555</v>
      </c>
      <c r="F299" s="34"/>
      <c r="G299" s="60">
        <f>SUM(G300:G302)</f>
        <v>15.413500000000001</v>
      </c>
      <c r="H299" s="166">
        <v>23068</v>
      </c>
      <c r="I299" s="166">
        <v>23068</v>
      </c>
      <c r="J299" s="166">
        <f>'Vật liệu'!W289</f>
        <v>23068</v>
      </c>
      <c r="K299" s="166">
        <f>J299-H299</f>
        <v>0</v>
      </c>
      <c r="L299" s="166">
        <f>ROUND(G299*K299,0)</f>
        <v>0</v>
      </c>
      <c r="M299" s="166">
        <f>ROUND(G299*J299,0)</f>
        <v>355559</v>
      </c>
    </row>
    <row r="300" spans="1:13" ht="30" hidden="1" x14ac:dyDescent="0.25">
      <c r="A300" s="168"/>
      <c r="B300" s="133" t="str">
        <f>'Công trình'!B179</f>
        <v>AF.87211</v>
      </c>
      <c r="C300" s="34"/>
      <c r="D300" s="133" t="str">
        <f>'Công trình'!C179</f>
        <v>Sản xuất, lắp dựng, tháo dỡ ván khuôn mố, trụ cầu trên cạn</v>
      </c>
      <c r="E300" s="168"/>
      <c r="F300" s="20">
        <v>1</v>
      </c>
      <c r="G300" s="45">
        <f>'Hao phí vật tư'!J1354</f>
        <v>5.5422000000000002</v>
      </c>
      <c r="H300" s="166"/>
      <c r="I300" s="166"/>
      <c r="J300" s="166"/>
      <c r="K300" s="166"/>
      <c r="L300" s="156">
        <f>ROUND(G300*K299,2)</f>
        <v>0</v>
      </c>
      <c r="M300" s="156">
        <f>ROUND(G300*J299,2)</f>
        <v>127847.47</v>
      </c>
    </row>
    <row r="301" spans="1:13" ht="30" hidden="1" x14ac:dyDescent="0.25">
      <c r="A301" s="168"/>
      <c r="B301" s="133" t="str">
        <f>'Công trình'!B189</f>
        <v>AF.87211</v>
      </c>
      <c r="C301" s="34"/>
      <c r="D301" s="133" t="str">
        <f>'Công trình'!C189</f>
        <v>Sản xuất, lắp dựng, tháo dỡ ván khuôn mố, trụ cầu trên cạn</v>
      </c>
      <c r="E301" s="168"/>
      <c r="F301" s="20">
        <v>1</v>
      </c>
      <c r="G301" s="45">
        <f>'Hao phí vật tư'!J1445</f>
        <v>1.5880000000000001</v>
      </c>
      <c r="H301" s="166"/>
      <c r="I301" s="166"/>
      <c r="J301" s="166"/>
      <c r="K301" s="166"/>
      <c r="L301" s="156">
        <f>ROUND(G301*K299,2)</f>
        <v>0</v>
      </c>
      <c r="M301" s="156">
        <f>ROUND(G301*J299,2)</f>
        <v>36631.980000000003</v>
      </c>
    </row>
    <row r="302" spans="1:13" ht="30" hidden="1" x14ac:dyDescent="0.25">
      <c r="A302" s="168"/>
      <c r="B302" s="133" t="str">
        <f>'Công trình'!B321</f>
        <v>CV.0202</v>
      </c>
      <c r="C302" s="34"/>
      <c r="D302" s="133" t="str">
        <f>'Công trình'!C321</f>
        <v>Lắp đặt cửa van bằng thép không gỉ, chiều rộng cống (B) &lt;= 8m</v>
      </c>
      <c r="E302" s="168"/>
      <c r="F302" s="20">
        <v>1</v>
      </c>
      <c r="G302" s="45">
        <f>'Hao phí vật tư'!J2388</f>
        <v>8.2833000000000006</v>
      </c>
      <c r="H302" s="166"/>
      <c r="I302" s="166"/>
      <c r="J302" s="166"/>
      <c r="K302" s="166"/>
      <c r="L302" s="156">
        <f>ROUND(G302*K299,2)</f>
        <v>0</v>
      </c>
      <c r="M302" s="156">
        <f>ROUND(G302*J299,2)</f>
        <v>191079.16</v>
      </c>
    </row>
    <row r="303" spans="1:13" x14ac:dyDescent="0.25">
      <c r="A303" s="168">
        <v>49</v>
      </c>
      <c r="B303" s="84" t="s">
        <v>501</v>
      </c>
      <c r="C303" s="34">
        <v>137</v>
      </c>
      <c r="D303" s="144" t="s">
        <v>1036</v>
      </c>
      <c r="E303" s="168" t="s">
        <v>205</v>
      </c>
      <c r="F303" s="34"/>
      <c r="G303" s="60">
        <f>SUM(G304:G304)</f>
        <v>32.614400000000003</v>
      </c>
      <c r="H303" s="166">
        <v>4000</v>
      </c>
      <c r="I303" s="166">
        <v>4000</v>
      </c>
      <c r="J303" s="166">
        <f>'Vật liệu'!W292</f>
        <v>4000</v>
      </c>
      <c r="K303" s="166">
        <f>J303-H303</f>
        <v>0</v>
      </c>
      <c r="L303" s="166">
        <f>ROUND(G303*K303,0)</f>
        <v>0</v>
      </c>
      <c r="M303" s="166">
        <f>ROUND(G303*J303,0)</f>
        <v>130458</v>
      </c>
    </row>
    <row r="304" spans="1:13" hidden="1" x14ac:dyDescent="0.25">
      <c r="A304" s="168"/>
      <c r="B304" s="133" t="str">
        <f>'Công trình'!B222</f>
        <v>AL.16210</v>
      </c>
      <c r="C304" s="34"/>
      <c r="D304" s="133" t="str">
        <f>'Công trình'!C222</f>
        <v>Giấy dầu</v>
      </c>
      <c r="E304" s="168"/>
      <c r="F304" s="20">
        <v>1</v>
      </c>
      <c r="G304" s="45">
        <f>'Hao phí vật tư'!J1673</f>
        <v>32.614400000000003</v>
      </c>
      <c r="H304" s="166"/>
      <c r="I304" s="166"/>
      <c r="J304" s="166"/>
      <c r="K304" s="166"/>
      <c r="L304" s="156">
        <f>ROUND(G304*K303,2)</f>
        <v>0</v>
      </c>
      <c r="M304" s="156">
        <f>ROUND(G304*J303,2)</f>
        <v>130457.60000000001</v>
      </c>
    </row>
    <row r="305" spans="1:13" x14ac:dyDescent="0.25">
      <c r="A305" s="168">
        <v>50</v>
      </c>
      <c r="B305" s="84" t="s">
        <v>854</v>
      </c>
      <c r="C305" s="34">
        <v>140</v>
      </c>
      <c r="D305" s="144" t="s">
        <v>725</v>
      </c>
      <c r="E305" s="168" t="s">
        <v>155</v>
      </c>
      <c r="F305" s="34"/>
      <c r="G305" s="60">
        <f>SUM(G306:G315)</f>
        <v>8.8219999999999992</v>
      </c>
      <c r="H305" s="166">
        <v>3810000</v>
      </c>
      <c r="I305" s="139">
        <v>3272727</v>
      </c>
      <c r="J305" s="139">
        <f>'Vật liệu'!W294</f>
        <v>3272727</v>
      </c>
      <c r="K305" s="166">
        <f>J305-H305</f>
        <v>-537273</v>
      </c>
      <c r="L305" s="166">
        <f>ROUND(G305*K305,0)</f>
        <v>-4739822</v>
      </c>
      <c r="M305" s="166">
        <f>ROUND(G305*J305,0)</f>
        <v>28871998</v>
      </c>
    </row>
    <row r="306" spans="1:13" ht="30" hidden="1" x14ac:dyDescent="0.25">
      <c r="A306" s="168"/>
      <c r="B306" s="133" t="str">
        <f>'Công trình'!B16</f>
        <v>AF.82111</v>
      </c>
      <c r="C306" s="34"/>
      <c r="D306" s="133" t="str">
        <f>'Công trình'!C16</f>
        <v>Sản xuất, lắp dựng tháo dỡ ván khuôn thép tường, chiều cao &lt;=16m</v>
      </c>
      <c r="E306" s="168"/>
      <c r="F306" s="20">
        <v>1</v>
      </c>
      <c r="G306" s="45">
        <f>'Hao phí vật tư'!J111</f>
        <v>1.7753000000000001</v>
      </c>
      <c r="H306" s="166"/>
      <c r="I306" s="166"/>
      <c r="J306" s="166"/>
      <c r="K306" s="166"/>
      <c r="L306" s="156">
        <f>ROUND(G306*K305,2)</f>
        <v>-953820.76</v>
      </c>
      <c r="M306" s="156">
        <f>ROUND(G306*J305,2)</f>
        <v>5810072.2400000002</v>
      </c>
    </row>
    <row r="307" spans="1:13" ht="30" hidden="1" x14ac:dyDescent="0.25">
      <c r="A307" s="168"/>
      <c r="B307" s="133" t="str">
        <f>'Công trình'!B19</f>
        <v>AF.82111</v>
      </c>
      <c r="C307" s="34"/>
      <c r="D307" s="133" t="str">
        <f>'Công trình'!C19</f>
        <v>Sản xuất, lắp dựng tháo dỡ ván khuôn thép dầm, giằng, chiều cao &lt;=16m</v>
      </c>
      <c r="E307" s="168"/>
      <c r="F307" s="20">
        <v>1</v>
      </c>
      <c r="G307" s="45">
        <f>'Hao phí vật tư'!J137</f>
        <v>1.6165</v>
      </c>
      <c r="H307" s="166"/>
      <c r="I307" s="166"/>
      <c r="J307" s="166"/>
      <c r="K307" s="166"/>
      <c r="L307" s="156">
        <f>ROUND(G307*K305,2)</f>
        <v>-868501.8</v>
      </c>
      <c r="M307" s="156">
        <f>ROUND(G307*J305,2)</f>
        <v>5290363.2</v>
      </c>
    </row>
    <row r="308" spans="1:13" ht="30" hidden="1" x14ac:dyDescent="0.25">
      <c r="A308" s="168"/>
      <c r="B308" s="133" t="str">
        <f>'Công trình'!B31</f>
        <v>AF.82111</v>
      </c>
      <c r="C308" s="34"/>
      <c r="D308" s="133" t="str">
        <f>'Công trình'!C31</f>
        <v>Sản xuất, lắp dựng tháo dỡ ván khuôn thép tường, chiều cao &lt;=16m</v>
      </c>
      <c r="E308" s="168"/>
      <c r="F308" s="20">
        <v>1</v>
      </c>
      <c r="G308" s="45">
        <f>'Hao phí vật tư'!J217</f>
        <v>0.57709999999999995</v>
      </c>
      <c r="H308" s="166"/>
      <c r="I308" s="166"/>
      <c r="J308" s="166"/>
      <c r="K308" s="166"/>
      <c r="L308" s="156">
        <f>ROUND(G308*K305,2)</f>
        <v>-310060.25</v>
      </c>
      <c r="M308" s="156">
        <f>ROUND(G308*J305,2)</f>
        <v>1888690.75</v>
      </c>
    </row>
    <row r="309" spans="1:13" ht="30" hidden="1" x14ac:dyDescent="0.25">
      <c r="A309" s="168"/>
      <c r="B309" s="133" t="str">
        <f>'Công trình'!B59</f>
        <v>AF.82111</v>
      </c>
      <c r="C309" s="34"/>
      <c r="D309" s="133" t="str">
        <f>'Công trình'!C59</f>
        <v>Sản xuất, lắp dựng tháo dỡ ván khuôn thép dầm, giằng, chiều cao &lt;=16m</v>
      </c>
      <c r="E309" s="168"/>
      <c r="F309" s="20">
        <v>1</v>
      </c>
      <c r="G309" s="45">
        <f>'Hao phí vật tư'!J443</f>
        <v>1.1435</v>
      </c>
      <c r="H309" s="166"/>
      <c r="I309" s="166"/>
      <c r="J309" s="166"/>
      <c r="K309" s="166"/>
      <c r="L309" s="156">
        <f>ROUND(G309*K305,2)</f>
        <v>-614371.68000000005</v>
      </c>
      <c r="M309" s="156">
        <f>ROUND(G309*J305,2)</f>
        <v>3742363.32</v>
      </c>
    </row>
    <row r="310" spans="1:13" hidden="1" x14ac:dyDescent="0.25">
      <c r="A310" s="168"/>
      <c r="B310" s="133" t="str">
        <f>'Công trình'!B65</f>
        <v>AF.82511</v>
      </c>
      <c r="C310" s="34"/>
      <c r="D310" s="133" t="str">
        <f>'Công trình'!C65</f>
        <v>Sản xuất, lắp dựng tháo dỡ ván khuôn lát mái</v>
      </c>
      <c r="E310" s="168"/>
      <c r="F310" s="20">
        <v>1</v>
      </c>
      <c r="G310" s="45">
        <f>'Hao phí vật tư'!J498</f>
        <v>0.42820000000000003</v>
      </c>
      <c r="H310" s="166"/>
      <c r="I310" s="166"/>
      <c r="J310" s="166"/>
      <c r="K310" s="166"/>
      <c r="L310" s="156">
        <f>ROUND(G310*K305,2)</f>
        <v>-230060.3</v>
      </c>
      <c r="M310" s="156">
        <f>ROUND(G310*J305,2)</f>
        <v>1401381.7</v>
      </c>
    </row>
    <row r="311" spans="1:13" ht="30" hidden="1" x14ac:dyDescent="0.25">
      <c r="A311" s="168"/>
      <c r="B311" s="133" t="str">
        <f>'Công trình'!B200</f>
        <v>AF.82111</v>
      </c>
      <c r="C311" s="34"/>
      <c r="D311" s="133" t="str">
        <f>'Công trình'!C200</f>
        <v>Sản xuất, lắp dựng tháo dỡ ván khuôn thép, cây chống gỗ dầm ngang, chiều cao &lt;=16m</v>
      </c>
      <c r="E311" s="168"/>
      <c r="F311" s="20">
        <v>1</v>
      </c>
      <c r="G311" s="45">
        <f>'Hao phí vật tư'!J1540</f>
        <v>0.192</v>
      </c>
      <c r="H311" s="166"/>
      <c r="I311" s="166"/>
      <c r="J311" s="166"/>
      <c r="K311" s="166"/>
      <c r="L311" s="156">
        <f>ROUND(G311*K305,2)</f>
        <v>-103156.42</v>
      </c>
      <c r="M311" s="156">
        <f>ROUND(G311*J305,2)</f>
        <v>628363.57999999996</v>
      </c>
    </row>
    <row r="312" spans="1:13" ht="30" hidden="1" x14ac:dyDescent="0.25">
      <c r="A312" s="168"/>
      <c r="B312" s="133" t="str">
        <f>'Công trình'!B249</f>
        <v>AF.82111</v>
      </c>
      <c r="C312" s="34"/>
      <c r="D312" s="133" t="str">
        <f>'Công trình'!C249</f>
        <v>Sản xuất, lắp dựng tháo dỡ ván khuôn thép, cây chống gỗ dầm, giằng, chiều cao &lt;=16m</v>
      </c>
      <c r="E312" s="168"/>
      <c r="F312" s="20">
        <v>1</v>
      </c>
      <c r="G312" s="45">
        <f>'Hao phí vật tư'!J1888</f>
        <v>0.35389999999999999</v>
      </c>
      <c r="H312" s="166"/>
      <c r="I312" s="166"/>
      <c r="J312" s="166"/>
      <c r="K312" s="166"/>
      <c r="L312" s="156">
        <f>ROUND(G312*K305,2)</f>
        <v>-190140.91</v>
      </c>
      <c r="M312" s="156">
        <f>ROUND(G312*J305,2)</f>
        <v>1158218.0900000001</v>
      </c>
    </row>
    <row r="313" spans="1:13" ht="30" hidden="1" x14ac:dyDescent="0.25">
      <c r="A313" s="168"/>
      <c r="B313" s="133" t="str">
        <f>'Công trình'!B256</f>
        <v>AF.82111</v>
      </c>
      <c r="C313" s="34"/>
      <c r="D313" s="133" t="str">
        <f>'Công trình'!C256</f>
        <v>Sản xuất, lắp dựng tháo dỡ ván khuôn thép lan can</v>
      </c>
      <c r="E313" s="168"/>
      <c r="F313" s="20">
        <v>1</v>
      </c>
      <c r="G313" s="45">
        <f>'Hao phí vật tư'!J1949</f>
        <v>0.75880000000000003</v>
      </c>
      <c r="H313" s="166"/>
      <c r="I313" s="166"/>
      <c r="J313" s="166"/>
      <c r="K313" s="166"/>
      <c r="L313" s="156">
        <f>ROUND(G313*K305,2)</f>
        <v>-407682.75</v>
      </c>
      <c r="M313" s="156">
        <f>ROUND(G313*J305,2)</f>
        <v>2483345.25</v>
      </c>
    </row>
    <row r="314" spans="1:13" ht="30" hidden="1" x14ac:dyDescent="0.25">
      <c r="A314" s="168"/>
      <c r="B314" s="133" t="str">
        <f>'Công trình'!B201</f>
        <v>AF.82311</v>
      </c>
      <c r="C314" s="34"/>
      <c r="D314" s="133" t="str">
        <f>'Công trình'!C201</f>
        <v>Sản xuất, lắp dựng tháo dỡ ván khuôn thép, cây chống gỗ mặt cầu, chiều cao &lt;=16m</v>
      </c>
      <c r="E314" s="168"/>
      <c r="F314" s="20">
        <v>1</v>
      </c>
      <c r="G314" s="45">
        <f>'Hao phí vật tư'!J1553</f>
        <v>1.6881999999999999</v>
      </c>
      <c r="H314" s="166"/>
      <c r="I314" s="166"/>
      <c r="J314" s="166"/>
      <c r="K314" s="166"/>
      <c r="L314" s="156">
        <f>ROUND(G314*K305,2)</f>
        <v>-907024.28</v>
      </c>
      <c r="M314" s="156">
        <f>ROUND(G314*J305,2)</f>
        <v>5525017.7199999997</v>
      </c>
    </row>
    <row r="315" spans="1:13" ht="45" hidden="1" x14ac:dyDescent="0.25">
      <c r="A315" s="168"/>
      <c r="B315" s="133" t="str">
        <f>'Công trình'!B35</f>
        <v>AF.82111</v>
      </c>
      <c r="C315" s="34"/>
      <c r="D315" s="133" t="str">
        <f>'Công trình'!C35</f>
        <v>Sản xuất, lắp dựng tháo dỡ ván khuôn thép, cây chống gỗ tường, cột vuông (chữ nhật), xà dầm, giằng, chiều cao &lt;=16m</v>
      </c>
      <c r="E315" s="168"/>
      <c r="F315" s="20">
        <v>1</v>
      </c>
      <c r="G315" s="45">
        <f>'Hao phí vật tư'!J261</f>
        <v>0.28849999999999998</v>
      </c>
      <c r="H315" s="166"/>
      <c r="I315" s="166"/>
      <c r="J315" s="166"/>
      <c r="K315" s="166"/>
      <c r="L315" s="156">
        <f>ROUND(G315*K305,2)</f>
        <v>-155003.26</v>
      </c>
      <c r="M315" s="156">
        <f>ROUND(G315*J305,2)</f>
        <v>944181.74</v>
      </c>
    </row>
    <row r="316" spans="1:13" x14ac:dyDescent="0.25">
      <c r="A316" s="168">
        <v>51</v>
      </c>
      <c r="B316" s="84" t="s">
        <v>91</v>
      </c>
      <c r="C316" s="34">
        <v>423</v>
      </c>
      <c r="D316" s="144" t="s">
        <v>696</v>
      </c>
      <c r="E316" s="168" t="s">
        <v>155</v>
      </c>
      <c r="F316" s="34"/>
      <c r="G316" s="60">
        <f>SUM(G317:G317)</f>
        <v>8.0699999999999994E-2</v>
      </c>
      <c r="H316" s="166">
        <v>3810000</v>
      </c>
      <c r="I316" s="139">
        <v>3272727</v>
      </c>
      <c r="J316" s="139">
        <f>'Vật liệu'!W305</f>
        <v>3272727</v>
      </c>
      <c r="K316" s="166">
        <f>J316-H316</f>
        <v>-537273</v>
      </c>
      <c r="L316" s="166">
        <f>ROUND(G316*K316,0)</f>
        <v>-43358</v>
      </c>
      <c r="M316" s="166">
        <f>ROUND(G316*J316,0)</f>
        <v>264109</v>
      </c>
    </row>
    <row r="317" spans="1:13" hidden="1" x14ac:dyDescent="0.25">
      <c r="A317" s="168"/>
      <c r="B317" s="133" t="str">
        <f>'Công trình'!B65</f>
        <v>AF.82511</v>
      </c>
      <c r="C317" s="34"/>
      <c r="D317" s="133" t="str">
        <f>'Công trình'!C65</f>
        <v>Sản xuất, lắp dựng tháo dỡ ván khuôn lát mái</v>
      </c>
      <c r="E317" s="168"/>
      <c r="F317" s="20">
        <v>1</v>
      </c>
      <c r="G317" s="45">
        <f>'Hao phí vật tư'!J500</f>
        <v>8.0699999999999994E-2</v>
      </c>
      <c r="H317" s="166"/>
      <c r="I317" s="166"/>
      <c r="J317" s="166"/>
      <c r="K317" s="166"/>
      <c r="L317" s="156">
        <f>ROUND(G317*K316,2)</f>
        <v>-43357.93</v>
      </c>
      <c r="M317" s="156">
        <f>ROUND(G317*J316,2)</f>
        <v>264109.07</v>
      </c>
    </row>
    <row r="318" spans="1:13" x14ac:dyDescent="0.25">
      <c r="A318" s="168">
        <v>52</v>
      </c>
      <c r="B318" s="84" t="s">
        <v>136</v>
      </c>
      <c r="C318" s="34">
        <v>142</v>
      </c>
      <c r="D318" s="144" t="s">
        <v>252</v>
      </c>
      <c r="E318" s="168" t="s">
        <v>155</v>
      </c>
      <c r="F318" s="34"/>
      <c r="G318" s="60">
        <f>SUM(G319:G325)</f>
        <v>2.5823</v>
      </c>
      <c r="H318" s="166">
        <v>3810000</v>
      </c>
      <c r="I318" s="139">
        <v>3272727</v>
      </c>
      <c r="J318" s="139">
        <f>'Vật liệu'!W307</f>
        <v>3272727</v>
      </c>
      <c r="K318" s="166">
        <f>J318-H318</f>
        <v>-537273</v>
      </c>
      <c r="L318" s="166">
        <f>ROUND(G318*K318,0)</f>
        <v>-1387400</v>
      </c>
      <c r="M318" s="166">
        <f>ROUND(G318*J318,0)</f>
        <v>8451163</v>
      </c>
    </row>
    <row r="319" spans="1:13" ht="30" hidden="1" x14ac:dyDescent="0.25">
      <c r="A319" s="168"/>
      <c r="B319" s="133" t="str">
        <f>'Công trình'!B42</f>
        <v>AC.11121</v>
      </c>
      <c r="C319" s="34"/>
      <c r="D319" s="133" t="str">
        <f>'Công trình'!C42</f>
        <v>Đóng cọc tràm chiều dài cọc ngập đất &gt;2,5m đất cấp I</v>
      </c>
      <c r="E319" s="168"/>
      <c r="F319" s="20">
        <v>1</v>
      </c>
      <c r="G319" s="45">
        <f>'Hao phí vật tư'!J313</f>
        <v>2.7000000000000001E-3</v>
      </c>
      <c r="H319" s="166"/>
      <c r="I319" s="166"/>
      <c r="J319" s="166"/>
      <c r="K319" s="166"/>
      <c r="L319" s="156">
        <f>ROUND(G319*K318,2)</f>
        <v>-1450.64</v>
      </c>
      <c r="M319" s="156">
        <f>ROUND(G319*J318,2)</f>
        <v>8836.36</v>
      </c>
    </row>
    <row r="320" spans="1:13" ht="30" hidden="1" x14ac:dyDescent="0.25">
      <c r="A320" s="168"/>
      <c r="B320" s="133" t="str">
        <f>'Công trình'!B50</f>
        <v>AC.11121</v>
      </c>
      <c r="C320" s="34"/>
      <c r="D320" s="133" t="str">
        <f>'Công trình'!C50</f>
        <v>Đóng cọc tràm chiều dài cọc ngập đất &gt;2,5m đất cấp I</v>
      </c>
      <c r="E320" s="168"/>
      <c r="F320" s="20">
        <v>1</v>
      </c>
      <c r="G320" s="45">
        <f>'Hao phí vật tư'!J370</f>
        <v>1.3379000000000001</v>
      </c>
      <c r="H320" s="166"/>
      <c r="I320" s="166"/>
      <c r="J320" s="166"/>
      <c r="K320" s="166"/>
      <c r="L320" s="156">
        <f>ROUND(G320*K318,2)</f>
        <v>-718817.55</v>
      </c>
      <c r="M320" s="156">
        <f>ROUND(G320*J318,2)</f>
        <v>4378581.45</v>
      </c>
    </row>
    <row r="321" spans="1:13" hidden="1" x14ac:dyDescent="0.25">
      <c r="A321" s="168"/>
      <c r="B321" s="133" t="str">
        <f>'Công trình'!B65</f>
        <v>AF.82511</v>
      </c>
      <c r="C321" s="34"/>
      <c r="D321" s="133" t="str">
        <f>'Công trình'!C65</f>
        <v>Sản xuất, lắp dựng tháo dỡ ván khuôn lát mái</v>
      </c>
      <c r="E321" s="168"/>
      <c r="F321" s="20">
        <v>1</v>
      </c>
      <c r="G321" s="45">
        <f>'Hao phí vật tư'!J499</f>
        <v>0.7389</v>
      </c>
      <c r="H321" s="166"/>
      <c r="I321" s="166"/>
      <c r="J321" s="166"/>
      <c r="K321" s="166"/>
      <c r="L321" s="156">
        <f>ROUND(G321*K318,2)</f>
        <v>-396991.02</v>
      </c>
      <c r="M321" s="156">
        <f>ROUND(G321*J318,2)</f>
        <v>2418217.98</v>
      </c>
    </row>
    <row r="322" spans="1:13" ht="30" hidden="1" x14ac:dyDescent="0.25">
      <c r="A322" s="168"/>
      <c r="B322" s="133" t="str">
        <f>'Công trình'!B96</f>
        <v>AC.11121</v>
      </c>
      <c r="C322" s="34"/>
      <c r="D322" s="133" t="str">
        <f>'Công trình'!C96</f>
        <v>Đóng cọc tràm chiều dài cọc ngập đất &gt;2,5m đất cấp I</v>
      </c>
      <c r="E322" s="168"/>
      <c r="F322" s="20">
        <v>1</v>
      </c>
      <c r="G322" s="45">
        <f>'Hao phí vật tư'!J775</f>
        <v>0.216</v>
      </c>
      <c r="H322" s="166"/>
      <c r="I322" s="166"/>
      <c r="J322" s="166"/>
      <c r="K322" s="166"/>
      <c r="L322" s="156">
        <f>ROUND(G322*K318,2)</f>
        <v>-116050.97</v>
      </c>
      <c r="M322" s="156">
        <f>ROUND(G322*J318,2)</f>
        <v>706909.03</v>
      </c>
    </row>
    <row r="323" spans="1:13" ht="30" hidden="1" x14ac:dyDescent="0.25">
      <c r="A323" s="168"/>
      <c r="B323" s="133" t="str">
        <f>'Công trình'!B149</f>
        <v>AC.11121</v>
      </c>
      <c r="C323" s="34"/>
      <c r="D323" s="133" t="str">
        <f>'Công trình'!C149</f>
        <v>Đóng cọc tràm chiều dài cọc ngập đất &gt;2,5m đất cấp I</v>
      </c>
      <c r="E323" s="168"/>
      <c r="F323" s="20">
        <v>1</v>
      </c>
      <c r="G323" s="45">
        <f>'Hao phí vật tư'!J1135</f>
        <v>0.21149999999999999</v>
      </c>
      <c r="H323" s="166"/>
      <c r="I323" s="166"/>
      <c r="J323" s="166"/>
      <c r="K323" s="166"/>
      <c r="L323" s="156">
        <f>ROUND(G323*K318,2)</f>
        <v>-113633.24</v>
      </c>
      <c r="M323" s="156">
        <f>ROUND(G323*J318,2)</f>
        <v>692181.76</v>
      </c>
    </row>
    <row r="324" spans="1:13" ht="30" hidden="1" x14ac:dyDescent="0.25">
      <c r="A324" s="168"/>
      <c r="B324" s="133" t="str">
        <f>'Công trình'!B271</f>
        <v>AC.11121</v>
      </c>
      <c r="C324" s="34"/>
      <c r="D324" s="133" t="str">
        <f>'Công trình'!C271</f>
        <v>Đóng cọc tràm chiều dài cọc ngập đất &gt;2,5m đất cấp I</v>
      </c>
      <c r="E324" s="168"/>
      <c r="F324" s="20">
        <v>1</v>
      </c>
      <c r="G324" s="45">
        <f>'Hao phí vật tư'!J2068</f>
        <v>1.2E-2</v>
      </c>
      <c r="H324" s="166"/>
      <c r="I324" s="166"/>
      <c r="J324" s="166"/>
      <c r="K324" s="166"/>
      <c r="L324" s="156">
        <f>ROUND(G324*K318,2)</f>
        <v>-6447.28</v>
      </c>
      <c r="M324" s="156">
        <f>ROUND(G324*J318,2)</f>
        <v>39272.720000000001</v>
      </c>
    </row>
    <row r="325" spans="1:13" hidden="1" x14ac:dyDescent="0.25">
      <c r="A325" s="168"/>
      <c r="B325" s="133" t="str">
        <f>'Công trình'!B322</f>
        <v>AI.65411</v>
      </c>
      <c r="C325" s="34"/>
      <c r="D325" s="133" t="str">
        <f>'Công trình'!C322</f>
        <v>Lắp đặt kết cấu thép khe van, khe phai</v>
      </c>
      <c r="E325" s="168"/>
      <c r="F325" s="20">
        <v>1</v>
      </c>
      <c r="G325" s="45">
        <f>'Hao phí vật tư'!J2407</f>
        <v>6.3299999999999995E-2</v>
      </c>
      <c r="H325" s="166"/>
      <c r="I325" s="166"/>
      <c r="J325" s="166"/>
      <c r="K325" s="166"/>
      <c r="L325" s="156">
        <f>ROUND(G325*K318,2)</f>
        <v>-34009.379999999997</v>
      </c>
      <c r="M325" s="156">
        <f>ROUND(G325*J318,2)</f>
        <v>207163.62</v>
      </c>
    </row>
    <row r="326" spans="1:13" x14ac:dyDescent="0.25">
      <c r="A326" s="168">
        <v>53</v>
      </c>
      <c r="B326" s="84" t="s">
        <v>462</v>
      </c>
      <c r="C326" s="34">
        <v>822</v>
      </c>
      <c r="D326" s="144" t="s">
        <v>252</v>
      </c>
      <c r="E326" s="168" t="s">
        <v>555</v>
      </c>
      <c r="F326" s="34"/>
      <c r="G326" s="60">
        <f>SUM(G327:G327)</f>
        <v>0.25829999999999997</v>
      </c>
      <c r="H326" s="166">
        <v>3810000</v>
      </c>
      <c r="I326" s="139">
        <v>3272727</v>
      </c>
      <c r="J326" s="139">
        <f>'Vật liệu'!W937</f>
        <v>3272727</v>
      </c>
      <c r="K326" s="166">
        <f>J326-H326</f>
        <v>-537273</v>
      </c>
      <c r="L326" s="166">
        <f>ROUND(G326*K326,0)</f>
        <v>-138778</v>
      </c>
      <c r="M326" s="166">
        <f>ROUND(G326*J326,0)</f>
        <v>845345</v>
      </c>
    </row>
    <row r="327" spans="1:13" ht="30" hidden="1" x14ac:dyDescent="0.25">
      <c r="A327" s="168"/>
      <c r="B327" s="133" t="str">
        <f>'Công trình'!B321</f>
        <v>CV.0202</v>
      </c>
      <c r="C327" s="34"/>
      <c r="D327" s="133" t="str">
        <f>'Công trình'!C321</f>
        <v>Lắp đặt cửa van bằng thép không gỉ, chiều rộng cống (B) &lt;= 8m</v>
      </c>
      <c r="E327" s="168"/>
      <c r="F327" s="20">
        <v>1</v>
      </c>
      <c r="G327" s="45">
        <f>'Hao phí vật tư'!J2389</f>
        <v>0.25829999999999997</v>
      </c>
      <c r="H327" s="166"/>
      <c r="I327" s="166"/>
      <c r="J327" s="166"/>
      <c r="K327" s="166"/>
      <c r="L327" s="156">
        <f>ROUND(G327*K326,2)</f>
        <v>-138777.62</v>
      </c>
      <c r="M327" s="156">
        <f>ROUND(G327*J326,2)</f>
        <v>845345.38</v>
      </c>
    </row>
    <row r="328" spans="1:13" x14ac:dyDescent="0.25">
      <c r="A328" s="168">
        <v>54</v>
      </c>
      <c r="B328" s="84" t="s">
        <v>34</v>
      </c>
      <c r="C328" s="34">
        <v>144</v>
      </c>
      <c r="D328" s="144" t="s">
        <v>353</v>
      </c>
      <c r="E328" s="168" t="s">
        <v>155</v>
      </c>
      <c r="F328" s="34"/>
      <c r="G328" s="60">
        <f>SUM(G329:G333)</f>
        <v>9.676499999999999</v>
      </c>
      <c r="H328" s="166">
        <v>3810000</v>
      </c>
      <c r="I328" s="139">
        <v>3272727</v>
      </c>
      <c r="J328" s="139">
        <f>'Vật liệu'!W314</f>
        <v>3272727</v>
      </c>
      <c r="K328" s="166">
        <f>J328-H328</f>
        <v>-537273</v>
      </c>
      <c r="L328" s="166">
        <f>ROUND(G328*K328,0)</f>
        <v>-5198922</v>
      </c>
      <c r="M328" s="166">
        <f>ROUND(G328*J328,0)</f>
        <v>31668543</v>
      </c>
    </row>
    <row r="329" spans="1:13" ht="30" hidden="1" x14ac:dyDescent="0.25">
      <c r="A329" s="168"/>
      <c r="B329" s="133" t="str">
        <f>'Công trình'!B30</f>
        <v>AF.12113</v>
      </c>
      <c r="C329" s="34"/>
      <c r="D329" s="133" t="str">
        <f>'Công trình'!C30</f>
        <v>Bê tông tường dày &lt;=45cm, chiều cao &lt;=4m đá 1x2, vữa BT mác 200</v>
      </c>
      <c r="E329" s="168"/>
      <c r="F329" s="20">
        <v>1</v>
      </c>
      <c r="G329" s="45">
        <f>'Hao phí vật tư'!J207</f>
        <v>1.2827999999999999</v>
      </c>
      <c r="H329" s="166"/>
      <c r="I329" s="166"/>
      <c r="J329" s="166"/>
      <c r="K329" s="166"/>
      <c r="L329" s="156">
        <f>ROUND(G329*K328,2)</f>
        <v>-689213.8</v>
      </c>
      <c r="M329" s="156">
        <f>ROUND(G329*J328,2)</f>
        <v>4198254.2</v>
      </c>
    </row>
    <row r="330" spans="1:13" ht="30" hidden="1" x14ac:dyDescent="0.25">
      <c r="A330" s="168"/>
      <c r="B330" s="133" t="str">
        <f>'Công trình'!B63</f>
        <v>AF.11223</v>
      </c>
      <c r="C330" s="34"/>
      <c r="D330" s="133" t="str">
        <f>'Công trình'!C63</f>
        <v>Bê tông lát mái rộng &gt;250cm đá 1x2, vữa BT mác 200</v>
      </c>
      <c r="E330" s="168"/>
      <c r="F330" s="20">
        <v>1</v>
      </c>
      <c r="G330" s="45">
        <f>'Hao phí vật tư'!J479</f>
        <v>2.4451999999999998</v>
      </c>
      <c r="H330" s="166"/>
      <c r="I330" s="166"/>
      <c r="J330" s="166"/>
      <c r="K330" s="166"/>
      <c r="L330" s="156">
        <f>ROUND(G330*K328,2)</f>
        <v>-1313739.94</v>
      </c>
      <c r="M330" s="156">
        <f>ROUND(G330*J328,2)</f>
        <v>8002472.0599999996</v>
      </c>
    </row>
    <row r="331" spans="1:13" ht="30" hidden="1" x14ac:dyDescent="0.25">
      <c r="A331" s="168"/>
      <c r="B331" s="133" t="str">
        <f>'Công trình'!B7</f>
        <v>AF.11224</v>
      </c>
      <c r="C331" s="34"/>
      <c r="D331" s="133" t="str">
        <f>'Công trình'!C7</f>
        <v>Bê tông móng rộng &gt;250cm đá 1x2, vữa BT mác 250</v>
      </c>
      <c r="E331" s="168"/>
      <c r="F331" s="20">
        <v>1</v>
      </c>
      <c r="G331" s="45">
        <f>'Hao phí vật tư'!J15</f>
        <v>2.4651000000000001</v>
      </c>
      <c r="H331" s="166"/>
      <c r="I331" s="166"/>
      <c r="J331" s="166"/>
      <c r="K331" s="166"/>
      <c r="L331" s="156">
        <f>ROUND(G331*K328,2)</f>
        <v>-1324431.67</v>
      </c>
      <c r="M331" s="156">
        <f>ROUND(G331*J328,2)</f>
        <v>8067599.3300000001</v>
      </c>
    </row>
    <row r="332" spans="1:13" ht="30" hidden="1" x14ac:dyDescent="0.25">
      <c r="A332" s="168"/>
      <c r="B332" s="133" t="str">
        <f>'Công trình'!B8</f>
        <v>AF.12144</v>
      </c>
      <c r="C332" s="34"/>
      <c r="D332" s="133" t="str">
        <f>'Công trình'!C8</f>
        <v>Bê tông tường dày &gt;45cm, chiều cao &lt;=16m đá 1x2, vữa BT mác 250</v>
      </c>
      <c r="E332" s="168"/>
      <c r="F332" s="20">
        <v>1</v>
      </c>
      <c r="G332" s="45">
        <f>'Hao phí vật tư'!J30</f>
        <v>3.2134</v>
      </c>
      <c r="H332" s="166"/>
      <c r="I332" s="166"/>
      <c r="J332" s="166"/>
      <c r="K332" s="166"/>
      <c r="L332" s="156">
        <f>ROUND(G332*K328,2)</f>
        <v>-1726473.06</v>
      </c>
      <c r="M332" s="156">
        <f>ROUND(G332*J328,2)</f>
        <v>10516580.939999999</v>
      </c>
    </row>
    <row r="333" spans="1:13" hidden="1" x14ac:dyDescent="0.25">
      <c r="A333" s="168"/>
      <c r="B333" s="133" t="str">
        <f>'Công trình'!B175</f>
        <v>AF.11225</v>
      </c>
      <c r="C333" s="34"/>
      <c r="D333" s="133" t="str">
        <f>'Công trình'!C175</f>
        <v>Bê tông bản dẫn đá 1x2, vữa BT mác 300</v>
      </c>
      <c r="E333" s="168"/>
      <c r="F333" s="20">
        <v>1</v>
      </c>
      <c r="G333" s="45">
        <f>'Hao phí vật tư'!J1318</f>
        <v>0.27</v>
      </c>
      <c r="H333" s="166"/>
      <c r="I333" s="166"/>
      <c r="J333" s="166"/>
      <c r="K333" s="166"/>
      <c r="L333" s="156">
        <f>ROUND(G333*K328,2)</f>
        <v>-145063.71</v>
      </c>
      <c r="M333" s="156">
        <f>ROUND(G333*J328,2)</f>
        <v>883636.29</v>
      </c>
    </row>
    <row r="334" spans="1:13" x14ac:dyDescent="0.25">
      <c r="A334" s="168">
        <v>55</v>
      </c>
      <c r="B334" s="84" t="s">
        <v>1103</v>
      </c>
      <c r="C334" s="34">
        <v>139</v>
      </c>
      <c r="D334" s="144" t="s">
        <v>1137</v>
      </c>
      <c r="E334" s="168" t="s">
        <v>75</v>
      </c>
      <c r="F334" s="34"/>
      <c r="G334" s="60">
        <f>SUM(G335:G336)</f>
        <v>36</v>
      </c>
      <c r="H334" s="166">
        <v>230727</v>
      </c>
      <c r="I334" s="156">
        <v>350000</v>
      </c>
      <c r="J334" s="156">
        <f>'Vật liệu'!W320</f>
        <v>350000</v>
      </c>
      <c r="K334" s="166">
        <f>J334-H334</f>
        <v>119273</v>
      </c>
      <c r="L334" s="166">
        <f>ROUND(G334*K334,0)</f>
        <v>4293828</v>
      </c>
      <c r="M334" s="166">
        <f>ROUND(G334*J334,0)</f>
        <v>12600000</v>
      </c>
    </row>
    <row r="335" spans="1:13" hidden="1" x14ac:dyDescent="0.25">
      <c r="A335" s="168"/>
      <c r="B335" s="133" t="str">
        <f>'Công trình'!B178</f>
        <v>AL.25112</v>
      </c>
      <c r="C335" s="34"/>
      <c r="D335" s="133" t="str">
        <f>'Công trình'!C178</f>
        <v>Gối cao su (56x20.3x5)cm</v>
      </c>
      <c r="E335" s="168"/>
      <c r="F335" s="20">
        <v>1</v>
      </c>
      <c r="G335" s="45">
        <f>'Hao phí vật tư'!J1347</f>
        <v>12</v>
      </c>
      <c r="H335" s="166"/>
      <c r="I335" s="166"/>
      <c r="J335" s="166"/>
      <c r="K335" s="166"/>
      <c r="L335" s="156">
        <f>ROUND(G335*K334,2)</f>
        <v>1431276</v>
      </c>
      <c r="M335" s="156">
        <f>ROUND(G335*J334,2)</f>
        <v>4200000</v>
      </c>
    </row>
    <row r="336" spans="1:13" hidden="1" x14ac:dyDescent="0.25">
      <c r="A336" s="168"/>
      <c r="B336" s="133" t="str">
        <f>'Công trình'!B188</f>
        <v>AL.25112</v>
      </c>
      <c r="C336" s="34"/>
      <c r="D336" s="133" t="str">
        <f>'Công trình'!C188</f>
        <v>Gối cao su (56x20.3x5)cm</v>
      </c>
      <c r="E336" s="168"/>
      <c r="F336" s="20">
        <v>1</v>
      </c>
      <c r="G336" s="45">
        <f>'Hao phí vật tư'!J1438</f>
        <v>24</v>
      </c>
      <c r="H336" s="166"/>
      <c r="I336" s="166"/>
      <c r="J336" s="166"/>
      <c r="K336" s="166"/>
      <c r="L336" s="156">
        <f>ROUND(G336*K334,2)</f>
        <v>2862552</v>
      </c>
      <c r="M336" s="156">
        <f>ROUND(G336*J334,2)</f>
        <v>8400000</v>
      </c>
    </row>
    <row r="337" spans="1:13" x14ac:dyDescent="0.25">
      <c r="A337" s="168">
        <v>56</v>
      </c>
      <c r="B337" s="84" t="s">
        <v>29</v>
      </c>
      <c r="C337" s="34">
        <v>433</v>
      </c>
      <c r="D337" s="144" t="s">
        <v>216</v>
      </c>
      <c r="E337" s="168" t="s">
        <v>113</v>
      </c>
      <c r="F337" s="34"/>
      <c r="G337" s="60">
        <f>SUM(G338:G340)</f>
        <v>25.24</v>
      </c>
      <c r="H337" s="166">
        <v>842975</v>
      </c>
      <c r="I337" s="156">
        <v>1548220</v>
      </c>
      <c r="J337" s="156">
        <f>'Vật liệu'!W323</f>
        <v>1548220</v>
      </c>
      <c r="K337" s="166">
        <f>J337-H337</f>
        <v>705245</v>
      </c>
      <c r="L337" s="166">
        <f>ROUND(G337*K337,0)</f>
        <v>17800384</v>
      </c>
      <c r="M337" s="166">
        <f>ROUND(G337*J337,0)</f>
        <v>39077073</v>
      </c>
    </row>
    <row r="338" spans="1:13" ht="30" hidden="1" x14ac:dyDescent="0.25">
      <c r="A338" s="168"/>
      <c r="B338" s="133" t="str">
        <f>'Công trình'!B142</f>
        <v>AC.22522</v>
      </c>
      <c r="C338" s="34"/>
      <c r="D338" s="133" t="str">
        <f>'Công trình'!C142</f>
        <v>Đóng cọc thép hình H300 trên mặt đất, chiều dài cọc &gt;10m, đất cấp II, phần ngập đất</v>
      </c>
      <c r="E338" s="168"/>
      <c r="F338" s="20">
        <v>1</v>
      </c>
      <c r="G338" s="45">
        <f>'Hao phí vật tư'!J1085</f>
        <v>0</v>
      </c>
      <c r="H338" s="166"/>
      <c r="I338" s="166"/>
      <c r="J338" s="166"/>
      <c r="K338" s="166"/>
      <c r="L338" s="156">
        <f>ROUND(G338*K337,2)</f>
        <v>0</v>
      </c>
      <c r="M338" s="156">
        <f>ROUND(G338*J337,2)</f>
        <v>0</v>
      </c>
    </row>
    <row r="339" spans="1:13" ht="45" hidden="1" x14ac:dyDescent="0.25">
      <c r="A339" s="168"/>
      <c r="B339" s="133" t="str">
        <f>'Công trình'!B143</f>
        <v>AC.22522</v>
      </c>
      <c r="C339" s="34"/>
      <c r="D339" s="133" t="str">
        <f>'Công trình'!C143</f>
        <v>Đóng cọc thép hình H300 trên mặt đất, chiều dài cọc &gt;10m, đất cấp II, phần không ngập đất (NC, MTC * 0,75)</v>
      </c>
      <c r="E339" s="168"/>
      <c r="F339" s="20">
        <v>1</v>
      </c>
      <c r="G339" s="45">
        <f>'Hao phí vật tư'!J1094</f>
        <v>0</v>
      </c>
      <c r="H339" s="166"/>
      <c r="I339" s="166"/>
      <c r="J339" s="166"/>
      <c r="K339" s="166"/>
      <c r="L339" s="156">
        <f>ROUND(G339*K337,2)</f>
        <v>0</v>
      </c>
      <c r="M339" s="156">
        <f>ROUND(G339*J337,2)</f>
        <v>0</v>
      </c>
    </row>
    <row r="340" spans="1:13" ht="30" hidden="1" x14ac:dyDescent="0.25">
      <c r="A340" s="168"/>
      <c r="B340" s="133" t="str">
        <f>'Công trình'!B144</f>
        <v>TT</v>
      </c>
      <c r="C340" s="34"/>
      <c r="D340" s="133" t="str">
        <f>'Công trình'!C144</f>
        <v>Khấu hao cọc thép hình (Thi công trong vòng 3 tháng và 1 lần đóng nhổ)</v>
      </c>
      <c r="E340" s="168"/>
      <c r="F340" s="20">
        <v>1</v>
      </c>
      <c r="G340" s="45">
        <f>'Hao phí vật tư'!J1103</f>
        <v>25.24</v>
      </c>
      <c r="H340" s="166"/>
      <c r="I340" s="166"/>
      <c r="J340" s="166"/>
      <c r="K340" s="166"/>
      <c r="L340" s="156">
        <f>ROUND(G340*K337,2)</f>
        <v>17800383.800000001</v>
      </c>
      <c r="M340" s="156">
        <f>ROUND(G340*J337,2)</f>
        <v>39077072.799999997</v>
      </c>
    </row>
    <row r="341" spans="1:13" x14ac:dyDescent="0.25">
      <c r="A341" s="168">
        <v>57</v>
      </c>
      <c r="B341" s="84" t="s">
        <v>29</v>
      </c>
      <c r="C341" s="34">
        <v>432</v>
      </c>
      <c r="D341" s="144" t="s">
        <v>572</v>
      </c>
      <c r="E341" s="168" t="s">
        <v>113</v>
      </c>
      <c r="F341" s="34"/>
      <c r="G341" s="60">
        <f>SUM(G342:G344)</f>
        <v>27.48</v>
      </c>
      <c r="H341" s="166">
        <v>842975</v>
      </c>
      <c r="I341" s="156">
        <v>1830000</v>
      </c>
      <c r="J341" s="156">
        <f>'Vật liệu'!W327</f>
        <v>1830000</v>
      </c>
      <c r="K341" s="166">
        <f>J341-H341</f>
        <v>987025</v>
      </c>
      <c r="L341" s="166">
        <f>ROUND(G341*K341,0)</f>
        <v>27123447</v>
      </c>
      <c r="M341" s="166">
        <f>ROUND(G341*J341,0)</f>
        <v>50288400</v>
      </c>
    </row>
    <row r="342" spans="1:13" ht="45" hidden="1" x14ac:dyDescent="0.25">
      <c r="A342" s="168"/>
      <c r="B342" s="133" t="str">
        <f>'Công trình'!B162</f>
        <v>AC.22522</v>
      </c>
      <c r="C342" s="34"/>
      <c r="D342" s="133" t="str">
        <f>'Công trình'!C162</f>
        <v>Đóng cọc thép hình I350x150, dài 14m đóng ngập đất 11m trên mặt đất, đất cấp II, phần ngập đất</v>
      </c>
      <c r="E342" s="168"/>
      <c r="F342" s="20">
        <v>1</v>
      </c>
      <c r="G342" s="45">
        <f>'Hao phí vật tư'!J1231</f>
        <v>0</v>
      </c>
      <c r="H342" s="166"/>
      <c r="I342" s="166"/>
      <c r="J342" s="166"/>
      <c r="K342" s="166"/>
      <c r="L342" s="156">
        <f>ROUND(G342*K341,2)</f>
        <v>0</v>
      </c>
      <c r="M342" s="156">
        <f>ROUND(G342*J341,2)</f>
        <v>0</v>
      </c>
    </row>
    <row r="343" spans="1:13" ht="45" hidden="1" x14ac:dyDescent="0.25">
      <c r="A343" s="168"/>
      <c r="B343" s="133" t="str">
        <f>'Công trình'!B163</f>
        <v>AC.22522</v>
      </c>
      <c r="C343" s="34"/>
      <c r="D343" s="133" t="str">
        <f>'Công trình'!C163</f>
        <v>Đóng cọc thép hình I350x150, dài 14m đóng không ngập đất 3m, đất cấp II, phần không ngập đất (NC, MTC * 0,75)</v>
      </c>
      <c r="E343" s="168"/>
      <c r="F343" s="20">
        <v>1</v>
      </c>
      <c r="G343" s="45">
        <f>'Hao phí vật tư'!J1240</f>
        <v>0</v>
      </c>
      <c r="H343" s="166"/>
      <c r="I343" s="166"/>
      <c r="J343" s="166"/>
      <c r="K343" s="166"/>
      <c r="L343" s="156">
        <f>ROUND(G343*K341,2)</f>
        <v>0</v>
      </c>
      <c r="M343" s="156">
        <f>ROUND(G343*J341,2)</f>
        <v>0</v>
      </c>
    </row>
    <row r="344" spans="1:13" ht="30" hidden="1" x14ac:dyDescent="0.25">
      <c r="A344" s="168"/>
      <c r="B344" s="133" t="str">
        <f>'Công trình'!B164</f>
        <v>TT</v>
      </c>
      <c r="C344" s="34"/>
      <c r="D344" s="133" t="str">
        <f>'Công trình'!C164</f>
        <v>Khấu hao cọc thép hình (Thi công trong vòng 3 tháng và 1 lần đóng nhổ)</v>
      </c>
      <c r="E344" s="168"/>
      <c r="F344" s="20">
        <v>1</v>
      </c>
      <c r="G344" s="45">
        <f>'Hao phí vật tư'!J1249</f>
        <v>27.48</v>
      </c>
      <c r="H344" s="166"/>
      <c r="I344" s="166"/>
      <c r="J344" s="166"/>
      <c r="K344" s="166"/>
      <c r="L344" s="156">
        <f>ROUND(G344*K341,2)</f>
        <v>27123447</v>
      </c>
      <c r="M344" s="156">
        <f>ROUND(G344*J341,2)</f>
        <v>50288400</v>
      </c>
    </row>
    <row r="345" spans="1:13" x14ac:dyDescent="0.25">
      <c r="A345" s="168">
        <v>58</v>
      </c>
      <c r="B345" s="84" t="s">
        <v>1078</v>
      </c>
      <c r="C345" s="34">
        <v>528</v>
      </c>
      <c r="D345" s="144" t="s">
        <v>139</v>
      </c>
      <c r="E345" s="168" t="s">
        <v>367</v>
      </c>
      <c r="F345" s="34"/>
      <c r="G345" s="60">
        <f>SUM(G346:G346)</f>
        <v>0.37</v>
      </c>
      <c r="H345" s="166">
        <v>250000</v>
      </c>
      <c r="I345" s="166">
        <v>250000</v>
      </c>
      <c r="J345" s="166">
        <f>'Vật liệu'!W331</f>
        <v>250000</v>
      </c>
      <c r="K345" s="166">
        <f>J345-H345</f>
        <v>0</v>
      </c>
      <c r="L345" s="166">
        <f>ROUND(G345*K345,0)</f>
        <v>0</v>
      </c>
      <c r="M345" s="166">
        <f>ROUND(G345*J345,0)</f>
        <v>92500</v>
      </c>
    </row>
    <row r="346" spans="1:13" hidden="1" x14ac:dyDescent="0.25">
      <c r="A346" s="168"/>
      <c r="B346" s="133" t="str">
        <f>'Công trình'!B215</f>
        <v>TT</v>
      </c>
      <c r="C346" s="34"/>
      <c r="D346" s="133" t="str">
        <f>'Công trình'!C215</f>
        <v>Keo Epoxy</v>
      </c>
      <c r="E346" s="168"/>
      <c r="F346" s="20">
        <v>1</v>
      </c>
      <c r="G346" s="45">
        <f>'Hao phí vật tư'!J1626</f>
        <v>0.37</v>
      </c>
      <c r="H346" s="166"/>
      <c r="I346" s="166"/>
      <c r="J346" s="166"/>
      <c r="K346" s="166"/>
      <c r="L346" s="156">
        <f>ROUND(G346*K345,2)</f>
        <v>0</v>
      </c>
      <c r="M346" s="156">
        <f>ROUND(G346*J345,2)</f>
        <v>92500</v>
      </c>
    </row>
    <row r="347" spans="1:13" x14ac:dyDescent="0.25">
      <c r="A347" s="168">
        <v>59</v>
      </c>
      <c r="B347" s="84" t="s">
        <v>371</v>
      </c>
      <c r="C347" s="34">
        <v>439</v>
      </c>
      <c r="D347" s="144" t="s">
        <v>1138</v>
      </c>
      <c r="E347" s="168" t="s">
        <v>113</v>
      </c>
      <c r="F347" s="34"/>
      <c r="G347" s="60">
        <f>SUM(G348:G348)</f>
        <v>12.6</v>
      </c>
      <c r="H347" s="166">
        <v>1500000</v>
      </c>
      <c r="I347" s="166">
        <v>1500000</v>
      </c>
      <c r="J347" s="166">
        <f>'Vật liệu'!W333</f>
        <v>1500000</v>
      </c>
      <c r="K347" s="166">
        <f>J347-H347</f>
        <v>0</v>
      </c>
      <c r="L347" s="166">
        <f>ROUND(G347*K347,0)</f>
        <v>0</v>
      </c>
      <c r="M347" s="166">
        <f>ROUND(G347*J347,0)</f>
        <v>18900000</v>
      </c>
    </row>
    <row r="348" spans="1:13" hidden="1" x14ac:dyDescent="0.25">
      <c r="A348" s="168"/>
      <c r="B348" s="133" t="str">
        <f>'Công trình'!B213</f>
        <v>AL.25121</v>
      </c>
      <c r="C348" s="34"/>
      <c r="D348" s="133" t="str">
        <f>'Công trình'!C213</f>
        <v>Lắp đặt khe co giãn dầm liên tục</v>
      </c>
      <c r="E348" s="168"/>
      <c r="F348" s="20">
        <v>1</v>
      </c>
      <c r="G348" s="45">
        <f>'Hao phí vật tư'!J1617</f>
        <v>12.6</v>
      </c>
      <c r="H348" s="166"/>
      <c r="I348" s="166"/>
      <c r="J348" s="166"/>
      <c r="K348" s="166"/>
      <c r="L348" s="156">
        <f>ROUND(G348*K347,2)</f>
        <v>0</v>
      </c>
      <c r="M348" s="156">
        <f>ROUND(G348*J347,2)</f>
        <v>18900000</v>
      </c>
    </row>
    <row r="349" spans="1:13" x14ac:dyDescent="0.25">
      <c r="A349" s="168">
        <v>60</v>
      </c>
      <c r="B349" s="84" t="s">
        <v>204</v>
      </c>
      <c r="C349" s="34">
        <v>540</v>
      </c>
      <c r="D349" s="144" t="s">
        <v>1164</v>
      </c>
      <c r="E349" s="168" t="s">
        <v>205</v>
      </c>
      <c r="F349" s="34"/>
      <c r="G349" s="60">
        <f>SUM(G350:G350)</f>
        <v>16.2</v>
      </c>
      <c r="H349" s="166">
        <v>75000</v>
      </c>
      <c r="I349" s="166">
        <v>75000</v>
      </c>
      <c r="J349" s="166">
        <f>'Vật liệu'!W335</f>
        <v>75000</v>
      </c>
      <c r="K349" s="166">
        <f>J349-H349</f>
        <v>0</v>
      </c>
      <c r="L349" s="166">
        <f>ROUND(G349*K349,0)</f>
        <v>0</v>
      </c>
      <c r="M349" s="166">
        <f>ROUND(G349*J349,0)</f>
        <v>1215000</v>
      </c>
    </row>
    <row r="350" spans="1:13" hidden="1" x14ac:dyDescent="0.25">
      <c r="A350" s="168"/>
      <c r="B350" s="133" t="str">
        <f>'Công trình'!B199</f>
        <v>TT</v>
      </c>
      <c r="C350" s="34"/>
      <c r="D350" s="133" t="str">
        <f>'Công trình'!C199</f>
        <v>Lớp phòng nước dày 4mm</v>
      </c>
      <c r="E350" s="168"/>
      <c r="F350" s="20">
        <v>1</v>
      </c>
      <c r="G350" s="45">
        <f>'Hao phí vật tư'!J1536</f>
        <v>16.2</v>
      </c>
      <c r="H350" s="166"/>
      <c r="I350" s="166"/>
      <c r="J350" s="166"/>
      <c r="K350" s="166"/>
      <c r="L350" s="156">
        <f>ROUND(G350*K349,2)</f>
        <v>0</v>
      </c>
      <c r="M350" s="156">
        <f>ROUND(G350*J349,2)</f>
        <v>1215000</v>
      </c>
    </row>
    <row r="351" spans="1:13" x14ac:dyDescent="0.25">
      <c r="A351" s="168">
        <v>61</v>
      </c>
      <c r="B351" s="84" t="s">
        <v>78</v>
      </c>
      <c r="C351" s="34">
        <v>146</v>
      </c>
      <c r="D351" s="144" t="s">
        <v>245</v>
      </c>
      <c r="E351" s="168" t="s">
        <v>205</v>
      </c>
      <c r="F351" s="34"/>
      <c r="G351" s="60">
        <f>SUM(G352:G354)</f>
        <v>32.54</v>
      </c>
      <c r="H351" s="166">
        <v>200000</v>
      </c>
      <c r="I351" s="166">
        <v>200000</v>
      </c>
      <c r="J351" s="166">
        <f>'Vật liệu'!W337</f>
        <v>200000</v>
      </c>
      <c r="K351" s="166">
        <f>J351-H351</f>
        <v>0</v>
      </c>
      <c r="L351" s="166">
        <f>ROUND(G351*K351,0)</f>
        <v>0</v>
      </c>
      <c r="M351" s="166">
        <f>ROUND(G351*J351,0)</f>
        <v>6508000</v>
      </c>
    </row>
    <row r="352" spans="1:13" hidden="1" x14ac:dyDescent="0.25">
      <c r="A352" s="168"/>
      <c r="B352" s="133" t="str">
        <f>'Công trình'!B269</f>
        <v>AD.32411</v>
      </c>
      <c r="C352" s="34"/>
      <c r="D352" s="133" t="str">
        <f>'Công trình'!C269</f>
        <v>Biển báo (1.2 x 1.2)m</v>
      </c>
      <c r="E352" s="168"/>
      <c r="F352" s="20">
        <v>1</v>
      </c>
      <c r="G352" s="45">
        <f>'Hao phí vật tư'!J2055</f>
        <v>30.667999999999999</v>
      </c>
      <c r="H352" s="166"/>
      <c r="I352" s="166"/>
      <c r="J352" s="166"/>
      <c r="K352" s="166"/>
      <c r="L352" s="156">
        <f>ROUND(G352*K351,2)</f>
        <v>0</v>
      </c>
      <c r="M352" s="156">
        <f>ROUND(G352*J351,2)</f>
        <v>6133600</v>
      </c>
    </row>
    <row r="353" spans="1:13" ht="30" hidden="1" x14ac:dyDescent="0.25">
      <c r="A353" s="168"/>
      <c r="B353" s="133" t="str">
        <f>'Công trình'!B290</f>
        <v>AD.32421</v>
      </c>
      <c r="C353" s="34"/>
      <c r="D353" s="133" t="str">
        <f>'Công trình'!C290</f>
        <v>Biển báo bằng tôn hình tròn D70cm, dày 1.2mm, sơn phản quang (Biển 115)</v>
      </c>
      <c r="E353" s="168"/>
      <c r="F353" s="20">
        <v>1</v>
      </c>
      <c r="G353" s="45">
        <f>'Hao phí vật tư'!J2171</f>
        <v>1.1399999999999999</v>
      </c>
      <c r="H353" s="166"/>
      <c r="I353" s="166"/>
      <c r="J353" s="166"/>
      <c r="K353" s="166"/>
      <c r="L353" s="156">
        <f>ROUND(G353*K351,2)</f>
        <v>0</v>
      </c>
      <c r="M353" s="156">
        <f>ROUND(G353*J351,2)</f>
        <v>228000</v>
      </c>
    </row>
    <row r="354" spans="1:13" hidden="1" x14ac:dyDescent="0.25">
      <c r="A354" s="168"/>
      <c r="B354" s="133" t="str">
        <f>'Công trình'!B291</f>
        <v>AD.32441</v>
      </c>
      <c r="C354" s="34"/>
      <c r="D354" s="133" t="str">
        <f>'Công trình'!C291</f>
        <v>Biển hình chữ nhật (40x60) (biển 439)</v>
      </c>
      <c r="E354" s="168"/>
      <c r="F354" s="20">
        <v>1</v>
      </c>
      <c r="G354" s="45">
        <f>'Hao phí vật tư'!J2183</f>
        <v>0.73199999999999998</v>
      </c>
      <c r="H354" s="166"/>
      <c r="I354" s="166"/>
      <c r="J354" s="166"/>
      <c r="K354" s="166"/>
      <c r="L354" s="156">
        <f>ROUND(G354*K351,2)</f>
        <v>0</v>
      </c>
      <c r="M354" s="156">
        <f>ROUND(G354*J351,2)</f>
        <v>146400</v>
      </c>
    </row>
    <row r="355" spans="1:13" x14ac:dyDescent="0.25">
      <c r="A355" s="168">
        <v>62</v>
      </c>
      <c r="B355" s="84" t="s">
        <v>790</v>
      </c>
      <c r="C355" s="34">
        <v>479</v>
      </c>
      <c r="D355" s="144" t="s">
        <v>766</v>
      </c>
      <c r="E355" s="168" t="s">
        <v>1123</v>
      </c>
      <c r="F355" s="34"/>
      <c r="G355" s="60">
        <f>SUM(G356:G356)</f>
        <v>3.6</v>
      </c>
      <c r="H355" s="166">
        <v>96250</v>
      </c>
      <c r="I355" s="166">
        <v>96250</v>
      </c>
      <c r="J355" s="166">
        <f>'Vật liệu'!W341</f>
        <v>96250</v>
      </c>
      <c r="K355" s="166">
        <f>J355-H355</f>
        <v>0</v>
      </c>
      <c r="L355" s="166">
        <f>ROUND(G355*K355,0)</f>
        <v>0</v>
      </c>
      <c r="M355" s="166">
        <f>ROUND(G355*J355,0)</f>
        <v>346500</v>
      </c>
    </row>
    <row r="356" spans="1:13" ht="30" hidden="1" x14ac:dyDescent="0.25">
      <c r="A356" s="168"/>
      <c r="B356" s="133" t="str">
        <f>'Công trình'!B259</f>
        <v>BB.14309</v>
      </c>
      <c r="C356" s="34"/>
      <c r="D356" s="133" t="str">
        <f>'Công trình'!C259</f>
        <v>Lắp đặt ống thép tráng kẽm, đoạn ống dài 8m, đk=110mm</v>
      </c>
      <c r="E356" s="168"/>
      <c r="F356" s="20">
        <v>1</v>
      </c>
      <c r="G356" s="45">
        <f>'Hao phí vật tư'!J1979</f>
        <v>3.6</v>
      </c>
      <c r="H356" s="166"/>
      <c r="I356" s="166"/>
      <c r="J356" s="166"/>
      <c r="K356" s="166"/>
      <c r="L356" s="156">
        <f>ROUND(G356*K355,2)</f>
        <v>0</v>
      </c>
      <c r="M356" s="156">
        <f>ROUND(G356*J355,2)</f>
        <v>346500</v>
      </c>
    </row>
    <row r="357" spans="1:13" x14ac:dyDescent="0.25">
      <c r="A357" s="168">
        <v>63</v>
      </c>
      <c r="B357" s="84" t="s">
        <v>1105</v>
      </c>
      <c r="C357" s="34">
        <v>481</v>
      </c>
      <c r="D357" s="144" t="s">
        <v>380</v>
      </c>
      <c r="E357" s="168" t="s">
        <v>1123</v>
      </c>
      <c r="F357" s="34"/>
      <c r="G357" s="60">
        <f>SUM(G358:G358)</f>
        <v>0.84</v>
      </c>
      <c r="H357" s="166">
        <v>45100</v>
      </c>
      <c r="I357" s="166">
        <v>45100</v>
      </c>
      <c r="J357" s="166">
        <f>'Vật liệu'!W343</f>
        <v>45100</v>
      </c>
      <c r="K357" s="166">
        <f>J357-H357</f>
        <v>0</v>
      </c>
      <c r="L357" s="166">
        <f>ROUND(G357*K357,0)</f>
        <v>0</v>
      </c>
      <c r="M357" s="166">
        <f>ROUND(G357*J357,0)</f>
        <v>37884</v>
      </c>
    </row>
    <row r="358" spans="1:13" hidden="1" x14ac:dyDescent="0.25">
      <c r="A358" s="168"/>
      <c r="B358" s="133" t="str">
        <f>'Công trình'!B289</f>
        <v>BB.14306</v>
      </c>
      <c r="C358" s="34"/>
      <c r="D358" s="133" t="str">
        <f>'Công trình'!C289</f>
        <v>Ống thép D80mm, dày 2.9mm, mạ kẽm</v>
      </c>
      <c r="E358" s="168"/>
      <c r="F358" s="20">
        <v>1</v>
      </c>
      <c r="G358" s="45">
        <f>'Hao phí vật tư'!J2162</f>
        <v>0.84</v>
      </c>
      <c r="H358" s="166"/>
      <c r="I358" s="166"/>
      <c r="J358" s="166"/>
      <c r="K358" s="166"/>
      <c r="L358" s="156">
        <f>ROUND(G358*K357,2)</f>
        <v>0</v>
      </c>
      <c r="M358" s="156">
        <f>ROUND(G358*J357,2)</f>
        <v>37884</v>
      </c>
    </row>
    <row r="359" spans="1:13" x14ac:dyDescent="0.25">
      <c r="A359" s="168">
        <v>64</v>
      </c>
      <c r="B359" s="84" t="s">
        <v>70</v>
      </c>
      <c r="C359" s="34">
        <v>519</v>
      </c>
      <c r="D359" s="144" t="s">
        <v>519</v>
      </c>
      <c r="E359" s="168" t="s">
        <v>75</v>
      </c>
      <c r="F359" s="34"/>
      <c r="G359" s="60">
        <f>SUM(G360:G360)</f>
        <v>16</v>
      </c>
      <c r="H359" s="166">
        <v>50000</v>
      </c>
      <c r="I359" s="166">
        <v>50000</v>
      </c>
      <c r="J359" s="166">
        <f>'Vật liệu'!W345</f>
        <v>50000</v>
      </c>
      <c r="K359" s="166">
        <f>J359-H359</f>
        <v>0</v>
      </c>
      <c r="L359" s="166">
        <f>ROUND(G359*K359,0)</f>
        <v>0</v>
      </c>
      <c r="M359" s="166">
        <f>ROUND(G359*J359,0)</f>
        <v>800000</v>
      </c>
    </row>
    <row r="360" spans="1:13" ht="30" hidden="1" x14ac:dyDescent="0.25">
      <c r="A360" s="168"/>
      <c r="B360" s="133" t="str">
        <f>'Công trình'!B273</f>
        <v>TH.01.05.20</v>
      </c>
      <c r="C360" s="34"/>
      <c r="D360" s="133" t="str">
        <f>'Công trình'!C273</f>
        <v>Đèn tín hiệu thông thuyền</v>
      </c>
      <c r="E360" s="168"/>
      <c r="F360" s="20">
        <v>1</v>
      </c>
      <c r="G360" s="45">
        <f>'Hao phí vật tư'!J2079</f>
        <v>16</v>
      </c>
      <c r="H360" s="166"/>
      <c r="I360" s="166"/>
      <c r="J360" s="166"/>
      <c r="K360" s="166"/>
      <c r="L360" s="156">
        <f>ROUND(G360*K359,2)</f>
        <v>0</v>
      </c>
      <c r="M360" s="156">
        <f>ROUND(G360*J359,2)</f>
        <v>800000</v>
      </c>
    </row>
    <row r="361" spans="1:13" x14ac:dyDescent="0.25">
      <c r="A361" s="168">
        <v>65</v>
      </c>
      <c r="B361" s="84" t="s">
        <v>810</v>
      </c>
      <c r="C361" s="34">
        <v>773</v>
      </c>
      <c r="D361" s="144" t="s">
        <v>781</v>
      </c>
      <c r="E361" s="168" t="s">
        <v>555</v>
      </c>
      <c r="F361" s="34"/>
      <c r="G361" s="60">
        <f>SUM(G362:G362)</f>
        <v>11.6683</v>
      </c>
      <c r="H361" s="166">
        <v>26000</v>
      </c>
      <c r="I361" s="166">
        <v>26000</v>
      </c>
      <c r="J361" s="166">
        <f>'Vật liệu'!W939</f>
        <v>26000</v>
      </c>
      <c r="K361" s="166">
        <f>J361-H361</f>
        <v>0</v>
      </c>
      <c r="L361" s="166">
        <f>ROUND(G361*K361,0)</f>
        <v>0</v>
      </c>
      <c r="M361" s="166">
        <f>ROUND(G361*J361,0)</f>
        <v>303376</v>
      </c>
    </row>
    <row r="362" spans="1:13" hidden="1" x14ac:dyDescent="0.25">
      <c r="A362" s="168"/>
      <c r="B362" s="133" t="str">
        <f>'Công trình'!B322</f>
        <v>AI.65411</v>
      </c>
      <c r="C362" s="34"/>
      <c r="D362" s="133" t="str">
        <f>'Công trình'!C322</f>
        <v>Lắp đặt kết cấu thép khe van, khe phai</v>
      </c>
      <c r="E362" s="168"/>
      <c r="F362" s="20">
        <v>1</v>
      </c>
      <c r="G362" s="45">
        <f>'Hao phí vật tư'!J2406</f>
        <v>11.6683</v>
      </c>
      <c r="H362" s="166"/>
      <c r="I362" s="166"/>
      <c r="J362" s="166"/>
      <c r="K362" s="166"/>
      <c r="L362" s="156">
        <f>ROUND(G362*K361,2)</f>
        <v>0</v>
      </c>
      <c r="M362" s="156">
        <f>ROUND(G362*J361,2)</f>
        <v>303375.8</v>
      </c>
    </row>
    <row r="363" spans="1:13" x14ac:dyDescent="0.25">
      <c r="A363" s="168">
        <v>66</v>
      </c>
      <c r="B363" s="84" t="s">
        <v>446</v>
      </c>
      <c r="C363" s="34">
        <v>536</v>
      </c>
      <c r="D363" s="144" t="s">
        <v>69</v>
      </c>
      <c r="E363" s="168" t="s">
        <v>555</v>
      </c>
      <c r="F363" s="34"/>
      <c r="G363" s="60">
        <f>SUM(G364:G364)</f>
        <v>11.75</v>
      </c>
      <c r="H363" s="166">
        <v>222600</v>
      </c>
      <c r="I363" s="166">
        <v>222600</v>
      </c>
      <c r="J363" s="166">
        <f>'Vật liệu'!W347</f>
        <v>222600</v>
      </c>
      <c r="K363" s="166">
        <f>J363-H363</f>
        <v>0</v>
      </c>
      <c r="L363" s="166">
        <f>ROUND(G363*K363,0)</f>
        <v>0</v>
      </c>
      <c r="M363" s="166">
        <f>ROUND(G363*J363,0)</f>
        <v>2615550</v>
      </c>
    </row>
    <row r="364" spans="1:13" hidden="1" x14ac:dyDescent="0.25">
      <c r="A364" s="168"/>
      <c r="B364" s="133" t="str">
        <f>'Công trình'!B41</f>
        <v>TT</v>
      </c>
      <c r="C364" s="34"/>
      <c r="D364" s="133" t="str">
        <f>'Công trình'!C41</f>
        <v xml:space="preserve">Mốc đồng </v>
      </c>
      <c r="E364" s="168"/>
      <c r="F364" s="20">
        <v>1</v>
      </c>
      <c r="G364" s="45">
        <f>'Hao phí vật tư'!J310</f>
        <v>11.75</v>
      </c>
      <c r="H364" s="166"/>
      <c r="I364" s="166"/>
      <c r="J364" s="166"/>
      <c r="K364" s="166"/>
      <c r="L364" s="156">
        <f>ROUND(G364*K363,2)</f>
        <v>0</v>
      </c>
      <c r="M364" s="156">
        <f>ROUND(G364*J363,2)</f>
        <v>2615550</v>
      </c>
    </row>
    <row r="365" spans="1:13" x14ac:dyDescent="0.25">
      <c r="A365" s="168">
        <v>67</v>
      </c>
      <c r="B365" s="84" t="s">
        <v>1110</v>
      </c>
      <c r="C365" s="34">
        <v>147</v>
      </c>
      <c r="D365" s="144" t="s">
        <v>704</v>
      </c>
      <c r="E365" s="168" t="s">
        <v>414</v>
      </c>
      <c r="F365" s="34"/>
      <c r="G365" s="60">
        <f>SUM(G366:G368)</f>
        <v>2.7280000000000002</v>
      </c>
      <c r="H365" s="166">
        <v>100000</v>
      </c>
      <c r="I365" s="166">
        <v>100000</v>
      </c>
      <c r="J365" s="166">
        <f>'Vật liệu'!W349</f>
        <v>100000</v>
      </c>
      <c r="K365" s="166">
        <f>J365-H365</f>
        <v>0</v>
      </c>
      <c r="L365" s="166">
        <f>ROUND(G365*K365,0)</f>
        <v>0</v>
      </c>
      <c r="M365" s="166">
        <f>ROUND(G365*J365,0)</f>
        <v>272800</v>
      </c>
    </row>
    <row r="366" spans="1:13" hidden="1" x14ac:dyDescent="0.25">
      <c r="A366" s="168"/>
      <c r="B366" s="133" t="str">
        <f>'Công trình'!B269</f>
        <v>AD.32411</v>
      </c>
      <c r="C366" s="34"/>
      <c r="D366" s="133" t="str">
        <f>'Công trình'!C269</f>
        <v>Biển báo (1.2 x 1.2)m</v>
      </c>
      <c r="E366" s="168"/>
      <c r="F366" s="20">
        <v>1</v>
      </c>
      <c r="G366" s="45">
        <f>'Hao phí vật tư'!J2056</f>
        <v>2.5840000000000001</v>
      </c>
      <c r="H366" s="166"/>
      <c r="I366" s="166"/>
      <c r="J366" s="166"/>
      <c r="K366" s="166"/>
      <c r="L366" s="156">
        <f>ROUND(G366*K365,2)</f>
        <v>0</v>
      </c>
      <c r="M366" s="156">
        <f>ROUND(G366*J365,2)</f>
        <v>258400</v>
      </c>
    </row>
    <row r="367" spans="1:13" ht="30" hidden="1" x14ac:dyDescent="0.25">
      <c r="A367" s="168"/>
      <c r="B367" s="133" t="str">
        <f>'Công trình'!B290</f>
        <v>AD.32421</v>
      </c>
      <c r="C367" s="34"/>
      <c r="D367" s="133" t="str">
        <f>'Công trình'!C290</f>
        <v>Biển báo bằng tôn hình tròn D70cm, dày 1.2mm, sơn phản quang (Biển 115)</v>
      </c>
      <c r="E367" s="168"/>
      <c r="F367" s="20">
        <v>1</v>
      </c>
      <c r="G367" s="45">
        <f>'Hao phí vật tư'!J2172</f>
        <v>0.08</v>
      </c>
      <c r="H367" s="166"/>
      <c r="I367" s="166"/>
      <c r="J367" s="166"/>
      <c r="K367" s="166"/>
      <c r="L367" s="156">
        <f>ROUND(G367*K365,2)</f>
        <v>0</v>
      </c>
      <c r="M367" s="156">
        <f>ROUND(G367*J365,2)</f>
        <v>8000</v>
      </c>
    </row>
    <row r="368" spans="1:13" hidden="1" x14ac:dyDescent="0.25">
      <c r="A368" s="168"/>
      <c r="B368" s="133" t="str">
        <f>'Công trình'!B291</f>
        <v>AD.32441</v>
      </c>
      <c r="C368" s="34"/>
      <c r="D368" s="133" t="str">
        <f>'Công trình'!C291</f>
        <v>Biển hình chữ nhật (40x60) (biển 439)</v>
      </c>
      <c r="E368" s="168"/>
      <c r="F368" s="20">
        <v>1</v>
      </c>
      <c r="G368" s="45">
        <f>'Hao phí vật tư'!J2184</f>
        <v>6.4000000000000001E-2</v>
      </c>
      <c r="H368" s="166"/>
      <c r="I368" s="166"/>
      <c r="J368" s="166"/>
      <c r="K368" s="166"/>
      <c r="L368" s="156">
        <f>ROUND(G368*K365,2)</f>
        <v>0</v>
      </c>
      <c r="M368" s="156">
        <f>ROUND(G368*J365,2)</f>
        <v>6400</v>
      </c>
    </row>
    <row r="369" spans="1:13" x14ac:dyDescent="0.25">
      <c r="A369" s="168">
        <v>68</v>
      </c>
      <c r="B369" s="84" t="s">
        <v>325</v>
      </c>
      <c r="C369" s="34">
        <v>148</v>
      </c>
      <c r="D369" s="144" t="s">
        <v>434</v>
      </c>
      <c r="E369" s="168" t="s">
        <v>414</v>
      </c>
      <c r="F369" s="34"/>
      <c r="G369" s="60">
        <f>SUM(G370:G416)</f>
        <v>327655.61619999999</v>
      </c>
      <c r="H369" s="166">
        <v>10</v>
      </c>
      <c r="I369" s="166">
        <v>10</v>
      </c>
      <c r="J369" s="166">
        <f>'Vật liệu'!W353</f>
        <v>10</v>
      </c>
      <c r="K369" s="166">
        <f>J369-H369</f>
        <v>0</v>
      </c>
      <c r="L369" s="166">
        <f>ROUND(G369*K369,0)</f>
        <v>0</v>
      </c>
      <c r="M369" s="166">
        <f>ROUND(G369*J369,0)</f>
        <v>3276556</v>
      </c>
    </row>
    <row r="370" spans="1:13" ht="30" hidden="1" x14ac:dyDescent="0.25">
      <c r="A370" s="168"/>
      <c r="B370" s="133" t="str">
        <f>'Công trình'!B18</f>
        <v>AF.12314</v>
      </c>
      <c r="C370" s="34"/>
      <c r="D370" s="133" t="str">
        <f>'Công trình'!C18</f>
        <v>Bê tông xà dầm, giằng nhà đá 1x2, vữa BT mác 250</v>
      </c>
      <c r="E370" s="168"/>
      <c r="F370" s="20">
        <v>1</v>
      </c>
      <c r="G370" s="45">
        <f>'Hao phí vật tư'!J126</f>
        <v>12289.596299999999</v>
      </c>
      <c r="H370" s="166"/>
      <c r="I370" s="166"/>
      <c r="J370" s="166"/>
      <c r="K370" s="166"/>
      <c r="L370" s="156">
        <f>ROUND(G370*K369,2)</f>
        <v>0</v>
      </c>
      <c r="M370" s="156">
        <f>ROUND(G370*J369,2)</f>
        <v>122895.96</v>
      </c>
    </row>
    <row r="371" spans="1:13" ht="30" hidden="1" x14ac:dyDescent="0.25">
      <c r="A371" s="168"/>
      <c r="B371" s="133" t="str">
        <f>'Công trình'!B30</f>
        <v>AF.12113</v>
      </c>
      <c r="C371" s="34"/>
      <c r="D371" s="133" t="str">
        <f>'Công trình'!C30</f>
        <v>Bê tông tường dày &lt;=45cm, chiều cao &lt;=4m đá 1x2, vữa BT mác 200</v>
      </c>
      <c r="E371" s="168"/>
      <c r="F371" s="20">
        <v>1</v>
      </c>
      <c r="G371" s="45">
        <f>'Hao phí vật tư'!J206</f>
        <v>4964.3824999999997</v>
      </c>
      <c r="H371" s="166"/>
      <c r="I371" s="166"/>
      <c r="J371" s="166"/>
      <c r="K371" s="166"/>
      <c r="L371" s="156">
        <f>ROUND(G371*K369,2)</f>
        <v>0</v>
      </c>
      <c r="M371" s="156">
        <f>ROUND(G371*J369,2)</f>
        <v>49643.83</v>
      </c>
    </row>
    <row r="372" spans="1:13" ht="30" hidden="1" x14ac:dyDescent="0.25">
      <c r="A372" s="168"/>
      <c r="B372" s="133" t="str">
        <f>'Công trình'!B43</f>
        <v>AF.11212</v>
      </c>
      <c r="C372" s="34"/>
      <c r="D372" s="133" t="str">
        <f>'Công trình'!C43</f>
        <v>Bê tông móng rộng &lt;=250cm đá 1x2, vữa BT mác 150</v>
      </c>
      <c r="E372" s="168"/>
      <c r="F372" s="20">
        <v>1</v>
      </c>
      <c r="G372" s="45">
        <f>'Hao phí vật tư'!J324</f>
        <v>11.3775</v>
      </c>
      <c r="H372" s="166"/>
      <c r="I372" s="166"/>
      <c r="J372" s="166"/>
      <c r="K372" s="166"/>
      <c r="L372" s="156">
        <f>ROUND(G372*K369,2)</f>
        <v>0</v>
      </c>
      <c r="M372" s="156">
        <f>ROUND(G372*J369,2)</f>
        <v>113.78</v>
      </c>
    </row>
    <row r="373" spans="1:13" ht="30" hidden="1" x14ac:dyDescent="0.25">
      <c r="A373" s="168"/>
      <c r="B373" s="133" t="str">
        <f>'Công trình'!B44</f>
        <v>AF.11213</v>
      </c>
      <c r="C373" s="34"/>
      <c r="D373" s="133" t="str">
        <f>'Công trình'!C44</f>
        <v>Bê tông móng rộng &lt;=250cm đá 1x2, vữa BT mác 200</v>
      </c>
      <c r="E373" s="168"/>
      <c r="F373" s="20">
        <v>1</v>
      </c>
      <c r="G373" s="45">
        <f>'Hao phí vật tư'!J336</f>
        <v>37.924999999999997</v>
      </c>
      <c r="H373" s="166"/>
      <c r="I373" s="166"/>
      <c r="J373" s="166"/>
      <c r="K373" s="166"/>
      <c r="L373" s="156">
        <f>ROUND(G373*K369,2)</f>
        <v>0</v>
      </c>
      <c r="M373" s="156">
        <f>ROUND(G373*J369,2)</f>
        <v>379.25</v>
      </c>
    </row>
    <row r="374" spans="1:13" ht="30" hidden="1" x14ac:dyDescent="0.25">
      <c r="A374" s="168"/>
      <c r="B374" s="133" t="str">
        <f>'Công trình'!B52</f>
        <v>AG.11412</v>
      </c>
      <c r="C374" s="34"/>
      <c r="D374" s="133" t="str">
        <f>'Công trình'!C52</f>
        <v>Sản xuất bê tông tấm BT tự chèn đúc sẵn đá 1x2, vữa BT mác 150</v>
      </c>
      <c r="E374" s="168"/>
      <c r="F374" s="20">
        <v>1</v>
      </c>
      <c r="G374" s="45">
        <f>'Hao phí vật tư'!J381</f>
        <v>17240.674299999999</v>
      </c>
      <c r="H374" s="166"/>
      <c r="I374" s="166"/>
      <c r="J374" s="166"/>
      <c r="K374" s="166"/>
      <c r="L374" s="156">
        <f>ROUND(G374*K369,2)</f>
        <v>0</v>
      </c>
      <c r="M374" s="156">
        <f>ROUND(G374*J369,2)</f>
        <v>172406.74</v>
      </c>
    </row>
    <row r="375" spans="1:13" ht="30" hidden="1" x14ac:dyDescent="0.25">
      <c r="A375" s="168"/>
      <c r="B375" s="133" t="str">
        <f>'Công trình'!B55</f>
        <v>AG.42111</v>
      </c>
      <c r="C375" s="34"/>
      <c r="D375" s="133" t="str">
        <f>'Công trình'!C55</f>
        <v>Lắp các loại cấu kiện BT đúc sẵn bằng thủ công trọng lượng &lt;=50kg, vữa XM mác 100</v>
      </c>
      <c r="E375" s="168"/>
      <c r="F375" s="20">
        <v>1</v>
      </c>
      <c r="G375" s="45">
        <f>'Hao phí vật tư'!J403</f>
        <v>3767.6855999999998</v>
      </c>
      <c r="H375" s="166"/>
      <c r="I375" s="166"/>
      <c r="J375" s="166"/>
      <c r="K375" s="166"/>
      <c r="L375" s="156">
        <f>ROUND(G375*K369,2)</f>
        <v>0</v>
      </c>
      <c r="M375" s="156">
        <f>ROUND(G375*J369,2)</f>
        <v>37676.86</v>
      </c>
    </row>
    <row r="376" spans="1:13" hidden="1" x14ac:dyDescent="0.25">
      <c r="A376" s="168"/>
      <c r="B376" s="133" t="str">
        <f>'Công trình'!B57</f>
        <v>AF.12313</v>
      </c>
      <c r="C376" s="34"/>
      <c r="D376" s="133" t="str">
        <f>'Công trình'!C57</f>
        <v>Bê tông xà dầm, giằng đá 1x2, vữa BT mác 200</v>
      </c>
      <c r="E376" s="168"/>
      <c r="F376" s="20">
        <v>1</v>
      </c>
      <c r="G376" s="45">
        <f>'Hao phí vật tư'!J423</f>
        <v>6612.2237999999998</v>
      </c>
      <c r="H376" s="166"/>
      <c r="I376" s="166"/>
      <c r="J376" s="166"/>
      <c r="K376" s="166"/>
      <c r="L376" s="156">
        <f>ROUND(G376*K369,2)</f>
        <v>0</v>
      </c>
      <c r="M376" s="156">
        <f>ROUND(G376*J369,2)</f>
        <v>66122.240000000005</v>
      </c>
    </row>
    <row r="377" spans="1:13" hidden="1" x14ac:dyDescent="0.25">
      <c r="A377" s="168"/>
      <c r="B377" s="133" t="str">
        <f>'Công trình'!B58</f>
        <v>AK.41124</v>
      </c>
      <c r="C377" s="34"/>
      <c r="D377" s="133" t="str">
        <f>'Công trình'!C58</f>
        <v>Vữa lót M75 dày 3cm</v>
      </c>
      <c r="E377" s="168"/>
      <c r="F377" s="20">
        <v>1</v>
      </c>
      <c r="G377" s="45">
        <f>'Hao phí vật tư'!J435</f>
        <v>793.25609999999995</v>
      </c>
      <c r="H377" s="166"/>
      <c r="I377" s="166"/>
      <c r="J377" s="166"/>
      <c r="K377" s="166"/>
      <c r="L377" s="156">
        <f>ROUND(G377*K369,2)</f>
        <v>0</v>
      </c>
      <c r="M377" s="156">
        <f>ROUND(G377*J369,2)</f>
        <v>7932.56</v>
      </c>
    </row>
    <row r="378" spans="1:13" ht="30" hidden="1" x14ac:dyDescent="0.25">
      <c r="A378" s="168"/>
      <c r="B378" s="133" t="str">
        <f>'Công trình'!B63</f>
        <v>AF.11223</v>
      </c>
      <c r="C378" s="34"/>
      <c r="D378" s="133" t="str">
        <f>'Công trình'!C63</f>
        <v>Bê tông lát mái rộng &gt;250cm đá 1x2, vữa BT mác 200</v>
      </c>
      <c r="E378" s="168"/>
      <c r="F378" s="20">
        <v>1</v>
      </c>
      <c r="G378" s="45">
        <f>'Hao phí vật tư'!J478</f>
        <v>30910.7713</v>
      </c>
      <c r="H378" s="166"/>
      <c r="I378" s="166"/>
      <c r="J378" s="166"/>
      <c r="K378" s="166"/>
      <c r="L378" s="156">
        <f>ROUND(G378*K369,2)</f>
        <v>0</v>
      </c>
      <c r="M378" s="156">
        <f>ROUND(G378*J369,2)</f>
        <v>309107.71000000002</v>
      </c>
    </row>
    <row r="379" spans="1:13" hidden="1" x14ac:dyDescent="0.25">
      <c r="A379" s="168"/>
      <c r="B379" s="133" t="str">
        <f>'Công trình'!B64</f>
        <v>AK.41124</v>
      </c>
      <c r="C379" s="34"/>
      <c r="D379" s="133" t="str">
        <f>'Công trình'!C64</f>
        <v>Vữa lót M75 dày 3cm</v>
      </c>
      <c r="E379" s="168"/>
      <c r="F379" s="20">
        <v>1</v>
      </c>
      <c r="G379" s="45">
        <f>'Hao phí vật tư'!J490</f>
        <v>12360.833000000001</v>
      </c>
      <c r="H379" s="166"/>
      <c r="I379" s="166"/>
      <c r="J379" s="166"/>
      <c r="K379" s="166"/>
      <c r="L379" s="156">
        <f>ROUND(G379*K369,2)</f>
        <v>0</v>
      </c>
      <c r="M379" s="156">
        <f>ROUND(G379*J369,2)</f>
        <v>123608.33</v>
      </c>
    </row>
    <row r="380" spans="1:13" ht="30" hidden="1" x14ac:dyDescent="0.25">
      <c r="A380" s="168"/>
      <c r="B380" s="133" t="str">
        <f>'Công trình'!B68</f>
        <v>AG.11125</v>
      </c>
      <c r="C380" s="34"/>
      <c r="D380" s="133" t="str">
        <f>'Công trình'!C68</f>
        <v>Sản xuất bê tông cọc cừ đúc sẵn đá 1x2, vữa BT mác 300</v>
      </c>
      <c r="E380" s="168"/>
      <c r="F380" s="20">
        <v>1</v>
      </c>
      <c r="G380" s="45">
        <f>'Hao phí vật tư'!J509</f>
        <v>13409.0128</v>
      </c>
      <c r="H380" s="166"/>
      <c r="I380" s="166"/>
      <c r="J380" s="166"/>
      <c r="K380" s="166"/>
      <c r="L380" s="156">
        <f>ROUND(G380*K369,2)</f>
        <v>0</v>
      </c>
      <c r="M380" s="156">
        <f>ROUND(G380*J369,2)</f>
        <v>134090.13</v>
      </c>
    </row>
    <row r="381" spans="1:13" ht="30" hidden="1" x14ac:dyDescent="0.25">
      <c r="A381" s="168"/>
      <c r="B381" s="133" t="str">
        <f>'Công trình'!B79</f>
        <v>AG.11125</v>
      </c>
      <c r="C381" s="34"/>
      <c r="D381" s="133" t="str">
        <f>'Công trình'!C79</f>
        <v>Sản xuất bê tông cọc cừ đúc sẵn đá 1x2, vữa BT mác 300</v>
      </c>
      <c r="E381" s="168"/>
      <c r="F381" s="20">
        <v>1</v>
      </c>
      <c r="G381" s="45">
        <f>'Hao phí vật tư'!J625</f>
        <v>5252.0667999999996</v>
      </c>
      <c r="H381" s="166"/>
      <c r="I381" s="166"/>
      <c r="J381" s="166"/>
      <c r="K381" s="166"/>
      <c r="L381" s="156">
        <f>ROUND(G381*K369,2)</f>
        <v>0</v>
      </c>
      <c r="M381" s="156">
        <f>ROUND(G381*J369,2)</f>
        <v>52520.67</v>
      </c>
    </row>
    <row r="382" spans="1:13" hidden="1" x14ac:dyDescent="0.25">
      <c r="A382" s="168"/>
      <c r="B382" s="133" t="str">
        <f>'Công trình'!B92</f>
        <v>AF.11121</v>
      </c>
      <c r="C382" s="34"/>
      <c r="D382" s="133" t="str">
        <f>'Công trình'!C92</f>
        <v>Bê tông M100 đá 4x6</v>
      </c>
      <c r="E382" s="168"/>
      <c r="F382" s="20">
        <v>1</v>
      </c>
      <c r="G382" s="45">
        <f>'Hao phí vật tư'!J747</f>
        <v>17504.849999999999</v>
      </c>
      <c r="H382" s="166"/>
      <c r="I382" s="166"/>
      <c r="J382" s="166"/>
      <c r="K382" s="166"/>
      <c r="L382" s="156">
        <f>ROUND(G382*K369,2)</f>
        <v>0</v>
      </c>
      <c r="M382" s="156">
        <f>ROUND(G382*J369,2)</f>
        <v>175048.5</v>
      </c>
    </row>
    <row r="383" spans="1:13" ht="30" hidden="1" x14ac:dyDescent="0.25">
      <c r="A383" s="168"/>
      <c r="B383" s="133" t="str">
        <f>'Công trình'!B167</f>
        <v>AG.11413</v>
      </c>
      <c r="C383" s="34"/>
      <c r="D383" s="133" t="str">
        <f>'Công trình'!C167</f>
        <v>Bê tông tấm đan đúc sẵn đá 1x2, vữa BT mác 200</v>
      </c>
      <c r="E383" s="168"/>
      <c r="F383" s="20">
        <v>1</v>
      </c>
      <c r="G383" s="45">
        <f>'Hao phí vật tư'!J1262</f>
        <v>1648.6645000000001</v>
      </c>
      <c r="H383" s="166"/>
      <c r="I383" s="166"/>
      <c r="J383" s="166"/>
      <c r="K383" s="166"/>
      <c r="L383" s="156">
        <f>ROUND(G383*K369,2)</f>
        <v>0</v>
      </c>
      <c r="M383" s="156">
        <f>ROUND(G383*J369,2)</f>
        <v>16486.650000000001</v>
      </c>
    </row>
    <row r="384" spans="1:13" ht="30" hidden="1" x14ac:dyDescent="0.25">
      <c r="A384" s="168"/>
      <c r="B384" s="133" t="str">
        <f>'Công trình'!B169</f>
        <v>AG.42141</v>
      </c>
      <c r="C384" s="34"/>
      <c r="D384" s="133" t="str">
        <f>'Công trình'!C169</f>
        <v>Lắp các loại cấu kiện BT đúc sẵn bằng thủ công trọng lượng &gt;250kg, vữa XM mác 100</v>
      </c>
      <c r="E384" s="168"/>
      <c r="F384" s="20">
        <v>1</v>
      </c>
      <c r="G384" s="45">
        <f>'Hao phí vật tư'!J1283</f>
        <v>158.6</v>
      </c>
      <c r="H384" s="166"/>
      <c r="I384" s="166"/>
      <c r="J384" s="166"/>
      <c r="K384" s="166"/>
      <c r="L384" s="156">
        <f>ROUND(G384*K369,2)</f>
        <v>0</v>
      </c>
      <c r="M384" s="156">
        <f>ROUND(G384*J369,2)</f>
        <v>1586</v>
      </c>
    </row>
    <row r="385" spans="1:13" ht="30" hidden="1" x14ac:dyDescent="0.25">
      <c r="A385" s="168"/>
      <c r="B385" s="133" t="str">
        <f>'Công trình'!B174</f>
        <v>AF.14115</v>
      </c>
      <c r="C385" s="34"/>
      <c r="D385" s="133" t="str">
        <f>'Công trình'!C174</f>
        <v>Bê tông móng, mố trụ cầu trên cạn đá 1x2, vữa BT mác 300</v>
      </c>
      <c r="E385" s="168"/>
      <c r="F385" s="20">
        <v>1</v>
      </c>
      <c r="G385" s="45">
        <f>'Hao phí vật tư'!J1301</f>
        <v>18672.373800000001</v>
      </c>
      <c r="H385" s="166"/>
      <c r="I385" s="166"/>
      <c r="J385" s="166"/>
      <c r="K385" s="166"/>
      <c r="L385" s="156">
        <f>ROUND(G385*K369,2)</f>
        <v>0</v>
      </c>
      <c r="M385" s="156">
        <f>ROUND(G385*J369,2)</f>
        <v>186723.74</v>
      </c>
    </row>
    <row r="386" spans="1:13" hidden="1" x14ac:dyDescent="0.25">
      <c r="A386" s="168"/>
      <c r="B386" s="133" t="str">
        <f>'Công trình'!B176</f>
        <v>AK.41125</v>
      </c>
      <c r="C386" s="34"/>
      <c r="D386" s="133" t="str">
        <f>'Công trình'!C176</f>
        <v>Vữa xi măng M100 độ dốc 10%</v>
      </c>
      <c r="E386" s="168"/>
      <c r="F386" s="20">
        <v>1</v>
      </c>
      <c r="G386" s="45">
        <f>'Hao phí vật tư'!J1329</f>
        <v>42.806399999999996</v>
      </c>
      <c r="H386" s="166"/>
      <c r="I386" s="166"/>
      <c r="J386" s="166"/>
      <c r="K386" s="166"/>
      <c r="L386" s="156">
        <f>ROUND(G386*K369,2)</f>
        <v>0</v>
      </c>
      <c r="M386" s="156">
        <f>ROUND(G386*J369,2)</f>
        <v>428.06</v>
      </c>
    </row>
    <row r="387" spans="1:13" ht="30" hidden="1" x14ac:dyDescent="0.25">
      <c r="A387" s="168"/>
      <c r="B387" s="133" t="str">
        <f>'Công trình'!B177</f>
        <v>AF.11121</v>
      </c>
      <c r="C387" s="34"/>
      <c r="D387" s="133" t="str">
        <f>'Công trình'!C177</f>
        <v>Bê tông lót móng rộng &gt;250cm đá 4x6, vữa BT mác 100</v>
      </c>
      <c r="E387" s="168"/>
      <c r="F387" s="20">
        <v>1</v>
      </c>
      <c r="G387" s="45">
        <f>'Hao phí vật tư'!J1339</f>
        <v>1405.4865</v>
      </c>
      <c r="H387" s="166"/>
      <c r="I387" s="166"/>
      <c r="J387" s="166"/>
      <c r="K387" s="166"/>
      <c r="L387" s="156">
        <f>ROUND(G387*K369,2)</f>
        <v>0</v>
      </c>
      <c r="M387" s="156">
        <f>ROUND(G387*J369,2)</f>
        <v>14054.87</v>
      </c>
    </row>
    <row r="388" spans="1:13" ht="30" hidden="1" x14ac:dyDescent="0.25">
      <c r="A388" s="168"/>
      <c r="B388" s="133" t="str">
        <f>'Công trình'!B186</f>
        <v>AF.14115</v>
      </c>
      <c r="C388" s="34"/>
      <c r="D388" s="133" t="str">
        <f>'Công trình'!C186</f>
        <v>Bê tông móng, mố trụ cầu trên cạn đá 1x2, vữa BT mác 300</v>
      </c>
      <c r="E388" s="168"/>
      <c r="F388" s="20">
        <v>1</v>
      </c>
      <c r="G388" s="45">
        <f>'Hao phí vật tư'!J1418</f>
        <v>667.48</v>
      </c>
      <c r="H388" s="166"/>
      <c r="I388" s="166"/>
      <c r="J388" s="166"/>
      <c r="K388" s="166"/>
      <c r="L388" s="156">
        <f>ROUND(G388*K369,2)</f>
        <v>0</v>
      </c>
      <c r="M388" s="156">
        <f>ROUND(G388*J369,2)</f>
        <v>6674.8</v>
      </c>
    </row>
    <row r="389" spans="1:13" hidden="1" x14ac:dyDescent="0.25">
      <c r="A389" s="168"/>
      <c r="B389" s="133" t="str">
        <f>'Công trình'!B187</f>
        <v>AK.41125</v>
      </c>
      <c r="C389" s="34"/>
      <c r="D389" s="133" t="str">
        <f>'Công trình'!C187</f>
        <v>Vữa xi măng dày 3cm, vữa XM mác 100</v>
      </c>
      <c r="E389" s="168"/>
      <c r="F389" s="20">
        <v>1</v>
      </c>
      <c r="G389" s="45">
        <f>'Hao phí vật tư'!J1431</f>
        <v>8.7360000000000007</v>
      </c>
      <c r="H389" s="166"/>
      <c r="I389" s="166"/>
      <c r="J389" s="166"/>
      <c r="K389" s="166"/>
      <c r="L389" s="156">
        <f>ROUND(G389*K369,2)</f>
        <v>0</v>
      </c>
      <c r="M389" s="156">
        <f>ROUND(G389*J369,2)</f>
        <v>87.36</v>
      </c>
    </row>
    <row r="390" spans="1:13" hidden="1" x14ac:dyDescent="0.25">
      <c r="A390" s="168"/>
      <c r="B390" s="133" t="str">
        <f>'Công trình'!B196</f>
        <v>AF.14315</v>
      </c>
      <c r="C390" s="34"/>
      <c r="D390" s="133" t="str">
        <f>'Công trình'!C196</f>
        <v>Bê tông mặt cầu đá 1x2, vữa BT mác 300</v>
      </c>
      <c r="E390" s="168"/>
      <c r="F390" s="20">
        <v>1</v>
      </c>
      <c r="G390" s="45">
        <f>'Hao phí vật tư'!J1499</f>
        <v>10033.971</v>
      </c>
      <c r="H390" s="166"/>
      <c r="I390" s="166"/>
      <c r="J390" s="166"/>
      <c r="K390" s="166"/>
      <c r="L390" s="156">
        <f>ROUND(G390*K369,2)</f>
        <v>0</v>
      </c>
      <c r="M390" s="156">
        <f>ROUND(G390*J369,2)</f>
        <v>100339.71</v>
      </c>
    </row>
    <row r="391" spans="1:13" hidden="1" x14ac:dyDescent="0.25">
      <c r="A391" s="168"/>
      <c r="B391" s="133" t="str">
        <f>'Công trình'!B197</f>
        <v>AF.15225</v>
      </c>
      <c r="C391" s="34"/>
      <c r="D391" s="133" t="str">
        <f>'Công trình'!C197</f>
        <v>Bê tông dầm cầu đá 1x2, vữa BT mác 300</v>
      </c>
      <c r="E391" s="168"/>
      <c r="F391" s="20">
        <v>1</v>
      </c>
      <c r="G391" s="45">
        <f>'Hao phí vật tư'!J1513</f>
        <v>582.14880000000005</v>
      </c>
      <c r="H391" s="166"/>
      <c r="I391" s="166"/>
      <c r="J391" s="166"/>
      <c r="K391" s="166"/>
      <c r="L391" s="156">
        <f>ROUND(G391*K369,2)</f>
        <v>0</v>
      </c>
      <c r="M391" s="156">
        <f>ROUND(G391*J369,2)</f>
        <v>5821.49</v>
      </c>
    </row>
    <row r="392" spans="1:13" hidden="1" x14ac:dyDescent="0.25">
      <c r="A392" s="168"/>
      <c r="B392" s="133" t="str">
        <f>'Công trình'!B217</f>
        <v>AF.11215</v>
      </c>
      <c r="C392" s="34"/>
      <c r="D392" s="133" t="str">
        <f>'Công trình'!C217</f>
        <v>BT M300 đổ sau có phụ gia</v>
      </c>
      <c r="E392" s="168"/>
      <c r="F392" s="20">
        <v>1</v>
      </c>
      <c r="G392" s="45">
        <f>'Hao phí vật tư'!J1635</f>
        <v>225.8588</v>
      </c>
      <c r="H392" s="166"/>
      <c r="I392" s="166"/>
      <c r="J392" s="166"/>
      <c r="K392" s="166"/>
      <c r="L392" s="156">
        <f>ROUND(G392*K369,2)</f>
        <v>0</v>
      </c>
      <c r="M392" s="156">
        <f>ROUND(G392*J369,2)</f>
        <v>2258.59</v>
      </c>
    </row>
    <row r="393" spans="1:13" ht="30" hidden="1" x14ac:dyDescent="0.25">
      <c r="A393" s="168"/>
      <c r="B393" s="133" t="str">
        <f>'Công trình'!B225</f>
        <v>AG.11125</v>
      </c>
      <c r="C393" s="34"/>
      <c r="D393" s="133" t="str">
        <f>'Công trình'!C225</f>
        <v>Sản xuất bê tông cọc cừ đúc sẵn đá 1x2, vữa BT mác 300</v>
      </c>
      <c r="E393" s="168"/>
      <c r="F393" s="20">
        <v>1</v>
      </c>
      <c r="G393" s="45">
        <f>'Hao phí vật tư'!J1685</f>
        <v>14492.4745</v>
      </c>
      <c r="H393" s="166"/>
      <c r="I393" s="166"/>
      <c r="J393" s="166"/>
      <c r="K393" s="166"/>
      <c r="L393" s="156">
        <f>ROUND(G393*K369,2)</f>
        <v>0</v>
      </c>
      <c r="M393" s="156">
        <f>ROUND(G393*J369,2)</f>
        <v>144924.75</v>
      </c>
    </row>
    <row r="394" spans="1:13" ht="30" hidden="1" x14ac:dyDescent="0.25">
      <c r="A394" s="168"/>
      <c r="B394" s="133" t="str">
        <f>'Công trình'!B247</f>
        <v>AF.12313</v>
      </c>
      <c r="C394" s="34"/>
      <c r="D394" s="133" t="str">
        <f>'Công trình'!C247</f>
        <v>Bê tông dầm chặn chân, đá 1x2, vữa BT mác 200</v>
      </c>
      <c r="E394" s="168"/>
      <c r="F394" s="20">
        <v>1</v>
      </c>
      <c r="G394" s="45">
        <f>'Hao phí vật tư'!J1868</f>
        <v>3382.91</v>
      </c>
      <c r="H394" s="166"/>
      <c r="I394" s="166"/>
      <c r="J394" s="166"/>
      <c r="K394" s="166"/>
      <c r="L394" s="156">
        <f>ROUND(G394*K369,2)</f>
        <v>0</v>
      </c>
      <c r="M394" s="156">
        <f>ROUND(G394*J369,2)</f>
        <v>33829.1</v>
      </c>
    </row>
    <row r="395" spans="1:13" hidden="1" x14ac:dyDescent="0.25">
      <c r="A395" s="168"/>
      <c r="B395" s="133" t="str">
        <f>'Công trình'!B248</f>
        <v>AK.41124</v>
      </c>
      <c r="C395" s="34"/>
      <c r="D395" s="133" t="str">
        <f>'Công trình'!C248</f>
        <v>Vữa lót M75-3cm</v>
      </c>
      <c r="E395" s="168"/>
      <c r="F395" s="20">
        <v>1</v>
      </c>
      <c r="G395" s="45">
        <f>'Hao phí vật tư'!J1880</f>
        <v>649.37599999999998</v>
      </c>
      <c r="H395" s="166"/>
      <c r="I395" s="166"/>
      <c r="J395" s="166"/>
      <c r="K395" s="166"/>
      <c r="L395" s="156">
        <f>ROUND(G395*K369,2)</f>
        <v>0</v>
      </c>
      <c r="M395" s="156">
        <f>ROUND(G395*J369,2)</f>
        <v>6493.76</v>
      </c>
    </row>
    <row r="396" spans="1:13" ht="30" hidden="1" x14ac:dyDescent="0.25">
      <c r="A396" s="168"/>
      <c r="B396" s="133" t="str">
        <f>'Công trình'!B250</f>
        <v>AG.11413</v>
      </c>
      <c r="C396" s="34"/>
      <c r="D396" s="133" t="str">
        <f>'Công trình'!C250</f>
        <v>Sản xuất bê tông lục giác, đá 1x2, vữa BT mác 200</v>
      </c>
      <c r="E396" s="168"/>
      <c r="F396" s="20">
        <v>1</v>
      </c>
      <c r="G396" s="45">
        <f>'Hao phí vật tư'!J1903</f>
        <v>13606.1765</v>
      </c>
      <c r="H396" s="166"/>
      <c r="I396" s="166"/>
      <c r="J396" s="166"/>
      <c r="K396" s="166"/>
      <c r="L396" s="156">
        <f>ROUND(G396*K369,2)</f>
        <v>0</v>
      </c>
      <c r="M396" s="156">
        <f>ROUND(G396*J369,2)</f>
        <v>136061.76999999999</v>
      </c>
    </row>
    <row r="397" spans="1:13" ht="30" hidden="1" x14ac:dyDescent="0.25">
      <c r="A397" s="168"/>
      <c r="B397" s="133" t="str">
        <f>'Công trình'!B255</f>
        <v>AF.14325</v>
      </c>
      <c r="C397" s="34"/>
      <c r="D397" s="133" t="str">
        <f>'Công trình'!C255</f>
        <v>Bê tông lan can, gờ chắn đá 1x2, vữa BT mác 300</v>
      </c>
      <c r="E397" s="168"/>
      <c r="F397" s="20">
        <v>1</v>
      </c>
      <c r="G397" s="45">
        <f>'Hao phí vật tư'!J1939</f>
        <v>4063.6637999999998</v>
      </c>
      <c r="H397" s="166"/>
      <c r="I397" s="166"/>
      <c r="J397" s="166"/>
      <c r="K397" s="166"/>
      <c r="L397" s="156">
        <f>ROUND(G397*K369,2)</f>
        <v>0</v>
      </c>
      <c r="M397" s="156">
        <f>ROUND(G397*J369,2)</f>
        <v>40636.639999999999</v>
      </c>
    </row>
    <row r="398" spans="1:13" hidden="1" x14ac:dyDescent="0.25">
      <c r="A398" s="168"/>
      <c r="B398" s="133" t="str">
        <f>'Công trình'!B263</f>
        <v>AI.63211</v>
      </c>
      <c r="C398" s="34"/>
      <c r="D398" s="133" t="str">
        <f>'Công trình'!C263</f>
        <v>Lắp dựng lan can sắt, vữa XM mác 75</v>
      </c>
      <c r="E398" s="168"/>
      <c r="F398" s="20">
        <v>1</v>
      </c>
      <c r="G398" s="45">
        <f>'Hao phí vật tư'!J2011</f>
        <v>68.444999999999993</v>
      </c>
      <c r="H398" s="166"/>
      <c r="I398" s="166"/>
      <c r="J398" s="166"/>
      <c r="K398" s="166"/>
      <c r="L398" s="156">
        <f>ROUND(G398*K369,2)</f>
        <v>0</v>
      </c>
      <c r="M398" s="156">
        <f>ROUND(G398*J369,2)</f>
        <v>684.45</v>
      </c>
    </row>
    <row r="399" spans="1:13" ht="30" hidden="1" x14ac:dyDescent="0.25">
      <c r="A399" s="168"/>
      <c r="B399" s="133" t="str">
        <f>'Công trình'!B267</f>
        <v>AF.11212</v>
      </c>
      <c r="C399" s="34"/>
      <c r="D399" s="133" t="str">
        <f>'Công trình'!C267</f>
        <v>Bê tông móng rộng &lt;=250cm đá 1x2, vữa BT mác 150</v>
      </c>
      <c r="E399" s="168"/>
      <c r="F399" s="20">
        <v>1</v>
      </c>
      <c r="G399" s="45">
        <f>'Hao phí vật tư'!J2034</f>
        <v>644.72500000000002</v>
      </c>
      <c r="H399" s="166"/>
      <c r="I399" s="166"/>
      <c r="J399" s="166"/>
      <c r="K399" s="166"/>
      <c r="L399" s="156">
        <f>ROUND(G399*K369,2)</f>
        <v>0</v>
      </c>
      <c r="M399" s="156">
        <f>ROUND(G399*J369,2)</f>
        <v>6447.25</v>
      </c>
    </row>
    <row r="400" spans="1:13" ht="30" hidden="1" x14ac:dyDescent="0.25">
      <c r="A400" s="168"/>
      <c r="B400" s="133" t="str">
        <f>'Công trình'!B284</f>
        <v>AF.11213</v>
      </c>
      <c r="C400" s="34"/>
      <c r="D400" s="133" t="str">
        <f>'Công trình'!C284</f>
        <v>Bê tông móng rộng &lt;=250cm đá 1x2, vữa BT mác 200</v>
      </c>
      <c r="E400" s="168"/>
      <c r="F400" s="20">
        <v>1</v>
      </c>
      <c r="G400" s="45">
        <f>'Hao phí vật tư'!J2125</f>
        <v>1486.66</v>
      </c>
      <c r="H400" s="166"/>
      <c r="I400" s="166"/>
      <c r="J400" s="166"/>
      <c r="K400" s="166"/>
      <c r="L400" s="156">
        <f>ROUND(G400*K369,2)</f>
        <v>0</v>
      </c>
      <c r="M400" s="156">
        <f>ROUND(G400*J369,2)</f>
        <v>14866.6</v>
      </c>
    </row>
    <row r="401" spans="1:13" ht="30" hidden="1" x14ac:dyDescent="0.25">
      <c r="A401" s="168"/>
      <c r="B401" s="133" t="str">
        <f>'Công trình'!B285</f>
        <v>AF.11212</v>
      </c>
      <c r="C401" s="34"/>
      <c r="D401" s="133" t="str">
        <f>'Công trình'!C285</f>
        <v>Bê tông móng rộng &lt;=250cm đá 1x2, vữa BT mác 150</v>
      </c>
      <c r="E401" s="168"/>
      <c r="F401" s="20">
        <v>1</v>
      </c>
      <c r="G401" s="45">
        <f>'Hao phí vật tư'!J2137</f>
        <v>265.47500000000002</v>
      </c>
      <c r="H401" s="166"/>
      <c r="I401" s="166"/>
      <c r="J401" s="166"/>
      <c r="K401" s="166"/>
      <c r="L401" s="156">
        <f>ROUND(G401*K369,2)</f>
        <v>0</v>
      </c>
      <c r="M401" s="156">
        <f>ROUND(G401*J369,2)</f>
        <v>2654.75</v>
      </c>
    </row>
    <row r="402" spans="1:13" hidden="1" x14ac:dyDescent="0.25">
      <c r="A402" s="168"/>
      <c r="B402" s="133" t="str">
        <f>'Công trình'!B286</f>
        <v>AK.41124</v>
      </c>
      <c r="C402" s="34"/>
      <c r="D402" s="133" t="str">
        <f>'Công trình'!C286</f>
        <v>Vữa lót M75 dày 3cm</v>
      </c>
      <c r="E402" s="168"/>
      <c r="F402" s="20">
        <v>1</v>
      </c>
      <c r="G402" s="45">
        <f>'Hao phí vật tư'!J2148</f>
        <v>103.194</v>
      </c>
      <c r="H402" s="166"/>
      <c r="I402" s="166"/>
      <c r="J402" s="166"/>
      <c r="K402" s="166"/>
      <c r="L402" s="156">
        <f>ROUND(G402*K369,2)</f>
        <v>0</v>
      </c>
      <c r="M402" s="156">
        <f>ROUND(G402*J369,2)</f>
        <v>1031.94</v>
      </c>
    </row>
    <row r="403" spans="1:13" ht="30" hidden="1" x14ac:dyDescent="0.25">
      <c r="A403" s="168"/>
      <c r="B403" s="133" t="str">
        <f>'Công trình'!B252</f>
        <v>AG.42111</v>
      </c>
      <c r="C403" s="34"/>
      <c r="D403" s="133" t="str">
        <f>'Công trình'!C252</f>
        <v>Lắp các loại cấu kiện BT đúc sẵn bằng thủ công trọng lượng &lt;=50kg, vữa XM mác 100</v>
      </c>
      <c r="E403" s="168"/>
      <c r="F403" s="20">
        <v>1</v>
      </c>
      <c r="G403" s="45">
        <f>'Hao phí vật tư'!J1924</f>
        <v>5435.04</v>
      </c>
      <c r="H403" s="166"/>
      <c r="I403" s="166"/>
      <c r="J403" s="166"/>
      <c r="K403" s="166"/>
      <c r="L403" s="156">
        <f>ROUND(G403*K369,2)</f>
        <v>0</v>
      </c>
      <c r="M403" s="156">
        <f>ROUND(G403*J369,2)</f>
        <v>54350.400000000001</v>
      </c>
    </row>
    <row r="404" spans="1:13" hidden="1" x14ac:dyDescent="0.25">
      <c r="A404" s="168"/>
      <c r="B404" s="133" t="str">
        <f>'Công trình'!B265</f>
        <v>AK.41115</v>
      </c>
      <c r="C404" s="34"/>
      <c r="D404" s="133" t="str">
        <f>'Công trình'!C265</f>
        <v>Vữa xi măng M100</v>
      </c>
      <c r="E404" s="168"/>
      <c r="F404" s="20">
        <v>1</v>
      </c>
      <c r="G404" s="45">
        <f>'Hao phí vật tư'!J2024</f>
        <v>104</v>
      </c>
      <c r="H404" s="166"/>
      <c r="I404" s="166"/>
      <c r="J404" s="166"/>
      <c r="K404" s="166"/>
      <c r="L404" s="156">
        <f>ROUND(G404*K369,2)</f>
        <v>0</v>
      </c>
      <c r="M404" s="156">
        <f>ROUND(G404*J369,2)</f>
        <v>1040</v>
      </c>
    </row>
    <row r="405" spans="1:13" ht="30" hidden="1" x14ac:dyDescent="0.25">
      <c r="A405" s="168"/>
      <c r="B405" s="133" t="str">
        <f>'Công trình'!B295</f>
        <v>AF.11213</v>
      </c>
      <c r="C405" s="34"/>
      <c r="D405" s="133" t="str">
        <f>'Công trình'!C295</f>
        <v>Bê tông móng rộng &lt;=250cm đá 1x2, vữa BT mác 200</v>
      </c>
      <c r="E405" s="168"/>
      <c r="F405" s="20">
        <v>1</v>
      </c>
      <c r="G405" s="45">
        <f>'Hao phí vật tư'!J2209</f>
        <v>32.2363</v>
      </c>
      <c r="H405" s="166"/>
      <c r="I405" s="166"/>
      <c r="J405" s="166"/>
      <c r="K405" s="166"/>
      <c r="L405" s="156">
        <f>ROUND(G405*K369,2)</f>
        <v>0</v>
      </c>
      <c r="M405" s="156">
        <f>ROUND(G405*J369,2)</f>
        <v>322.36</v>
      </c>
    </row>
    <row r="406" spans="1:13" ht="30" hidden="1" x14ac:dyDescent="0.25">
      <c r="A406" s="168"/>
      <c r="B406" s="133" t="str">
        <f>'Công trình'!B296</f>
        <v>AF.11212</v>
      </c>
      <c r="C406" s="34"/>
      <c r="D406" s="133" t="str">
        <f>'Công trình'!C296</f>
        <v>Bê tông móng rộng &lt;=250cm đá 1x2, vữa BT mác 150</v>
      </c>
      <c r="E406" s="168"/>
      <c r="F406" s="20">
        <v>1</v>
      </c>
      <c r="G406" s="45">
        <f>'Hao phí vật tư'!J2221</f>
        <v>11.3775</v>
      </c>
      <c r="H406" s="166"/>
      <c r="I406" s="166"/>
      <c r="J406" s="166"/>
      <c r="K406" s="166"/>
      <c r="L406" s="156">
        <f>ROUND(G406*K369,2)</f>
        <v>0</v>
      </c>
      <c r="M406" s="156">
        <f>ROUND(G406*J369,2)</f>
        <v>113.78</v>
      </c>
    </row>
    <row r="407" spans="1:13" ht="30" hidden="1" x14ac:dyDescent="0.25">
      <c r="A407" s="168"/>
      <c r="B407" s="133" t="str">
        <f>'Công trình'!B300</f>
        <v>AG.11113</v>
      </c>
      <c r="C407" s="34"/>
      <c r="D407" s="133" t="str">
        <f>'Công trình'!C300</f>
        <v>Sản xuất bê tông cọc, cột đúc sẵn đá 1x2, vữa BT mác 200</v>
      </c>
      <c r="E407" s="168"/>
      <c r="F407" s="20">
        <v>1</v>
      </c>
      <c r="G407" s="45">
        <f>'Hao phí vật tư'!J2243</f>
        <v>168.9975</v>
      </c>
      <c r="H407" s="166"/>
      <c r="I407" s="166"/>
      <c r="J407" s="166"/>
      <c r="K407" s="166"/>
      <c r="L407" s="156">
        <f>ROUND(G407*K369,2)</f>
        <v>0</v>
      </c>
      <c r="M407" s="156">
        <f>ROUND(G407*J369,2)</f>
        <v>1689.98</v>
      </c>
    </row>
    <row r="408" spans="1:13" ht="30" hidden="1" x14ac:dyDescent="0.25">
      <c r="A408" s="168"/>
      <c r="B408" s="133" t="str">
        <f>'Công trình'!B301</f>
        <v>AF.11212</v>
      </c>
      <c r="C408" s="34"/>
      <c r="D408" s="133" t="str">
        <f>'Công trình'!C301</f>
        <v>Bê tông móng rộng &lt;=250cm đá 1x2, vữa BT mác 150</v>
      </c>
      <c r="E408" s="168"/>
      <c r="F408" s="20">
        <v>1</v>
      </c>
      <c r="G408" s="45">
        <f>'Hao phí vật tư'!J2256</f>
        <v>273.06</v>
      </c>
      <c r="H408" s="166"/>
      <c r="I408" s="166"/>
      <c r="J408" s="166"/>
      <c r="K408" s="166"/>
      <c r="L408" s="156">
        <f>ROUND(G408*K369,2)</f>
        <v>0</v>
      </c>
      <c r="M408" s="156">
        <f>ROUND(G408*J369,2)</f>
        <v>2730.6</v>
      </c>
    </row>
    <row r="409" spans="1:13" ht="30" hidden="1" x14ac:dyDescent="0.25">
      <c r="A409" s="168"/>
      <c r="B409" s="133" t="str">
        <f>'Công trình'!B303</f>
        <v>AG.42111</v>
      </c>
      <c r="C409" s="34"/>
      <c r="D409" s="133" t="str">
        <f>'Công trình'!C303</f>
        <v>Lắp các loại cấu kiện BT đúc sẵn bằng thủ công trọng lượng &lt;=50kg, vữa XM mác 100</v>
      </c>
      <c r="E409" s="168"/>
      <c r="F409" s="20">
        <v>1</v>
      </c>
      <c r="G409" s="45">
        <f>'Hao phí vật tư'!J2275</f>
        <v>31.2</v>
      </c>
      <c r="H409" s="166"/>
      <c r="I409" s="166"/>
      <c r="J409" s="166"/>
      <c r="K409" s="166"/>
      <c r="L409" s="156">
        <f>ROUND(G409*K369,2)</f>
        <v>0</v>
      </c>
      <c r="M409" s="156">
        <f>ROUND(G409*J369,2)</f>
        <v>312</v>
      </c>
    </row>
    <row r="410" spans="1:13" ht="30" hidden="1" x14ac:dyDescent="0.25">
      <c r="A410" s="168"/>
      <c r="B410" s="133" t="str">
        <f>'Công trình'!B7</f>
        <v>AF.11224</v>
      </c>
      <c r="C410" s="34"/>
      <c r="D410" s="133" t="str">
        <f>'Công trình'!C7</f>
        <v>Bê tông móng rộng &gt;250cm đá 1x2, vữa BT mác 250</v>
      </c>
      <c r="E410" s="168"/>
      <c r="F410" s="20">
        <v>1</v>
      </c>
      <c r="G410" s="45">
        <f>'Hao phí vật tư'!J14</f>
        <v>31162.9725</v>
      </c>
      <c r="H410" s="166"/>
      <c r="I410" s="166"/>
      <c r="J410" s="166"/>
      <c r="K410" s="166"/>
      <c r="L410" s="156">
        <f>ROUND(G410*K369,2)</f>
        <v>0</v>
      </c>
      <c r="M410" s="156">
        <f>ROUND(G410*J369,2)</f>
        <v>311629.73</v>
      </c>
    </row>
    <row r="411" spans="1:13" ht="30" hidden="1" x14ac:dyDescent="0.25">
      <c r="A411" s="168"/>
      <c r="B411" s="133" t="str">
        <f>'Công trình'!B8</f>
        <v>AF.12144</v>
      </c>
      <c r="C411" s="34"/>
      <c r="D411" s="133" t="str">
        <f>'Công trình'!C8</f>
        <v>Bê tông tường dày &gt;45cm, chiều cao &lt;=16m đá 1x2, vữa BT mác 250</v>
      </c>
      <c r="E411" s="168"/>
      <c r="F411" s="20">
        <v>1</v>
      </c>
      <c r="G411" s="45">
        <f>'Hao phí vật tư'!J29</f>
        <v>30467.0488</v>
      </c>
      <c r="H411" s="166"/>
      <c r="I411" s="166"/>
      <c r="J411" s="166"/>
      <c r="K411" s="166"/>
      <c r="L411" s="156">
        <f>ROUND(G411*K369,2)</f>
        <v>0</v>
      </c>
      <c r="M411" s="156">
        <f>ROUND(G411*J369,2)</f>
        <v>304670.49</v>
      </c>
    </row>
    <row r="412" spans="1:13" hidden="1" x14ac:dyDescent="0.25">
      <c r="A412" s="168"/>
      <c r="B412" s="133" t="str">
        <f>'Công trình'!B198</f>
        <v>TT</v>
      </c>
      <c r="C412" s="34"/>
      <c r="D412" s="133" t="str">
        <f>'Công trình'!C198</f>
        <v>Vữa xi măng dày 7cm, vữa XM mác 400</v>
      </c>
      <c r="E412" s="168"/>
      <c r="F412" s="20">
        <v>1</v>
      </c>
      <c r="G412" s="45">
        <f>'Hao phí vật tư'!J1528</f>
        <v>3769.3530000000001</v>
      </c>
      <c r="H412" s="166"/>
      <c r="I412" s="166"/>
      <c r="J412" s="166"/>
      <c r="K412" s="166"/>
      <c r="L412" s="156">
        <f>ROUND(G412*K369,2)</f>
        <v>0</v>
      </c>
      <c r="M412" s="156">
        <f>ROUND(G412*J369,2)</f>
        <v>37693.53</v>
      </c>
    </row>
    <row r="413" spans="1:13" hidden="1" x14ac:dyDescent="0.25">
      <c r="A413" s="168"/>
      <c r="B413" s="133" t="str">
        <f>'Công trình'!B175</f>
        <v>AF.11225</v>
      </c>
      <c r="C413" s="34"/>
      <c r="D413" s="133" t="str">
        <f>'Công trình'!C175</f>
        <v>Bê tông bản dẫn đá 1x2, vữa BT mác 300</v>
      </c>
      <c r="E413" s="168"/>
      <c r="F413" s="20">
        <v>1</v>
      </c>
      <c r="G413" s="45">
        <f>'Hao phí vật tư'!J1317</f>
        <v>3413.25</v>
      </c>
      <c r="H413" s="166"/>
      <c r="I413" s="166"/>
      <c r="J413" s="166"/>
      <c r="K413" s="166"/>
      <c r="L413" s="156">
        <f>ROUND(G413*K369,2)</f>
        <v>0</v>
      </c>
      <c r="M413" s="156">
        <f>ROUND(G413*J369,2)</f>
        <v>34132.5</v>
      </c>
    </row>
    <row r="414" spans="1:13" hidden="1" x14ac:dyDescent="0.25">
      <c r="A414" s="168"/>
      <c r="B414" s="133" t="str">
        <f>'Công trình'!B9</f>
        <v>AF.11333</v>
      </c>
      <c r="C414" s="34"/>
      <c r="D414" s="133" t="str">
        <f>'Công trình'!C9</f>
        <v>Bê tông bịt đáy đá 4x6, vữa BT mác 200</v>
      </c>
      <c r="E414" s="168"/>
      <c r="F414" s="20">
        <v>1</v>
      </c>
      <c r="G414" s="45">
        <f>'Hao phí vật tư'!J43</f>
        <v>44187</v>
      </c>
      <c r="H414" s="166"/>
      <c r="I414" s="166"/>
      <c r="J414" s="166"/>
      <c r="K414" s="166"/>
      <c r="L414" s="156">
        <f>ROUND(G414*K369,2)</f>
        <v>0</v>
      </c>
      <c r="M414" s="156">
        <f>ROUND(G414*J369,2)</f>
        <v>441870</v>
      </c>
    </row>
    <row r="415" spans="1:13" ht="30" hidden="1" x14ac:dyDescent="0.25">
      <c r="A415" s="168"/>
      <c r="B415" s="133" t="str">
        <f>'Công trình'!B10</f>
        <v>AF.11121</v>
      </c>
      <c r="C415" s="34"/>
      <c r="D415" s="133" t="str">
        <f>'Công trình'!C10</f>
        <v>Bê tông lót móng rộng &gt;250cm đá 4x6, vữa BT mác 100</v>
      </c>
      <c r="E415" s="168"/>
      <c r="F415" s="20">
        <v>1</v>
      </c>
      <c r="G415" s="45">
        <f>'Hao phí vật tư'!J55</f>
        <v>9279.27</v>
      </c>
      <c r="H415" s="166"/>
      <c r="I415" s="166"/>
      <c r="J415" s="166"/>
      <c r="K415" s="166"/>
      <c r="L415" s="156">
        <f>ROUND(G415*K369,2)</f>
        <v>0</v>
      </c>
      <c r="M415" s="156">
        <f>ROUND(G415*J369,2)</f>
        <v>92792.7</v>
      </c>
    </row>
    <row r="416" spans="1:13" hidden="1" x14ac:dyDescent="0.25">
      <c r="A416" s="168"/>
      <c r="B416" s="133" t="str">
        <f>'Công trình'!B34</f>
        <v>AF.12313</v>
      </c>
      <c r="C416" s="34"/>
      <c r="D416" s="133" t="str">
        <f>'Công trình'!C34</f>
        <v>Bê tông dầm, giằng đá 1x2, vữa BT mác 200</v>
      </c>
      <c r="E416" s="168"/>
      <c r="F416" s="20">
        <v>1</v>
      </c>
      <c r="G416" s="45">
        <f>'Hao phí vật tư'!J250</f>
        <v>1956.93</v>
      </c>
      <c r="H416" s="166"/>
      <c r="I416" s="166"/>
      <c r="J416" s="166"/>
      <c r="K416" s="166"/>
      <c r="L416" s="156">
        <f>ROUND(G416*K369,2)</f>
        <v>0</v>
      </c>
      <c r="M416" s="156">
        <f>ROUND(G416*J369,2)</f>
        <v>19569.3</v>
      </c>
    </row>
    <row r="417" spans="1:13" x14ac:dyDescent="0.25">
      <c r="A417" s="168">
        <v>69</v>
      </c>
      <c r="B417" s="84" t="s">
        <v>201</v>
      </c>
      <c r="C417" s="34">
        <v>400</v>
      </c>
      <c r="D417" s="144" t="s">
        <v>405</v>
      </c>
      <c r="E417" s="168" t="s">
        <v>339</v>
      </c>
      <c r="F417" s="34"/>
      <c r="G417" s="60">
        <f>SUM(G418:G442)</f>
        <v>329.8263</v>
      </c>
      <c r="H417" s="166">
        <v>72000</v>
      </c>
      <c r="I417" s="166">
        <v>72000</v>
      </c>
      <c r="J417" s="166">
        <f>'Vật liệu'!W401</f>
        <v>72000</v>
      </c>
      <c r="K417" s="166">
        <f>J417-H417</f>
        <v>0</v>
      </c>
      <c r="L417" s="166">
        <f>ROUND(G417*K417,0)</f>
        <v>0</v>
      </c>
      <c r="M417" s="166">
        <f>ROUND(G417*J417,0)</f>
        <v>23747494</v>
      </c>
    </row>
    <row r="418" spans="1:13" ht="30" hidden="1" x14ac:dyDescent="0.25">
      <c r="A418" s="168"/>
      <c r="B418" s="133" t="str">
        <f>'Công trình'!B39</f>
        <v>AI.13111</v>
      </c>
      <c r="C418" s="34"/>
      <c r="D418" s="133" t="str">
        <f>'Công trình'!C39</f>
        <v>Sản xuất cấu kiện thép đặt sẵn trong bê tông, khối lượng &lt;=10kg/cấu kiện</v>
      </c>
      <c r="E418" s="168"/>
      <c r="F418" s="20">
        <v>1</v>
      </c>
      <c r="G418" s="45">
        <f>'Hao phí vật tư'!J296</f>
        <v>3.4299999999999997E-2</v>
      </c>
      <c r="H418" s="166"/>
      <c r="I418" s="166"/>
      <c r="J418" s="166"/>
      <c r="K418" s="166"/>
      <c r="L418" s="156">
        <f>ROUND(G418*K417,2)</f>
        <v>0</v>
      </c>
      <c r="M418" s="156">
        <f>ROUND(G418*J417,2)</f>
        <v>2469.6</v>
      </c>
    </row>
    <row r="419" spans="1:13" ht="30" hidden="1" x14ac:dyDescent="0.25">
      <c r="A419" s="168"/>
      <c r="B419" s="133" t="str">
        <f>'Công trình'!B72</f>
        <v>AI.13111</v>
      </c>
      <c r="C419" s="34"/>
      <c r="D419" s="133" t="str">
        <f>'Công trình'!C72</f>
        <v>Sản xuất cấu kiện thép đặt sẵn trong bê tông, khối lượng &lt;=10kg/cấu kiện</v>
      </c>
      <c r="E419" s="168"/>
      <c r="F419" s="20">
        <v>1</v>
      </c>
      <c r="G419" s="45">
        <f>'Hao phí vật tư'!J552</f>
        <v>3.5798000000000001</v>
      </c>
      <c r="H419" s="166"/>
      <c r="I419" s="166"/>
      <c r="J419" s="166"/>
      <c r="K419" s="166"/>
      <c r="L419" s="156">
        <f>ROUND(G419*K417,2)</f>
        <v>0</v>
      </c>
      <c r="M419" s="156">
        <f>ROUND(G419*J417,2)</f>
        <v>257745.6</v>
      </c>
    </row>
    <row r="420" spans="1:13" hidden="1" x14ac:dyDescent="0.25">
      <c r="A420" s="168"/>
      <c r="B420" s="133" t="str">
        <f>'Công trình'!B74</f>
        <v>AI.52211</v>
      </c>
      <c r="C420" s="34"/>
      <c r="D420" s="133" t="str">
        <f>'Công trình'!C74</f>
        <v>Sản xuất kết cấu thép hộp nối cọc</v>
      </c>
      <c r="E420" s="168"/>
      <c r="F420" s="20">
        <v>1</v>
      </c>
      <c r="G420" s="45">
        <f>'Hao phí vật tư'!J576</f>
        <v>4.6093000000000002</v>
      </c>
      <c r="H420" s="166"/>
      <c r="I420" s="166"/>
      <c r="J420" s="166"/>
      <c r="K420" s="166"/>
      <c r="L420" s="156">
        <f>ROUND(G420*K417,2)</f>
        <v>0</v>
      </c>
      <c r="M420" s="156">
        <f>ROUND(G420*J417,2)</f>
        <v>331869.59999999998</v>
      </c>
    </row>
    <row r="421" spans="1:13" ht="30" hidden="1" x14ac:dyDescent="0.25">
      <c r="A421" s="168"/>
      <c r="B421" s="133" t="str">
        <f>'Công trình'!B83</f>
        <v>AI.13111</v>
      </c>
      <c r="C421" s="34"/>
      <c r="D421" s="133" t="str">
        <f>'Công trình'!C83</f>
        <v>Sản xuất cấu kiện thép đặt sẵn trong bê tông, khối lượng &lt;=10kg/cấu kiện</v>
      </c>
      <c r="E421" s="168"/>
      <c r="F421" s="20">
        <v>1</v>
      </c>
      <c r="G421" s="45">
        <f>'Hao phí vật tư'!J668</f>
        <v>1.6906000000000001</v>
      </c>
      <c r="H421" s="166"/>
      <c r="I421" s="166"/>
      <c r="J421" s="166"/>
      <c r="K421" s="166"/>
      <c r="L421" s="156">
        <f>ROUND(G421*K417,2)</f>
        <v>0</v>
      </c>
      <c r="M421" s="156">
        <f>ROUND(G421*J417,2)</f>
        <v>121723.2</v>
      </c>
    </row>
    <row r="422" spans="1:13" hidden="1" x14ac:dyDescent="0.25">
      <c r="A422" s="168"/>
      <c r="B422" s="133" t="str">
        <f>'Công trình'!B85</f>
        <v>AI.52211</v>
      </c>
      <c r="C422" s="34"/>
      <c r="D422" s="133" t="str">
        <f>'Công trình'!C85</f>
        <v>Sản xuất kết cấu thép hộp nối cọc</v>
      </c>
      <c r="E422" s="168"/>
      <c r="F422" s="20">
        <v>1</v>
      </c>
      <c r="G422" s="45">
        <f>'Hao phí vật tư'!J692</f>
        <v>2.0047999999999999</v>
      </c>
      <c r="H422" s="166"/>
      <c r="I422" s="166"/>
      <c r="J422" s="166"/>
      <c r="K422" s="166"/>
      <c r="L422" s="156">
        <f>ROUND(G422*K417,2)</f>
        <v>0</v>
      </c>
      <c r="M422" s="156">
        <f>ROUND(G422*J417,2)</f>
        <v>144345.60000000001</v>
      </c>
    </row>
    <row r="423" spans="1:13" ht="30" hidden="1" x14ac:dyDescent="0.25">
      <c r="A423" s="168"/>
      <c r="B423" s="133" t="str">
        <f>'Công trình'!B105</f>
        <v>AI.11131</v>
      </c>
      <c r="C423" s="34"/>
      <c r="D423" s="133" t="str">
        <f>'Công trình'!C105</f>
        <v>Khấu hao cọc dẫn bằng thép hình (đóng nhổ 40 lần trong 1 tháng)</v>
      </c>
      <c r="E423" s="168"/>
      <c r="F423" s="20">
        <v>1</v>
      </c>
      <c r="G423" s="45">
        <f>'Hao phí vật tư'!J849</f>
        <v>0</v>
      </c>
      <c r="H423" s="166"/>
      <c r="I423" s="166"/>
      <c r="J423" s="166"/>
      <c r="K423" s="166"/>
      <c r="L423" s="156">
        <f>ROUND(G423*K417,2)</f>
        <v>0</v>
      </c>
      <c r="M423" s="156">
        <f>ROUND(G423*J417,2)</f>
        <v>0</v>
      </c>
    </row>
    <row r="424" spans="1:13" hidden="1" x14ac:dyDescent="0.25">
      <c r="A424" s="168"/>
      <c r="B424" s="133" t="str">
        <f>'Công trình'!B109</f>
        <v>AI.11912</v>
      </c>
      <c r="C424" s="34"/>
      <c r="D424" s="133" t="str">
        <f>'Công trình'!C109</f>
        <v>Sản xuất hệ sàn đạo, sàn thao tác</v>
      </c>
      <c r="E424" s="168"/>
      <c r="F424" s="20">
        <v>1</v>
      </c>
      <c r="G424" s="45">
        <f>'Hao phí vật tư'!J865</f>
        <v>5.3049999999999997</v>
      </c>
      <c r="H424" s="166"/>
      <c r="I424" s="166"/>
      <c r="J424" s="166"/>
      <c r="K424" s="166"/>
      <c r="L424" s="156">
        <f>ROUND(G424*K417,2)</f>
        <v>0</v>
      </c>
      <c r="M424" s="156">
        <f>ROUND(G424*J417,2)</f>
        <v>381960</v>
      </c>
    </row>
    <row r="425" spans="1:13" ht="30" hidden="1" x14ac:dyDescent="0.25">
      <c r="A425" s="168"/>
      <c r="B425" s="133" t="str">
        <f>'Công trình'!B110</f>
        <v>TT</v>
      </c>
      <c r="C425" s="34"/>
      <c r="D425" s="133" t="str">
        <f>'Công trình'!C110</f>
        <v>Khấu hao hệ sàn đạo, sàn thao tác (Thi công trong vòng 1 tháng và 5 lần đóng nhổ)</v>
      </c>
      <c r="E425" s="168"/>
      <c r="F425" s="20">
        <v>1</v>
      </c>
      <c r="G425" s="45">
        <f>'Hao phí vật tư'!J879</f>
        <v>0</v>
      </c>
      <c r="H425" s="166"/>
      <c r="I425" s="166"/>
      <c r="J425" s="166"/>
      <c r="K425" s="166"/>
      <c r="L425" s="156">
        <f>ROUND(G425*K417,2)</f>
        <v>0</v>
      </c>
      <c r="M425" s="156">
        <f>ROUND(G425*J417,2)</f>
        <v>0</v>
      </c>
    </row>
    <row r="426" spans="1:13" hidden="1" x14ac:dyDescent="0.25">
      <c r="A426" s="168"/>
      <c r="B426" s="133" t="str">
        <f>'Công trình'!B104</f>
        <v>AI.11131</v>
      </c>
      <c r="C426" s="34"/>
      <c r="D426" s="133" t="str">
        <f>'Công trình'!C104</f>
        <v>Sản xuất cọc dẫn bằng thép hình</v>
      </c>
      <c r="E426" s="168"/>
      <c r="F426" s="20">
        <v>1</v>
      </c>
      <c r="G426" s="45">
        <f>'Hao phí vật tư'!J833</f>
        <v>3.5569999999999999</v>
      </c>
      <c r="H426" s="166"/>
      <c r="I426" s="166"/>
      <c r="J426" s="166"/>
      <c r="K426" s="166"/>
      <c r="L426" s="156">
        <f>ROUND(G426*K417,2)</f>
        <v>0</v>
      </c>
      <c r="M426" s="156">
        <f>ROUND(G426*J417,2)</f>
        <v>256104</v>
      </c>
    </row>
    <row r="427" spans="1:13" hidden="1" x14ac:dyDescent="0.25">
      <c r="A427" s="168"/>
      <c r="B427" s="133" t="str">
        <f>'Công trình'!B120</f>
        <v>AI.11912</v>
      </c>
      <c r="C427" s="34"/>
      <c r="D427" s="133" t="str">
        <f>'Công trình'!C120</f>
        <v>Sản xuất hệ sàn đạo, sàn thao tác</v>
      </c>
      <c r="E427" s="168"/>
      <c r="F427" s="20">
        <v>1</v>
      </c>
      <c r="G427" s="45">
        <f>'Hao phí vật tư'!J937</f>
        <v>10.9316</v>
      </c>
      <c r="H427" s="166"/>
      <c r="I427" s="166"/>
      <c r="J427" s="166"/>
      <c r="K427" s="166"/>
      <c r="L427" s="156">
        <f>ROUND(G427*K417,2)</f>
        <v>0</v>
      </c>
      <c r="M427" s="156">
        <f>ROUND(G427*J417,2)</f>
        <v>787075.2</v>
      </c>
    </row>
    <row r="428" spans="1:13" ht="30" hidden="1" x14ac:dyDescent="0.25">
      <c r="A428" s="168"/>
      <c r="B428" s="133" t="str">
        <f>'Công trình'!B121</f>
        <v>TT</v>
      </c>
      <c r="C428" s="34"/>
      <c r="D428" s="133" t="str">
        <f>'Công trình'!C121</f>
        <v>Khấu hao hệ sàn đạo, sàn thao tác (Thi công trong vòng 1 tháng và 4 lần đóng nhổ)</v>
      </c>
      <c r="E428" s="168"/>
      <c r="F428" s="20">
        <v>1</v>
      </c>
      <c r="G428" s="45">
        <f>'Hao phí vật tư'!J951</f>
        <v>0</v>
      </c>
      <c r="H428" s="166"/>
      <c r="I428" s="166"/>
      <c r="J428" s="166"/>
      <c r="K428" s="166"/>
      <c r="L428" s="156">
        <f>ROUND(G428*K417,2)</f>
        <v>0</v>
      </c>
      <c r="M428" s="156">
        <f>ROUND(G428*J417,2)</f>
        <v>0</v>
      </c>
    </row>
    <row r="429" spans="1:13" hidden="1" x14ac:dyDescent="0.25">
      <c r="A429" s="168"/>
      <c r="B429" s="133" t="str">
        <f>'Công trình'!B136</f>
        <v>AI.11912</v>
      </c>
      <c r="C429" s="34"/>
      <c r="D429" s="133" t="str">
        <f>'Công trình'!C136</f>
        <v>Sản xuất hệ sàn đạo, sàn thao tác</v>
      </c>
      <c r="E429" s="168"/>
      <c r="F429" s="20">
        <v>1</v>
      </c>
      <c r="G429" s="45">
        <f>'Hao phí vật tư'!J1038</f>
        <v>173.09540000000001</v>
      </c>
      <c r="H429" s="166"/>
      <c r="I429" s="166"/>
      <c r="J429" s="166"/>
      <c r="K429" s="166"/>
      <c r="L429" s="156">
        <f>ROUND(G429*K417,2)</f>
        <v>0</v>
      </c>
      <c r="M429" s="156">
        <f>ROUND(G429*J417,2)</f>
        <v>12462868.800000001</v>
      </c>
    </row>
    <row r="430" spans="1:13" ht="30" hidden="1" x14ac:dyDescent="0.25">
      <c r="A430" s="168"/>
      <c r="B430" s="133" t="str">
        <f>'Công trình'!B137</f>
        <v>TT</v>
      </c>
      <c r="C430" s="34"/>
      <c r="D430" s="133" t="str">
        <f>'Công trình'!C137</f>
        <v>Khấu hao hệ sàn đạo, sàn thao tác (Thi công trong vòng 3 tháng và 1 lần đóng nhổ)</v>
      </c>
      <c r="E430" s="168"/>
      <c r="F430" s="20">
        <v>1</v>
      </c>
      <c r="G430" s="45">
        <f>'Hao phí vật tư'!J1052</f>
        <v>0</v>
      </c>
      <c r="H430" s="166"/>
      <c r="I430" s="166"/>
      <c r="J430" s="166"/>
      <c r="K430" s="166"/>
      <c r="L430" s="156">
        <f>ROUND(G430*K417,2)</f>
        <v>0</v>
      </c>
      <c r="M430" s="156">
        <f>ROUND(G430*J417,2)</f>
        <v>0</v>
      </c>
    </row>
    <row r="431" spans="1:13" hidden="1" x14ac:dyDescent="0.25">
      <c r="A431" s="168"/>
      <c r="B431" s="133" t="str">
        <f>'Công trình'!B147</f>
        <v>AI.11411</v>
      </c>
      <c r="C431" s="34"/>
      <c r="D431" s="133" t="str">
        <f>'Công trình'!C147</f>
        <v>Sản xuất thang sắt</v>
      </c>
      <c r="E431" s="168"/>
      <c r="F431" s="20">
        <v>1</v>
      </c>
      <c r="G431" s="45">
        <f>'Hao phí vật tư'!J1113</f>
        <v>3.56E-2</v>
      </c>
      <c r="H431" s="166"/>
      <c r="I431" s="166"/>
      <c r="J431" s="166"/>
      <c r="K431" s="166"/>
      <c r="L431" s="156">
        <f>ROUND(G431*K417,2)</f>
        <v>0</v>
      </c>
      <c r="M431" s="156">
        <f>ROUND(G431*J417,2)</f>
        <v>2563.1999999999998</v>
      </c>
    </row>
    <row r="432" spans="1:13" ht="30" hidden="1" x14ac:dyDescent="0.25">
      <c r="A432" s="168"/>
      <c r="B432" s="133" t="str">
        <f>'Công trình'!B158</f>
        <v>TT</v>
      </c>
      <c r="C432" s="34"/>
      <c r="D432" s="133" t="str">
        <f>'Công trình'!C158</f>
        <v>Khấu hao hệ sàn đạo, sàn thao tác (Thi công trong vòng 3 tháng và 1 lần đóng nhổ)</v>
      </c>
      <c r="E432" s="168"/>
      <c r="F432" s="20">
        <v>1</v>
      </c>
      <c r="G432" s="45">
        <f>'Hao phí vật tư'!J1201</f>
        <v>0</v>
      </c>
      <c r="H432" s="166"/>
      <c r="I432" s="166"/>
      <c r="J432" s="166"/>
      <c r="K432" s="166"/>
      <c r="L432" s="156">
        <f>ROUND(G432*K417,2)</f>
        <v>0</v>
      </c>
      <c r="M432" s="156">
        <f>ROUND(G432*J417,2)</f>
        <v>0</v>
      </c>
    </row>
    <row r="433" spans="1:13" hidden="1" x14ac:dyDescent="0.25">
      <c r="A433" s="168"/>
      <c r="B433" s="133" t="str">
        <f>'Công trình'!B157</f>
        <v>AI.11912</v>
      </c>
      <c r="C433" s="34"/>
      <c r="D433" s="133" t="str">
        <f>'Công trình'!C157</f>
        <v>Sản xuất cầu công tác</v>
      </c>
      <c r="E433" s="168"/>
      <c r="F433" s="20">
        <v>1</v>
      </c>
      <c r="G433" s="45">
        <f>'Hao phí vật tư'!J1187</f>
        <v>84.388300000000001</v>
      </c>
      <c r="H433" s="166"/>
      <c r="I433" s="166"/>
      <c r="J433" s="166"/>
      <c r="K433" s="166"/>
      <c r="L433" s="156">
        <f>ROUND(G433*K417,2)</f>
        <v>0</v>
      </c>
      <c r="M433" s="156">
        <f>ROUND(G433*J417,2)</f>
        <v>6075957.5999999996</v>
      </c>
    </row>
    <row r="434" spans="1:13" ht="30" hidden="1" x14ac:dyDescent="0.25">
      <c r="A434" s="168"/>
      <c r="B434" s="133" t="str">
        <f>'Công trình'!B229</f>
        <v>AI.13111</v>
      </c>
      <c r="C434" s="34"/>
      <c r="D434" s="133" t="str">
        <f>'Công trình'!C229</f>
        <v>Sản xuất cấu kiện thép đặt sẵn trong bê tông, khối lượng &lt;=10kg/cấu kiện</v>
      </c>
      <c r="E434" s="168"/>
      <c r="F434" s="20">
        <v>1</v>
      </c>
      <c r="G434" s="45">
        <f>'Hao phí vật tư'!J1728</f>
        <v>3.2709999999999999</v>
      </c>
      <c r="H434" s="166"/>
      <c r="I434" s="166"/>
      <c r="J434" s="166"/>
      <c r="K434" s="166"/>
      <c r="L434" s="156">
        <f>ROUND(G434*K417,2)</f>
        <v>0</v>
      </c>
      <c r="M434" s="156">
        <f>ROUND(G434*J417,2)</f>
        <v>235512</v>
      </c>
    </row>
    <row r="435" spans="1:13" hidden="1" x14ac:dyDescent="0.25">
      <c r="A435" s="168"/>
      <c r="B435" s="133" t="str">
        <f>'Công trình'!B231</f>
        <v>AI.52211</v>
      </c>
      <c r="C435" s="34"/>
      <c r="D435" s="133" t="str">
        <f>'Công trình'!C231</f>
        <v>Thép hình hộp nối cọc</v>
      </c>
      <c r="E435" s="168"/>
      <c r="F435" s="20">
        <v>1</v>
      </c>
      <c r="G435" s="45">
        <f>'Hao phí vật tư'!J1752</f>
        <v>4.3212999999999999</v>
      </c>
      <c r="H435" s="166"/>
      <c r="I435" s="166"/>
      <c r="J435" s="166"/>
      <c r="K435" s="166"/>
      <c r="L435" s="156">
        <f>ROUND(G435*K417,2)</f>
        <v>0</v>
      </c>
      <c r="M435" s="156">
        <f>ROUND(G435*J417,2)</f>
        <v>311133.59999999998</v>
      </c>
    </row>
    <row r="436" spans="1:13" ht="30" hidden="1" x14ac:dyDescent="0.25">
      <c r="A436" s="168"/>
      <c r="B436" s="133" t="str">
        <f>'Công trình'!B179</f>
        <v>AF.87211</v>
      </c>
      <c r="C436" s="34"/>
      <c r="D436" s="133" t="str">
        <f>'Công trình'!C179</f>
        <v>Sản xuất, lắp dựng, tháo dỡ ván khuôn mố, trụ cầu trên cạn</v>
      </c>
      <c r="E436" s="168"/>
      <c r="F436" s="20">
        <v>1</v>
      </c>
      <c r="G436" s="45">
        <f>'Hao phí vật tư'!J1353</f>
        <v>2.7711000000000001</v>
      </c>
      <c r="H436" s="166"/>
      <c r="I436" s="166"/>
      <c r="J436" s="166"/>
      <c r="K436" s="166"/>
      <c r="L436" s="156">
        <f>ROUND(G436*K417,2)</f>
        <v>0</v>
      </c>
      <c r="M436" s="156">
        <f>ROUND(G436*J417,2)</f>
        <v>199519.2</v>
      </c>
    </row>
    <row r="437" spans="1:13" ht="30" hidden="1" x14ac:dyDescent="0.25">
      <c r="A437" s="168"/>
      <c r="B437" s="133" t="str">
        <f>'Công trình'!B189</f>
        <v>AF.87211</v>
      </c>
      <c r="C437" s="34"/>
      <c r="D437" s="133" t="str">
        <f>'Công trình'!C189</f>
        <v>Sản xuất, lắp dựng, tháo dỡ ván khuôn mố, trụ cầu trên cạn</v>
      </c>
      <c r="E437" s="168"/>
      <c r="F437" s="20">
        <v>1</v>
      </c>
      <c r="G437" s="45">
        <f>'Hao phí vật tư'!J1444</f>
        <v>0.79400000000000004</v>
      </c>
      <c r="H437" s="166"/>
      <c r="I437" s="166"/>
      <c r="J437" s="166"/>
      <c r="K437" s="166"/>
      <c r="L437" s="156">
        <f>ROUND(G437*K417,2)</f>
        <v>0</v>
      </c>
      <c r="M437" s="156">
        <f>ROUND(G437*J417,2)</f>
        <v>57168</v>
      </c>
    </row>
    <row r="438" spans="1:13" hidden="1" x14ac:dyDescent="0.25">
      <c r="A438" s="168"/>
      <c r="B438" s="133" t="str">
        <f>'Công trình'!B262</f>
        <v>AI.21152</v>
      </c>
      <c r="C438" s="34"/>
      <c r="D438" s="133" t="str">
        <f>'Công trình'!C262</f>
        <v>Sản xuất kết cấu thép lan can cầu đường bộ</v>
      </c>
      <c r="E438" s="168"/>
      <c r="F438" s="20">
        <v>1</v>
      </c>
      <c r="G438" s="45">
        <f>'Hao phí vật tư'!J1992</f>
        <v>23.603000000000002</v>
      </c>
      <c r="H438" s="166"/>
      <c r="I438" s="166"/>
      <c r="J438" s="166"/>
      <c r="K438" s="166"/>
      <c r="L438" s="156">
        <f>ROUND(G438*K417,2)</f>
        <v>0</v>
      </c>
      <c r="M438" s="156">
        <f>ROUND(G438*J417,2)</f>
        <v>1699416</v>
      </c>
    </row>
    <row r="439" spans="1:13" hidden="1" x14ac:dyDescent="0.25">
      <c r="A439" s="168"/>
      <c r="B439" s="133" t="str">
        <f>'Công trình'!B316</f>
        <v>AI.52211</v>
      </c>
      <c r="C439" s="34"/>
      <c r="D439" s="133" t="str">
        <f>'Công trình'!C316</f>
        <v>Sản xuất kết cấu thép khe phai - thép CT3</v>
      </c>
      <c r="E439" s="168"/>
      <c r="F439" s="20">
        <v>1</v>
      </c>
      <c r="G439" s="45">
        <f>'Hao phí vật tư'!J2308</f>
        <v>1.1687000000000001</v>
      </c>
      <c r="H439" s="166"/>
      <c r="I439" s="166"/>
      <c r="J439" s="166"/>
      <c r="K439" s="166"/>
      <c r="L439" s="156">
        <f>ROUND(G439*K417,2)</f>
        <v>0</v>
      </c>
      <c r="M439" s="156">
        <f>ROUND(G439*J417,2)</f>
        <v>84146.4</v>
      </c>
    </row>
    <row r="440" spans="1:13" hidden="1" x14ac:dyDescent="0.25">
      <c r="A440" s="168"/>
      <c r="B440" s="133" t="str">
        <f>'Công trình'!B317</f>
        <v>AI.52211</v>
      </c>
      <c r="C440" s="34"/>
      <c r="D440" s="133" t="str">
        <f>'Công trình'!C317</f>
        <v>Sản xuất kết cấu thép khe phai - thép SUS304</v>
      </c>
      <c r="E440" s="168"/>
      <c r="F440" s="20">
        <v>1</v>
      </c>
      <c r="G440" s="45">
        <f>'Hao phí vật tư'!J2324</f>
        <v>1.5973999999999999</v>
      </c>
      <c r="H440" s="166"/>
      <c r="I440" s="166"/>
      <c r="J440" s="166"/>
      <c r="K440" s="166"/>
      <c r="L440" s="156">
        <f>ROUND(G440*K417,2)</f>
        <v>0</v>
      </c>
      <c r="M440" s="156">
        <f>ROUND(G440*J417,2)</f>
        <v>115012.8</v>
      </c>
    </row>
    <row r="441" spans="1:13" hidden="1" x14ac:dyDescent="0.25">
      <c r="A441" s="168"/>
      <c r="B441" s="133" t="str">
        <f>'Công trình'!B318</f>
        <v>AI.52211</v>
      </c>
      <c r="C441" s="34"/>
      <c r="D441" s="133" t="str">
        <f>'Công trình'!C318</f>
        <v>Sản xuất kết cấu thép khe cửa - thép CT3</v>
      </c>
      <c r="E441" s="168"/>
      <c r="F441" s="20">
        <v>1</v>
      </c>
      <c r="G441" s="45">
        <f>'Hao phí vật tư'!J2339</f>
        <v>1.1816</v>
      </c>
      <c r="H441" s="166"/>
      <c r="I441" s="166"/>
      <c r="J441" s="166"/>
      <c r="K441" s="166"/>
      <c r="L441" s="156">
        <f>ROUND(G441*K417,2)</f>
        <v>0</v>
      </c>
      <c r="M441" s="156">
        <f>ROUND(G441*J417,2)</f>
        <v>85075.199999999997</v>
      </c>
    </row>
    <row r="442" spans="1:13" hidden="1" x14ac:dyDescent="0.25">
      <c r="A442" s="168"/>
      <c r="B442" s="133" t="str">
        <f>'Công trình'!B319</f>
        <v>AI.52211</v>
      </c>
      <c r="C442" s="34"/>
      <c r="D442" s="133" t="str">
        <f>'Công trình'!C319</f>
        <v>Sản xuất kết cấu thép khe cửa- thép SUS304</v>
      </c>
      <c r="E442" s="168"/>
      <c r="F442" s="20">
        <v>1</v>
      </c>
      <c r="G442" s="45">
        <f>'Hao phí vật tư'!J2355</f>
        <v>1.8865000000000001</v>
      </c>
      <c r="H442" s="166"/>
      <c r="I442" s="166"/>
      <c r="J442" s="166"/>
      <c r="K442" s="166"/>
      <c r="L442" s="156">
        <f>ROUND(G442*K417,2)</f>
        <v>0</v>
      </c>
      <c r="M442" s="156">
        <f>ROUND(G442*J417,2)</f>
        <v>135828</v>
      </c>
    </row>
    <row r="443" spans="1:13" x14ac:dyDescent="0.25">
      <c r="A443" s="168">
        <v>70</v>
      </c>
      <c r="B443" s="84" t="s">
        <v>729</v>
      </c>
      <c r="C443" s="34">
        <v>828</v>
      </c>
      <c r="D443" s="144" t="s">
        <v>405</v>
      </c>
      <c r="E443" s="168" t="s">
        <v>555</v>
      </c>
      <c r="F443" s="34"/>
      <c r="G443" s="60">
        <f>SUM(G444:G444)</f>
        <v>6.0274000000000001</v>
      </c>
      <c r="H443" s="166">
        <v>72000</v>
      </c>
      <c r="I443" s="166">
        <v>72000</v>
      </c>
      <c r="J443" s="166">
        <f>'Vật liệu'!W946</f>
        <v>72000</v>
      </c>
      <c r="K443" s="166">
        <f>J443-H443</f>
        <v>0</v>
      </c>
      <c r="L443" s="166">
        <f>ROUND(G443*K443,0)</f>
        <v>0</v>
      </c>
      <c r="M443" s="166">
        <f>ROUND(G443*J443,0)</f>
        <v>433973</v>
      </c>
    </row>
    <row r="444" spans="1:13" ht="30" hidden="1" x14ac:dyDescent="0.25">
      <c r="A444" s="168"/>
      <c r="B444" s="133" t="str">
        <f>'Công trình'!B321</f>
        <v>CV.0202</v>
      </c>
      <c r="C444" s="34"/>
      <c r="D444" s="133" t="str">
        <f>'Công trình'!C321</f>
        <v>Lắp đặt cửa van bằng thép không gỉ, chiều rộng cống (B) &lt;= 8m</v>
      </c>
      <c r="E444" s="168"/>
      <c r="F444" s="20">
        <v>1</v>
      </c>
      <c r="G444" s="45">
        <f>'Hao phí vật tư'!J2392</f>
        <v>6.0274000000000001</v>
      </c>
      <c r="H444" s="166"/>
      <c r="I444" s="166"/>
      <c r="J444" s="166"/>
      <c r="K444" s="166"/>
      <c r="L444" s="156">
        <f>ROUND(G444*K443,2)</f>
        <v>0</v>
      </c>
      <c r="M444" s="156">
        <f>ROUND(G444*J443,2)</f>
        <v>433972.8</v>
      </c>
    </row>
    <row r="445" spans="1:13" x14ac:dyDescent="0.25">
      <c r="A445" s="168">
        <v>71</v>
      </c>
      <c r="B445" s="84" t="s">
        <v>1009</v>
      </c>
      <c r="C445" s="34">
        <v>464</v>
      </c>
      <c r="D445" s="144" t="s">
        <v>13</v>
      </c>
      <c r="E445" s="168" t="s">
        <v>113</v>
      </c>
      <c r="F445" s="34"/>
      <c r="G445" s="60">
        <f>SUM(G446:G446)</f>
        <v>129.5676</v>
      </c>
      <c r="H445" s="166">
        <v>126000</v>
      </c>
      <c r="I445" s="166">
        <v>126000</v>
      </c>
      <c r="J445" s="166">
        <f>'Vật liệu'!W423</f>
        <v>126000</v>
      </c>
      <c r="K445" s="166">
        <f>J445-H445</f>
        <v>0</v>
      </c>
      <c r="L445" s="166">
        <f>ROUND(G445*K445,0)</f>
        <v>0</v>
      </c>
      <c r="M445" s="166">
        <f>ROUND(G445*J445,0)</f>
        <v>16325518</v>
      </c>
    </row>
    <row r="446" spans="1:13" ht="45" hidden="1" x14ac:dyDescent="0.25">
      <c r="A446" s="168"/>
      <c r="B446" s="133" t="str">
        <f>'Công trình'!B26</f>
        <v>AC.12412</v>
      </c>
      <c r="C446" s="34"/>
      <c r="D446" s="133" t="str">
        <f>'Công trình'!C26</f>
        <v>Đóng cọc cừ máng bê tông dự ứng lực trên cạn bằng búa rung kết hợp tách mũi nước áp lực SW600A, chiều cao máng cọc 60-84cm, L=18M</v>
      </c>
      <c r="E446" s="168"/>
      <c r="F446" s="20">
        <v>1</v>
      </c>
      <c r="G446" s="45">
        <f>'Hao phí vật tư'!J180</f>
        <v>129.5676</v>
      </c>
      <c r="H446" s="166"/>
      <c r="I446" s="166"/>
      <c r="J446" s="166"/>
      <c r="K446" s="166"/>
      <c r="L446" s="156">
        <f>ROUND(G446*K445,2)</f>
        <v>0</v>
      </c>
      <c r="M446" s="156">
        <f>ROUND(G446*J445,2)</f>
        <v>16325517.6</v>
      </c>
    </row>
    <row r="447" spans="1:13" x14ac:dyDescent="0.25">
      <c r="A447" s="168">
        <v>72</v>
      </c>
      <c r="B447" s="84" t="s">
        <v>351</v>
      </c>
      <c r="C447" s="34">
        <v>463</v>
      </c>
      <c r="D447" s="144" t="s">
        <v>957</v>
      </c>
      <c r="E447" s="168" t="s">
        <v>113</v>
      </c>
      <c r="F447" s="34"/>
      <c r="G447" s="60">
        <f>SUM(G448:G448)</f>
        <v>16.232399999999998</v>
      </c>
      <c r="H447" s="166">
        <v>148000</v>
      </c>
      <c r="I447" s="166">
        <v>148000</v>
      </c>
      <c r="J447" s="166">
        <f>'Vật liệu'!W425</f>
        <v>148000</v>
      </c>
      <c r="K447" s="166">
        <f>J447-H447</f>
        <v>0</v>
      </c>
      <c r="L447" s="166">
        <f>ROUND(G447*K447,0)</f>
        <v>0</v>
      </c>
      <c r="M447" s="166">
        <f>ROUND(G447*J447,0)</f>
        <v>2402395</v>
      </c>
    </row>
    <row r="448" spans="1:13" ht="45" hidden="1" x14ac:dyDescent="0.25">
      <c r="A448" s="168"/>
      <c r="B448" s="133" t="str">
        <f>'Công trình'!B26</f>
        <v>AC.12412</v>
      </c>
      <c r="C448" s="34"/>
      <c r="D448" s="133" t="str">
        <f>'Công trình'!C26</f>
        <v>Đóng cọc cừ máng bê tông dự ứng lực trên cạn bằng búa rung kết hợp tách mũi nước áp lực SW600A, chiều cao máng cọc 60-84cm, L=18M</v>
      </c>
      <c r="E448" s="168"/>
      <c r="F448" s="20">
        <v>1</v>
      </c>
      <c r="G448" s="45">
        <f>'Hao phí vật tư'!J184</f>
        <v>16.232399999999998</v>
      </c>
      <c r="H448" s="166"/>
      <c r="I448" s="166"/>
      <c r="J448" s="166"/>
      <c r="K448" s="166"/>
      <c r="L448" s="156">
        <f>ROUND(G448*K447,2)</f>
        <v>0</v>
      </c>
      <c r="M448" s="156">
        <f>ROUND(G448*J447,2)</f>
        <v>2402395.2000000002</v>
      </c>
    </row>
    <row r="449" spans="1:13" x14ac:dyDescent="0.25">
      <c r="A449" s="168">
        <v>73</v>
      </c>
      <c r="B449" s="84" t="s">
        <v>1017</v>
      </c>
      <c r="C449" s="34">
        <v>494</v>
      </c>
      <c r="D449" s="144" t="s">
        <v>191</v>
      </c>
      <c r="E449" s="168" t="s">
        <v>113</v>
      </c>
      <c r="F449" s="34"/>
      <c r="G449" s="60">
        <f>SUM(G450:G451)</f>
        <v>106</v>
      </c>
      <c r="H449" s="166">
        <v>48788</v>
      </c>
      <c r="I449" s="166">
        <v>48788</v>
      </c>
      <c r="J449" s="166">
        <f>'Vật liệu'!W427</f>
        <v>48788</v>
      </c>
      <c r="K449" s="166">
        <f>J449-H449</f>
        <v>0</v>
      </c>
      <c r="L449" s="166">
        <f>ROUND(G449*K449,0)</f>
        <v>0</v>
      </c>
      <c r="M449" s="166">
        <f>ROUND(G449*J449,0)</f>
        <v>5171528</v>
      </c>
    </row>
    <row r="450" spans="1:13" hidden="1" x14ac:dyDescent="0.25">
      <c r="A450" s="168"/>
      <c r="B450" s="133" t="str">
        <f>'Công trình'!B276</f>
        <v>TT</v>
      </c>
      <c r="C450" s="34"/>
      <c r="D450" s="133" t="str">
        <f>'Công trình'!C276</f>
        <v>Thép ống mã kẽm Ø90</v>
      </c>
      <c r="E450" s="168"/>
      <c r="F450" s="20">
        <v>1</v>
      </c>
      <c r="G450" s="45">
        <f>'Hao phí vật tư'!J2094</f>
        <v>78</v>
      </c>
      <c r="H450" s="166"/>
      <c r="I450" s="166"/>
      <c r="J450" s="166"/>
      <c r="K450" s="166"/>
      <c r="L450" s="156">
        <f>ROUND(G450*K449,2)</f>
        <v>0</v>
      </c>
      <c r="M450" s="156">
        <f>ROUND(G450*J449,2)</f>
        <v>3805464</v>
      </c>
    </row>
    <row r="451" spans="1:13" hidden="1" x14ac:dyDescent="0.25">
      <c r="A451" s="168"/>
      <c r="B451" s="133" t="str">
        <f>'Công trình'!B279</f>
        <v>TT</v>
      </c>
      <c r="C451" s="34"/>
      <c r="D451" s="133" t="str">
        <f>'Công trình'!C279</f>
        <v>Thép ống mã kẽm Ø90</v>
      </c>
      <c r="E451" s="168"/>
      <c r="F451" s="20">
        <v>1</v>
      </c>
      <c r="G451" s="45">
        <f>'Hao phí vật tư'!J2103</f>
        <v>28</v>
      </c>
      <c r="H451" s="166"/>
      <c r="I451" s="166"/>
      <c r="J451" s="166"/>
      <c r="K451" s="166"/>
      <c r="L451" s="156">
        <f>ROUND(G451*K449,2)</f>
        <v>0</v>
      </c>
      <c r="M451" s="156">
        <f>ROUND(G451*J449,2)</f>
        <v>1366064</v>
      </c>
    </row>
    <row r="452" spans="1:13" x14ac:dyDescent="0.25">
      <c r="A452" s="168">
        <v>74</v>
      </c>
      <c r="B452" s="84" t="s">
        <v>534</v>
      </c>
      <c r="C452" s="34">
        <v>508</v>
      </c>
      <c r="D452" s="144" t="s">
        <v>358</v>
      </c>
      <c r="E452" s="168" t="s">
        <v>113</v>
      </c>
      <c r="F452" s="34"/>
      <c r="G452" s="60">
        <f>SUM(G453:G453)</f>
        <v>71.355000000000004</v>
      </c>
      <c r="H452" s="166">
        <v>80737</v>
      </c>
      <c r="I452" s="166">
        <v>80737</v>
      </c>
      <c r="J452" s="166">
        <f>'Vật liệu'!W430</f>
        <v>80737</v>
      </c>
      <c r="K452" s="166">
        <f>J452-H452</f>
        <v>0</v>
      </c>
      <c r="L452" s="166">
        <f>ROUND(G452*K452,0)</f>
        <v>0</v>
      </c>
      <c r="M452" s="166">
        <f>ROUND(G452*J452,0)</f>
        <v>5760989</v>
      </c>
    </row>
    <row r="453" spans="1:13" hidden="1" x14ac:dyDescent="0.25">
      <c r="A453" s="168"/>
      <c r="B453" s="133" t="str">
        <f>'Công trình'!B268</f>
        <v>BB.14211</v>
      </c>
      <c r="C453" s="34"/>
      <c r="D453" s="133" t="str">
        <f>'Công trình'!C268</f>
        <v>Ống thép Þ120 dày 2 mm</v>
      </c>
      <c r="E453" s="168"/>
      <c r="F453" s="20">
        <v>1</v>
      </c>
      <c r="G453" s="45">
        <f>'Hao phí vật tư'!J2044</f>
        <v>71.355000000000004</v>
      </c>
      <c r="H453" s="166"/>
      <c r="I453" s="166"/>
      <c r="J453" s="166"/>
      <c r="K453" s="166"/>
      <c r="L453" s="156">
        <f>ROUND(G453*K452,2)</f>
        <v>0</v>
      </c>
      <c r="M453" s="156">
        <f>ROUND(G453*J452,2)</f>
        <v>5760988.6399999997</v>
      </c>
    </row>
    <row r="454" spans="1:13" x14ac:dyDescent="0.25">
      <c r="A454" s="168">
        <v>75</v>
      </c>
      <c r="B454" s="84" t="s">
        <v>260</v>
      </c>
      <c r="C454" s="34">
        <v>511</v>
      </c>
      <c r="D454" s="144" t="s">
        <v>969</v>
      </c>
      <c r="E454" s="168" t="s">
        <v>113</v>
      </c>
      <c r="F454" s="34"/>
      <c r="G454" s="60">
        <f>SUM(G455:G455)</f>
        <v>30.15</v>
      </c>
      <c r="H454" s="166">
        <v>80737</v>
      </c>
      <c r="I454" s="166">
        <v>80737</v>
      </c>
      <c r="J454" s="166">
        <f>'Vật liệu'!W432</f>
        <v>80737</v>
      </c>
      <c r="K454" s="166">
        <f>J454-H454</f>
        <v>0</v>
      </c>
      <c r="L454" s="166">
        <f>ROUND(G454*K454,0)</f>
        <v>0</v>
      </c>
      <c r="M454" s="166">
        <f>ROUND(G454*J454,0)</f>
        <v>2434221</v>
      </c>
    </row>
    <row r="455" spans="1:13" ht="30" hidden="1" x14ac:dyDescent="0.25">
      <c r="A455" s="168"/>
      <c r="B455" s="133" t="str">
        <f>'Công trình'!B259</f>
        <v>BB.14309</v>
      </c>
      <c r="C455" s="34"/>
      <c r="D455" s="133" t="str">
        <f>'Công trình'!C259</f>
        <v>Lắp đặt ống thép tráng kẽm, đoạn ống dài 8m, đk=110mm</v>
      </c>
      <c r="E455" s="168"/>
      <c r="F455" s="20">
        <v>1</v>
      </c>
      <c r="G455" s="45">
        <f>'Hao phí vật tư'!J1980</f>
        <v>30.15</v>
      </c>
      <c r="H455" s="166"/>
      <c r="I455" s="166"/>
      <c r="J455" s="166"/>
      <c r="K455" s="166"/>
      <c r="L455" s="156">
        <f>ROUND(G455*K454,2)</f>
        <v>0</v>
      </c>
      <c r="M455" s="156">
        <f>ROUND(G455*J454,2)</f>
        <v>2434220.5499999998</v>
      </c>
    </row>
    <row r="456" spans="1:13" x14ac:dyDescent="0.25">
      <c r="A456" s="168">
        <v>76</v>
      </c>
      <c r="B456" s="84" t="s">
        <v>758</v>
      </c>
      <c r="C456" s="34">
        <v>513</v>
      </c>
      <c r="D456" s="144" t="s">
        <v>518</v>
      </c>
      <c r="E456" s="168" t="s">
        <v>113</v>
      </c>
      <c r="F456" s="34"/>
      <c r="G456" s="60">
        <f>SUM(G457:G457)</f>
        <v>7.0350000000000001</v>
      </c>
      <c r="H456" s="166">
        <v>32273</v>
      </c>
      <c r="I456" s="166">
        <v>32273</v>
      </c>
      <c r="J456" s="166">
        <f>'Vật liệu'!W434</f>
        <v>32273</v>
      </c>
      <c r="K456" s="166">
        <f>J456-H456</f>
        <v>0</v>
      </c>
      <c r="L456" s="166">
        <f>ROUND(G456*K456,0)</f>
        <v>0</v>
      </c>
      <c r="M456" s="166">
        <f>ROUND(G456*J456,0)</f>
        <v>227041</v>
      </c>
    </row>
    <row r="457" spans="1:13" hidden="1" x14ac:dyDescent="0.25">
      <c r="A457" s="168"/>
      <c r="B457" s="133" t="str">
        <f>'Công trình'!B289</f>
        <v>BB.14306</v>
      </c>
      <c r="C457" s="34"/>
      <c r="D457" s="133" t="str">
        <f>'Công trình'!C289</f>
        <v>Ống thép D80mm, dày 2.9mm, mạ kẽm</v>
      </c>
      <c r="E457" s="168"/>
      <c r="F457" s="20">
        <v>1</v>
      </c>
      <c r="G457" s="45">
        <f>'Hao phí vật tư'!J2163</f>
        <v>7.0350000000000001</v>
      </c>
      <c r="H457" s="166"/>
      <c r="I457" s="166"/>
      <c r="J457" s="166"/>
      <c r="K457" s="166"/>
      <c r="L457" s="156">
        <f>ROUND(G457*K456,2)</f>
        <v>0</v>
      </c>
      <c r="M457" s="156">
        <f>ROUND(G457*J456,2)</f>
        <v>227040.56</v>
      </c>
    </row>
    <row r="458" spans="1:13" x14ac:dyDescent="0.25">
      <c r="A458" s="168">
        <v>77</v>
      </c>
      <c r="B458" s="84" t="s">
        <v>22</v>
      </c>
      <c r="C458" s="34">
        <v>514</v>
      </c>
      <c r="D458" s="144" t="s">
        <v>722</v>
      </c>
      <c r="E458" s="168" t="s">
        <v>113</v>
      </c>
      <c r="F458" s="34"/>
      <c r="G458" s="60">
        <f>SUM(G459:G459)</f>
        <v>1.3585</v>
      </c>
      <c r="H458" s="166">
        <v>393955</v>
      </c>
      <c r="I458" s="166">
        <v>393955</v>
      </c>
      <c r="J458" s="166">
        <f>'Vật liệu'!W436</f>
        <v>393955</v>
      </c>
      <c r="K458" s="166">
        <f>J458-H458</f>
        <v>0</v>
      </c>
      <c r="L458" s="166">
        <f>ROUND(G458*K458,0)</f>
        <v>0</v>
      </c>
      <c r="M458" s="166">
        <f>ROUND(G458*J458,0)</f>
        <v>535188</v>
      </c>
    </row>
    <row r="459" spans="1:13" ht="30" hidden="1" x14ac:dyDescent="0.25">
      <c r="A459" s="168"/>
      <c r="B459" s="133" t="str">
        <f>'Công trình'!B154</f>
        <v>AB.36120</v>
      </c>
      <c r="C459" s="34"/>
      <c r="D459" s="133" t="str">
        <f>'Công trình'!C154</f>
        <v>Xói hút bùn trong khung vây phòng nước, các trụ dưới nước</v>
      </c>
      <c r="E459" s="168"/>
      <c r="F459" s="20">
        <v>1</v>
      </c>
      <c r="G459" s="45">
        <f>'Hao phí vật tư'!J1168</f>
        <v>1.3585</v>
      </c>
      <c r="H459" s="166"/>
      <c r="I459" s="166"/>
      <c r="J459" s="166"/>
      <c r="K459" s="166"/>
      <c r="L459" s="156">
        <f>ROUND(G459*K458,2)</f>
        <v>0</v>
      </c>
      <c r="M459" s="156">
        <f>ROUND(G459*J458,2)</f>
        <v>535187.87</v>
      </c>
    </row>
    <row r="460" spans="1:13" x14ac:dyDescent="0.25">
      <c r="A460" s="168">
        <v>78</v>
      </c>
      <c r="B460" s="84" t="s">
        <v>415</v>
      </c>
      <c r="C460" s="34">
        <v>515</v>
      </c>
      <c r="D460" s="144" t="s">
        <v>952</v>
      </c>
      <c r="E460" s="168" t="s">
        <v>113</v>
      </c>
      <c r="F460" s="34"/>
      <c r="G460" s="60">
        <f>SUM(G461:G461)</f>
        <v>1.3585</v>
      </c>
      <c r="H460" s="166">
        <v>837000</v>
      </c>
      <c r="I460" s="166">
        <v>837000</v>
      </c>
      <c r="J460" s="166">
        <f>'Vật liệu'!W438</f>
        <v>837000</v>
      </c>
      <c r="K460" s="166">
        <f>J460-H460</f>
        <v>0</v>
      </c>
      <c r="L460" s="166">
        <f>ROUND(G460*K460,0)</f>
        <v>0</v>
      </c>
      <c r="M460" s="166">
        <f>ROUND(G460*J460,0)</f>
        <v>1137065</v>
      </c>
    </row>
    <row r="461" spans="1:13" ht="30" hidden="1" x14ac:dyDescent="0.25">
      <c r="A461" s="168"/>
      <c r="B461" s="133" t="str">
        <f>'Công trình'!B154</f>
        <v>AB.36120</v>
      </c>
      <c r="C461" s="34"/>
      <c r="D461" s="133" t="str">
        <f>'Công trình'!C154</f>
        <v>Xói hút bùn trong khung vây phòng nước, các trụ dưới nước</v>
      </c>
      <c r="E461" s="168"/>
      <c r="F461" s="20">
        <v>1</v>
      </c>
      <c r="G461" s="45">
        <f>'Hao phí vật tư'!J1166</f>
        <v>1.3585</v>
      </c>
      <c r="H461" s="166"/>
      <c r="I461" s="166"/>
      <c r="J461" s="166"/>
      <c r="K461" s="166"/>
      <c r="L461" s="156">
        <f>ROUND(G461*K460,2)</f>
        <v>0</v>
      </c>
      <c r="M461" s="156">
        <f>ROUND(G461*J460,2)</f>
        <v>1137064.5</v>
      </c>
    </row>
    <row r="462" spans="1:13" x14ac:dyDescent="0.25">
      <c r="A462" s="168">
        <v>79</v>
      </c>
      <c r="B462" s="84" t="s">
        <v>373</v>
      </c>
      <c r="C462" s="34">
        <v>516</v>
      </c>
      <c r="D462" s="144" t="s">
        <v>214</v>
      </c>
      <c r="E462" s="168" t="s">
        <v>113</v>
      </c>
      <c r="F462" s="34"/>
      <c r="G462" s="60">
        <f>SUM(G463:G463)</f>
        <v>1.3585</v>
      </c>
      <c r="H462" s="166">
        <v>15000</v>
      </c>
      <c r="I462" s="166">
        <v>15000</v>
      </c>
      <c r="J462" s="166">
        <f>'Vật liệu'!W440</f>
        <v>15000</v>
      </c>
      <c r="K462" s="166">
        <f>J462-H462</f>
        <v>0</v>
      </c>
      <c r="L462" s="166">
        <f>ROUND(G462*K462,0)</f>
        <v>0</v>
      </c>
      <c r="M462" s="166">
        <f>ROUND(G462*J462,0)</f>
        <v>20378</v>
      </c>
    </row>
    <row r="463" spans="1:13" ht="30" hidden="1" x14ac:dyDescent="0.25">
      <c r="A463" s="168"/>
      <c r="B463" s="133" t="str">
        <f>'Công trình'!B154</f>
        <v>AB.36120</v>
      </c>
      <c r="C463" s="34"/>
      <c r="D463" s="133" t="str">
        <f>'Công trình'!C154</f>
        <v>Xói hút bùn trong khung vây phòng nước, các trụ dưới nước</v>
      </c>
      <c r="E463" s="168"/>
      <c r="F463" s="20">
        <v>1</v>
      </c>
      <c r="G463" s="45">
        <f>'Hao phí vật tư'!J1167</f>
        <v>1.3585</v>
      </c>
      <c r="H463" s="166"/>
      <c r="I463" s="166"/>
      <c r="J463" s="166"/>
      <c r="K463" s="166"/>
      <c r="L463" s="156">
        <f>ROUND(G463*K462,2)</f>
        <v>0</v>
      </c>
      <c r="M463" s="156">
        <f>ROUND(G463*J462,2)</f>
        <v>20377.5</v>
      </c>
    </row>
    <row r="464" spans="1:13" x14ac:dyDescent="0.25">
      <c r="A464" s="168">
        <v>80</v>
      </c>
      <c r="B464" s="84" t="s">
        <v>248</v>
      </c>
      <c r="C464" s="34">
        <v>503</v>
      </c>
      <c r="D464" s="144" t="s">
        <v>816</v>
      </c>
      <c r="E464" s="168" t="s">
        <v>113</v>
      </c>
      <c r="F464" s="34"/>
      <c r="G464" s="60">
        <f>SUM(G465:G465)</f>
        <v>2.8</v>
      </c>
      <c r="H464" s="166">
        <v>35000</v>
      </c>
      <c r="I464" s="166">
        <v>35000</v>
      </c>
      <c r="J464" s="166">
        <f>'Vật liệu'!W442</f>
        <v>35000</v>
      </c>
      <c r="K464" s="166">
        <f>J464-H464</f>
        <v>0</v>
      </c>
      <c r="L464" s="166">
        <f>ROUND(G464*K464,0)</f>
        <v>0</v>
      </c>
      <c r="M464" s="166">
        <f>ROUND(G464*J464,0)</f>
        <v>98000</v>
      </c>
    </row>
    <row r="465" spans="1:13" hidden="1" x14ac:dyDescent="0.25">
      <c r="A465" s="168"/>
      <c r="B465" s="133" t="str">
        <f>'Công trình'!B277</f>
        <v>TT</v>
      </c>
      <c r="C465" s="34"/>
      <c r="D465" s="133" t="str">
        <f>'Công trình'!C277</f>
        <v>Phần đầu</v>
      </c>
      <c r="E465" s="168"/>
      <c r="F465" s="20">
        <v>1</v>
      </c>
      <c r="G465" s="45">
        <f>'Hao phí vật tư'!J2097</f>
        <v>2.8</v>
      </c>
      <c r="H465" s="166"/>
      <c r="I465" s="166"/>
      <c r="J465" s="166"/>
      <c r="K465" s="166"/>
      <c r="L465" s="156">
        <f>ROUND(G465*K464,2)</f>
        <v>0</v>
      </c>
      <c r="M465" s="156">
        <f>ROUND(G465*J464,2)</f>
        <v>98000</v>
      </c>
    </row>
    <row r="466" spans="1:13" x14ac:dyDescent="0.25">
      <c r="A466" s="168">
        <v>81</v>
      </c>
      <c r="B466" s="84" t="s">
        <v>756</v>
      </c>
      <c r="C466" s="34">
        <v>150</v>
      </c>
      <c r="D466" s="144" t="s">
        <v>1087</v>
      </c>
      <c r="E466" s="168" t="s">
        <v>555</v>
      </c>
      <c r="F466" s="34"/>
      <c r="G466" s="60">
        <f>SUM(G467:G467)</f>
        <v>1265.7825</v>
      </c>
      <c r="H466" s="166">
        <v>15652</v>
      </c>
      <c r="I466" s="166">
        <v>15652</v>
      </c>
      <c r="J466" s="166">
        <f>'Vật liệu'!W444</f>
        <v>15652</v>
      </c>
      <c r="K466" s="166">
        <f>J466-H466</f>
        <v>0</v>
      </c>
      <c r="L466" s="166">
        <f>ROUND(G466*K466,0)</f>
        <v>0</v>
      </c>
      <c r="M466" s="166">
        <f>ROUND(G466*J466,0)</f>
        <v>19812028</v>
      </c>
    </row>
    <row r="467" spans="1:13" hidden="1" x14ac:dyDescent="0.25">
      <c r="A467" s="168"/>
      <c r="B467" s="133" t="str">
        <f>'Công trình'!B196</f>
        <v>AF.14315</v>
      </c>
      <c r="C467" s="34"/>
      <c r="D467" s="133" t="str">
        <f>'Công trình'!C196</f>
        <v>Bê tông mặt cầu đá 1x2, vữa BT mác 300</v>
      </c>
      <c r="E467" s="168"/>
      <c r="F467" s="20">
        <v>1</v>
      </c>
      <c r="G467" s="45">
        <f>'Hao phí vật tư'!J1500</f>
        <v>1265.7825</v>
      </c>
      <c r="H467" s="166"/>
      <c r="I467" s="166"/>
      <c r="J467" s="166"/>
      <c r="K467" s="166"/>
      <c r="L467" s="156">
        <f>ROUND(G467*K466,2)</f>
        <v>0</v>
      </c>
      <c r="M467" s="156">
        <f>ROUND(G467*J466,2)</f>
        <v>19812027.690000001</v>
      </c>
    </row>
    <row r="468" spans="1:13" x14ac:dyDescent="0.25">
      <c r="A468" s="168">
        <v>82</v>
      </c>
      <c r="B468" s="84" t="s">
        <v>703</v>
      </c>
      <c r="C468" s="34">
        <v>151</v>
      </c>
      <c r="D468" s="144" t="s">
        <v>18</v>
      </c>
      <c r="E468" s="168" t="s">
        <v>555</v>
      </c>
      <c r="F468" s="34"/>
      <c r="G468" s="60">
        <f>SUM(G469:G469)</f>
        <v>22.701699999999999</v>
      </c>
      <c r="H468" s="166">
        <v>15652</v>
      </c>
      <c r="I468" s="166">
        <v>15652</v>
      </c>
      <c r="J468" s="166">
        <f>'Vật liệu'!W446</f>
        <v>15652</v>
      </c>
      <c r="K468" s="166">
        <f>J468-H468</f>
        <v>0</v>
      </c>
      <c r="L468" s="166">
        <f>ROUND(G468*K468,0)</f>
        <v>0</v>
      </c>
      <c r="M468" s="166">
        <f>ROUND(G468*J468,0)</f>
        <v>355327</v>
      </c>
    </row>
    <row r="469" spans="1:13" hidden="1" x14ac:dyDescent="0.25">
      <c r="A469" s="168"/>
      <c r="B469" s="133" t="str">
        <f>'Công trình'!B217</f>
        <v>AF.11215</v>
      </c>
      <c r="C469" s="34"/>
      <c r="D469" s="133" t="str">
        <f>'Công trình'!C217</f>
        <v>BT M300 đổ sau có phụ gia</v>
      </c>
      <c r="E469" s="168"/>
      <c r="F469" s="20">
        <v>1</v>
      </c>
      <c r="G469" s="45">
        <f>'Hao phí vật tư'!J1636</f>
        <v>22.701699999999999</v>
      </c>
      <c r="H469" s="166"/>
      <c r="I469" s="166"/>
      <c r="J469" s="166"/>
      <c r="K469" s="166"/>
      <c r="L469" s="156">
        <f>ROUND(G469*K468,2)</f>
        <v>0</v>
      </c>
      <c r="M469" s="156">
        <f>ROUND(G469*J468,2)</f>
        <v>355327.01</v>
      </c>
    </row>
    <row r="470" spans="1:13" x14ac:dyDescent="0.25">
      <c r="A470" s="168">
        <v>83</v>
      </c>
      <c r="B470" s="84" t="s">
        <v>613</v>
      </c>
      <c r="C470" s="34">
        <v>152</v>
      </c>
      <c r="D470" s="144" t="s">
        <v>984</v>
      </c>
      <c r="E470" s="168" t="s">
        <v>555</v>
      </c>
      <c r="F470" s="34"/>
      <c r="G470" s="60">
        <f>SUM(G471:G471)</f>
        <v>943.27589999999998</v>
      </c>
      <c r="H470" s="166">
        <v>15652</v>
      </c>
      <c r="I470" s="166">
        <v>15652</v>
      </c>
      <c r="J470" s="166">
        <f>'Vật liệu'!W448</f>
        <v>15652</v>
      </c>
      <c r="K470" s="166">
        <f>J470-H470</f>
        <v>0</v>
      </c>
      <c r="L470" s="166">
        <f>ROUND(G470*K470,0)</f>
        <v>0</v>
      </c>
      <c r="M470" s="166">
        <f>ROUND(G470*J470,0)</f>
        <v>14764154</v>
      </c>
    </row>
    <row r="471" spans="1:13" hidden="1" x14ac:dyDescent="0.25">
      <c r="A471" s="168"/>
      <c r="B471" s="133" t="str">
        <f>'Công trình'!B198</f>
        <v>TT</v>
      </c>
      <c r="C471" s="34"/>
      <c r="D471" s="133" t="str">
        <f>'Công trình'!C198</f>
        <v>Vữa xi măng dày 7cm, vữa XM mác 400</v>
      </c>
      <c r="E471" s="168"/>
      <c r="F471" s="20">
        <v>1</v>
      </c>
      <c r="G471" s="45">
        <f>'Hao phí vật tư'!J1529</f>
        <v>943.27589999999998</v>
      </c>
      <c r="H471" s="166"/>
      <c r="I471" s="166"/>
      <c r="J471" s="166"/>
      <c r="K471" s="166"/>
      <c r="L471" s="156">
        <f>ROUND(G471*K470,2)</f>
        <v>0</v>
      </c>
      <c r="M471" s="156">
        <f>ROUND(G471*J470,2)</f>
        <v>14764154.390000001</v>
      </c>
    </row>
    <row r="472" spans="1:13" x14ac:dyDescent="0.25">
      <c r="A472" s="168">
        <v>84</v>
      </c>
      <c r="B472" s="84" t="s">
        <v>860</v>
      </c>
      <c r="C472" s="34">
        <v>154</v>
      </c>
      <c r="D472" s="144" t="s">
        <v>912</v>
      </c>
      <c r="E472" s="168" t="s">
        <v>555</v>
      </c>
      <c r="F472" s="34"/>
      <c r="G472" s="60">
        <f>SUM(G473:G553)</f>
        <v>7037.101999999998</v>
      </c>
      <c r="H472" s="166">
        <v>19091</v>
      </c>
      <c r="I472" s="166">
        <v>19091</v>
      </c>
      <c r="J472" s="166">
        <f>'Vật liệu'!W450</f>
        <v>19091</v>
      </c>
      <c r="K472" s="166">
        <f>J472-H472</f>
        <v>0</v>
      </c>
      <c r="L472" s="166">
        <f>ROUND(G472*K472,0)</f>
        <v>0</v>
      </c>
      <c r="M472" s="166">
        <f>ROUND(G472*J472,0)</f>
        <v>134345314</v>
      </c>
    </row>
    <row r="473" spans="1:13" ht="30" hidden="1" x14ac:dyDescent="0.25">
      <c r="A473" s="168"/>
      <c r="B473" s="133" t="str">
        <f>'Công trình'!B11</f>
        <v>AF.61120</v>
      </c>
      <c r="C473" s="34"/>
      <c r="D473" s="133" t="str">
        <f>'Công trình'!C11</f>
        <v>Sản xuất, lắp dựng cốt thép móng đường kính &lt;=18mm</v>
      </c>
      <c r="E473" s="168"/>
      <c r="F473" s="20">
        <v>1</v>
      </c>
      <c r="G473" s="45">
        <f>'Hao phí vật tư'!J63</f>
        <v>41.972999999999999</v>
      </c>
      <c r="H473" s="166"/>
      <c r="I473" s="166"/>
      <c r="J473" s="166"/>
      <c r="K473" s="166"/>
      <c r="L473" s="156">
        <f>ROUND(G473*K472,2)</f>
        <v>0</v>
      </c>
      <c r="M473" s="156">
        <f>ROUND(G473*J472,2)</f>
        <v>801306.54</v>
      </c>
    </row>
    <row r="474" spans="1:13" ht="30" hidden="1" x14ac:dyDescent="0.25">
      <c r="A474" s="168"/>
      <c r="B474" s="133" t="str">
        <f>'Công trình'!B12</f>
        <v>AF.61130</v>
      </c>
      <c r="C474" s="34"/>
      <c r="D474" s="133" t="str">
        <f>'Công trình'!C12</f>
        <v>Sản xuất, lắp dựng cốt thép móng đường kính &gt;18mm</v>
      </c>
      <c r="E474" s="168"/>
      <c r="F474" s="20">
        <v>1</v>
      </c>
      <c r="G474" s="45">
        <f>'Hao phí vật tư'!J73</f>
        <v>13.913600000000001</v>
      </c>
      <c r="H474" s="166"/>
      <c r="I474" s="166"/>
      <c r="J474" s="166"/>
      <c r="K474" s="166"/>
      <c r="L474" s="156">
        <f>ROUND(G474*K472,2)</f>
        <v>0</v>
      </c>
      <c r="M474" s="156">
        <f>ROUND(G474*J472,2)</f>
        <v>265624.53999999998</v>
      </c>
    </row>
    <row r="475" spans="1:13" ht="30" hidden="1" x14ac:dyDescent="0.25">
      <c r="A475" s="168"/>
      <c r="B475" s="133" t="str">
        <f>'Công trình'!B13</f>
        <v>AF.61321</v>
      </c>
      <c r="C475" s="34"/>
      <c r="D475" s="133" t="str">
        <f>'Công trình'!C13</f>
        <v>Sản xuất, lắp dựng cốt thép tường đường kính &lt;=18mm, chiều cao &lt;=4m</v>
      </c>
      <c r="E475" s="168"/>
      <c r="F475" s="20">
        <v>1</v>
      </c>
      <c r="G475" s="45">
        <f>'Hao phí vật tư'!J83</f>
        <v>35.381900000000002</v>
      </c>
      <c r="H475" s="166"/>
      <c r="I475" s="166"/>
      <c r="J475" s="166"/>
      <c r="K475" s="166"/>
      <c r="L475" s="156">
        <f>ROUND(G475*K472,2)</f>
        <v>0</v>
      </c>
      <c r="M475" s="156">
        <f>ROUND(G475*J472,2)</f>
        <v>675475.85</v>
      </c>
    </row>
    <row r="476" spans="1:13" ht="30" hidden="1" x14ac:dyDescent="0.25">
      <c r="A476" s="168"/>
      <c r="B476" s="133" t="str">
        <f>'Công trình'!B14</f>
        <v>AF.61331</v>
      </c>
      <c r="C476" s="34"/>
      <c r="D476" s="133" t="str">
        <f>'Công trình'!C14</f>
        <v>Sản xuất, lắp dựng cốt thép tường đường kính &gt;18mm, chiều cao &lt;=4m</v>
      </c>
      <c r="E476" s="168"/>
      <c r="F476" s="20">
        <v>1</v>
      </c>
      <c r="G476" s="45">
        <f>'Hao phí vật tư'!J93</f>
        <v>15.6456</v>
      </c>
      <c r="H476" s="166"/>
      <c r="I476" s="166"/>
      <c r="J476" s="166"/>
      <c r="K476" s="166"/>
      <c r="L476" s="156">
        <f>ROUND(G476*K472,2)</f>
        <v>0</v>
      </c>
      <c r="M476" s="156">
        <f>ROUND(G476*J472,2)</f>
        <v>298690.15000000002</v>
      </c>
    </row>
    <row r="477" spans="1:13" ht="30" hidden="1" x14ac:dyDescent="0.25">
      <c r="A477" s="168"/>
      <c r="B477" s="133" t="str">
        <f>'Công trình'!B16</f>
        <v>AF.82111</v>
      </c>
      <c r="C477" s="34"/>
      <c r="D477" s="133" t="str">
        <f>'Công trình'!C16</f>
        <v>Sản xuất, lắp dựng tháo dỡ ván khuôn thép tường, chiều cao &lt;=16m</v>
      </c>
      <c r="E477" s="168"/>
      <c r="F477" s="20">
        <v>1</v>
      </c>
      <c r="G477" s="45">
        <f>'Hao phí vật tư'!J110</f>
        <v>20.043500000000002</v>
      </c>
      <c r="H477" s="166"/>
      <c r="I477" s="166"/>
      <c r="J477" s="166"/>
      <c r="K477" s="166"/>
      <c r="L477" s="156">
        <f>ROUND(G477*K472,2)</f>
        <v>0</v>
      </c>
      <c r="M477" s="156">
        <f>ROUND(G477*J472,2)</f>
        <v>382650.46</v>
      </c>
    </row>
    <row r="478" spans="1:13" ht="30" hidden="1" x14ac:dyDescent="0.25">
      <c r="A478" s="168"/>
      <c r="B478" s="133" t="str">
        <f>'Công trình'!B19</f>
        <v>AF.82111</v>
      </c>
      <c r="C478" s="34"/>
      <c r="D478" s="133" t="str">
        <f>'Công trình'!C19</f>
        <v>Sản xuất, lắp dựng tháo dỡ ván khuôn thép dầm, giằng, chiều cao &lt;=16m</v>
      </c>
      <c r="E478" s="168"/>
      <c r="F478" s="20">
        <v>1</v>
      </c>
      <c r="G478" s="45">
        <f>'Hao phí vật tư'!J136</f>
        <v>18.251000000000001</v>
      </c>
      <c r="H478" s="166"/>
      <c r="I478" s="166"/>
      <c r="J478" s="166"/>
      <c r="K478" s="166"/>
      <c r="L478" s="156">
        <f>ROUND(G478*K472,2)</f>
        <v>0</v>
      </c>
      <c r="M478" s="156">
        <f>ROUND(G478*J472,2)</f>
        <v>348429.84</v>
      </c>
    </row>
    <row r="479" spans="1:13" ht="30" hidden="1" x14ac:dyDescent="0.25">
      <c r="A479" s="168"/>
      <c r="B479" s="133" t="str">
        <f>'Công trình'!B22</f>
        <v>AF.61521</v>
      </c>
      <c r="C479" s="34"/>
      <c r="D479" s="133" t="str">
        <f>'Công trình'!C22</f>
        <v>Sản xuất, lắp dựng cốt thép xà dầm, giằng đường kính &lt;=18mm, chiều cao &lt;=4m</v>
      </c>
      <c r="E479" s="168"/>
      <c r="F479" s="20">
        <v>1</v>
      </c>
      <c r="G479" s="45">
        <f>'Hao phí vật tư'!J157</f>
        <v>10.1511</v>
      </c>
      <c r="H479" s="166"/>
      <c r="I479" s="166"/>
      <c r="J479" s="166"/>
      <c r="K479" s="166"/>
      <c r="L479" s="156">
        <f>ROUND(G479*K472,2)</f>
        <v>0</v>
      </c>
      <c r="M479" s="156">
        <f>ROUND(G479*J472,2)</f>
        <v>193794.65</v>
      </c>
    </row>
    <row r="480" spans="1:13" ht="30" hidden="1" x14ac:dyDescent="0.25">
      <c r="A480" s="168"/>
      <c r="B480" s="133" t="str">
        <f>'Công trình'!B31</f>
        <v>AF.82111</v>
      </c>
      <c r="C480" s="34"/>
      <c r="D480" s="133" t="str">
        <f>'Công trình'!C31</f>
        <v>Sản xuất, lắp dựng tháo dỡ ván khuôn thép tường, chiều cao &lt;=16m</v>
      </c>
      <c r="E480" s="168"/>
      <c r="F480" s="20">
        <v>1</v>
      </c>
      <c r="G480" s="45">
        <f>'Hao phí vật tư'!J216</f>
        <v>6.5162000000000004</v>
      </c>
      <c r="H480" s="166"/>
      <c r="I480" s="166"/>
      <c r="J480" s="166"/>
      <c r="K480" s="166"/>
      <c r="L480" s="156">
        <f>ROUND(G480*K472,2)</f>
        <v>0</v>
      </c>
      <c r="M480" s="156">
        <f>ROUND(G480*J472,2)</f>
        <v>124400.77</v>
      </c>
    </row>
    <row r="481" spans="1:13" ht="30" hidden="1" x14ac:dyDescent="0.25">
      <c r="A481" s="168"/>
      <c r="B481" s="133" t="str">
        <f>'Công trình'!B33</f>
        <v>AF.61321</v>
      </c>
      <c r="C481" s="34"/>
      <c r="D481" s="133" t="str">
        <f>'Công trình'!C33</f>
        <v>Sản xuất, lắp dựng cốt thép tường đường kính &lt;=18mm, chiều cao &lt;=4m</v>
      </c>
      <c r="E481" s="168"/>
      <c r="F481" s="20">
        <v>1</v>
      </c>
      <c r="G481" s="45">
        <f>'Hao phí vật tư'!J237</f>
        <v>3.9217</v>
      </c>
      <c r="H481" s="166"/>
      <c r="I481" s="166"/>
      <c r="J481" s="166"/>
      <c r="K481" s="166"/>
      <c r="L481" s="156">
        <f>ROUND(G481*K472,2)</f>
        <v>0</v>
      </c>
      <c r="M481" s="156">
        <f>ROUND(G481*J472,2)</f>
        <v>74869.17</v>
      </c>
    </row>
    <row r="482" spans="1:13" ht="30" hidden="1" x14ac:dyDescent="0.25">
      <c r="A482" s="168"/>
      <c r="B482" s="133" t="str">
        <f>'Công trình'!B39</f>
        <v>AI.13111</v>
      </c>
      <c r="C482" s="34"/>
      <c r="D482" s="133" t="str">
        <f>'Công trình'!C39</f>
        <v>Sản xuất cấu kiện thép đặt sẵn trong bê tông, khối lượng &lt;=10kg/cấu kiện</v>
      </c>
      <c r="E482" s="168"/>
      <c r="F482" s="20">
        <v>1</v>
      </c>
      <c r="G482" s="45">
        <f>'Hao phí vật tư'!J292</f>
        <v>0.2016</v>
      </c>
      <c r="H482" s="166"/>
      <c r="I482" s="166"/>
      <c r="J482" s="166"/>
      <c r="K482" s="166"/>
      <c r="L482" s="156">
        <f>ROUND(G482*K472,2)</f>
        <v>0</v>
      </c>
      <c r="M482" s="156">
        <f>ROUND(G482*J472,2)</f>
        <v>3848.75</v>
      </c>
    </row>
    <row r="483" spans="1:13" ht="30" hidden="1" x14ac:dyDescent="0.25">
      <c r="A483" s="168"/>
      <c r="B483" s="133" t="str">
        <f>'Công trình'!B59</f>
        <v>AF.82111</v>
      </c>
      <c r="C483" s="34"/>
      <c r="D483" s="133" t="str">
        <f>'Công trình'!C59</f>
        <v>Sản xuất, lắp dựng tháo dỡ ván khuôn thép dầm, giằng, chiều cao &lt;=16m</v>
      </c>
      <c r="E483" s="168"/>
      <c r="F483" s="20">
        <v>1</v>
      </c>
      <c r="G483" s="45">
        <f>'Hao phí vật tư'!J442</f>
        <v>12.9102</v>
      </c>
      <c r="H483" s="166"/>
      <c r="I483" s="166"/>
      <c r="J483" s="166"/>
      <c r="K483" s="166"/>
      <c r="L483" s="156">
        <f>ROUND(G483*K472,2)</f>
        <v>0</v>
      </c>
      <c r="M483" s="156">
        <f>ROUND(G483*J472,2)</f>
        <v>246468.63</v>
      </c>
    </row>
    <row r="484" spans="1:13" ht="30" hidden="1" x14ac:dyDescent="0.25">
      <c r="A484" s="168"/>
      <c r="B484" s="133" t="str">
        <f>'Công trình'!B61</f>
        <v>AF.61521</v>
      </c>
      <c r="C484" s="34"/>
      <c r="D484" s="133" t="str">
        <f>'Công trình'!C61</f>
        <v>Sản xuất, lắp dựng cốt thép xà dầm, giằng đường kính &lt;=18mm, chiều cao &lt;=4m</v>
      </c>
      <c r="E484" s="168"/>
      <c r="F484" s="20">
        <v>1</v>
      </c>
      <c r="G484" s="45">
        <f>'Hao phí vật tư'!J463</f>
        <v>8.6010000000000009</v>
      </c>
      <c r="H484" s="166"/>
      <c r="I484" s="166"/>
      <c r="J484" s="166"/>
      <c r="K484" s="166"/>
      <c r="L484" s="156">
        <f>ROUND(G484*K472,2)</f>
        <v>0</v>
      </c>
      <c r="M484" s="156">
        <f>ROUND(G484*J472,2)</f>
        <v>164201.69</v>
      </c>
    </row>
    <row r="485" spans="1:13" ht="30" hidden="1" x14ac:dyDescent="0.25">
      <c r="A485" s="168"/>
      <c r="B485" s="133" t="str">
        <f>'Công trình'!B70</f>
        <v>AG.13121</v>
      </c>
      <c r="C485" s="34"/>
      <c r="D485" s="133" t="str">
        <f>'Công trình'!C70</f>
        <v>Sản xuất, lắp dựng cốt thép BT đúc sẵn cọc, đường kính &lt;=18mm</v>
      </c>
      <c r="E485" s="168"/>
      <c r="F485" s="20">
        <v>1</v>
      </c>
      <c r="G485" s="45">
        <f>'Hao phí vật tư'!J527</f>
        <v>1.9749000000000001</v>
      </c>
      <c r="H485" s="166"/>
      <c r="I485" s="166"/>
      <c r="J485" s="166"/>
      <c r="K485" s="166"/>
      <c r="L485" s="156">
        <f>ROUND(G485*K472,2)</f>
        <v>0</v>
      </c>
      <c r="M485" s="156">
        <f>ROUND(G485*J472,2)</f>
        <v>37702.82</v>
      </c>
    </row>
    <row r="486" spans="1:13" ht="30" hidden="1" x14ac:dyDescent="0.25">
      <c r="A486" s="168"/>
      <c r="B486" s="133" t="str">
        <f>'Công trình'!B71</f>
        <v>AG.13131</v>
      </c>
      <c r="C486" s="34"/>
      <c r="D486" s="133" t="str">
        <f>'Công trình'!C71</f>
        <v>Sản xuất, lắp dựng cốt thép BT đúc sẵn cọc, đường kính &gt;18mm</v>
      </c>
      <c r="E486" s="168"/>
      <c r="F486" s="20">
        <v>1</v>
      </c>
      <c r="G486" s="45">
        <f>'Hao phí vật tư'!J537</f>
        <v>59.023099999999999</v>
      </c>
      <c r="H486" s="166"/>
      <c r="I486" s="166"/>
      <c r="J486" s="166"/>
      <c r="K486" s="166"/>
      <c r="L486" s="156">
        <f>ROUND(G486*K472,2)</f>
        <v>0</v>
      </c>
      <c r="M486" s="156">
        <f>ROUND(G486*J472,2)</f>
        <v>1126810</v>
      </c>
    </row>
    <row r="487" spans="1:13" ht="30" hidden="1" x14ac:dyDescent="0.25">
      <c r="A487" s="168"/>
      <c r="B487" s="133" t="str">
        <f>'Công trình'!B72</f>
        <v>AI.13111</v>
      </c>
      <c r="C487" s="34"/>
      <c r="D487" s="133" t="str">
        <f>'Công trình'!C72</f>
        <v>Sản xuất cấu kiện thép đặt sẵn trong bê tông, khối lượng &lt;=10kg/cấu kiện</v>
      </c>
      <c r="E487" s="168"/>
      <c r="F487" s="20">
        <v>1</v>
      </c>
      <c r="G487" s="45">
        <f>'Hao phí vật tư'!J548</f>
        <v>21.023399999999999</v>
      </c>
      <c r="H487" s="166"/>
      <c r="I487" s="166"/>
      <c r="J487" s="166"/>
      <c r="K487" s="166"/>
      <c r="L487" s="156">
        <f>ROUND(G487*K472,2)</f>
        <v>0</v>
      </c>
      <c r="M487" s="156">
        <f>ROUND(G487*J472,2)</f>
        <v>401357.73</v>
      </c>
    </row>
    <row r="488" spans="1:13" hidden="1" x14ac:dyDescent="0.25">
      <c r="A488" s="168"/>
      <c r="B488" s="133" t="str">
        <f>'Công trình'!B76</f>
        <v>AC.29341</v>
      </c>
      <c r="C488" s="34"/>
      <c r="D488" s="133" t="str">
        <f>'Công trình'!C76</f>
        <v>Nối cọc BTCT 35x35cm</v>
      </c>
      <c r="E488" s="168"/>
      <c r="F488" s="20">
        <v>1</v>
      </c>
      <c r="G488" s="45">
        <f>'Hao phí vật tư'!J602</f>
        <v>134.72</v>
      </c>
      <c r="H488" s="166"/>
      <c r="I488" s="166"/>
      <c r="J488" s="166"/>
      <c r="K488" s="166"/>
      <c r="L488" s="156">
        <f>ROUND(G488*K472,2)</f>
        <v>0</v>
      </c>
      <c r="M488" s="156">
        <f>ROUND(G488*J472,2)</f>
        <v>2571939.52</v>
      </c>
    </row>
    <row r="489" spans="1:13" hidden="1" x14ac:dyDescent="0.25">
      <c r="A489" s="168"/>
      <c r="B489" s="133" t="str">
        <f>'Công trình'!B74</f>
        <v>AI.52211</v>
      </c>
      <c r="C489" s="34"/>
      <c r="D489" s="133" t="str">
        <f>'Công trình'!C74</f>
        <v>Sản xuất kết cấu thép hộp nối cọc</v>
      </c>
      <c r="E489" s="168"/>
      <c r="F489" s="20">
        <v>1</v>
      </c>
      <c r="G489" s="45">
        <f>'Hao phí vật tư'!J575</f>
        <v>49.385599999999997</v>
      </c>
      <c r="H489" s="166"/>
      <c r="I489" s="166"/>
      <c r="J489" s="166"/>
      <c r="K489" s="166"/>
      <c r="L489" s="156">
        <f>ROUND(G489*K472,2)</f>
        <v>0</v>
      </c>
      <c r="M489" s="156">
        <f>ROUND(G489*J472,2)</f>
        <v>942820.49</v>
      </c>
    </row>
    <row r="490" spans="1:13" hidden="1" x14ac:dyDescent="0.25">
      <c r="A490" s="168"/>
      <c r="B490" s="133" t="str">
        <f>'Công trình'!B77</f>
        <v>AA.22310</v>
      </c>
      <c r="C490" s="34"/>
      <c r="D490" s="133" t="str">
        <f>'Công trình'!C77</f>
        <v>Đập đầu cọc trên cạn</v>
      </c>
      <c r="E490" s="168"/>
      <c r="F490" s="20">
        <v>1</v>
      </c>
      <c r="G490" s="45">
        <f>'Hao phí vật tư'!J612</f>
        <v>0</v>
      </c>
      <c r="H490" s="166"/>
      <c r="I490" s="166"/>
      <c r="J490" s="166"/>
      <c r="K490" s="166"/>
      <c r="L490" s="156">
        <f>ROUND(G490*K472,2)</f>
        <v>0</v>
      </c>
      <c r="M490" s="156">
        <f>ROUND(G490*J472,2)</f>
        <v>0</v>
      </c>
    </row>
    <row r="491" spans="1:13" ht="30" hidden="1" x14ac:dyDescent="0.25">
      <c r="A491" s="168"/>
      <c r="B491" s="133" t="str">
        <f>'Công trình'!B81</f>
        <v>AG.13121</v>
      </c>
      <c r="C491" s="34"/>
      <c r="D491" s="133" t="str">
        <f>'Công trình'!C81</f>
        <v>Sản xuất, lắp dựng cốt thép BT đúc sẵn cọc, đường kính &lt;=18mm</v>
      </c>
      <c r="E491" s="168"/>
      <c r="F491" s="20">
        <v>1</v>
      </c>
      <c r="G491" s="45">
        <f>'Hao phí vật tư'!J643</f>
        <v>1.0744</v>
      </c>
      <c r="H491" s="166"/>
      <c r="I491" s="166"/>
      <c r="J491" s="166"/>
      <c r="K491" s="166"/>
      <c r="L491" s="156">
        <f>ROUND(G491*K472,2)</f>
        <v>0</v>
      </c>
      <c r="M491" s="156">
        <f>ROUND(G491*J472,2)</f>
        <v>20511.37</v>
      </c>
    </row>
    <row r="492" spans="1:13" ht="30" hidden="1" x14ac:dyDescent="0.25">
      <c r="A492" s="168"/>
      <c r="B492" s="133" t="str">
        <f>'Công trình'!B82</f>
        <v>AG.13131</v>
      </c>
      <c r="C492" s="34"/>
      <c r="D492" s="133" t="str">
        <f>'Công trình'!C82</f>
        <v>Sản xuất, lắp dựng cốt thép BT đúc sẵn cọc, đường kính &gt;18mm</v>
      </c>
      <c r="E492" s="168"/>
      <c r="F492" s="20">
        <v>1</v>
      </c>
      <c r="G492" s="45">
        <f>'Hao phí vật tư'!J653</f>
        <v>31.2028</v>
      </c>
      <c r="H492" s="166"/>
      <c r="I492" s="166"/>
      <c r="J492" s="166"/>
      <c r="K492" s="166"/>
      <c r="L492" s="156">
        <f>ROUND(G492*K472,2)</f>
        <v>0</v>
      </c>
      <c r="M492" s="156">
        <f>ROUND(G492*J472,2)</f>
        <v>595692.65</v>
      </c>
    </row>
    <row r="493" spans="1:13" ht="30" hidden="1" x14ac:dyDescent="0.25">
      <c r="A493" s="168"/>
      <c r="B493" s="133" t="str">
        <f>'Công trình'!B83</f>
        <v>AI.13111</v>
      </c>
      <c r="C493" s="34"/>
      <c r="D493" s="133" t="str">
        <f>'Công trình'!C83</f>
        <v>Sản xuất cấu kiện thép đặt sẵn trong bê tông, khối lượng &lt;=10kg/cấu kiện</v>
      </c>
      <c r="E493" s="168"/>
      <c r="F493" s="20">
        <v>1</v>
      </c>
      <c r="G493" s="45">
        <f>'Hao phí vật tư'!J664</f>
        <v>9.9283999999999999</v>
      </c>
      <c r="H493" s="166"/>
      <c r="I493" s="166"/>
      <c r="J493" s="166"/>
      <c r="K493" s="166"/>
      <c r="L493" s="156">
        <f>ROUND(G493*K472,2)</f>
        <v>0</v>
      </c>
      <c r="M493" s="156">
        <f>ROUND(G493*J472,2)</f>
        <v>189543.08</v>
      </c>
    </row>
    <row r="494" spans="1:13" hidden="1" x14ac:dyDescent="0.25">
      <c r="A494" s="168"/>
      <c r="B494" s="133" t="str">
        <f>'Công trình'!B85</f>
        <v>AI.52211</v>
      </c>
      <c r="C494" s="34"/>
      <c r="D494" s="133" t="str">
        <f>'Công trình'!C85</f>
        <v>Sản xuất kết cấu thép hộp nối cọc</v>
      </c>
      <c r="E494" s="168"/>
      <c r="F494" s="20">
        <v>1</v>
      </c>
      <c r="G494" s="45">
        <f>'Hao phí vật tư'!J691</f>
        <v>21.48</v>
      </c>
      <c r="H494" s="166"/>
      <c r="I494" s="166"/>
      <c r="J494" s="166"/>
      <c r="K494" s="166"/>
      <c r="L494" s="156">
        <f>ROUND(G494*K472,2)</f>
        <v>0</v>
      </c>
      <c r="M494" s="156">
        <f>ROUND(G494*J472,2)</f>
        <v>410074.68</v>
      </c>
    </row>
    <row r="495" spans="1:13" hidden="1" x14ac:dyDescent="0.25">
      <c r="A495" s="168"/>
      <c r="B495" s="133" t="str">
        <f>'Công trình'!B88</f>
        <v>AA.22310</v>
      </c>
      <c r="C495" s="34"/>
      <c r="D495" s="133" t="str">
        <f>'Công trình'!C88</f>
        <v>Đập đầu cọc trên cạn</v>
      </c>
      <c r="E495" s="168"/>
      <c r="F495" s="20">
        <v>1</v>
      </c>
      <c r="G495" s="45">
        <f>'Hao phí vật tư'!J728</f>
        <v>0</v>
      </c>
      <c r="H495" s="166"/>
      <c r="I495" s="166"/>
      <c r="J495" s="166"/>
      <c r="K495" s="166"/>
      <c r="L495" s="156">
        <f>ROUND(G495*K472,2)</f>
        <v>0</v>
      </c>
      <c r="M495" s="156">
        <f>ROUND(G495*J472,2)</f>
        <v>0</v>
      </c>
    </row>
    <row r="496" spans="1:13" hidden="1" x14ac:dyDescent="0.25">
      <c r="A496" s="168"/>
      <c r="B496" s="133" t="str">
        <f>'Công trình'!B87</f>
        <v>AC.29331</v>
      </c>
      <c r="C496" s="34"/>
      <c r="D496" s="133" t="str">
        <f>'Công trình'!C87</f>
        <v>Nối cọc BTCT 30x30cm</v>
      </c>
      <c r="E496" s="168"/>
      <c r="F496" s="20">
        <v>1</v>
      </c>
      <c r="G496" s="45">
        <f>'Hao phí vật tư'!J718</f>
        <v>17.04</v>
      </c>
      <c r="H496" s="166"/>
      <c r="I496" s="166"/>
      <c r="J496" s="166"/>
      <c r="K496" s="166"/>
      <c r="L496" s="156">
        <f>ROUND(G496*K472,2)</f>
        <v>0</v>
      </c>
      <c r="M496" s="156">
        <f>ROUND(G496*J472,2)</f>
        <v>325310.64</v>
      </c>
    </row>
    <row r="497" spans="1:13" ht="30" hidden="1" x14ac:dyDescent="0.25">
      <c r="A497" s="168"/>
      <c r="B497" s="133" t="str">
        <f>'Công trình'!B105</f>
        <v>AI.11131</v>
      </c>
      <c r="C497" s="34"/>
      <c r="D497" s="133" t="str">
        <f>'Công trình'!C105</f>
        <v>Khấu hao cọc dẫn bằng thép hình (đóng nhổ 40 lần trong 1 tháng)</v>
      </c>
      <c r="E497" s="168"/>
      <c r="F497" s="20">
        <v>1</v>
      </c>
      <c r="G497" s="45">
        <f>'Hao phí vật tư'!J846</f>
        <v>0</v>
      </c>
      <c r="H497" s="166"/>
      <c r="I497" s="166"/>
      <c r="J497" s="166"/>
      <c r="K497" s="166"/>
      <c r="L497" s="156">
        <f>ROUND(G497*K472,2)</f>
        <v>0</v>
      </c>
      <c r="M497" s="156">
        <f>ROUND(G497*J472,2)</f>
        <v>0</v>
      </c>
    </row>
    <row r="498" spans="1:13" hidden="1" x14ac:dyDescent="0.25">
      <c r="A498" s="168"/>
      <c r="B498" s="133" t="str">
        <f>'Công trình'!B109</f>
        <v>AI.11912</v>
      </c>
      <c r="C498" s="34"/>
      <c r="D498" s="133" t="str">
        <f>'Công trình'!C109</f>
        <v>Sản xuất hệ sàn đạo, sàn thao tác</v>
      </c>
      <c r="E498" s="168"/>
      <c r="F498" s="20">
        <v>1</v>
      </c>
      <c r="G498" s="45">
        <f>'Hao phí vật tư'!J869</f>
        <v>61.0077</v>
      </c>
      <c r="H498" s="166"/>
      <c r="I498" s="166"/>
      <c r="J498" s="166"/>
      <c r="K498" s="166"/>
      <c r="L498" s="156">
        <f>ROUND(G498*K472,2)</f>
        <v>0</v>
      </c>
      <c r="M498" s="156">
        <f>ROUND(G498*J472,2)</f>
        <v>1164698</v>
      </c>
    </row>
    <row r="499" spans="1:13" ht="30" hidden="1" x14ac:dyDescent="0.25">
      <c r="A499" s="168"/>
      <c r="B499" s="133" t="str">
        <f>'Công trình'!B110</f>
        <v>TT</v>
      </c>
      <c r="C499" s="34"/>
      <c r="D499" s="133" t="str">
        <f>'Công trình'!C110</f>
        <v>Khấu hao hệ sàn đạo, sàn thao tác (Thi công trong vòng 1 tháng và 5 lần đóng nhổ)</v>
      </c>
      <c r="E499" s="168"/>
      <c r="F499" s="20">
        <v>1</v>
      </c>
      <c r="G499" s="45">
        <f>'Hao phí vật tư'!J883</f>
        <v>0</v>
      </c>
      <c r="H499" s="166"/>
      <c r="I499" s="166"/>
      <c r="J499" s="166"/>
      <c r="K499" s="166"/>
      <c r="L499" s="156">
        <f>ROUND(G499*K472,2)</f>
        <v>0</v>
      </c>
      <c r="M499" s="156">
        <f>ROUND(G499*J472,2)</f>
        <v>0</v>
      </c>
    </row>
    <row r="500" spans="1:13" hidden="1" x14ac:dyDescent="0.25">
      <c r="A500" s="168"/>
      <c r="B500" s="133" t="str">
        <f>'Công trình'!B104</f>
        <v>AI.11131</v>
      </c>
      <c r="C500" s="34"/>
      <c r="D500" s="133" t="str">
        <f>'Công trình'!C104</f>
        <v>Sản xuất cọc dẫn bằng thép hình</v>
      </c>
      <c r="E500" s="168"/>
      <c r="F500" s="20">
        <v>1</v>
      </c>
      <c r="G500" s="45">
        <f>'Hao phí vật tư'!J830</f>
        <v>14.5412</v>
      </c>
      <c r="H500" s="166"/>
      <c r="I500" s="166"/>
      <c r="J500" s="166"/>
      <c r="K500" s="166"/>
      <c r="L500" s="156">
        <f>ROUND(G500*K472,2)</f>
        <v>0</v>
      </c>
      <c r="M500" s="156">
        <f>ROUND(G500*J472,2)</f>
        <v>277606.05</v>
      </c>
    </row>
    <row r="501" spans="1:13" hidden="1" x14ac:dyDescent="0.25">
      <c r="A501" s="168"/>
      <c r="B501" s="133" t="str">
        <f>'Công trình'!B120</f>
        <v>AI.11912</v>
      </c>
      <c r="C501" s="34"/>
      <c r="D501" s="133" t="str">
        <f>'Công trình'!C120</f>
        <v>Sản xuất hệ sàn đạo, sàn thao tác</v>
      </c>
      <c r="E501" s="168"/>
      <c r="F501" s="20">
        <v>1</v>
      </c>
      <c r="G501" s="45">
        <f>'Hao phí vật tư'!J941</f>
        <v>125.7128</v>
      </c>
      <c r="H501" s="166"/>
      <c r="I501" s="166"/>
      <c r="J501" s="166"/>
      <c r="K501" s="166"/>
      <c r="L501" s="156">
        <f>ROUND(G501*K472,2)</f>
        <v>0</v>
      </c>
      <c r="M501" s="156">
        <f>ROUND(G501*J472,2)</f>
        <v>2399983.06</v>
      </c>
    </row>
    <row r="502" spans="1:13" ht="30" hidden="1" x14ac:dyDescent="0.25">
      <c r="A502" s="168"/>
      <c r="B502" s="133" t="str">
        <f>'Công trình'!B121</f>
        <v>TT</v>
      </c>
      <c r="C502" s="34"/>
      <c r="D502" s="133" t="str">
        <f>'Công trình'!C121</f>
        <v>Khấu hao hệ sàn đạo, sàn thao tác (Thi công trong vòng 1 tháng và 4 lần đóng nhổ)</v>
      </c>
      <c r="E502" s="168"/>
      <c r="F502" s="20">
        <v>1</v>
      </c>
      <c r="G502" s="45">
        <f>'Hao phí vật tư'!J955</f>
        <v>0</v>
      </c>
      <c r="H502" s="166"/>
      <c r="I502" s="166"/>
      <c r="J502" s="166"/>
      <c r="K502" s="166"/>
      <c r="L502" s="156">
        <f>ROUND(G502*K472,2)</f>
        <v>0</v>
      </c>
      <c r="M502" s="156">
        <f>ROUND(G502*J472,2)</f>
        <v>0</v>
      </c>
    </row>
    <row r="503" spans="1:13" ht="30" hidden="1" x14ac:dyDescent="0.25">
      <c r="A503" s="168"/>
      <c r="B503" s="133" t="str">
        <f>'Công trình'!B112</f>
        <v>AI.63311</v>
      </c>
      <c r="C503" s="34"/>
      <c r="D503" s="133" t="str">
        <f>'Công trình'!C112</f>
        <v>Lắp dựng kết cấu thép hệ khung dàn, sàn đạo trên cạn</v>
      </c>
      <c r="E503" s="168"/>
      <c r="F503" s="20">
        <v>1</v>
      </c>
      <c r="G503" s="45">
        <f>'Hao phí vật tư'!J887</f>
        <v>151.572</v>
      </c>
      <c r="H503" s="166"/>
      <c r="I503" s="166"/>
      <c r="J503" s="166"/>
      <c r="K503" s="166"/>
      <c r="L503" s="156">
        <f>ROUND(G503*K472,2)</f>
        <v>0</v>
      </c>
      <c r="M503" s="156">
        <f>ROUND(G503*J472,2)</f>
        <v>2893661.05</v>
      </c>
    </row>
    <row r="504" spans="1:13" ht="30" hidden="1" x14ac:dyDescent="0.25">
      <c r="A504" s="168"/>
      <c r="B504" s="133" t="str">
        <f>'Công trình'!B113</f>
        <v>AI.63311</v>
      </c>
      <c r="C504" s="34"/>
      <c r="D504" s="133" t="str">
        <f>'Công trình'!C113</f>
        <v>Tháo dỡ kết cấu thép hệ khung dàn, sàn đạo trên cạn (60% Đg)</v>
      </c>
      <c r="E504" s="168"/>
      <c r="F504" s="20">
        <v>1</v>
      </c>
      <c r="G504" s="45">
        <f>'Hao phí vật tư'!J898</f>
        <v>90.943200000000004</v>
      </c>
      <c r="H504" s="166"/>
      <c r="I504" s="166"/>
      <c r="J504" s="166"/>
      <c r="K504" s="166"/>
      <c r="L504" s="156">
        <f>ROUND(G504*K472,2)</f>
        <v>0</v>
      </c>
      <c r="M504" s="156">
        <f>ROUND(G504*J472,2)</f>
        <v>1736196.63</v>
      </c>
    </row>
    <row r="505" spans="1:13" ht="30" hidden="1" x14ac:dyDescent="0.25">
      <c r="A505" s="168"/>
      <c r="B505" s="133" t="str">
        <f>'Công trình'!B123</f>
        <v>AI.63311</v>
      </c>
      <c r="C505" s="34"/>
      <c r="D505" s="133" t="str">
        <f>'Công trình'!C123</f>
        <v>Lắp dựng kết cấu thép hệ khung dàn, sàn đạo trên cạn</v>
      </c>
      <c r="E505" s="168"/>
      <c r="F505" s="20">
        <v>1</v>
      </c>
      <c r="G505" s="45">
        <f>'Hao phí vật tư'!J959</f>
        <v>62.466000000000001</v>
      </c>
      <c r="H505" s="166"/>
      <c r="I505" s="166"/>
      <c r="J505" s="166"/>
      <c r="K505" s="166"/>
      <c r="L505" s="156">
        <f>ROUND(G505*K472,2)</f>
        <v>0</v>
      </c>
      <c r="M505" s="156">
        <f>ROUND(G505*J472,2)</f>
        <v>1192538.4099999999</v>
      </c>
    </row>
    <row r="506" spans="1:13" ht="30" hidden="1" x14ac:dyDescent="0.25">
      <c r="A506" s="168"/>
      <c r="B506" s="133" t="str">
        <f>'Công trình'!B124</f>
        <v>AI.63311</v>
      </c>
      <c r="C506" s="34"/>
      <c r="D506" s="133" t="str">
        <f>'Công trình'!C124</f>
        <v>Tháo dỡ kết cấu thép hệ khung dàn, sàn đạo trên cạn (60% Đg)</v>
      </c>
      <c r="E506" s="168"/>
      <c r="F506" s="20">
        <v>1</v>
      </c>
      <c r="G506" s="45">
        <f>'Hao phí vật tư'!J970</f>
        <v>37.479599999999998</v>
      </c>
      <c r="H506" s="166"/>
      <c r="I506" s="166"/>
      <c r="J506" s="166"/>
      <c r="K506" s="166"/>
      <c r="L506" s="156">
        <f>ROUND(G506*K472,2)</f>
        <v>0</v>
      </c>
      <c r="M506" s="156">
        <f>ROUND(G506*J472,2)</f>
        <v>715523.04</v>
      </c>
    </row>
    <row r="507" spans="1:13" hidden="1" x14ac:dyDescent="0.25">
      <c r="A507" s="168"/>
      <c r="B507" s="133" t="str">
        <f>'Công trình'!B136</f>
        <v>AI.11912</v>
      </c>
      <c r="C507" s="34"/>
      <c r="D507" s="133" t="str">
        <f>'Công trình'!C136</f>
        <v>Sản xuất hệ sàn đạo, sàn thao tác</v>
      </c>
      <c r="E507" s="168"/>
      <c r="F507" s="20">
        <v>1</v>
      </c>
      <c r="G507" s="45">
        <f>'Hao phí vật tư'!J1042</f>
        <v>1990.5976000000001</v>
      </c>
      <c r="H507" s="166"/>
      <c r="I507" s="166"/>
      <c r="J507" s="166"/>
      <c r="K507" s="166"/>
      <c r="L507" s="156">
        <f>ROUND(G507*K472,2)</f>
        <v>0</v>
      </c>
      <c r="M507" s="156">
        <f>ROUND(G507*J472,2)</f>
        <v>38002498.780000001</v>
      </c>
    </row>
    <row r="508" spans="1:13" ht="30" hidden="1" x14ac:dyDescent="0.25">
      <c r="A508" s="168"/>
      <c r="B508" s="133" t="str">
        <f>'Công trình'!B137</f>
        <v>TT</v>
      </c>
      <c r="C508" s="34"/>
      <c r="D508" s="133" t="str">
        <f>'Công trình'!C137</f>
        <v>Khấu hao hệ sàn đạo, sàn thao tác (Thi công trong vòng 3 tháng và 1 lần đóng nhổ)</v>
      </c>
      <c r="E508" s="168"/>
      <c r="F508" s="20">
        <v>1</v>
      </c>
      <c r="G508" s="45">
        <f>'Hao phí vật tư'!J1056</f>
        <v>0</v>
      </c>
      <c r="H508" s="166"/>
      <c r="I508" s="166"/>
      <c r="J508" s="166"/>
      <c r="K508" s="166"/>
      <c r="L508" s="156">
        <f>ROUND(G508*K472,2)</f>
        <v>0</v>
      </c>
      <c r="M508" s="156">
        <f>ROUND(G508*J472,2)</f>
        <v>0</v>
      </c>
    </row>
    <row r="509" spans="1:13" ht="30" hidden="1" x14ac:dyDescent="0.25">
      <c r="A509" s="168"/>
      <c r="B509" s="133" t="str">
        <f>'Công trình'!B139</f>
        <v>AI.63311</v>
      </c>
      <c r="C509" s="34"/>
      <c r="D509" s="133" t="str">
        <f>'Công trình'!C139</f>
        <v>Lắp dựng kết cấu thép hệ khung dàn, sàn đạo trên cạn</v>
      </c>
      <c r="E509" s="168"/>
      <c r="F509" s="20">
        <v>1</v>
      </c>
      <c r="G509" s="45">
        <f>'Hao phí vật tư'!J1060</f>
        <v>989.11680000000001</v>
      </c>
      <c r="H509" s="166"/>
      <c r="I509" s="166"/>
      <c r="J509" s="166"/>
      <c r="K509" s="166"/>
      <c r="L509" s="156">
        <f>ROUND(G509*K472,2)</f>
        <v>0</v>
      </c>
      <c r="M509" s="156">
        <f>ROUND(G509*J472,2)</f>
        <v>18883228.829999998</v>
      </c>
    </row>
    <row r="510" spans="1:13" ht="30" hidden="1" x14ac:dyDescent="0.25">
      <c r="A510" s="168"/>
      <c r="B510" s="133" t="str">
        <f>'Công trình'!B140</f>
        <v>AI.63311</v>
      </c>
      <c r="C510" s="34"/>
      <c r="D510" s="133" t="str">
        <f>'Công trình'!C140</f>
        <v>Tháo dỡ kết cấu thép hệ khung dàn, sàn đạo trên cạn (60% Đg)</v>
      </c>
      <c r="E510" s="168"/>
      <c r="F510" s="20">
        <v>1</v>
      </c>
      <c r="G510" s="45">
        <f>'Hao phí vật tư'!J1071</f>
        <v>593.4701</v>
      </c>
      <c r="H510" s="166"/>
      <c r="I510" s="166"/>
      <c r="J510" s="166"/>
      <c r="K510" s="166"/>
      <c r="L510" s="156">
        <f>ROUND(G510*K472,2)</f>
        <v>0</v>
      </c>
      <c r="M510" s="156">
        <f>ROUND(G510*J472,2)</f>
        <v>11329937.68</v>
      </c>
    </row>
    <row r="511" spans="1:13" hidden="1" x14ac:dyDescent="0.25">
      <c r="A511" s="168"/>
      <c r="B511" s="133" t="str">
        <f>'Công trình'!B147</f>
        <v>AI.11411</v>
      </c>
      <c r="C511" s="34"/>
      <c r="D511" s="133" t="str">
        <f>'Công trình'!C147</f>
        <v>Sản xuất thang sắt</v>
      </c>
      <c r="E511" s="168"/>
      <c r="F511" s="20">
        <v>1</v>
      </c>
      <c r="G511" s="45">
        <f>'Hao phí vật tư'!J1115</f>
        <v>1.8154999999999999</v>
      </c>
      <c r="H511" s="166"/>
      <c r="I511" s="166"/>
      <c r="J511" s="166"/>
      <c r="K511" s="166"/>
      <c r="L511" s="156">
        <f>ROUND(G511*K472,2)</f>
        <v>0</v>
      </c>
      <c r="M511" s="156">
        <f>ROUND(G511*J472,2)</f>
        <v>34659.71</v>
      </c>
    </row>
    <row r="512" spans="1:13" hidden="1" x14ac:dyDescent="0.25">
      <c r="A512" s="168"/>
      <c r="B512" s="133" t="str">
        <f>'Công trình'!B148</f>
        <v>AI.61171</v>
      </c>
      <c r="C512" s="34"/>
      <c r="D512" s="133" t="str">
        <f>'Công trình'!C148</f>
        <v>Lắp sàn thang sắt</v>
      </c>
      <c r="E512" s="168"/>
      <c r="F512" s="20">
        <v>1</v>
      </c>
      <c r="G512" s="45">
        <f>'Hao phí vật tư'!J1125</f>
        <v>0.88919999999999999</v>
      </c>
      <c r="H512" s="166"/>
      <c r="I512" s="166"/>
      <c r="J512" s="166"/>
      <c r="K512" s="166"/>
      <c r="L512" s="156">
        <f>ROUND(G512*K472,2)</f>
        <v>0</v>
      </c>
      <c r="M512" s="156">
        <f>ROUND(G512*J472,2)</f>
        <v>16975.72</v>
      </c>
    </row>
    <row r="513" spans="1:13" ht="30" hidden="1" x14ac:dyDescent="0.25">
      <c r="A513" s="168"/>
      <c r="B513" s="133" t="str">
        <f>'Công trình'!B160</f>
        <v>AI.63311</v>
      </c>
      <c r="C513" s="34"/>
      <c r="D513" s="133" t="str">
        <f>'Công trình'!C160</f>
        <v>Lắp dựng kết cấu thép hệ khung dàn, sàn đạo trên cạn</v>
      </c>
      <c r="E513" s="168"/>
      <c r="F513" s="20">
        <v>1</v>
      </c>
      <c r="G513" s="45">
        <f>'Hao phí vật tư'!J1209</f>
        <v>482.21879999999999</v>
      </c>
      <c r="H513" s="166"/>
      <c r="I513" s="166"/>
      <c r="J513" s="166"/>
      <c r="K513" s="166"/>
      <c r="L513" s="156">
        <f>ROUND(G513*K472,2)</f>
        <v>0</v>
      </c>
      <c r="M513" s="156">
        <f>ROUND(G513*J472,2)</f>
        <v>9206039.1099999994</v>
      </c>
    </row>
    <row r="514" spans="1:13" ht="30" hidden="1" x14ac:dyDescent="0.25">
      <c r="A514" s="168"/>
      <c r="B514" s="133" t="str">
        <f>'Công trình'!B161</f>
        <v>AI.63311</v>
      </c>
      <c r="C514" s="34"/>
      <c r="D514" s="133" t="str">
        <f>'Công trình'!C161</f>
        <v>Tháo dỡ kết cấu thép hệ khung dàn, sàn đạo trên cạn (60% Đg)</v>
      </c>
      <c r="E514" s="168"/>
      <c r="F514" s="20">
        <v>1</v>
      </c>
      <c r="G514" s="45">
        <f>'Hao phí vật tư'!J1220</f>
        <v>289.3313</v>
      </c>
      <c r="H514" s="166"/>
      <c r="I514" s="166"/>
      <c r="J514" s="166"/>
      <c r="K514" s="166"/>
      <c r="L514" s="156">
        <f>ROUND(G514*K472,2)</f>
        <v>0</v>
      </c>
      <c r="M514" s="156">
        <f>ROUND(G514*J472,2)</f>
        <v>5523623.8499999996</v>
      </c>
    </row>
    <row r="515" spans="1:13" ht="30" hidden="1" x14ac:dyDescent="0.25">
      <c r="A515" s="168"/>
      <c r="B515" s="133" t="str">
        <f>'Công trình'!B158</f>
        <v>TT</v>
      </c>
      <c r="C515" s="34"/>
      <c r="D515" s="133" t="str">
        <f>'Công trình'!C158</f>
        <v>Khấu hao hệ sàn đạo, sàn thao tác (Thi công trong vòng 3 tháng và 1 lần đóng nhổ)</v>
      </c>
      <c r="E515" s="168"/>
      <c r="F515" s="20">
        <v>1</v>
      </c>
      <c r="G515" s="45">
        <f>'Hao phí vật tư'!J1205</f>
        <v>0</v>
      </c>
      <c r="H515" s="166"/>
      <c r="I515" s="166"/>
      <c r="J515" s="166"/>
      <c r="K515" s="166"/>
      <c r="L515" s="156">
        <f>ROUND(G515*K472,2)</f>
        <v>0</v>
      </c>
      <c r="M515" s="156">
        <f>ROUND(G515*J472,2)</f>
        <v>0</v>
      </c>
    </row>
    <row r="516" spans="1:13" hidden="1" x14ac:dyDescent="0.25">
      <c r="A516" s="168"/>
      <c r="B516" s="133" t="str">
        <f>'Công trình'!B157</f>
        <v>AI.11912</v>
      </c>
      <c r="C516" s="34"/>
      <c r="D516" s="133" t="str">
        <f>'Công trình'!C157</f>
        <v>Sản xuất cầu công tác</v>
      </c>
      <c r="E516" s="168"/>
      <c r="F516" s="20">
        <v>1</v>
      </c>
      <c r="G516" s="45">
        <f>'Hao phí vật tư'!J1191</f>
        <v>970.46529999999996</v>
      </c>
      <c r="H516" s="166"/>
      <c r="I516" s="166"/>
      <c r="J516" s="166"/>
      <c r="K516" s="166"/>
      <c r="L516" s="156">
        <f>ROUND(G516*K472,2)</f>
        <v>0</v>
      </c>
      <c r="M516" s="156">
        <f>ROUND(G516*J472,2)</f>
        <v>18527153.039999999</v>
      </c>
    </row>
    <row r="517" spans="1:13" ht="30" hidden="1" x14ac:dyDescent="0.25">
      <c r="A517" s="168"/>
      <c r="B517" s="133" t="str">
        <f>'Công trình'!B168</f>
        <v>AG.32211</v>
      </c>
      <c r="C517" s="34"/>
      <c r="D517" s="133" t="str">
        <f>'Công trình'!C168</f>
        <v>Sản xuất, lắp dựng tháo dỡ ván khuôn kim loại các loại cấu kiện khác</v>
      </c>
      <c r="E517" s="168"/>
      <c r="F517" s="20">
        <v>1</v>
      </c>
      <c r="G517" s="45">
        <f>'Hao phí vật tư'!J1270</f>
        <v>0.60270000000000001</v>
      </c>
      <c r="H517" s="166"/>
      <c r="I517" s="166"/>
      <c r="J517" s="166"/>
      <c r="K517" s="166"/>
      <c r="L517" s="156">
        <f>ROUND(G517*K472,2)</f>
        <v>0</v>
      </c>
      <c r="M517" s="156">
        <f>ROUND(G517*J472,2)</f>
        <v>11506.15</v>
      </c>
    </row>
    <row r="518" spans="1:13" ht="30" hidden="1" x14ac:dyDescent="0.25">
      <c r="A518" s="168"/>
      <c r="B518" s="133" t="str">
        <f>'Công trình'!B181</f>
        <v>AF.65120</v>
      </c>
      <c r="C518" s="34"/>
      <c r="D518" s="133" t="str">
        <f>'Công trình'!C181</f>
        <v>Sản xuất, lắp dựng cốt thép móng, mố, trụ, mũ mố, mũ trụ cầu trên cạn đường kính &lt;=18mm</v>
      </c>
      <c r="E518" s="168"/>
      <c r="F518" s="20">
        <v>1</v>
      </c>
      <c r="G518" s="45">
        <f>'Hao phí vật tư'!J1375</f>
        <v>27.826499999999999</v>
      </c>
      <c r="H518" s="166"/>
      <c r="I518" s="166"/>
      <c r="J518" s="166"/>
      <c r="K518" s="166"/>
      <c r="L518" s="156">
        <f>ROUND(G518*K472,2)</f>
        <v>0</v>
      </c>
      <c r="M518" s="156">
        <f>ROUND(G518*J472,2)</f>
        <v>531235.71</v>
      </c>
    </row>
    <row r="519" spans="1:13" ht="30" hidden="1" x14ac:dyDescent="0.25">
      <c r="A519" s="168"/>
      <c r="B519" s="133" t="str">
        <f>'Công trình'!B182</f>
        <v>AF.65130</v>
      </c>
      <c r="C519" s="34"/>
      <c r="D519" s="133" t="str">
        <f>'Công trình'!C182</f>
        <v>Sản xuất, lắp dựng cốt thép móng, mố, trụ, mũ mố, mũ trụ cầu trên cạn đường kính &gt;18mm</v>
      </c>
      <c r="E519" s="168"/>
      <c r="F519" s="20">
        <v>1</v>
      </c>
      <c r="G519" s="45">
        <f>'Hao phí vật tư'!J1386</f>
        <v>32.886299999999999</v>
      </c>
      <c r="H519" s="166"/>
      <c r="I519" s="166"/>
      <c r="J519" s="166"/>
      <c r="K519" s="166"/>
      <c r="L519" s="156">
        <f>ROUND(G519*K472,2)</f>
        <v>0</v>
      </c>
      <c r="M519" s="156">
        <f>ROUND(G519*J472,2)</f>
        <v>627832.35</v>
      </c>
    </row>
    <row r="520" spans="1:13" ht="30" hidden="1" x14ac:dyDescent="0.25">
      <c r="A520" s="168"/>
      <c r="B520" s="133" t="str">
        <f>'Công trình'!B184</f>
        <v>AF.61120</v>
      </c>
      <c r="C520" s="34"/>
      <c r="D520" s="133" t="str">
        <f>'Công trình'!C184</f>
        <v>Sản xuất, lắp dựng cốt thép bản dẫn đường kính &lt;=18mm</v>
      </c>
      <c r="E520" s="168"/>
      <c r="F520" s="20">
        <v>1</v>
      </c>
      <c r="G520" s="45">
        <f>'Hao phí vật tư'!J1405</f>
        <v>4.6154000000000002</v>
      </c>
      <c r="H520" s="166"/>
      <c r="I520" s="166"/>
      <c r="J520" s="166"/>
      <c r="K520" s="166"/>
      <c r="L520" s="156">
        <f>ROUND(G520*K472,2)</f>
        <v>0</v>
      </c>
      <c r="M520" s="156">
        <f>ROUND(G520*J472,2)</f>
        <v>88112.6</v>
      </c>
    </row>
    <row r="521" spans="1:13" ht="30" hidden="1" x14ac:dyDescent="0.25">
      <c r="A521" s="168"/>
      <c r="B521" s="133" t="str">
        <f>'Công trình'!B190</f>
        <v>AF.65120</v>
      </c>
      <c r="C521" s="34"/>
      <c r="D521" s="133" t="str">
        <f>'Công trình'!C190</f>
        <v>Sản xuất, lắp dựng cốt thép móng, mố, trụ, mũ mố, mũ trụ cầu trên cạn đường kính &lt;=18mm</v>
      </c>
      <c r="E521" s="168"/>
      <c r="F521" s="20">
        <v>1</v>
      </c>
      <c r="G521" s="45">
        <f>'Hao phí vật tư'!J1459</f>
        <v>3.2162000000000002</v>
      </c>
      <c r="H521" s="166"/>
      <c r="I521" s="166"/>
      <c r="J521" s="166"/>
      <c r="K521" s="166"/>
      <c r="L521" s="156">
        <f>ROUND(G521*K472,2)</f>
        <v>0</v>
      </c>
      <c r="M521" s="156">
        <f>ROUND(G521*J472,2)</f>
        <v>61400.47</v>
      </c>
    </row>
    <row r="522" spans="1:13" ht="30" hidden="1" x14ac:dyDescent="0.25">
      <c r="A522" s="168"/>
      <c r="B522" s="133" t="str">
        <f>'Công trình'!B191</f>
        <v>AF.65130</v>
      </c>
      <c r="C522" s="34"/>
      <c r="D522" s="133" t="str">
        <f>'Công trình'!C191</f>
        <v>Sản xuất, lắp dựng cốt thép móng, mố, trụ, mũ mố, mũ trụ cầu trên cạn đường kính &gt;18mm</v>
      </c>
      <c r="E522" s="168"/>
      <c r="F522" s="20">
        <v>1</v>
      </c>
      <c r="G522" s="45">
        <f>'Hao phí vật tư'!J1470</f>
        <v>13.1046</v>
      </c>
      <c r="H522" s="166"/>
      <c r="I522" s="166"/>
      <c r="J522" s="166"/>
      <c r="K522" s="166"/>
      <c r="L522" s="156">
        <f>ROUND(G522*K472,2)</f>
        <v>0</v>
      </c>
      <c r="M522" s="156">
        <f>ROUND(G522*J472,2)</f>
        <v>250179.92</v>
      </c>
    </row>
    <row r="523" spans="1:13" ht="30" hidden="1" x14ac:dyDescent="0.25">
      <c r="A523" s="168"/>
      <c r="B523" s="133" t="str">
        <f>'Công trình'!B200</f>
        <v>AF.82111</v>
      </c>
      <c r="C523" s="34"/>
      <c r="D523" s="133" t="str">
        <f>'Công trình'!C200</f>
        <v>Sản xuất, lắp dựng tháo dỡ ván khuôn thép, cây chống gỗ dầm ngang, chiều cao &lt;=16m</v>
      </c>
      <c r="E523" s="168"/>
      <c r="F523" s="20">
        <v>1</v>
      </c>
      <c r="G523" s="45">
        <f>'Hao phí vật tư'!J1539</f>
        <v>2.1671999999999998</v>
      </c>
      <c r="H523" s="166"/>
      <c r="I523" s="166"/>
      <c r="J523" s="166"/>
      <c r="K523" s="166"/>
      <c r="L523" s="156">
        <f>ROUND(G523*K472,2)</f>
        <v>0</v>
      </c>
      <c r="M523" s="156">
        <f>ROUND(G523*J472,2)</f>
        <v>41374.019999999997</v>
      </c>
    </row>
    <row r="524" spans="1:13" ht="30" hidden="1" x14ac:dyDescent="0.25">
      <c r="A524" s="168"/>
      <c r="B524" s="133" t="str">
        <f>'Công trình'!B204</f>
        <v>AF.61721</v>
      </c>
      <c r="C524" s="34"/>
      <c r="D524" s="133" t="str">
        <f>'Công trình'!C204</f>
        <v>Sản xuất, lắp dựng cốt thép mặt cầu đường kính &gt;10mm, chiều cao &lt;=16m</v>
      </c>
      <c r="E524" s="168"/>
      <c r="F524" s="20">
        <v>1</v>
      </c>
      <c r="G524" s="45">
        <f>'Hao phí vật tư'!J1574</f>
        <v>47.700099999999999</v>
      </c>
      <c r="H524" s="166"/>
      <c r="I524" s="166"/>
      <c r="J524" s="166"/>
      <c r="K524" s="166"/>
      <c r="L524" s="156">
        <f>ROUND(G524*K472,2)</f>
        <v>0</v>
      </c>
      <c r="M524" s="156">
        <f>ROUND(G524*J472,2)</f>
        <v>910642.61</v>
      </c>
    </row>
    <row r="525" spans="1:13" ht="30" hidden="1" x14ac:dyDescent="0.25">
      <c r="A525" s="168"/>
      <c r="B525" s="133" t="str">
        <f>'Công trình'!B208</f>
        <v>AF.65420</v>
      </c>
      <c r="C525" s="34"/>
      <c r="D525" s="133" t="str">
        <f>'Công trình'!C208</f>
        <v>Công tác sản xuất lắp dựng cốt thép bê tông tại chỗ, cốt thép dầm cầu trên cạn, D ≤18mm</v>
      </c>
      <c r="E525" s="168"/>
      <c r="F525" s="20">
        <v>1</v>
      </c>
      <c r="G525" s="45">
        <f>'Hao phí vật tư'!J1595</f>
        <v>0.79300000000000004</v>
      </c>
      <c r="H525" s="166"/>
      <c r="I525" s="166"/>
      <c r="J525" s="166"/>
      <c r="K525" s="166"/>
      <c r="L525" s="156">
        <f>ROUND(G525*K472,2)</f>
        <v>0</v>
      </c>
      <c r="M525" s="156">
        <f>ROUND(G525*J472,2)</f>
        <v>15139.16</v>
      </c>
    </row>
    <row r="526" spans="1:13" ht="30" hidden="1" x14ac:dyDescent="0.25">
      <c r="A526" s="168"/>
      <c r="B526" s="133" t="str">
        <f>'Công trình'!B210</f>
        <v>AF.65430</v>
      </c>
      <c r="C526" s="34"/>
      <c r="D526" s="133" t="str">
        <f>'Công trình'!C210</f>
        <v>Công tác sản xuất lắp dựng cốt thép bê tông tại chỗ, cốt thép dầm cầu trên cạn, D &gt;18mm</v>
      </c>
      <c r="E526" s="168"/>
      <c r="F526" s="20">
        <v>1</v>
      </c>
      <c r="G526" s="45">
        <f>'Hao phí vật tư'!J1606</f>
        <v>1.474</v>
      </c>
      <c r="H526" s="166"/>
      <c r="I526" s="166"/>
      <c r="J526" s="166"/>
      <c r="K526" s="166"/>
      <c r="L526" s="156">
        <f>ROUND(G526*K472,2)</f>
        <v>0</v>
      </c>
      <c r="M526" s="156">
        <f>ROUND(G526*J472,2)</f>
        <v>28140.13</v>
      </c>
    </row>
    <row r="527" spans="1:13" ht="30" hidden="1" x14ac:dyDescent="0.25">
      <c r="A527" s="168"/>
      <c r="B527" s="133" t="str">
        <f>'Công trình'!B218</f>
        <v>AF.61120</v>
      </c>
      <c r="C527" s="34"/>
      <c r="D527" s="133" t="str">
        <f>'Công trình'!C218</f>
        <v>Sản xuất, lắp dựng cốt thép móng đường kính &lt;=18mm</v>
      </c>
      <c r="E527" s="168"/>
      <c r="F527" s="20">
        <v>1</v>
      </c>
      <c r="G527" s="45">
        <f>'Hao phí vật tư'!J1645</f>
        <v>1.4426000000000001</v>
      </c>
      <c r="H527" s="166"/>
      <c r="I527" s="166"/>
      <c r="J527" s="166"/>
      <c r="K527" s="166"/>
      <c r="L527" s="156">
        <f>ROUND(G527*K472,2)</f>
        <v>0</v>
      </c>
      <c r="M527" s="156">
        <f>ROUND(G527*J472,2)</f>
        <v>27540.68</v>
      </c>
    </row>
    <row r="528" spans="1:13" hidden="1" x14ac:dyDescent="0.25">
      <c r="A528" s="168"/>
      <c r="B528" s="133" t="str">
        <f>'Công trình'!B221</f>
        <v>AF.61120</v>
      </c>
      <c r="C528" s="34"/>
      <c r="D528" s="133" t="str">
        <f>'Công trình'!C221</f>
        <v>Sản xuất, lắp dựng cốt thép đường kính &lt;=18mm</v>
      </c>
      <c r="E528" s="168"/>
      <c r="F528" s="20">
        <v>1</v>
      </c>
      <c r="G528" s="45">
        <f>'Hao phí vật tư'!J1663</f>
        <v>8.2248999999999999</v>
      </c>
      <c r="H528" s="166"/>
      <c r="I528" s="166"/>
      <c r="J528" s="166"/>
      <c r="K528" s="166"/>
      <c r="L528" s="156">
        <f>ROUND(G528*K472,2)</f>
        <v>0</v>
      </c>
      <c r="M528" s="156">
        <f>ROUND(G528*J472,2)</f>
        <v>157021.57</v>
      </c>
    </row>
    <row r="529" spans="1:13" ht="30" hidden="1" x14ac:dyDescent="0.25">
      <c r="A529" s="168"/>
      <c r="B529" s="133" t="str">
        <f>'Công trình'!B227</f>
        <v>AG.13121</v>
      </c>
      <c r="C529" s="34"/>
      <c r="D529" s="133" t="str">
        <f>'Công trình'!C227</f>
        <v>Sản xuất, lắp dựng cốt thép BT đúc sẵn cọc, đường kính &lt;=18mm</v>
      </c>
      <c r="E529" s="168"/>
      <c r="F529" s="20">
        <v>1</v>
      </c>
      <c r="G529" s="45">
        <f>'Hao phí vật tư'!J1703</f>
        <v>2.0148999999999999</v>
      </c>
      <c r="H529" s="166"/>
      <c r="I529" s="166"/>
      <c r="J529" s="166"/>
      <c r="K529" s="166"/>
      <c r="L529" s="156">
        <f>ROUND(G529*K472,2)</f>
        <v>0</v>
      </c>
      <c r="M529" s="156">
        <f>ROUND(G529*J472,2)</f>
        <v>38466.46</v>
      </c>
    </row>
    <row r="530" spans="1:13" ht="30" hidden="1" x14ac:dyDescent="0.25">
      <c r="A530" s="168"/>
      <c r="B530" s="133" t="str">
        <f>'Công trình'!B228</f>
        <v>AG.13131</v>
      </c>
      <c r="C530" s="34"/>
      <c r="D530" s="133" t="str">
        <f>'Công trình'!C228</f>
        <v>Sản xuất, lắp dựng cốt thép BT đúc sẵn cọc, đường kính &gt;18mm</v>
      </c>
      <c r="E530" s="168"/>
      <c r="F530" s="20">
        <v>1</v>
      </c>
      <c r="G530" s="45">
        <f>'Hao phí vật tư'!J1713</f>
        <v>62.5655</v>
      </c>
      <c r="H530" s="166"/>
      <c r="I530" s="166"/>
      <c r="J530" s="166"/>
      <c r="K530" s="166"/>
      <c r="L530" s="156">
        <f>ROUND(G530*K472,2)</f>
        <v>0</v>
      </c>
      <c r="M530" s="156">
        <f>ROUND(G530*J472,2)</f>
        <v>1194437.96</v>
      </c>
    </row>
    <row r="531" spans="1:13" ht="30" hidden="1" x14ac:dyDescent="0.25">
      <c r="A531" s="168"/>
      <c r="B531" s="133" t="str">
        <f>'Công trình'!B229</f>
        <v>AI.13111</v>
      </c>
      <c r="C531" s="34"/>
      <c r="D531" s="133" t="str">
        <f>'Công trình'!C229</f>
        <v>Sản xuất cấu kiện thép đặt sẵn trong bê tông, khối lượng &lt;=10kg/cấu kiện</v>
      </c>
      <c r="E531" s="168"/>
      <c r="F531" s="20">
        <v>1</v>
      </c>
      <c r="G531" s="45">
        <f>'Hao phí vật tư'!J1724</f>
        <v>19.209499999999998</v>
      </c>
      <c r="H531" s="166"/>
      <c r="I531" s="166"/>
      <c r="J531" s="166"/>
      <c r="K531" s="166"/>
      <c r="L531" s="156">
        <f>ROUND(G531*K472,2)</f>
        <v>0</v>
      </c>
      <c r="M531" s="156">
        <f>ROUND(G531*J472,2)</f>
        <v>366728.56</v>
      </c>
    </row>
    <row r="532" spans="1:13" hidden="1" x14ac:dyDescent="0.25">
      <c r="A532" s="168"/>
      <c r="B532" s="133" t="str">
        <f>'Công trình'!B231</f>
        <v>AI.52211</v>
      </c>
      <c r="C532" s="34"/>
      <c r="D532" s="133" t="str">
        <f>'Công trình'!C231</f>
        <v>Thép hình hộp nối cọc</v>
      </c>
      <c r="E532" s="168"/>
      <c r="F532" s="20">
        <v>1</v>
      </c>
      <c r="G532" s="45">
        <f>'Hao phí vật tư'!J1751</f>
        <v>46.299399999999999</v>
      </c>
      <c r="H532" s="166"/>
      <c r="I532" s="166"/>
      <c r="J532" s="166"/>
      <c r="K532" s="166"/>
      <c r="L532" s="156">
        <f>ROUND(G532*K472,2)</f>
        <v>0</v>
      </c>
      <c r="M532" s="156">
        <f>ROUND(G532*J472,2)</f>
        <v>883901.85</v>
      </c>
    </row>
    <row r="533" spans="1:13" hidden="1" x14ac:dyDescent="0.25">
      <c r="A533" s="168"/>
      <c r="B533" s="133" t="str">
        <f>'Công trình'!B235</f>
        <v>AA.22310</v>
      </c>
      <c r="C533" s="34"/>
      <c r="D533" s="133" t="str">
        <f>'Công trình'!C235</f>
        <v>Đập đầu cọc trên cạn</v>
      </c>
      <c r="E533" s="168"/>
      <c r="F533" s="20">
        <v>1</v>
      </c>
      <c r="G533" s="45">
        <f>'Hao phí vật tư'!J1794</f>
        <v>0</v>
      </c>
      <c r="H533" s="166"/>
      <c r="I533" s="166"/>
      <c r="J533" s="166"/>
      <c r="K533" s="166"/>
      <c r="L533" s="156">
        <f>ROUND(G533*K472,2)</f>
        <v>0</v>
      </c>
      <c r="M533" s="156">
        <f>ROUND(G533*J472,2)</f>
        <v>0</v>
      </c>
    </row>
    <row r="534" spans="1:13" hidden="1" x14ac:dyDescent="0.25">
      <c r="A534" s="168"/>
      <c r="B534" s="133" t="str">
        <f>'Công trình'!B234</f>
        <v>AC.29341</v>
      </c>
      <c r="C534" s="34"/>
      <c r="D534" s="133" t="str">
        <f>'Công trình'!C234</f>
        <v>Nối cọc BTCT 35x35cm</v>
      </c>
      <c r="E534" s="168"/>
      <c r="F534" s="20">
        <v>1</v>
      </c>
      <c r="G534" s="45">
        <f>'Hao phí vật tư'!J1784</f>
        <v>126.3</v>
      </c>
      <c r="H534" s="166"/>
      <c r="I534" s="166"/>
      <c r="J534" s="166"/>
      <c r="K534" s="166"/>
      <c r="L534" s="156">
        <f>ROUND(G534*K472,2)</f>
        <v>0</v>
      </c>
      <c r="M534" s="156">
        <f>ROUND(G534*J472,2)</f>
        <v>2411193.2999999998</v>
      </c>
    </row>
    <row r="535" spans="1:13" ht="30" hidden="1" x14ac:dyDescent="0.25">
      <c r="A535" s="168"/>
      <c r="B535" s="133" t="str">
        <f>'Công trình'!B249</f>
        <v>AF.82111</v>
      </c>
      <c r="C535" s="34"/>
      <c r="D535" s="133" t="str">
        <f>'Công trình'!C249</f>
        <v>Sản xuất, lắp dựng tháo dỡ ván khuôn thép, cây chống gỗ dầm, giằng, chiều cao &lt;=16m</v>
      </c>
      <c r="E535" s="168"/>
      <c r="F535" s="20">
        <v>1</v>
      </c>
      <c r="G535" s="45">
        <f>'Hao phí vật tư'!J1887</f>
        <v>3.9962</v>
      </c>
      <c r="H535" s="166"/>
      <c r="I535" s="166"/>
      <c r="J535" s="166"/>
      <c r="K535" s="166"/>
      <c r="L535" s="156">
        <f>ROUND(G535*K472,2)</f>
        <v>0</v>
      </c>
      <c r="M535" s="156">
        <f>ROUND(G535*J472,2)</f>
        <v>76291.45</v>
      </c>
    </row>
    <row r="536" spans="1:13" ht="30" hidden="1" x14ac:dyDescent="0.25">
      <c r="A536" s="168"/>
      <c r="B536" s="133" t="str">
        <f>'Công trình'!B256</f>
        <v>AF.82111</v>
      </c>
      <c r="C536" s="34"/>
      <c r="D536" s="133" t="str">
        <f>'Công trình'!C256</f>
        <v>Sản xuất, lắp dựng tháo dỡ ván khuôn thép lan can</v>
      </c>
      <c r="E536" s="168"/>
      <c r="F536" s="20">
        <v>1</v>
      </c>
      <c r="G536" s="45">
        <f>'Hao phí vật tư'!J1948</f>
        <v>8.5669000000000004</v>
      </c>
      <c r="H536" s="166"/>
      <c r="I536" s="166"/>
      <c r="J536" s="166"/>
      <c r="K536" s="166"/>
      <c r="L536" s="156">
        <f>ROUND(G536*K472,2)</f>
        <v>0</v>
      </c>
      <c r="M536" s="156">
        <f>ROUND(G536*J472,2)</f>
        <v>163550.69</v>
      </c>
    </row>
    <row r="537" spans="1:13" hidden="1" x14ac:dyDescent="0.25">
      <c r="A537" s="168"/>
      <c r="B537" s="133" t="str">
        <f>'Công trình'!B258</f>
        <v>AF.61120</v>
      </c>
      <c r="C537" s="34"/>
      <c r="D537" s="133" t="str">
        <f>'Công trình'!C258</f>
        <v>Sản xuất, lắp dựng cốt thép đường kính &lt;=18mm</v>
      </c>
      <c r="E537" s="168"/>
      <c r="F537" s="20">
        <v>1</v>
      </c>
      <c r="G537" s="45">
        <f>'Hao phí vật tư'!J1969</f>
        <v>2.9538000000000002</v>
      </c>
      <c r="H537" s="166"/>
      <c r="I537" s="166"/>
      <c r="J537" s="166"/>
      <c r="K537" s="166"/>
      <c r="L537" s="156">
        <f>ROUND(G537*K472,2)</f>
        <v>0</v>
      </c>
      <c r="M537" s="156">
        <f>ROUND(G537*J472,2)</f>
        <v>56391</v>
      </c>
    </row>
    <row r="538" spans="1:13" hidden="1" x14ac:dyDescent="0.25">
      <c r="A538" s="168"/>
      <c r="B538" s="133" t="str">
        <f>'Công trình'!B263</f>
        <v>AI.63211</v>
      </c>
      <c r="C538" s="34"/>
      <c r="D538" s="133" t="str">
        <f>'Công trình'!C263</f>
        <v>Lắp dựng lan can sắt, vữa XM mác 75</v>
      </c>
      <c r="E538" s="168"/>
      <c r="F538" s="20">
        <v>1</v>
      </c>
      <c r="G538" s="45">
        <f>'Hao phí vật tư'!J2008</f>
        <v>21.06</v>
      </c>
      <c r="H538" s="166"/>
      <c r="I538" s="166"/>
      <c r="J538" s="166"/>
      <c r="K538" s="166"/>
      <c r="L538" s="156">
        <f>ROUND(G538*K472,2)</f>
        <v>0</v>
      </c>
      <c r="M538" s="156">
        <f>ROUND(G538*J472,2)</f>
        <v>402056.46</v>
      </c>
    </row>
    <row r="539" spans="1:13" ht="30" hidden="1" x14ac:dyDescent="0.25">
      <c r="A539" s="168"/>
      <c r="B539" s="133" t="str">
        <f>'Công trình'!B179</f>
        <v>AF.87211</v>
      </c>
      <c r="C539" s="34"/>
      <c r="D539" s="133" t="str">
        <f>'Công trình'!C179</f>
        <v>Sản xuất, lắp dựng, tháo dỡ ván khuôn mố, trụ cầu trên cạn</v>
      </c>
      <c r="E539" s="168"/>
      <c r="F539" s="20">
        <v>1</v>
      </c>
      <c r="G539" s="45">
        <f>'Hao phí vật tư'!J1357</f>
        <v>19.2438</v>
      </c>
      <c r="H539" s="166"/>
      <c r="I539" s="166"/>
      <c r="J539" s="166"/>
      <c r="K539" s="166"/>
      <c r="L539" s="156">
        <f>ROUND(G539*K472,2)</f>
        <v>0</v>
      </c>
      <c r="M539" s="156">
        <f>ROUND(G539*J472,2)</f>
        <v>367383.39</v>
      </c>
    </row>
    <row r="540" spans="1:13" ht="30" hidden="1" x14ac:dyDescent="0.25">
      <c r="A540" s="168"/>
      <c r="B540" s="133" t="str">
        <f>'Công trình'!B189</f>
        <v>AF.87211</v>
      </c>
      <c r="C540" s="34"/>
      <c r="D540" s="133" t="str">
        <f>'Công trình'!C189</f>
        <v>Sản xuất, lắp dựng, tháo dỡ ván khuôn mố, trụ cầu trên cạn</v>
      </c>
      <c r="E540" s="168"/>
      <c r="F540" s="20">
        <v>1</v>
      </c>
      <c r="G540" s="45">
        <f>'Hao phí vật tư'!J1448</f>
        <v>5.5137999999999998</v>
      </c>
      <c r="H540" s="166"/>
      <c r="I540" s="166"/>
      <c r="J540" s="166"/>
      <c r="K540" s="166"/>
      <c r="L540" s="156">
        <f>ROUND(G540*K472,2)</f>
        <v>0</v>
      </c>
      <c r="M540" s="156">
        <f>ROUND(G540*J472,2)</f>
        <v>105263.96</v>
      </c>
    </row>
    <row r="541" spans="1:13" ht="30" hidden="1" x14ac:dyDescent="0.25">
      <c r="A541" s="168"/>
      <c r="B541" s="133" t="str">
        <f>'Công trình'!B201</f>
        <v>AF.82311</v>
      </c>
      <c r="C541" s="34"/>
      <c r="D541" s="133" t="str">
        <f>'Công trình'!C201</f>
        <v>Sản xuất, lắp dựng tháo dỡ ván khuôn thép, cây chống gỗ mặt cầu, chiều cao &lt;=16m</v>
      </c>
      <c r="E541" s="168"/>
      <c r="F541" s="20">
        <v>1</v>
      </c>
      <c r="G541" s="45">
        <f>'Hao phí vật tư'!J1552</f>
        <v>13.8996</v>
      </c>
      <c r="H541" s="166"/>
      <c r="I541" s="166"/>
      <c r="J541" s="166"/>
      <c r="K541" s="166"/>
      <c r="L541" s="156">
        <f>ROUND(G541*K472,2)</f>
        <v>0</v>
      </c>
      <c r="M541" s="156">
        <f>ROUND(G541*J472,2)</f>
        <v>265357.26</v>
      </c>
    </row>
    <row r="542" spans="1:13" ht="30" hidden="1" x14ac:dyDescent="0.25">
      <c r="A542" s="168"/>
      <c r="B542" s="133" t="str">
        <f>'Công trình'!B230</f>
        <v>AG.32321</v>
      </c>
      <c r="C542" s="34"/>
      <c r="D542" s="133" t="str">
        <f>'Công trình'!C230</f>
        <v>Sản xuất, lắp dựng, tháo dỡ ván khuôn thép bê tông đúc sẵn cọc, cột</v>
      </c>
      <c r="E542" s="168"/>
      <c r="F542" s="20">
        <v>1</v>
      </c>
      <c r="G542" s="45">
        <f>'Hao phí vật tư'!J1739</f>
        <v>5.4699</v>
      </c>
      <c r="H542" s="166"/>
      <c r="I542" s="166"/>
      <c r="J542" s="166"/>
      <c r="K542" s="166"/>
      <c r="L542" s="156">
        <f>ROUND(G542*K472,2)</f>
        <v>0</v>
      </c>
      <c r="M542" s="156">
        <f>ROUND(G542*J472,2)</f>
        <v>104425.86</v>
      </c>
    </row>
    <row r="543" spans="1:13" ht="30" hidden="1" x14ac:dyDescent="0.25">
      <c r="A543" s="168"/>
      <c r="B543" s="133" t="str">
        <f>'Công trình'!B56</f>
        <v>AG.32511</v>
      </c>
      <c r="C543" s="34"/>
      <c r="D543" s="133" t="str">
        <f>'Công trình'!C56</f>
        <v>Sản xuất, lắp dựng, tháo dỡ ván khuôn thép bê tông đúc sẵn tấm tự chèn</v>
      </c>
      <c r="E543" s="168"/>
      <c r="F543" s="20">
        <v>1</v>
      </c>
      <c r="G543" s="45">
        <f>'Hao phí vật tư'!J409</f>
        <v>11.963900000000001</v>
      </c>
      <c r="H543" s="166"/>
      <c r="I543" s="166"/>
      <c r="J543" s="166"/>
      <c r="K543" s="166"/>
      <c r="L543" s="156">
        <f>ROUND(G543*K472,2)</f>
        <v>0</v>
      </c>
      <c r="M543" s="156">
        <f>ROUND(G543*J472,2)</f>
        <v>228402.81</v>
      </c>
    </row>
    <row r="544" spans="1:13" ht="30" hidden="1" x14ac:dyDescent="0.25">
      <c r="A544" s="168"/>
      <c r="B544" s="133" t="str">
        <f>'Công trình'!B251</f>
        <v>AG.32511</v>
      </c>
      <c r="C544" s="34"/>
      <c r="D544" s="133" t="str">
        <f>'Công trình'!C251</f>
        <v>Sản xuất, lắp dựng, tháo dỡ ván khuôn thép bê tông đúc sẵn nắp đan, tấm chớp</v>
      </c>
      <c r="E544" s="168"/>
      <c r="F544" s="20">
        <v>1</v>
      </c>
      <c r="G544" s="45">
        <f>'Hao phí vật tư'!J1911</f>
        <v>15.283899999999999</v>
      </c>
      <c r="H544" s="166"/>
      <c r="I544" s="166"/>
      <c r="J544" s="166"/>
      <c r="K544" s="166"/>
      <c r="L544" s="156">
        <f>ROUND(G544*K472,2)</f>
        <v>0</v>
      </c>
      <c r="M544" s="156">
        <f>ROUND(G544*J472,2)</f>
        <v>291784.93</v>
      </c>
    </row>
    <row r="545" spans="1:13" hidden="1" x14ac:dyDescent="0.25">
      <c r="A545" s="168"/>
      <c r="B545" s="133" t="str">
        <f>'Công trình'!B262</f>
        <v>AI.21152</v>
      </c>
      <c r="C545" s="34"/>
      <c r="D545" s="133" t="str">
        <f>'Công trình'!C262</f>
        <v>Sản xuất kết cấu thép lan can cầu đường bộ</v>
      </c>
      <c r="E545" s="168"/>
      <c r="F545" s="20">
        <v>1</v>
      </c>
      <c r="G545" s="45">
        <f>'Hao phí vật tư'!J1994</f>
        <v>63.984200000000001</v>
      </c>
      <c r="H545" s="166"/>
      <c r="I545" s="166"/>
      <c r="J545" s="166"/>
      <c r="K545" s="166"/>
      <c r="L545" s="156">
        <f>ROUND(G545*K472,2)</f>
        <v>0</v>
      </c>
      <c r="M545" s="156">
        <f>ROUND(G545*J472,2)</f>
        <v>1221522.3600000001</v>
      </c>
    </row>
    <row r="546" spans="1:13" ht="30" hidden="1" x14ac:dyDescent="0.25">
      <c r="A546" s="168"/>
      <c r="B546" s="133" t="str">
        <f>'Công trình'!B73</f>
        <v>AG.32321</v>
      </c>
      <c r="C546" s="34"/>
      <c r="D546" s="133" t="str">
        <f>'Công trình'!C73</f>
        <v>Sản xuất, lắp dựng, tháo dỡ ván khuôn thép bê tông đúc sẵn cọc</v>
      </c>
      <c r="E546" s="168"/>
      <c r="F546" s="20">
        <v>1</v>
      </c>
      <c r="G546" s="45">
        <f>'Hao phí vật tư'!J563</f>
        <v>5.0556999999999999</v>
      </c>
      <c r="H546" s="166"/>
      <c r="I546" s="166"/>
      <c r="J546" s="166"/>
      <c r="K546" s="166"/>
      <c r="L546" s="156">
        <f>ROUND(G546*K472,2)</f>
        <v>0</v>
      </c>
      <c r="M546" s="156">
        <f>ROUND(G546*J472,2)</f>
        <v>96518.37</v>
      </c>
    </row>
    <row r="547" spans="1:13" ht="30" hidden="1" x14ac:dyDescent="0.25">
      <c r="A547" s="168"/>
      <c r="B547" s="133" t="str">
        <f>'Công trình'!B84</f>
        <v>AG.32321</v>
      </c>
      <c r="C547" s="34"/>
      <c r="D547" s="133" t="str">
        <f>'Công trình'!C84</f>
        <v>Sản xuất, lắp dựng, tháo dỡ ván khuôn thép bê tông đúc sẵn cọc</v>
      </c>
      <c r="E547" s="168"/>
      <c r="F547" s="20">
        <v>1</v>
      </c>
      <c r="G547" s="45">
        <f>'Hao phí vật tư'!J679</f>
        <v>2.2877000000000001</v>
      </c>
      <c r="H547" s="166"/>
      <c r="I547" s="166"/>
      <c r="J547" s="166"/>
      <c r="K547" s="166"/>
      <c r="L547" s="156">
        <f>ROUND(G547*K472,2)</f>
        <v>0</v>
      </c>
      <c r="M547" s="156">
        <f>ROUND(G547*J472,2)</f>
        <v>43674.48</v>
      </c>
    </row>
    <row r="548" spans="1:13" hidden="1" x14ac:dyDescent="0.25">
      <c r="A548" s="168"/>
      <c r="B548" s="133" t="str">
        <f>'Công trình'!B24</f>
        <v>AF.61130</v>
      </c>
      <c r="C548" s="34"/>
      <c r="D548" s="133" t="str">
        <f>'Công trình'!C24</f>
        <v>Neo dầm mang cống bằng thép D32 SUS304</v>
      </c>
      <c r="E548" s="168"/>
      <c r="F548" s="20">
        <v>1</v>
      </c>
      <c r="G548" s="45">
        <f>'Hao phí vật tư'!J167</f>
        <v>0</v>
      </c>
      <c r="H548" s="166"/>
      <c r="I548" s="166"/>
      <c r="J548" s="166"/>
      <c r="K548" s="166"/>
      <c r="L548" s="156">
        <f>ROUND(G548*K472,2)</f>
        <v>0</v>
      </c>
      <c r="M548" s="156">
        <f>ROUND(G548*J472,2)</f>
        <v>0</v>
      </c>
    </row>
    <row r="549" spans="1:13" ht="45" hidden="1" x14ac:dyDescent="0.25">
      <c r="A549" s="168"/>
      <c r="B549" s="133" t="str">
        <f>'Công trình'!B35</f>
        <v>AF.82111</v>
      </c>
      <c r="C549" s="34"/>
      <c r="D549" s="133" t="str">
        <f>'Công trình'!C35</f>
        <v>Sản xuất, lắp dựng tháo dỡ ván khuôn thép, cây chống gỗ tường, cột vuông (chữ nhật), xà dầm, giằng, chiều cao &lt;=16m</v>
      </c>
      <c r="E549" s="168"/>
      <c r="F549" s="20">
        <v>1</v>
      </c>
      <c r="G549" s="45">
        <f>'Hao phí vật tư'!J260</f>
        <v>3.2570000000000001</v>
      </c>
      <c r="H549" s="166"/>
      <c r="I549" s="166"/>
      <c r="J549" s="166"/>
      <c r="K549" s="166"/>
      <c r="L549" s="156">
        <f>ROUND(G549*K472,2)</f>
        <v>0</v>
      </c>
      <c r="M549" s="156">
        <f>ROUND(G549*J472,2)</f>
        <v>62179.39</v>
      </c>
    </row>
    <row r="550" spans="1:13" ht="30" hidden="1" x14ac:dyDescent="0.25">
      <c r="A550" s="168"/>
      <c r="B550" s="133" t="str">
        <f>'Công trình'!B37</f>
        <v>AF.61521</v>
      </c>
      <c r="C550" s="34"/>
      <c r="D550" s="133" t="str">
        <f>'Công trình'!C37</f>
        <v>Sản xuất, lắp dựng cốt thép xà dầm, giằng đường kính &lt;=18mm, chiều cao &lt;=4m</v>
      </c>
      <c r="E550" s="168"/>
      <c r="F550" s="20">
        <v>1</v>
      </c>
      <c r="G550" s="45">
        <f>'Hao phí vật tư'!J281</f>
        <v>1.2803</v>
      </c>
      <c r="H550" s="166"/>
      <c r="I550" s="166"/>
      <c r="J550" s="166"/>
      <c r="K550" s="166"/>
      <c r="L550" s="156">
        <f>ROUND(G550*K472,2)</f>
        <v>0</v>
      </c>
      <c r="M550" s="156">
        <f>ROUND(G550*J472,2)</f>
        <v>24442.21</v>
      </c>
    </row>
    <row r="551" spans="1:13" hidden="1" x14ac:dyDescent="0.25">
      <c r="A551" s="168"/>
      <c r="B551" s="133" t="str">
        <f>'Công trình'!B322</f>
        <v>AI.65411</v>
      </c>
      <c r="C551" s="34"/>
      <c r="D551" s="133" t="str">
        <f>'Công trình'!C322</f>
        <v>Lắp đặt kết cấu thép khe van, khe phai</v>
      </c>
      <c r="E551" s="168"/>
      <c r="F551" s="20">
        <v>1</v>
      </c>
      <c r="G551" s="45">
        <f>'Hao phí vật tư'!J2408</f>
        <v>31.671099999999999</v>
      </c>
      <c r="H551" s="166"/>
      <c r="I551" s="166"/>
      <c r="J551" s="166"/>
      <c r="K551" s="166"/>
      <c r="L551" s="156">
        <f>ROUND(G551*K472,2)</f>
        <v>0</v>
      </c>
      <c r="M551" s="156">
        <f>ROUND(G551*J472,2)</f>
        <v>604632.97</v>
      </c>
    </row>
    <row r="552" spans="1:13" hidden="1" x14ac:dyDescent="0.25">
      <c r="A552" s="168"/>
      <c r="B552" s="133" t="str">
        <f>'Công trình'!B316</f>
        <v>AI.52211</v>
      </c>
      <c r="C552" s="34"/>
      <c r="D552" s="133" t="str">
        <f>'Công trình'!C316</f>
        <v>Sản xuất kết cấu thép khe phai - thép CT3</v>
      </c>
      <c r="E552" s="168"/>
      <c r="F552" s="20">
        <v>1</v>
      </c>
      <c r="G552" s="45">
        <f>'Hao phí vật tư'!J2307</f>
        <v>12.5213</v>
      </c>
      <c r="H552" s="166"/>
      <c r="I552" s="166"/>
      <c r="J552" s="166"/>
      <c r="K552" s="166"/>
      <c r="L552" s="156">
        <f>ROUND(G552*K472,2)</f>
        <v>0</v>
      </c>
      <c r="M552" s="156">
        <f>ROUND(G552*J472,2)</f>
        <v>239044.14</v>
      </c>
    </row>
    <row r="553" spans="1:13" hidden="1" x14ac:dyDescent="0.25">
      <c r="A553" s="168"/>
      <c r="B553" s="133" t="str">
        <f>'Công trình'!B318</f>
        <v>AI.52211</v>
      </c>
      <c r="C553" s="34"/>
      <c r="D553" s="133" t="str">
        <f>'Công trình'!C318</f>
        <v>Sản xuất kết cấu thép khe cửa - thép CT3</v>
      </c>
      <c r="E553" s="168"/>
      <c r="F553" s="20">
        <v>1</v>
      </c>
      <c r="G553" s="45">
        <f>'Hao phí vật tư'!J2338</f>
        <v>12.66</v>
      </c>
      <c r="H553" s="166"/>
      <c r="I553" s="166"/>
      <c r="J553" s="166"/>
      <c r="K553" s="166"/>
      <c r="L553" s="156">
        <f>ROUND(G553*K472,2)</f>
        <v>0</v>
      </c>
      <c r="M553" s="156">
        <f>ROUND(G553*J472,2)</f>
        <v>241692.06</v>
      </c>
    </row>
    <row r="554" spans="1:13" x14ac:dyDescent="0.25">
      <c r="A554" s="168">
        <v>85</v>
      </c>
      <c r="B554" s="84" t="s">
        <v>581</v>
      </c>
      <c r="C554" s="34">
        <v>780</v>
      </c>
      <c r="D554" s="144" t="s">
        <v>596</v>
      </c>
      <c r="E554" s="168" t="s">
        <v>555</v>
      </c>
      <c r="F554" s="34"/>
      <c r="G554" s="60">
        <f>SUM(G555:G556)</f>
        <v>37.327500000000001</v>
      </c>
      <c r="H554" s="166">
        <v>19091</v>
      </c>
      <c r="I554" s="156">
        <v>145455</v>
      </c>
      <c r="J554" s="156">
        <f>'Vật liệu'!W952</f>
        <v>145455</v>
      </c>
      <c r="K554" s="166">
        <f>J554-H554</f>
        <v>126364</v>
      </c>
      <c r="L554" s="166">
        <f>ROUND(G554*K554,0)</f>
        <v>4716852</v>
      </c>
      <c r="M554" s="166">
        <f>ROUND(G554*J554,0)</f>
        <v>5429472</v>
      </c>
    </row>
    <row r="555" spans="1:13" hidden="1" x14ac:dyDescent="0.25">
      <c r="A555" s="168"/>
      <c r="B555" s="133" t="str">
        <f>'Công trình'!B317</f>
        <v>AI.52211</v>
      </c>
      <c r="C555" s="34"/>
      <c r="D555" s="133" t="str">
        <f>'Công trình'!C317</f>
        <v>Sản xuất kết cấu thép khe phai - thép SUS304</v>
      </c>
      <c r="E555" s="168"/>
      <c r="F555" s="20">
        <v>1</v>
      </c>
      <c r="G555" s="45">
        <f>'Hao phí vật tư'!J2323</f>
        <v>17.114999999999998</v>
      </c>
      <c r="H555" s="166"/>
      <c r="I555" s="166"/>
      <c r="J555" s="166"/>
      <c r="K555" s="166"/>
      <c r="L555" s="156">
        <f>ROUND(G555*K554,2)</f>
        <v>2162719.86</v>
      </c>
      <c r="M555" s="156">
        <f>ROUND(G555*J554,2)</f>
        <v>2489462.33</v>
      </c>
    </row>
    <row r="556" spans="1:13" hidden="1" x14ac:dyDescent="0.25">
      <c r="A556" s="168"/>
      <c r="B556" s="133" t="str">
        <f>'Công trình'!B319</f>
        <v>AI.52211</v>
      </c>
      <c r="C556" s="34"/>
      <c r="D556" s="133" t="str">
        <f>'Công trình'!C319</f>
        <v>Sản xuất kết cấu thép khe cửa- thép SUS304</v>
      </c>
      <c r="E556" s="168"/>
      <c r="F556" s="20">
        <v>1</v>
      </c>
      <c r="G556" s="45">
        <f>'Hao phí vật tư'!J2354</f>
        <v>20.212499999999999</v>
      </c>
      <c r="H556" s="166"/>
      <c r="I556" s="166"/>
      <c r="J556" s="166"/>
      <c r="K556" s="166"/>
      <c r="L556" s="156">
        <f>ROUND(G556*K554,2)</f>
        <v>2554132.35</v>
      </c>
      <c r="M556" s="156">
        <f>ROUND(G556*J554,2)</f>
        <v>2940009.19</v>
      </c>
    </row>
    <row r="557" spans="1:13" x14ac:dyDescent="0.25">
      <c r="A557" s="168">
        <v>86</v>
      </c>
      <c r="B557" s="84" t="s">
        <v>109</v>
      </c>
      <c r="C557" s="34">
        <v>412</v>
      </c>
      <c r="D557" s="144" t="s">
        <v>616</v>
      </c>
      <c r="E557" s="168" t="s">
        <v>555</v>
      </c>
      <c r="F557" s="34"/>
      <c r="G557" s="60">
        <f>SUM(G558:G558)</f>
        <v>1.2922</v>
      </c>
      <c r="H557" s="166">
        <v>22000</v>
      </c>
      <c r="I557" s="156">
        <v>145455</v>
      </c>
      <c r="J557" s="156">
        <f>'Vật liệu'!W529</f>
        <v>145455</v>
      </c>
      <c r="K557" s="166">
        <f>J557-H557</f>
        <v>123455</v>
      </c>
      <c r="L557" s="166">
        <f>ROUND(G557*K557,0)</f>
        <v>159529</v>
      </c>
      <c r="M557" s="166">
        <f>ROUND(G557*J557,0)</f>
        <v>187957</v>
      </c>
    </row>
    <row r="558" spans="1:13" hidden="1" x14ac:dyDescent="0.25">
      <c r="A558" s="168"/>
      <c r="B558" s="133" t="str">
        <f>'Công trình'!B268</f>
        <v>BB.14211</v>
      </c>
      <c r="C558" s="34"/>
      <c r="D558" s="133" t="str">
        <f>'Công trình'!C268</f>
        <v>Ống thép Þ120 dày 2 mm</v>
      </c>
      <c r="E558" s="168"/>
      <c r="F558" s="20">
        <v>1</v>
      </c>
      <c r="G558" s="45">
        <f>'Hao phí vật tư'!J2043</f>
        <v>1.2922</v>
      </c>
      <c r="H558" s="166"/>
      <c r="I558" s="166"/>
      <c r="J558" s="166"/>
      <c r="K558" s="166"/>
      <c r="L558" s="156">
        <f>ROUND(G558*K557,2)</f>
        <v>159528.54999999999</v>
      </c>
      <c r="M558" s="156">
        <f>ROUND(G558*J557,2)</f>
        <v>187956.95</v>
      </c>
    </row>
    <row r="559" spans="1:13" x14ac:dyDescent="0.25">
      <c r="A559" s="168">
        <v>87</v>
      </c>
      <c r="B559" s="84" t="s">
        <v>948</v>
      </c>
      <c r="C559" s="34">
        <v>826</v>
      </c>
      <c r="D559" s="144" t="s">
        <v>31</v>
      </c>
      <c r="E559" s="168" t="s">
        <v>555</v>
      </c>
      <c r="F559" s="34"/>
      <c r="G559" s="60">
        <f>SUM(G560:G561)</f>
        <v>140.00670000000002</v>
      </c>
      <c r="H559" s="166">
        <v>0</v>
      </c>
      <c r="I559" s="156">
        <v>14000</v>
      </c>
      <c r="J559" s="156">
        <f>'Vật liệu'!W955</f>
        <v>14000</v>
      </c>
      <c r="K559" s="166">
        <f>J559-H559</f>
        <v>14000</v>
      </c>
      <c r="L559" s="166">
        <f>ROUND(G559*K559,0)</f>
        <v>1960094</v>
      </c>
      <c r="M559" s="166">
        <f>ROUND(G559*J559,0)</f>
        <v>1960094</v>
      </c>
    </row>
    <row r="560" spans="1:13" ht="30" hidden="1" x14ac:dyDescent="0.25">
      <c r="A560" s="168"/>
      <c r="B560" s="133" t="str">
        <f>'Công trình'!B320</f>
        <v>CV.0102</v>
      </c>
      <c r="C560" s="34"/>
      <c r="D560" s="133" t="str">
        <f>'Công trình'!C320</f>
        <v>Sản xuất cửa van bằng thép không gỉ, chiều rộng cống (B) &lt;= 8m</v>
      </c>
      <c r="E560" s="168"/>
      <c r="F560" s="20">
        <v>1</v>
      </c>
      <c r="G560" s="45">
        <f>'Hao phí vật tư'!J2369</f>
        <v>45.291200000000003</v>
      </c>
      <c r="H560" s="166"/>
      <c r="I560" s="166"/>
      <c r="J560" s="166"/>
      <c r="K560" s="166"/>
      <c r="L560" s="156">
        <f>ROUND(G560*K559,2)</f>
        <v>634076.80000000005</v>
      </c>
      <c r="M560" s="156">
        <f>ROUND(G560*J559,2)</f>
        <v>634076.80000000005</v>
      </c>
    </row>
    <row r="561" spans="1:13" ht="30" hidden="1" x14ac:dyDescent="0.25">
      <c r="A561" s="168"/>
      <c r="B561" s="133" t="str">
        <f>'Công trình'!B321</f>
        <v>CV.0202</v>
      </c>
      <c r="C561" s="34"/>
      <c r="D561" s="133" t="str">
        <f>'Công trình'!C321</f>
        <v>Lắp đặt cửa van bằng thép không gỉ, chiều rộng cống (B) &lt;= 8m</v>
      </c>
      <c r="E561" s="168"/>
      <c r="F561" s="20">
        <v>1</v>
      </c>
      <c r="G561" s="45">
        <f>'Hao phí vật tư'!J2391</f>
        <v>94.715500000000006</v>
      </c>
      <c r="H561" s="166"/>
      <c r="I561" s="166"/>
      <c r="J561" s="166"/>
      <c r="K561" s="166"/>
      <c r="L561" s="156">
        <f>ROUND(G561*K559,2)</f>
        <v>1326017</v>
      </c>
      <c r="M561" s="156">
        <f>ROUND(G561*J559,2)</f>
        <v>1326017</v>
      </c>
    </row>
    <row r="562" spans="1:13" x14ac:dyDescent="0.25">
      <c r="A562" s="168">
        <v>88</v>
      </c>
      <c r="B562" s="84" t="s">
        <v>150</v>
      </c>
      <c r="C562" s="34">
        <v>825</v>
      </c>
      <c r="D562" s="144" t="s">
        <v>19</v>
      </c>
      <c r="E562" s="168" t="s">
        <v>555</v>
      </c>
      <c r="F562" s="34"/>
      <c r="G562" s="60">
        <f>SUM(G563:G563)</f>
        <v>604.11270000000002</v>
      </c>
      <c r="H562" s="166">
        <v>0</v>
      </c>
      <c r="I562" s="156">
        <v>145455</v>
      </c>
      <c r="J562" s="156">
        <f>'Vật liệu'!W958</f>
        <v>145455</v>
      </c>
      <c r="K562" s="166">
        <f>J562-H562</f>
        <v>145455</v>
      </c>
      <c r="L562" s="166">
        <f>ROUND(G562*K562,0)</f>
        <v>87871213</v>
      </c>
      <c r="M562" s="166">
        <f>ROUND(G562*J562,0)</f>
        <v>87871213</v>
      </c>
    </row>
    <row r="563" spans="1:13" ht="30" hidden="1" x14ac:dyDescent="0.25">
      <c r="A563" s="168"/>
      <c r="B563" s="133" t="str">
        <f>'Công trình'!B320</f>
        <v>CV.0102</v>
      </c>
      <c r="C563" s="34"/>
      <c r="D563" s="133" t="str">
        <f>'Công trình'!C320</f>
        <v>Sản xuất cửa van bằng thép không gỉ, chiều rộng cống (B) &lt;= 8m</v>
      </c>
      <c r="E563" s="168"/>
      <c r="F563" s="20">
        <v>1</v>
      </c>
      <c r="G563" s="45">
        <f>'Hao phí vật tư'!J2368</f>
        <v>604.11270000000002</v>
      </c>
      <c r="H563" s="166"/>
      <c r="I563" s="166"/>
      <c r="J563" s="166"/>
      <c r="K563" s="166"/>
      <c r="L563" s="156">
        <f>ROUND(G563*K562,2)</f>
        <v>87871212.780000001</v>
      </c>
      <c r="M563" s="156">
        <f>ROUND(G563*J562,2)</f>
        <v>87871212.780000001</v>
      </c>
    </row>
    <row r="564" spans="1:13" x14ac:dyDescent="0.25">
      <c r="A564" s="168">
        <v>89</v>
      </c>
      <c r="B564" s="84" t="s">
        <v>674</v>
      </c>
      <c r="C564" s="34">
        <v>544</v>
      </c>
      <c r="D564" s="144" t="s">
        <v>654</v>
      </c>
      <c r="E564" s="168" t="s">
        <v>205</v>
      </c>
      <c r="F564" s="34"/>
      <c r="G564" s="60">
        <f>SUM(G565:G565)</f>
        <v>7.14</v>
      </c>
      <c r="H564" s="166">
        <v>35000</v>
      </c>
      <c r="I564" s="166">
        <v>35000</v>
      </c>
      <c r="J564" s="166">
        <f>'Vật liệu'!W531</f>
        <v>35000</v>
      </c>
      <c r="K564" s="166">
        <f>J564-H564</f>
        <v>0</v>
      </c>
      <c r="L564" s="166">
        <f>ROUND(G564*K564,0)</f>
        <v>0</v>
      </c>
      <c r="M564" s="166">
        <f>ROUND(G564*J564,0)</f>
        <v>249900</v>
      </c>
    </row>
    <row r="565" spans="1:13" hidden="1" x14ac:dyDescent="0.25">
      <c r="A565" s="168"/>
      <c r="B565" s="133" t="str">
        <f>'Công trình'!B216</f>
        <v>TT</v>
      </c>
      <c r="C565" s="34"/>
      <c r="D565" s="133" t="str">
        <f>'Công trình'!C216</f>
        <v>Sika</v>
      </c>
      <c r="E565" s="168"/>
      <c r="F565" s="20">
        <v>1</v>
      </c>
      <c r="G565" s="45">
        <f>'Hao phí vật tư'!J1629</f>
        <v>7.14</v>
      </c>
      <c r="H565" s="166"/>
      <c r="I565" s="166"/>
      <c r="J565" s="166"/>
      <c r="K565" s="166"/>
      <c r="L565" s="156">
        <f>ROUND(G565*K564,2)</f>
        <v>0</v>
      </c>
      <c r="M565" s="156">
        <f>ROUND(G565*J564,2)</f>
        <v>249900</v>
      </c>
    </row>
    <row r="566" spans="1:13" x14ac:dyDescent="0.25">
      <c r="A566" s="168">
        <v>90</v>
      </c>
      <c r="B566" s="84" t="s">
        <v>488</v>
      </c>
      <c r="C566" s="34">
        <v>157</v>
      </c>
      <c r="D566" s="144" t="s">
        <v>828</v>
      </c>
      <c r="E566" s="168" t="s">
        <v>555</v>
      </c>
      <c r="F566" s="34"/>
      <c r="G566" s="60">
        <f>SUM(G567:G567)</f>
        <v>0.76800000000000002</v>
      </c>
      <c r="H566" s="166">
        <v>63564</v>
      </c>
      <c r="I566" s="166">
        <v>63564</v>
      </c>
      <c r="J566" s="166">
        <f>'Vật liệu'!W533</f>
        <v>63564</v>
      </c>
      <c r="K566" s="166">
        <f>J566-H566</f>
        <v>0</v>
      </c>
      <c r="L566" s="166">
        <f>ROUND(G566*K566,0)</f>
        <v>0</v>
      </c>
      <c r="M566" s="166">
        <f>ROUND(G566*J566,0)</f>
        <v>48817</v>
      </c>
    </row>
    <row r="567" spans="1:13" ht="30" hidden="1" x14ac:dyDescent="0.25">
      <c r="A567" s="168"/>
      <c r="B567" s="133" t="str">
        <f>'Công trình'!B45</f>
        <v>AK.84422</v>
      </c>
      <c r="C567" s="34"/>
      <c r="D567" s="133" t="str">
        <f>'Công trình'!C45</f>
        <v>Sơn dầm, trần, cột, tường 1 nước lót + 2 nước phủ bằng sơn ICI Dulux</v>
      </c>
      <c r="E567" s="168"/>
      <c r="F567" s="20">
        <v>1</v>
      </c>
      <c r="G567" s="45">
        <f>'Hao phí vật tư'!J345</f>
        <v>0.76800000000000002</v>
      </c>
      <c r="H567" s="166"/>
      <c r="I567" s="166"/>
      <c r="J567" s="166"/>
      <c r="K567" s="166"/>
      <c r="L567" s="156">
        <f>ROUND(G567*K566,2)</f>
        <v>0</v>
      </c>
      <c r="M567" s="156">
        <f>ROUND(G567*J566,2)</f>
        <v>48817.15</v>
      </c>
    </row>
    <row r="568" spans="1:13" x14ac:dyDescent="0.25">
      <c r="A568" s="168">
        <v>91</v>
      </c>
      <c r="B568" s="84" t="s">
        <v>432</v>
      </c>
      <c r="C568" s="34">
        <v>440</v>
      </c>
      <c r="D568" s="144" t="s">
        <v>748</v>
      </c>
      <c r="E568" s="168" t="s">
        <v>555</v>
      </c>
      <c r="F568" s="34"/>
      <c r="G568" s="60">
        <f>SUM(G569:G569)</f>
        <v>0.64800000000000002</v>
      </c>
      <c r="H568" s="166">
        <v>22545</v>
      </c>
      <c r="I568" s="166">
        <v>22545</v>
      </c>
      <c r="J568" s="166">
        <f>'Vật liệu'!W535</f>
        <v>22545</v>
      </c>
      <c r="K568" s="166">
        <f>J568-H568</f>
        <v>0</v>
      </c>
      <c r="L568" s="166">
        <f>ROUND(G568*K568,0)</f>
        <v>0</v>
      </c>
      <c r="M568" s="166">
        <f>ROUND(G568*J568,0)</f>
        <v>14609</v>
      </c>
    </row>
    <row r="569" spans="1:13" ht="30" hidden="1" x14ac:dyDescent="0.25">
      <c r="A569" s="168"/>
      <c r="B569" s="133" t="str">
        <f>'Công trình'!B45</f>
        <v>AK.84422</v>
      </c>
      <c r="C569" s="34"/>
      <c r="D569" s="133" t="str">
        <f>'Công trình'!C45</f>
        <v>Sơn dầm, trần, cột, tường 1 nước lót + 2 nước phủ bằng sơn ICI Dulux</v>
      </c>
      <c r="E569" s="168"/>
      <c r="F569" s="20">
        <v>1</v>
      </c>
      <c r="G569" s="45">
        <f>'Hao phí vật tư'!J346</f>
        <v>0.64800000000000002</v>
      </c>
      <c r="H569" s="166"/>
      <c r="I569" s="166"/>
      <c r="J569" s="166"/>
      <c r="K569" s="166"/>
      <c r="L569" s="156">
        <f>ROUND(G569*K568,2)</f>
        <v>0</v>
      </c>
      <c r="M569" s="156">
        <f>ROUND(G569*J568,2)</f>
        <v>14609.16</v>
      </c>
    </row>
    <row r="570" spans="1:13" x14ac:dyDescent="0.25">
      <c r="A570" s="168">
        <v>92</v>
      </c>
      <c r="B570" s="84" t="s">
        <v>497</v>
      </c>
      <c r="C570" s="34">
        <v>517</v>
      </c>
      <c r="D570" s="144" t="s">
        <v>101</v>
      </c>
      <c r="E570" s="168" t="s">
        <v>414</v>
      </c>
      <c r="F570" s="34"/>
      <c r="G570" s="60">
        <f>SUM(G571:G573)</f>
        <v>34.298999999999999</v>
      </c>
      <c r="H570" s="166">
        <v>63564</v>
      </c>
      <c r="I570" s="166">
        <v>63564</v>
      </c>
      <c r="J570" s="166">
        <f>'Vật liệu'!W537</f>
        <v>63564</v>
      </c>
      <c r="K570" s="166">
        <f>J570-H570</f>
        <v>0</v>
      </c>
      <c r="L570" s="166">
        <f>ROUND(G570*K570,0)</f>
        <v>0</v>
      </c>
      <c r="M570" s="166">
        <f>ROUND(G570*J570,0)</f>
        <v>2180182</v>
      </c>
    </row>
    <row r="571" spans="1:13" hidden="1" x14ac:dyDescent="0.25">
      <c r="A571" s="168"/>
      <c r="B571" s="133" t="str">
        <f>'Công trình'!B283</f>
        <v>AK.90122</v>
      </c>
      <c r="C571" s="34"/>
      <c r="D571" s="133" t="str">
        <f>'Công trình'!C283</f>
        <v>Sơn trắng đỏ</v>
      </c>
      <c r="E571" s="168"/>
      <c r="F571" s="20">
        <v>1</v>
      </c>
      <c r="G571" s="45">
        <f>'Hao phí vật tư'!J2116</f>
        <v>12.2295</v>
      </c>
      <c r="H571" s="166"/>
      <c r="I571" s="166"/>
      <c r="J571" s="166"/>
      <c r="K571" s="166"/>
      <c r="L571" s="156">
        <f>ROUND(G571*K570,2)</f>
        <v>0</v>
      </c>
      <c r="M571" s="156">
        <f>ROUND(G571*J570,2)</f>
        <v>777355.94</v>
      </c>
    </row>
    <row r="572" spans="1:13" hidden="1" x14ac:dyDescent="0.25">
      <c r="A572" s="168"/>
      <c r="B572" s="133" t="str">
        <f>'Công trình'!B292</f>
        <v>AK.90122</v>
      </c>
      <c r="C572" s="34"/>
      <c r="D572" s="133" t="str">
        <f>'Công trình'!C292</f>
        <v>Sơn trắng đỏ</v>
      </c>
      <c r="E572" s="168"/>
      <c r="F572" s="20">
        <v>1</v>
      </c>
      <c r="G572" s="45">
        <f>'Hao phí vật tư'!J2194</f>
        <v>12.2295</v>
      </c>
      <c r="H572" s="166"/>
      <c r="I572" s="166"/>
      <c r="J572" s="166"/>
      <c r="K572" s="166"/>
      <c r="L572" s="156">
        <f>ROUND(G572*K570,2)</f>
        <v>0</v>
      </c>
      <c r="M572" s="156">
        <f>ROUND(G572*J570,2)</f>
        <v>777355.94</v>
      </c>
    </row>
    <row r="573" spans="1:13" hidden="1" x14ac:dyDescent="0.25">
      <c r="A573" s="168"/>
      <c r="B573" s="133" t="str">
        <f>'Công trình'!B304</f>
        <v>AK.90122</v>
      </c>
      <c r="C573" s="34"/>
      <c r="D573" s="133" t="str">
        <f>'Công trình'!C304</f>
        <v>Sơn trắng đỏ</v>
      </c>
      <c r="E573" s="168"/>
      <c r="F573" s="20">
        <v>1</v>
      </c>
      <c r="G573" s="45">
        <f>'Hao phí vật tư'!J2282</f>
        <v>9.84</v>
      </c>
      <c r="H573" s="166"/>
      <c r="I573" s="166"/>
      <c r="J573" s="166"/>
      <c r="K573" s="166"/>
      <c r="L573" s="156">
        <f>ROUND(G573*K570,2)</f>
        <v>0</v>
      </c>
      <c r="M573" s="156">
        <f>ROUND(G573*J570,2)</f>
        <v>625469.76</v>
      </c>
    </row>
    <row r="574" spans="1:13" x14ac:dyDescent="0.25">
      <c r="A574" s="168">
        <v>93</v>
      </c>
      <c r="B574" s="84" t="s">
        <v>1173</v>
      </c>
      <c r="C574" s="34">
        <v>518</v>
      </c>
      <c r="D574" s="144" t="s">
        <v>764</v>
      </c>
      <c r="E574" s="168" t="s">
        <v>414</v>
      </c>
      <c r="F574" s="34"/>
      <c r="G574" s="60">
        <f>SUM(G575:G577)</f>
        <v>56.467799999999997</v>
      </c>
      <c r="H574" s="166">
        <v>22545</v>
      </c>
      <c r="I574" s="166">
        <v>22545</v>
      </c>
      <c r="J574" s="166">
        <f>'Vật liệu'!W541</f>
        <v>22545</v>
      </c>
      <c r="K574" s="166">
        <f>J574-H574</f>
        <v>0</v>
      </c>
      <c r="L574" s="166">
        <f>ROUND(G574*K574,0)</f>
        <v>0</v>
      </c>
      <c r="M574" s="166">
        <f>ROUND(G574*J574,0)</f>
        <v>1273067</v>
      </c>
    </row>
    <row r="575" spans="1:13" hidden="1" x14ac:dyDescent="0.25">
      <c r="A575" s="168"/>
      <c r="B575" s="133" t="str">
        <f>'Công trình'!B283</f>
        <v>AK.90122</v>
      </c>
      <c r="C575" s="34"/>
      <c r="D575" s="133" t="str">
        <f>'Công trình'!C283</f>
        <v>Sơn trắng đỏ</v>
      </c>
      <c r="E575" s="168"/>
      <c r="F575" s="20">
        <v>1</v>
      </c>
      <c r="G575" s="45">
        <f>'Hao phí vật tư'!J2115</f>
        <v>20.133900000000001</v>
      </c>
      <c r="H575" s="166"/>
      <c r="I575" s="166"/>
      <c r="J575" s="166"/>
      <c r="K575" s="166"/>
      <c r="L575" s="156">
        <f>ROUND(G575*K574,2)</f>
        <v>0</v>
      </c>
      <c r="M575" s="156">
        <f>ROUND(G575*J574,2)</f>
        <v>453918.78</v>
      </c>
    </row>
    <row r="576" spans="1:13" hidden="1" x14ac:dyDescent="0.25">
      <c r="A576" s="168"/>
      <c r="B576" s="133" t="str">
        <f>'Công trình'!B292</f>
        <v>AK.90122</v>
      </c>
      <c r="C576" s="34"/>
      <c r="D576" s="133" t="str">
        <f>'Công trình'!C292</f>
        <v>Sơn trắng đỏ</v>
      </c>
      <c r="E576" s="168"/>
      <c r="F576" s="20">
        <v>1</v>
      </c>
      <c r="G576" s="45">
        <f>'Hao phí vật tư'!J2193</f>
        <v>20.133900000000001</v>
      </c>
      <c r="H576" s="166"/>
      <c r="I576" s="166"/>
      <c r="J576" s="166"/>
      <c r="K576" s="166"/>
      <c r="L576" s="156">
        <f>ROUND(G576*K574,2)</f>
        <v>0</v>
      </c>
      <c r="M576" s="156">
        <f>ROUND(G576*J574,2)</f>
        <v>453918.78</v>
      </c>
    </row>
    <row r="577" spans="1:13" hidden="1" x14ac:dyDescent="0.25">
      <c r="A577" s="168"/>
      <c r="B577" s="133" t="str">
        <f>'Công trình'!B304</f>
        <v>AK.90122</v>
      </c>
      <c r="C577" s="34"/>
      <c r="D577" s="133" t="str">
        <f>'Công trình'!C304</f>
        <v>Sơn trắng đỏ</v>
      </c>
      <c r="E577" s="168"/>
      <c r="F577" s="20">
        <v>1</v>
      </c>
      <c r="G577" s="45">
        <f>'Hao phí vật tư'!J2281</f>
        <v>16.2</v>
      </c>
      <c r="H577" s="166"/>
      <c r="I577" s="166"/>
      <c r="J577" s="166"/>
      <c r="K577" s="166"/>
      <c r="L577" s="156">
        <f>ROUND(G577*K574,2)</f>
        <v>0</v>
      </c>
      <c r="M577" s="156">
        <f>ROUND(G577*J574,2)</f>
        <v>365229</v>
      </c>
    </row>
    <row r="578" spans="1:13" x14ac:dyDescent="0.25">
      <c r="A578" s="168">
        <v>94</v>
      </c>
      <c r="B578" s="84" t="s">
        <v>1095</v>
      </c>
      <c r="C578" s="34">
        <v>478</v>
      </c>
      <c r="D578" s="144" t="s">
        <v>161</v>
      </c>
      <c r="E578" s="168" t="s">
        <v>113</v>
      </c>
      <c r="F578" s="34"/>
      <c r="G578" s="60">
        <f>SUM(G579:G579)</f>
        <v>981.72</v>
      </c>
      <c r="H578" s="166">
        <v>1595455</v>
      </c>
      <c r="I578" s="166">
        <v>1595455</v>
      </c>
      <c r="J578" s="166">
        <f>'Vật liệu'!W545</f>
        <v>1595455</v>
      </c>
      <c r="K578" s="166">
        <f>J578-H578</f>
        <v>0</v>
      </c>
      <c r="L578" s="166">
        <f>ROUND(G578*K578,0)</f>
        <v>0</v>
      </c>
      <c r="M578" s="166">
        <f>ROUND(G578*J578,0)</f>
        <v>1566290083</v>
      </c>
    </row>
    <row r="579" spans="1:13" ht="45" hidden="1" x14ac:dyDescent="0.25">
      <c r="A579" s="168"/>
      <c r="B579" s="133" t="str">
        <f>'Công trình'!B26</f>
        <v>AC.12412</v>
      </c>
      <c r="C579" s="34"/>
      <c r="D579" s="133" t="str">
        <f>'Công trình'!C26</f>
        <v>Đóng cọc cừ máng bê tông dự ứng lực trên cạn bằng búa rung kết hợp tách mũi nước áp lực SW600A, chiều cao máng cọc 60-84cm, L=18M</v>
      </c>
      <c r="E579" s="168"/>
      <c r="F579" s="20">
        <v>1</v>
      </c>
      <c r="G579" s="45">
        <f>'Hao phí vật tư'!J182</f>
        <v>981.72</v>
      </c>
      <c r="H579" s="166"/>
      <c r="I579" s="166"/>
      <c r="J579" s="166"/>
      <c r="K579" s="166"/>
      <c r="L579" s="156">
        <f>ROUND(G579*K578,2)</f>
        <v>0</v>
      </c>
      <c r="M579" s="156">
        <f>ROUND(G579*J578,2)</f>
        <v>1566290082.5999999</v>
      </c>
    </row>
    <row r="580" spans="1:13" x14ac:dyDescent="0.25">
      <c r="A580" s="168">
        <v>95</v>
      </c>
      <c r="B580" s="84" t="s">
        <v>1180</v>
      </c>
      <c r="C580" s="34">
        <v>173</v>
      </c>
      <c r="D580" s="144" t="s">
        <v>1000</v>
      </c>
      <c r="E580" s="168" t="s">
        <v>1123</v>
      </c>
      <c r="F580" s="34"/>
      <c r="G580" s="60">
        <f>SUM(G581:G581)</f>
        <v>14</v>
      </c>
      <c r="H580" s="166">
        <v>12500</v>
      </c>
      <c r="I580" s="166">
        <v>12500</v>
      </c>
      <c r="J580" s="166">
        <f>'Vật liệu'!W547</f>
        <v>12500</v>
      </c>
      <c r="K580" s="166">
        <f>J580-H580</f>
        <v>0</v>
      </c>
      <c r="L580" s="166">
        <f>ROUND(G580*K580,0)</f>
        <v>0</v>
      </c>
      <c r="M580" s="166">
        <f>ROUND(G580*J580,0)</f>
        <v>175000</v>
      </c>
    </row>
    <row r="581" spans="1:13" hidden="1" x14ac:dyDescent="0.25">
      <c r="A581" s="168"/>
      <c r="B581" s="133" t="str">
        <f>'Công trình'!B102</f>
        <v>TT</v>
      </c>
      <c r="C581" s="34"/>
      <c r="D581" s="133" t="str">
        <f>'Công trình'!C102</f>
        <v>Tăng đơ M10</v>
      </c>
      <c r="E581" s="168"/>
      <c r="F581" s="20">
        <v>1</v>
      </c>
      <c r="G581" s="45">
        <f>'Hao phí vật tư'!J826</f>
        <v>14</v>
      </c>
      <c r="H581" s="166"/>
      <c r="I581" s="166"/>
      <c r="J581" s="166"/>
      <c r="K581" s="166"/>
      <c r="L581" s="156">
        <f>ROUND(G581*K580,2)</f>
        <v>0</v>
      </c>
      <c r="M581" s="156">
        <f>ROUND(G581*J580,2)</f>
        <v>175000</v>
      </c>
    </row>
    <row r="582" spans="1:13" ht="30" x14ac:dyDescent="0.25">
      <c r="A582" s="168">
        <v>96</v>
      </c>
      <c r="B582" s="84" t="s">
        <v>1144</v>
      </c>
      <c r="C582" s="34">
        <v>493</v>
      </c>
      <c r="D582" s="144" t="s">
        <v>1131</v>
      </c>
      <c r="E582" s="168" t="s">
        <v>555</v>
      </c>
      <c r="F582" s="34"/>
      <c r="G582" s="60">
        <f>SUM(G583:G583)</f>
        <v>633.21600000000001</v>
      </c>
      <c r="H582" s="166">
        <v>59000</v>
      </c>
      <c r="I582" s="166">
        <v>59000</v>
      </c>
      <c r="J582" s="166">
        <f>'Vật liệu'!W549</f>
        <v>59000</v>
      </c>
      <c r="K582" s="166">
        <f>J582-H582</f>
        <v>0</v>
      </c>
      <c r="L582" s="166">
        <f>ROUND(G582*K582,0)</f>
        <v>0</v>
      </c>
      <c r="M582" s="166">
        <f>ROUND(G582*J582,0)</f>
        <v>37359744</v>
      </c>
    </row>
    <row r="583" spans="1:13" hidden="1" x14ac:dyDescent="0.25">
      <c r="A583" s="168"/>
      <c r="B583" s="133" t="str">
        <f>'Công trình'!B24</f>
        <v>AF.61130</v>
      </c>
      <c r="C583" s="34"/>
      <c r="D583" s="133" t="str">
        <f>'Công trình'!C24</f>
        <v>Neo dầm mang cống bằng thép D32 SUS304</v>
      </c>
      <c r="E583" s="168"/>
      <c r="F583" s="20">
        <v>1</v>
      </c>
      <c r="G583" s="45">
        <f>'Hao phí vật tư'!J169</f>
        <v>633.21600000000001</v>
      </c>
      <c r="H583" s="166"/>
      <c r="I583" s="166"/>
      <c r="J583" s="166"/>
      <c r="K583" s="166"/>
      <c r="L583" s="156">
        <f>ROUND(G583*K582,2)</f>
        <v>0</v>
      </c>
      <c r="M583" s="156">
        <f>ROUND(G583*J582,2)</f>
        <v>37359744</v>
      </c>
    </row>
    <row r="584" spans="1:13" x14ac:dyDescent="0.25">
      <c r="A584" s="168">
        <v>97</v>
      </c>
      <c r="B584" s="84" t="s">
        <v>308</v>
      </c>
      <c r="C584" s="34">
        <v>158</v>
      </c>
      <c r="D584" s="144" t="s">
        <v>857</v>
      </c>
      <c r="E584" s="168" t="s">
        <v>555</v>
      </c>
      <c r="F584" s="34"/>
      <c r="G584" s="60">
        <f>SUM(G585:G586)</f>
        <v>0</v>
      </c>
      <c r="H584" s="166">
        <v>16050</v>
      </c>
      <c r="I584" s="139">
        <v>15291</v>
      </c>
      <c r="J584" s="139">
        <f>'Vật liệu'!W551</f>
        <v>15291</v>
      </c>
      <c r="K584" s="166">
        <f>J584-H584</f>
        <v>-759</v>
      </c>
      <c r="L584" s="166">
        <f>ROUND(G584*K584,0)</f>
        <v>0</v>
      </c>
      <c r="M584" s="166">
        <f>ROUND(G584*J584,0)</f>
        <v>0</v>
      </c>
    </row>
    <row r="585" spans="1:13" hidden="1" x14ac:dyDescent="0.25">
      <c r="A585" s="168"/>
      <c r="B585" s="133" t="str">
        <f>'Công trình'!B76</f>
        <v>AC.29341</v>
      </c>
      <c r="C585" s="34"/>
      <c r="D585" s="133" t="str">
        <f>'Công trình'!C76</f>
        <v>Nối cọc BTCT 35x35cm</v>
      </c>
      <c r="E585" s="168"/>
      <c r="F585" s="20">
        <v>1</v>
      </c>
      <c r="G585" s="45">
        <f>'Hao phí vật tư'!J603</f>
        <v>0</v>
      </c>
      <c r="H585" s="166"/>
      <c r="I585" s="166"/>
      <c r="J585" s="166"/>
      <c r="K585" s="166"/>
      <c r="L585" s="156">
        <f>ROUND(G585*K584,2)</f>
        <v>0</v>
      </c>
      <c r="M585" s="156">
        <f>ROUND(G585*J584,2)</f>
        <v>0</v>
      </c>
    </row>
    <row r="586" spans="1:13" hidden="1" x14ac:dyDescent="0.25">
      <c r="A586" s="168"/>
      <c r="B586" s="133" t="str">
        <f>'Công trình'!B234</f>
        <v>AC.29341</v>
      </c>
      <c r="C586" s="34"/>
      <c r="D586" s="133" t="str">
        <f>'Công trình'!C234</f>
        <v>Nối cọc BTCT 35x35cm</v>
      </c>
      <c r="E586" s="168"/>
      <c r="F586" s="20">
        <v>1</v>
      </c>
      <c r="G586" s="45">
        <f>'Hao phí vật tư'!J1785</f>
        <v>0</v>
      </c>
      <c r="H586" s="166"/>
      <c r="I586" s="166"/>
      <c r="J586" s="166"/>
      <c r="K586" s="166"/>
      <c r="L586" s="156">
        <f>ROUND(G586*K584,2)</f>
        <v>0</v>
      </c>
      <c r="M586" s="156">
        <f>ROUND(G586*J584,2)</f>
        <v>0</v>
      </c>
    </row>
    <row r="587" spans="1:13" x14ac:dyDescent="0.25">
      <c r="A587" s="168">
        <v>98</v>
      </c>
      <c r="B587" s="84" t="s">
        <v>209</v>
      </c>
      <c r="C587" s="34">
        <v>159</v>
      </c>
      <c r="D587" s="144" t="s">
        <v>932</v>
      </c>
      <c r="E587" s="168" t="s">
        <v>555</v>
      </c>
      <c r="F587" s="34"/>
      <c r="G587" s="60">
        <f>SUM(G588:G588)</f>
        <v>0</v>
      </c>
      <c r="H587" s="166">
        <v>16050</v>
      </c>
      <c r="I587" s="139">
        <v>15291</v>
      </c>
      <c r="J587" s="139">
        <f>'Vật liệu'!W554</f>
        <v>15291</v>
      </c>
      <c r="K587" s="166">
        <f>J587-H587</f>
        <v>-759</v>
      </c>
      <c r="L587" s="166">
        <f>ROUND(G587*K587,0)</f>
        <v>0</v>
      </c>
      <c r="M587" s="166">
        <f>ROUND(G587*J587,0)</f>
        <v>0</v>
      </c>
    </row>
    <row r="588" spans="1:13" hidden="1" x14ac:dyDescent="0.25">
      <c r="A588" s="168"/>
      <c r="B588" s="133" t="str">
        <f>'Công trình'!B87</f>
        <v>AC.29331</v>
      </c>
      <c r="C588" s="34"/>
      <c r="D588" s="133" t="str">
        <f>'Công trình'!C87</f>
        <v>Nối cọc BTCT 30x30cm</v>
      </c>
      <c r="E588" s="168"/>
      <c r="F588" s="20">
        <v>1</v>
      </c>
      <c r="G588" s="45">
        <f>'Hao phí vật tư'!J719</f>
        <v>0</v>
      </c>
      <c r="H588" s="166"/>
      <c r="I588" s="166"/>
      <c r="J588" s="166"/>
      <c r="K588" s="166"/>
      <c r="L588" s="156">
        <f>ROUND(G588*K587,2)</f>
        <v>0</v>
      </c>
      <c r="M588" s="156">
        <f>ROUND(G588*J587,2)</f>
        <v>0</v>
      </c>
    </row>
    <row r="589" spans="1:13" x14ac:dyDescent="0.25">
      <c r="A589" s="168">
        <v>99</v>
      </c>
      <c r="B589" s="84" t="s">
        <v>165</v>
      </c>
      <c r="C589" s="34">
        <v>160</v>
      </c>
      <c r="D589" s="144" t="s">
        <v>672</v>
      </c>
      <c r="E589" s="168" t="s">
        <v>555</v>
      </c>
      <c r="F589" s="34"/>
      <c r="G589" s="60">
        <f>SUM(G590:G637)</f>
        <v>29876.953499999992</v>
      </c>
      <c r="H589" s="166">
        <v>16050</v>
      </c>
      <c r="I589" s="139">
        <v>15291</v>
      </c>
      <c r="J589" s="139">
        <f>'Vật liệu'!W556</f>
        <v>15291</v>
      </c>
      <c r="K589" s="166">
        <f>J589-H589</f>
        <v>-759</v>
      </c>
      <c r="L589" s="166">
        <f>ROUND(G589*K589,0)</f>
        <v>-22676608</v>
      </c>
      <c r="M589" s="166">
        <f>ROUND(G589*J589,0)</f>
        <v>456848496</v>
      </c>
    </row>
    <row r="590" spans="1:13" ht="30" hidden="1" x14ac:dyDescent="0.25">
      <c r="A590" s="168"/>
      <c r="B590" s="133" t="str">
        <f>'Công trình'!B15</f>
        <v>AF.82511</v>
      </c>
      <c r="C590" s="34"/>
      <c r="D590" s="133" t="str">
        <f>'Công trình'!C15</f>
        <v>Sản xuất, lắp dựng, tháo dỡ ván khuôn thép, ván khuôn móng</v>
      </c>
      <c r="E590" s="168"/>
      <c r="F590" s="20">
        <v>1</v>
      </c>
      <c r="G590" s="45">
        <f>'Hao phí vật tư'!J103</f>
        <v>13.832599999999999</v>
      </c>
      <c r="H590" s="166"/>
      <c r="I590" s="166"/>
      <c r="J590" s="166"/>
      <c r="K590" s="166"/>
      <c r="L590" s="156">
        <f>ROUND(G590*K589,2)</f>
        <v>-10498.94</v>
      </c>
      <c r="M590" s="156">
        <f>ROUND(G590*J589,2)</f>
        <v>211514.29</v>
      </c>
    </row>
    <row r="591" spans="1:13" ht="30" hidden="1" x14ac:dyDescent="0.25">
      <c r="A591" s="168"/>
      <c r="B591" s="133" t="str">
        <f>'Công trình'!B16</f>
        <v>AF.82111</v>
      </c>
      <c r="C591" s="34"/>
      <c r="D591" s="133" t="str">
        <f>'Công trình'!C16</f>
        <v>Sản xuất, lắp dựng tháo dỡ ván khuôn thép tường, chiều cao &lt;=16m</v>
      </c>
      <c r="E591" s="168"/>
      <c r="F591" s="20">
        <v>1</v>
      </c>
      <c r="G591" s="45">
        <f>'Hao phí vật tư'!J113</f>
        <v>174.8081</v>
      </c>
      <c r="H591" s="166"/>
      <c r="I591" s="166"/>
      <c r="J591" s="166"/>
      <c r="K591" s="166"/>
      <c r="L591" s="156">
        <f>ROUND(G591*K589,2)</f>
        <v>-132679.35</v>
      </c>
      <c r="M591" s="156">
        <f>ROUND(G591*J589,2)</f>
        <v>2672990.66</v>
      </c>
    </row>
    <row r="592" spans="1:13" ht="30" hidden="1" x14ac:dyDescent="0.25">
      <c r="A592" s="168"/>
      <c r="B592" s="133" t="str">
        <f>'Công trình'!B19</f>
        <v>AF.82111</v>
      </c>
      <c r="C592" s="34"/>
      <c r="D592" s="133" t="str">
        <f>'Công trình'!C19</f>
        <v>Sản xuất, lắp dựng tháo dỡ ván khuôn thép dầm, giằng, chiều cao &lt;=16m</v>
      </c>
      <c r="E592" s="168"/>
      <c r="F592" s="20">
        <v>1</v>
      </c>
      <c r="G592" s="45">
        <f>'Hao phí vật tư'!J139</f>
        <v>159.17439999999999</v>
      </c>
      <c r="H592" s="166"/>
      <c r="I592" s="166"/>
      <c r="J592" s="166"/>
      <c r="K592" s="166"/>
      <c r="L592" s="156">
        <f>ROUND(G592*K589,2)</f>
        <v>-120813.37</v>
      </c>
      <c r="M592" s="156">
        <f>ROUND(G592*J589,2)</f>
        <v>2433935.75</v>
      </c>
    </row>
    <row r="593" spans="1:13" ht="30" hidden="1" x14ac:dyDescent="0.25">
      <c r="A593" s="168"/>
      <c r="B593" s="133" t="str">
        <f>'Công trình'!B31</f>
        <v>AF.82111</v>
      </c>
      <c r="C593" s="34"/>
      <c r="D593" s="133" t="str">
        <f>'Công trình'!C31</f>
        <v>Sản xuất, lắp dựng tháo dỡ ván khuôn thép tường, chiều cao &lt;=16m</v>
      </c>
      <c r="E593" s="168"/>
      <c r="F593" s="20">
        <v>1</v>
      </c>
      <c r="G593" s="45">
        <f>'Hao phí vật tư'!J219</f>
        <v>56.830199999999998</v>
      </c>
      <c r="H593" s="166"/>
      <c r="I593" s="166"/>
      <c r="J593" s="166"/>
      <c r="K593" s="166"/>
      <c r="L593" s="156">
        <f>ROUND(G593*K589,2)</f>
        <v>-43134.12</v>
      </c>
      <c r="M593" s="156">
        <f>ROUND(G593*J589,2)</f>
        <v>868990.59</v>
      </c>
    </row>
    <row r="594" spans="1:13" ht="30" hidden="1" x14ac:dyDescent="0.25">
      <c r="A594" s="168"/>
      <c r="B594" s="133" t="str">
        <f>'Công trình'!B59</f>
        <v>AF.82111</v>
      </c>
      <c r="C594" s="34"/>
      <c r="D594" s="133" t="str">
        <f>'Công trình'!C59</f>
        <v>Sản xuất, lắp dựng tháo dỡ ván khuôn thép dầm, giằng, chiều cao &lt;=16m</v>
      </c>
      <c r="E594" s="168"/>
      <c r="F594" s="20">
        <v>1</v>
      </c>
      <c r="G594" s="45">
        <f>'Hao phí vật tư'!J445</f>
        <v>112.59569999999999</v>
      </c>
      <c r="H594" s="166"/>
      <c r="I594" s="166"/>
      <c r="J594" s="166"/>
      <c r="K594" s="166"/>
      <c r="L594" s="156">
        <f>ROUND(G594*K589,2)</f>
        <v>-85460.14</v>
      </c>
      <c r="M594" s="156">
        <f>ROUND(G594*J589,2)</f>
        <v>1721700.85</v>
      </c>
    </row>
    <row r="595" spans="1:13" hidden="1" x14ac:dyDescent="0.25">
      <c r="A595" s="168"/>
      <c r="B595" s="133" t="str">
        <f>'Công trình'!B74</f>
        <v>AI.52211</v>
      </c>
      <c r="C595" s="34"/>
      <c r="D595" s="133" t="str">
        <f>'Công trình'!C74</f>
        <v>Sản xuất kết cấu thép hộp nối cọc</v>
      </c>
      <c r="E595" s="168"/>
      <c r="F595" s="20">
        <v>1</v>
      </c>
      <c r="G595" s="45">
        <f>'Hao phí vật tư'!J578</f>
        <v>2107.12</v>
      </c>
      <c r="H595" s="166"/>
      <c r="I595" s="166"/>
      <c r="J595" s="166"/>
      <c r="K595" s="166"/>
      <c r="L595" s="156">
        <f>ROUND(G595*K589,2)</f>
        <v>-1599304.08</v>
      </c>
      <c r="M595" s="156">
        <f>ROUND(G595*J589,2)</f>
        <v>32219971.920000002</v>
      </c>
    </row>
    <row r="596" spans="1:13" hidden="1" x14ac:dyDescent="0.25">
      <c r="A596" s="168"/>
      <c r="B596" s="133" t="str">
        <f>'Công trình'!B85</f>
        <v>AI.52211</v>
      </c>
      <c r="C596" s="34"/>
      <c r="D596" s="133" t="str">
        <f>'Công trình'!C85</f>
        <v>Sản xuất kết cấu thép hộp nối cọc</v>
      </c>
      <c r="E596" s="168"/>
      <c r="F596" s="20">
        <v>1</v>
      </c>
      <c r="G596" s="45">
        <f>'Hao phí vật tư'!J694</f>
        <v>916.48</v>
      </c>
      <c r="H596" s="166"/>
      <c r="I596" s="166"/>
      <c r="J596" s="166"/>
      <c r="K596" s="166"/>
      <c r="L596" s="156">
        <f>ROUND(G596*K589,2)</f>
        <v>-695608.31999999995</v>
      </c>
      <c r="M596" s="156">
        <f>ROUND(G596*J589,2)</f>
        <v>14013895.68</v>
      </c>
    </row>
    <row r="597" spans="1:13" ht="30" hidden="1" x14ac:dyDescent="0.25">
      <c r="A597" s="168"/>
      <c r="B597" s="133" t="str">
        <f>'Công trình'!B105</f>
        <v>AI.11131</v>
      </c>
      <c r="C597" s="34"/>
      <c r="D597" s="133" t="str">
        <f>'Công trình'!C105</f>
        <v>Khấu hao cọc dẫn bằng thép hình (đóng nhổ 40 lần trong 1 tháng)</v>
      </c>
      <c r="E597" s="168"/>
      <c r="F597" s="20">
        <v>1</v>
      </c>
      <c r="G597" s="45">
        <f>'Hao phí vật tư'!J847</f>
        <v>2248.2855</v>
      </c>
      <c r="H597" s="166"/>
      <c r="I597" s="166"/>
      <c r="J597" s="166"/>
      <c r="K597" s="166"/>
      <c r="L597" s="156">
        <f>ROUND(G597*K589,2)</f>
        <v>-1706448.69</v>
      </c>
      <c r="M597" s="156">
        <f>ROUND(G597*J589,2)</f>
        <v>34378533.579999998</v>
      </c>
    </row>
    <row r="598" spans="1:13" hidden="1" x14ac:dyDescent="0.25">
      <c r="A598" s="168"/>
      <c r="B598" s="133" t="str">
        <f>'Công trình'!B109</f>
        <v>AI.11912</v>
      </c>
      <c r="C598" s="34"/>
      <c r="D598" s="133" t="str">
        <f>'Công trình'!C109</f>
        <v>Sản xuất hệ sàn đạo, sàn thao tác</v>
      </c>
      <c r="E598" s="168"/>
      <c r="F598" s="20">
        <v>1</v>
      </c>
      <c r="G598" s="45">
        <f>'Hao phí vật tư'!J867</f>
        <v>0</v>
      </c>
      <c r="H598" s="166"/>
      <c r="I598" s="166"/>
      <c r="J598" s="166"/>
      <c r="K598" s="166"/>
      <c r="L598" s="156">
        <f>ROUND(G598*K589,2)</f>
        <v>0</v>
      </c>
      <c r="M598" s="156">
        <f>ROUND(G598*J589,2)</f>
        <v>0</v>
      </c>
    </row>
    <row r="599" spans="1:13" ht="30" hidden="1" x14ac:dyDescent="0.25">
      <c r="A599" s="168"/>
      <c r="B599" s="133" t="str">
        <f>'Công trình'!B110</f>
        <v>TT</v>
      </c>
      <c r="C599" s="34"/>
      <c r="D599" s="133" t="str">
        <f>'Công trình'!C110</f>
        <v>Khấu hao hệ sàn đạo, sàn thao tác (Thi công trong vòng 1 tháng và 5 lần đóng nhổ)</v>
      </c>
      <c r="E599" s="168"/>
      <c r="F599" s="20">
        <v>1</v>
      </c>
      <c r="G599" s="45">
        <f>'Hao phí vật tư'!J881</f>
        <v>652.28039999999999</v>
      </c>
      <c r="H599" s="166"/>
      <c r="I599" s="166"/>
      <c r="J599" s="166"/>
      <c r="K599" s="166"/>
      <c r="L599" s="156">
        <f>ROUND(G599*K589,2)</f>
        <v>-495080.82</v>
      </c>
      <c r="M599" s="156">
        <f>ROUND(G599*J589,2)</f>
        <v>9974019.5999999996</v>
      </c>
    </row>
    <row r="600" spans="1:13" hidden="1" x14ac:dyDescent="0.25">
      <c r="A600" s="168"/>
      <c r="B600" s="133" t="str">
        <f>'Công trình'!B104</f>
        <v>AI.11131</v>
      </c>
      <c r="C600" s="34"/>
      <c r="D600" s="133" t="str">
        <f>'Công trình'!C104</f>
        <v>Sản xuất cọc dẫn bằng thép hình</v>
      </c>
      <c r="E600" s="168"/>
      <c r="F600" s="20">
        <v>1</v>
      </c>
      <c r="G600" s="45">
        <f>'Hao phí vật tư'!J831</f>
        <v>0</v>
      </c>
      <c r="H600" s="166"/>
      <c r="I600" s="166"/>
      <c r="J600" s="166"/>
      <c r="K600" s="166"/>
      <c r="L600" s="156">
        <f>ROUND(G600*K589,2)</f>
        <v>0</v>
      </c>
      <c r="M600" s="156">
        <f>ROUND(G600*J589,2)</f>
        <v>0</v>
      </c>
    </row>
    <row r="601" spans="1:13" hidden="1" x14ac:dyDescent="0.25">
      <c r="A601" s="168"/>
      <c r="B601" s="133" t="str">
        <f>'Công trình'!B120</f>
        <v>AI.11912</v>
      </c>
      <c r="C601" s="34"/>
      <c r="D601" s="133" t="str">
        <f>'Công trình'!C120</f>
        <v>Sản xuất hệ sàn đạo, sàn thao tác</v>
      </c>
      <c r="E601" s="168"/>
      <c r="F601" s="20">
        <v>1</v>
      </c>
      <c r="G601" s="45">
        <f>'Hao phí vật tư'!J939</f>
        <v>0</v>
      </c>
      <c r="H601" s="166"/>
      <c r="I601" s="166"/>
      <c r="J601" s="166"/>
      <c r="K601" s="166"/>
      <c r="L601" s="156">
        <f>ROUND(G601*K589,2)</f>
        <v>0</v>
      </c>
      <c r="M601" s="156">
        <f>ROUND(G601*J589,2)</f>
        <v>0</v>
      </c>
    </row>
    <row r="602" spans="1:13" ht="30" hidden="1" x14ac:dyDescent="0.25">
      <c r="A602" s="168"/>
      <c r="B602" s="133" t="str">
        <f>'Công trình'!B121</f>
        <v>TT</v>
      </c>
      <c r="C602" s="34"/>
      <c r="D602" s="133" t="str">
        <f>'Công trình'!C121</f>
        <v>Khấu hao hệ sàn đạo, sàn thao tác (Thi công trong vòng 1 tháng và 4 lần đóng nhổ)</v>
      </c>
      <c r="E602" s="168"/>
      <c r="F602" s="20">
        <v>1</v>
      </c>
      <c r="G602" s="45">
        <f>'Hao phí vật tư'!J953</f>
        <v>1089.2043000000001</v>
      </c>
      <c r="H602" s="166"/>
      <c r="I602" s="166"/>
      <c r="J602" s="166"/>
      <c r="K602" s="166"/>
      <c r="L602" s="156">
        <f>ROUND(G602*K589,2)</f>
        <v>-826706.06</v>
      </c>
      <c r="M602" s="156">
        <f>ROUND(G602*J589,2)</f>
        <v>16655022.949999999</v>
      </c>
    </row>
    <row r="603" spans="1:13" ht="30" hidden="1" x14ac:dyDescent="0.25">
      <c r="A603" s="168"/>
      <c r="B603" s="133" t="str">
        <f>'Công trình'!B112</f>
        <v>AI.63311</v>
      </c>
      <c r="C603" s="34"/>
      <c r="D603" s="133" t="str">
        <f>'Công trình'!C112</f>
        <v>Lắp dựng kết cấu thép hệ khung dàn, sàn đạo trên cạn</v>
      </c>
      <c r="E603" s="168"/>
      <c r="F603" s="20">
        <v>1</v>
      </c>
      <c r="G603" s="45">
        <f>'Hao phí vật tư'!J888</f>
        <v>5.6840000000000002</v>
      </c>
      <c r="H603" s="166"/>
      <c r="I603" s="166"/>
      <c r="J603" s="166"/>
      <c r="K603" s="166"/>
      <c r="L603" s="156">
        <f>ROUND(G603*K589,2)</f>
        <v>-4314.16</v>
      </c>
      <c r="M603" s="156">
        <f>ROUND(G603*J589,2)</f>
        <v>86914.04</v>
      </c>
    </row>
    <row r="604" spans="1:13" ht="30" hidden="1" x14ac:dyDescent="0.25">
      <c r="A604" s="168"/>
      <c r="B604" s="133" t="str">
        <f>'Công trình'!B113</f>
        <v>AI.63311</v>
      </c>
      <c r="C604" s="34"/>
      <c r="D604" s="133" t="str">
        <f>'Công trình'!C113</f>
        <v>Tháo dỡ kết cấu thép hệ khung dàn, sàn đạo trên cạn (60% Đg)</v>
      </c>
      <c r="E604" s="168"/>
      <c r="F604" s="20">
        <v>1</v>
      </c>
      <c r="G604" s="45">
        <f>'Hao phí vật tư'!J899</f>
        <v>3.4104000000000001</v>
      </c>
      <c r="H604" s="166"/>
      <c r="I604" s="166"/>
      <c r="J604" s="166"/>
      <c r="K604" s="166"/>
      <c r="L604" s="156">
        <f>ROUND(G604*K589,2)</f>
        <v>-2588.4899999999998</v>
      </c>
      <c r="M604" s="156">
        <f>ROUND(G604*J589,2)</f>
        <v>52148.43</v>
      </c>
    </row>
    <row r="605" spans="1:13" ht="30" hidden="1" x14ac:dyDescent="0.25">
      <c r="A605" s="168"/>
      <c r="B605" s="133" t="str">
        <f>'Công trình'!B123</f>
        <v>AI.63311</v>
      </c>
      <c r="C605" s="34"/>
      <c r="D605" s="133" t="str">
        <f>'Công trình'!C123</f>
        <v>Lắp dựng kết cấu thép hệ khung dàn, sàn đạo trên cạn</v>
      </c>
      <c r="E605" s="168"/>
      <c r="F605" s="20">
        <v>1</v>
      </c>
      <c r="G605" s="45">
        <f>'Hao phí vật tư'!J960</f>
        <v>2.3424999999999998</v>
      </c>
      <c r="H605" s="166"/>
      <c r="I605" s="166"/>
      <c r="J605" s="166"/>
      <c r="K605" s="166"/>
      <c r="L605" s="156">
        <f>ROUND(G605*K589,2)</f>
        <v>-1777.96</v>
      </c>
      <c r="M605" s="156">
        <f>ROUND(G605*J589,2)</f>
        <v>35819.17</v>
      </c>
    </row>
    <row r="606" spans="1:13" ht="30" hidden="1" x14ac:dyDescent="0.25">
      <c r="A606" s="168"/>
      <c r="B606" s="133" t="str">
        <f>'Công trình'!B124</f>
        <v>AI.63311</v>
      </c>
      <c r="C606" s="34"/>
      <c r="D606" s="133" t="str">
        <f>'Công trình'!C124</f>
        <v>Tháo dỡ kết cấu thép hệ khung dàn, sàn đạo trên cạn (60% Đg)</v>
      </c>
      <c r="E606" s="168"/>
      <c r="F606" s="20">
        <v>1</v>
      </c>
      <c r="G606" s="45">
        <f>'Hao phí vật tư'!J971</f>
        <v>1.4055</v>
      </c>
      <c r="H606" s="166"/>
      <c r="I606" s="166"/>
      <c r="J606" s="166"/>
      <c r="K606" s="166"/>
      <c r="L606" s="156">
        <f>ROUND(G606*K589,2)</f>
        <v>-1066.77</v>
      </c>
      <c r="M606" s="156">
        <f>ROUND(G606*J589,2)</f>
        <v>21491.5</v>
      </c>
    </row>
    <row r="607" spans="1:13" hidden="1" x14ac:dyDescent="0.25">
      <c r="A607" s="168"/>
      <c r="B607" s="133" t="str">
        <f>'Công trình'!B136</f>
        <v>AI.11912</v>
      </c>
      <c r="C607" s="34"/>
      <c r="D607" s="133" t="str">
        <f>'Công trình'!C136</f>
        <v>Sản xuất hệ sàn đạo, sàn thao tác</v>
      </c>
      <c r="E607" s="168"/>
      <c r="F607" s="20">
        <v>1</v>
      </c>
      <c r="G607" s="45">
        <f>'Hao phí vật tư'!J1040</f>
        <v>0</v>
      </c>
      <c r="H607" s="166"/>
      <c r="I607" s="166"/>
      <c r="J607" s="166"/>
      <c r="K607" s="166"/>
      <c r="L607" s="156">
        <f>ROUND(G607*K589,2)</f>
        <v>0</v>
      </c>
      <c r="M607" s="156">
        <f>ROUND(G607*J589,2)</f>
        <v>0</v>
      </c>
    </row>
    <row r="608" spans="1:13" ht="30" hidden="1" x14ac:dyDescent="0.25">
      <c r="A608" s="168"/>
      <c r="B608" s="133" t="str">
        <f>'Công trình'!B137</f>
        <v>TT</v>
      </c>
      <c r="C608" s="34"/>
      <c r="D608" s="133" t="str">
        <f>'Công trình'!C137</f>
        <v>Khấu hao hệ sàn đạo, sàn thao tác (Thi công trong vòng 3 tháng và 1 lần đóng nhổ)</v>
      </c>
      <c r="E608" s="168"/>
      <c r="F608" s="20">
        <v>1</v>
      </c>
      <c r="G608" s="45">
        <f>'Hao phí vật tư'!J1054</f>
        <v>7477.7419</v>
      </c>
      <c r="H608" s="166"/>
      <c r="I608" s="166"/>
      <c r="J608" s="166"/>
      <c r="K608" s="166"/>
      <c r="L608" s="156">
        <f>ROUND(G608*K589,2)</f>
        <v>-5675606.0999999996</v>
      </c>
      <c r="M608" s="156">
        <f>ROUND(G608*J589,2)</f>
        <v>114342151.39</v>
      </c>
    </row>
    <row r="609" spans="1:13" ht="30" hidden="1" x14ac:dyDescent="0.25">
      <c r="A609" s="168"/>
      <c r="B609" s="133" t="str">
        <f>'Công trình'!B139</f>
        <v>AI.63311</v>
      </c>
      <c r="C609" s="34"/>
      <c r="D609" s="133" t="str">
        <f>'Công trình'!C139</f>
        <v>Lắp dựng kết cấu thép hệ khung dàn, sàn đạo trên cạn</v>
      </c>
      <c r="E609" s="168"/>
      <c r="F609" s="20">
        <v>1</v>
      </c>
      <c r="G609" s="45">
        <f>'Hao phí vật tư'!J1061</f>
        <v>37.091900000000003</v>
      </c>
      <c r="H609" s="166"/>
      <c r="I609" s="166"/>
      <c r="J609" s="166"/>
      <c r="K609" s="166"/>
      <c r="L609" s="156">
        <f>ROUND(G609*K589,2)</f>
        <v>-28152.75</v>
      </c>
      <c r="M609" s="156">
        <f>ROUND(G609*J589,2)</f>
        <v>567172.24</v>
      </c>
    </row>
    <row r="610" spans="1:13" ht="30" hidden="1" x14ac:dyDescent="0.25">
      <c r="A610" s="168"/>
      <c r="B610" s="133" t="str">
        <f>'Công trình'!B140</f>
        <v>AI.63311</v>
      </c>
      <c r="C610" s="34"/>
      <c r="D610" s="133" t="str">
        <f>'Công trình'!C140</f>
        <v>Tháo dỡ kết cấu thép hệ khung dàn, sàn đạo trên cạn (60% Đg)</v>
      </c>
      <c r="E610" s="168"/>
      <c r="F610" s="20">
        <v>1</v>
      </c>
      <c r="G610" s="45">
        <f>'Hao phí vật tư'!J1072</f>
        <v>22.255099999999999</v>
      </c>
      <c r="H610" s="166"/>
      <c r="I610" s="166"/>
      <c r="J610" s="166"/>
      <c r="K610" s="166"/>
      <c r="L610" s="156">
        <f>ROUND(G610*K589,2)</f>
        <v>-16891.62</v>
      </c>
      <c r="M610" s="156">
        <f>ROUND(G610*J589,2)</f>
        <v>340302.73</v>
      </c>
    </row>
    <row r="611" spans="1:13" hidden="1" x14ac:dyDescent="0.25">
      <c r="A611" s="168"/>
      <c r="B611" s="133" t="str">
        <f>'Công trình'!B147</f>
        <v>AI.11411</v>
      </c>
      <c r="C611" s="34"/>
      <c r="D611" s="133" t="str">
        <f>'Công trình'!C147</f>
        <v>Sản xuất thang sắt</v>
      </c>
      <c r="E611" s="168"/>
      <c r="F611" s="20">
        <v>1</v>
      </c>
      <c r="G611" s="45">
        <f>'Hao phí vật tư'!J1116</f>
        <v>45.823399999999999</v>
      </c>
      <c r="H611" s="166"/>
      <c r="I611" s="166"/>
      <c r="J611" s="166"/>
      <c r="K611" s="166"/>
      <c r="L611" s="156">
        <f>ROUND(G611*K589,2)</f>
        <v>-34779.96</v>
      </c>
      <c r="M611" s="156">
        <f>ROUND(G611*J589,2)</f>
        <v>700685.61</v>
      </c>
    </row>
    <row r="612" spans="1:13" ht="30" hidden="1" x14ac:dyDescent="0.25">
      <c r="A612" s="168"/>
      <c r="B612" s="133" t="str">
        <f>'Công trình'!B160</f>
        <v>AI.63311</v>
      </c>
      <c r="C612" s="34"/>
      <c r="D612" s="133" t="str">
        <f>'Công trình'!C160</f>
        <v>Lắp dựng kết cấu thép hệ khung dàn, sàn đạo trên cạn</v>
      </c>
      <c r="E612" s="168"/>
      <c r="F612" s="20">
        <v>1</v>
      </c>
      <c r="G612" s="45">
        <f>'Hao phí vật tư'!J1210</f>
        <v>18.083200000000001</v>
      </c>
      <c r="H612" s="166"/>
      <c r="I612" s="166"/>
      <c r="J612" s="166"/>
      <c r="K612" s="166"/>
      <c r="L612" s="156">
        <f>ROUND(G612*K589,2)</f>
        <v>-13725.15</v>
      </c>
      <c r="M612" s="156">
        <f>ROUND(G612*J589,2)</f>
        <v>276510.21000000002</v>
      </c>
    </row>
    <row r="613" spans="1:13" ht="30" hidden="1" x14ac:dyDescent="0.25">
      <c r="A613" s="168"/>
      <c r="B613" s="133" t="str">
        <f>'Công trình'!B161</f>
        <v>AI.63311</v>
      </c>
      <c r="C613" s="34"/>
      <c r="D613" s="133" t="str">
        <f>'Công trình'!C161</f>
        <v>Tháo dỡ kết cấu thép hệ khung dàn, sàn đạo trên cạn (60% Đg)</v>
      </c>
      <c r="E613" s="168"/>
      <c r="F613" s="20">
        <v>1</v>
      </c>
      <c r="G613" s="45">
        <f>'Hao phí vật tư'!J1221</f>
        <v>10.8499</v>
      </c>
      <c r="H613" s="166"/>
      <c r="I613" s="166"/>
      <c r="J613" s="166"/>
      <c r="K613" s="166"/>
      <c r="L613" s="156">
        <f>ROUND(G613*K589,2)</f>
        <v>-8235.07</v>
      </c>
      <c r="M613" s="156">
        <f>ROUND(G613*J589,2)</f>
        <v>165905.82</v>
      </c>
    </row>
    <row r="614" spans="1:13" ht="30" hidden="1" x14ac:dyDescent="0.25">
      <c r="A614" s="168"/>
      <c r="B614" s="133" t="str">
        <f>'Công trình'!B158</f>
        <v>TT</v>
      </c>
      <c r="C614" s="34"/>
      <c r="D614" s="133" t="str">
        <f>'Công trình'!C158</f>
        <v>Khấu hao hệ sàn đạo, sàn thao tác (Thi công trong vòng 3 tháng và 1 lần đóng nhổ)</v>
      </c>
      <c r="E614" s="168"/>
      <c r="F614" s="20">
        <v>1</v>
      </c>
      <c r="G614" s="45">
        <f>'Hao phí vật tư'!J1203</f>
        <v>3645.5684000000001</v>
      </c>
      <c r="H614" s="166"/>
      <c r="I614" s="166"/>
      <c r="J614" s="166"/>
      <c r="K614" s="166"/>
      <c r="L614" s="156">
        <f>ROUND(G614*K589,2)</f>
        <v>-2766986.42</v>
      </c>
      <c r="M614" s="156">
        <f>ROUND(G614*J589,2)</f>
        <v>55744386.399999999</v>
      </c>
    </row>
    <row r="615" spans="1:13" hidden="1" x14ac:dyDescent="0.25">
      <c r="A615" s="168"/>
      <c r="B615" s="133" t="str">
        <f>'Công trình'!B157</f>
        <v>AI.11912</v>
      </c>
      <c r="C615" s="34"/>
      <c r="D615" s="133" t="str">
        <f>'Công trình'!C157</f>
        <v>Sản xuất cầu công tác</v>
      </c>
      <c r="E615" s="168"/>
      <c r="F615" s="20">
        <v>1</v>
      </c>
      <c r="G615" s="45">
        <f>'Hao phí vật tư'!J1189</f>
        <v>0</v>
      </c>
      <c r="H615" s="166"/>
      <c r="I615" s="166"/>
      <c r="J615" s="166"/>
      <c r="K615" s="166"/>
      <c r="L615" s="156">
        <f>ROUND(G615*K589,2)</f>
        <v>0</v>
      </c>
      <c r="M615" s="156">
        <f>ROUND(G615*J589,2)</f>
        <v>0</v>
      </c>
    </row>
    <row r="616" spans="1:13" ht="30" hidden="1" x14ac:dyDescent="0.25">
      <c r="A616" s="168"/>
      <c r="B616" s="133" t="str">
        <f>'Công trình'!B168</f>
        <v>AG.32211</v>
      </c>
      <c r="C616" s="34"/>
      <c r="D616" s="133" t="str">
        <f>'Công trình'!C168</f>
        <v>Sản xuất, lắp dựng tháo dỡ ván khuôn kim loại các loại cấu kiện khác</v>
      </c>
      <c r="E616" s="168"/>
      <c r="F616" s="20">
        <v>1</v>
      </c>
      <c r="G616" s="45">
        <f>'Hao phí vật tư'!J1272</f>
        <v>5.1639999999999997</v>
      </c>
      <c r="H616" s="166"/>
      <c r="I616" s="166"/>
      <c r="J616" s="166"/>
      <c r="K616" s="166"/>
      <c r="L616" s="156">
        <f>ROUND(G616*K589,2)</f>
        <v>-3919.48</v>
      </c>
      <c r="M616" s="156">
        <f>ROUND(G616*J589,2)</f>
        <v>78962.720000000001</v>
      </c>
    </row>
    <row r="617" spans="1:13" ht="30" hidden="1" x14ac:dyDescent="0.25">
      <c r="A617" s="168"/>
      <c r="B617" s="133" t="str">
        <f>'Công trình'!B200</f>
        <v>AF.82111</v>
      </c>
      <c r="C617" s="34"/>
      <c r="D617" s="133" t="str">
        <f>'Công trình'!C200</f>
        <v>Sản xuất, lắp dựng tháo dỡ ván khuôn thép, cây chống gỗ dầm ngang, chiều cao &lt;=16m</v>
      </c>
      <c r="E617" s="168"/>
      <c r="F617" s="20">
        <v>1</v>
      </c>
      <c r="G617" s="45">
        <f>'Hao phí vật tư'!J1542</f>
        <v>18.9011</v>
      </c>
      <c r="H617" s="166"/>
      <c r="I617" s="166"/>
      <c r="J617" s="166"/>
      <c r="K617" s="166"/>
      <c r="L617" s="156">
        <f>ROUND(G617*K589,2)</f>
        <v>-14345.93</v>
      </c>
      <c r="M617" s="156">
        <f>ROUND(G617*J589,2)</f>
        <v>289016.71999999997</v>
      </c>
    </row>
    <row r="618" spans="1:13" hidden="1" x14ac:dyDescent="0.25">
      <c r="A618" s="168"/>
      <c r="B618" s="133" t="str">
        <f>'Công trình'!B231</f>
        <v>AI.52211</v>
      </c>
      <c r="C618" s="34"/>
      <c r="D618" s="133" t="str">
        <f>'Công trình'!C231</f>
        <v>Thép hình hộp nối cọc</v>
      </c>
      <c r="E618" s="168"/>
      <c r="F618" s="20">
        <v>1</v>
      </c>
      <c r="G618" s="45">
        <f>'Hao phí vật tư'!J1754</f>
        <v>1975.44</v>
      </c>
      <c r="H618" s="166"/>
      <c r="I618" s="166"/>
      <c r="J618" s="166"/>
      <c r="K618" s="166"/>
      <c r="L618" s="156">
        <f>ROUND(G618*K589,2)</f>
        <v>-1499358.96</v>
      </c>
      <c r="M618" s="156">
        <f>ROUND(G618*J589,2)</f>
        <v>30206453.039999999</v>
      </c>
    </row>
    <row r="619" spans="1:13" ht="30" hidden="1" x14ac:dyDescent="0.25">
      <c r="A619" s="168"/>
      <c r="B619" s="133" t="str">
        <f>'Công trình'!B249</f>
        <v>AF.82111</v>
      </c>
      <c r="C619" s="34"/>
      <c r="D619" s="133" t="str">
        <f>'Công trình'!C249</f>
        <v>Sản xuất, lắp dựng tháo dỡ ván khuôn thép, cây chống gỗ dầm, giằng, chiều cao &lt;=16m</v>
      </c>
      <c r="E619" s="168"/>
      <c r="F619" s="20">
        <v>1</v>
      </c>
      <c r="G619" s="45">
        <f>'Hao phí vật tư'!J1890</f>
        <v>34.852200000000003</v>
      </c>
      <c r="H619" s="166"/>
      <c r="I619" s="166"/>
      <c r="J619" s="166"/>
      <c r="K619" s="166"/>
      <c r="L619" s="156">
        <f>ROUND(G619*K589,2)</f>
        <v>-26452.82</v>
      </c>
      <c r="M619" s="156">
        <f>ROUND(G619*J589,2)</f>
        <v>532924.99</v>
      </c>
    </row>
    <row r="620" spans="1:13" ht="30" hidden="1" x14ac:dyDescent="0.25">
      <c r="A620" s="168"/>
      <c r="B620" s="133" t="str">
        <f>'Công trình'!B256</f>
        <v>AF.82111</v>
      </c>
      <c r="C620" s="34"/>
      <c r="D620" s="133" t="str">
        <f>'Công trình'!C256</f>
        <v>Sản xuất, lắp dựng tháo dỡ ván khuôn thép lan can</v>
      </c>
      <c r="E620" s="168"/>
      <c r="F620" s="20">
        <v>1</v>
      </c>
      <c r="G620" s="45">
        <f>'Hao phí vật tư'!J1951</f>
        <v>74.715400000000002</v>
      </c>
      <c r="H620" s="166"/>
      <c r="I620" s="166"/>
      <c r="J620" s="166"/>
      <c r="K620" s="166"/>
      <c r="L620" s="156">
        <f>ROUND(G620*K589,2)</f>
        <v>-56708.99</v>
      </c>
      <c r="M620" s="156">
        <f>ROUND(G620*J589,2)</f>
        <v>1142473.18</v>
      </c>
    </row>
    <row r="621" spans="1:13" hidden="1" x14ac:dyDescent="0.25">
      <c r="A621" s="168"/>
      <c r="B621" s="133" t="str">
        <f>'Công trình'!B287</f>
        <v>AF.82511</v>
      </c>
      <c r="C621" s="34"/>
      <c r="D621" s="133" t="str">
        <f>'Công trình'!C287</f>
        <v>Ván khuôn móng</v>
      </c>
      <c r="E621" s="168"/>
      <c r="F621" s="20">
        <v>1</v>
      </c>
      <c r="G621" s="45">
        <f>'Hao phí vật tư'!J2155</f>
        <v>20.082899999999999</v>
      </c>
      <c r="H621" s="166"/>
      <c r="I621" s="166"/>
      <c r="J621" s="166"/>
      <c r="K621" s="166"/>
      <c r="L621" s="156">
        <f>ROUND(G621*K589,2)</f>
        <v>-15242.92</v>
      </c>
      <c r="M621" s="156">
        <f>ROUND(G621*J589,2)</f>
        <v>307087.62</v>
      </c>
    </row>
    <row r="622" spans="1:13" hidden="1" x14ac:dyDescent="0.25">
      <c r="A622" s="168"/>
      <c r="B622" s="133" t="str">
        <f>'Công trình'!B298</f>
        <v>AF.82511</v>
      </c>
      <c r="C622" s="34"/>
      <c r="D622" s="133" t="str">
        <f>'Công trình'!C298</f>
        <v>Ván khuôn móng</v>
      </c>
      <c r="E622" s="168"/>
      <c r="F622" s="20">
        <v>1</v>
      </c>
      <c r="G622" s="45">
        <f>'Hao phí vật tư'!J2233</f>
        <v>0.57640000000000002</v>
      </c>
      <c r="H622" s="166"/>
      <c r="I622" s="166"/>
      <c r="J622" s="166"/>
      <c r="K622" s="166"/>
      <c r="L622" s="156">
        <f>ROUND(G622*K589,2)</f>
        <v>-437.49</v>
      </c>
      <c r="M622" s="156">
        <f>ROUND(G622*J589,2)</f>
        <v>8813.73</v>
      </c>
    </row>
    <row r="623" spans="1:13" ht="45" hidden="1" x14ac:dyDescent="0.25">
      <c r="A623" s="168"/>
      <c r="B623" s="133" t="str">
        <f>'Công trình'!B305</f>
        <v>AF.82511</v>
      </c>
      <c r="C623" s="34"/>
      <c r="D623" s="133" t="str">
        <f>'Công trình'!C305</f>
        <v>Sản xuất, lắp dựng, tháo dỡ ván khuôn cho bê tông đổ tại chổ, ván khuôn thép, ván khuôn móng</v>
      </c>
      <c r="E623" s="168"/>
      <c r="F623" s="20">
        <v>1</v>
      </c>
      <c r="G623" s="45">
        <f>'Hao phí vật tư'!J2288</f>
        <v>10.566599999999999</v>
      </c>
      <c r="H623" s="166"/>
      <c r="I623" s="166"/>
      <c r="J623" s="166"/>
      <c r="K623" s="166"/>
      <c r="L623" s="156">
        <f>ROUND(G623*K589,2)</f>
        <v>-8020.05</v>
      </c>
      <c r="M623" s="156">
        <f>ROUND(G623*J589,2)</f>
        <v>161573.88</v>
      </c>
    </row>
    <row r="624" spans="1:13" ht="30" hidden="1" x14ac:dyDescent="0.25">
      <c r="A624" s="168"/>
      <c r="B624" s="133" t="str">
        <f>'Công trình'!B179</f>
        <v>AF.87211</v>
      </c>
      <c r="C624" s="34"/>
      <c r="D624" s="133" t="str">
        <f>'Công trình'!C179</f>
        <v>Sản xuất, lắp dựng, tháo dỡ ván khuôn mố, trụ cầu trên cạn</v>
      </c>
      <c r="E624" s="168"/>
      <c r="F624" s="20">
        <v>1</v>
      </c>
      <c r="G624" s="45">
        <f>'Hao phí vật tư'!J1356</f>
        <v>24.016200000000001</v>
      </c>
      <c r="H624" s="166"/>
      <c r="I624" s="166"/>
      <c r="J624" s="166"/>
      <c r="K624" s="166"/>
      <c r="L624" s="156">
        <f>ROUND(G624*K589,2)</f>
        <v>-18228.3</v>
      </c>
      <c r="M624" s="156">
        <f>ROUND(G624*J589,2)</f>
        <v>367231.71</v>
      </c>
    </row>
    <row r="625" spans="1:13" ht="30" hidden="1" x14ac:dyDescent="0.25">
      <c r="A625" s="168"/>
      <c r="B625" s="133" t="str">
        <f>'Công trình'!B189</f>
        <v>AF.87211</v>
      </c>
      <c r="C625" s="34"/>
      <c r="D625" s="133" t="str">
        <f>'Công trình'!C189</f>
        <v>Sản xuất, lắp dựng, tháo dỡ ván khuôn mố, trụ cầu trên cạn</v>
      </c>
      <c r="E625" s="168"/>
      <c r="F625" s="20">
        <v>1</v>
      </c>
      <c r="G625" s="45">
        <f>'Hao phí vật tư'!J1447</f>
        <v>6.8811999999999998</v>
      </c>
      <c r="H625" s="166"/>
      <c r="I625" s="166"/>
      <c r="J625" s="166"/>
      <c r="K625" s="166"/>
      <c r="L625" s="156">
        <f>ROUND(G625*K589,2)</f>
        <v>-5222.83</v>
      </c>
      <c r="M625" s="156">
        <f>ROUND(G625*J589,2)</f>
        <v>105220.43</v>
      </c>
    </row>
    <row r="626" spans="1:13" ht="30" hidden="1" x14ac:dyDescent="0.25">
      <c r="A626" s="168"/>
      <c r="B626" s="133" t="str">
        <f>'Công trình'!B201</f>
        <v>AF.82311</v>
      </c>
      <c r="C626" s="34"/>
      <c r="D626" s="133" t="str">
        <f>'Công trình'!C201</f>
        <v>Sản xuất, lắp dựng tháo dỡ ván khuôn thép, cây chống gỗ mặt cầu, chiều cao &lt;=16m</v>
      </c>
      <c r="E626" s="168"/>
      <c r="F626" s="20">
        <v>1</v>
      </c>
      <c r="G626" s="45">
        <f>'Hao phí vật tư'!J1555</f>
        <v>102.857</v>
      </c>
      <c r="H626" s="166"/>
      <c r="I626" s="166"/>
      <c r="J626" s="166"/>
      <c r="K626" s="166"/>
      <c r="L626" s="156">
        <f>ROUND(G626*K589,2)</f>
        <v>-78068.460000000006</v>
      </c>
      <c r="M626" s="156">
        <f>ROUND(G626*J589,2)</f>
        <v>1572786.39</v>
      </c>
    </row>
    <row r="627" spans="1:13" ht="45" hidden="1" x14ac:dyDescent="0.25">
      <c r="A627" s="168"/>
      <c r="B627" s="133" t="str">
        <f>'Công trình'!B180</f>
        <v>AF.82511</v>
      </c>
      <c r="C627" s="34"/>
      <c r="D627" s="133" t="str">
        <f>'Công trình'!C180</f>
        <v>Sản xuất, lắp dựng, tháo dỡ ván khuôn cho bê tông đổ tại chổ, ván khuôn thép, ván khuôn bản dẫn</v>
      </c>
      <c r="E627" s="168"/>
      <c r="F627" s="20">
        <v>1</v>
      </c>
      <c r="G627" s="45">
        <f>'Hao phí vật tư'!J1368</f>
        <v>6.0198</v>
      </c>
      <c r="H627" s="166"/>
      <c r="I627" s="166"/>
      <c r="J627" s="166"/>
      <c r="K627" s="166"/>
      <c r="L627" s="156">
        <f>ROUND(G627*K589,2)</f>
        <v>-4569.03</v>
      </c>
      <c r="M627" s="156">
        <f>ROUND(G627*J589,2)</f>
        <v>92048.76</v>
      </c>
    </row>
    <row r="628" spans="1:13" ht="30" hidden="1" x14ac:dyDescent="0.25">
      <c r="A628" s="168"/>
      <c r="B628" s="133" t="str">
        <f>'Công trình'!B230</f>
        <v>AG.32321</v>
      </c>
      <c r="C628" s="34"/>
      <c r="D628" s="133" t="str">
        <f>'Công trình'!C230</f>
        <v>Sản xuất, lắp dựng, tháo dỡ ván khuôn thép bê tông đúc sẵn cọc, cột</v>
      </c>
      <c r="E628" s="168"/>
      <c r="F628" s="20">
        <v>1</v>
      </c>
      <c r="G628" s="45">
        <f>'Hao phí vật tư'!J1741</f>
        <v>62.544800000000002</v>
      </c>
      <c r="H628" s="166"/>
      <c r="I628" s="166"/>
      <c r="J628" s="166"/>
      <c r="K628" s="166"/>
      <c r="L628" s="156">
        <f>ROUND(G628*K589,2)</f>
        <v>-47471.5</v>
      </c>
      <c r="M628" s="156">
        <f>ROUND(G628*J589,2)</f>
        <v>956372.54</v>
      </c>
    </row>
    <row r="629" spans="1:13" ht="30" hidden="1" x14ac:dyDescent="0.25">
      <c r="A629" s="168"/>
      <c r="B629" s="133" t="str">
        <f>'Công trình'!B56</f>
        <v>AG.32511</v>
      </c>
      <c r="C629" s="34"/>
      <c r="D629" s="133" t="str">
        <f>'Công trình'!C56</f>
        <v>Sản xuất, lắp dựng, tháo dỡ ván khuôn thép bê tông đúc sẵn tấm tự chèn</v>
      </c>
      <c r="E629" s="168"/>
      <c r="F629" s="20">
        <v>1</v>
      </c>
      <c r="G629" s="45">
        <f>'Hao phí vật tư'!J411</f>
        <v>136.38820000000001</v>
      </c>
      <c r="H629" s="166"/>
      <c r="I629" s="166"/>
      <c r="J629" s="166"/>
      <c r="K629" s="166"/>
      <c r="L629" s="156">
        <f>ROUND(G629*K589,2)</f>
        <v>-103518.64</v>
      </c>
      <c r="M629" s="156">
        <f>ROUND(G629*J589,2)</f>
        <v>2085511.97</v>
      </c>
    </row>
    <row r="630" spans="1:13" ht="30" hidden="1" x14ac:dyDescent="0.25">
      <c r="A630" s="168"/>
      <c r="B630" s="133" t="str">
        <f>'Công trình'!B251</f>
        <v>AG.32511</v>
      </c>
      <c r="C630" s="34"/>
      <c r="D630" s="133" t="str">
        <f>'Công trình'!C251</f>
        <v>Sản xuất, lắp dựng, tháo dỡ ván khuôn thép bê tông đúc sẵn nắp đan, tấm chớp</v>
      </c>
      <c r="E630" s="168"/>
      <c r="F630" s="20">
        <v>1</v>
      </c>
      <c r="G630" s="45">
        <f>'Hao phí vật tư'!J1913</f>
        <v>174.23670000000001</v>
      </c>
      <c r="H630" s="166"/>
      <c r="I630" s="166"/>
      <c r="J630" s="166"/>
      <c r="K630" s="166"/>
      <c r="L630" s="156">
        <f>ROUND(G630*K589,2)</f>
        <v>-132245.66</v>
      </c>
      <c r="M630" s="156">
        <f>ROUND(G630*J589,2)</f>
        <v>2664253.38</v>
      </c>
    </row>
    <row r="631" spans="1:13" hidden="1" x14ac:dyDescent="0.25">
      <c r="A631" s="168"/>
      <c r="B631" s="133" t="str">
        <f>'Công trình'!B262</f>
        <v>AI.21152</v>
      </c>
      <c r="C631" s="34"/>
      <c r="D631" s="133" t="str">
        <f>'Công trình'!C262</f>
        <v>Sản xuất kết cấu thép lan can cầu đường bộ</v>
      </c>
      <c r="E631" s="168"/>
      <c r="F631" s="20">
        <v>1</v>
      </c>
      <c r="G631" s="45">
        <f>'Hao phí vật tư'!J1995</f>
        <v>6753.8824999999997</v>
      </c>
      <c r="H631" s="166"/>
      <c r="I631" s="166"/>
      <c r="J631" s="166"/>
      <c r="K631" s="166"/>
      <c r="L631" s="156">
        <f>ROUND(G631*K589,2)</f>
        <v>-5126196.82</v>
      </c>
      <c r="M631" s="156">
        <f>ROUND(G631*J589,2)</f>
        <v>103273617.31</v>
      </c>
    </row>
    <row r="632" spans="1:13" ht="30" hidden="1" x14ac:dyDescent="0.25">
      <c r="A632" s="168"/>
      <c r="B632" s="133" t="str">
        <f>'Công trình'!B73</f>
        <v>AG.32321</v>
      </c>
      <c r="C632" s="34"/>
      <c r="D632" s="133" t="str">
        <f>'Công trình'!C73</f>
        <v>Sản xuất, lắp dựng, tháo dỡ ván khuôn thép bê tông đúc sẵn cọc</v>
      </c>
      <c r="E632" s="168"/>
      <c r="F632" s="20">
        <v>1</v>
      </c>
      <c r="G632" s="45">
        <f>'Hao phí vật tư'!J565</f>
        <v>57.808799999999998</v>
      </c>
      <c r="H632" s="166"/>
      <c r="I632" s="166"/>
      <c r="J632" s="166"/>
      <c r="K632" s="166"/>
      <c r="L632" s="156">
        <f>ROUND(G632*K589,2)</f>
        <v>-43876.88</v>
      </c>
      <c r="M632" s="156">
        <f>ROUND(G632*J589,2)</f>
        <v>883954.36</v>
      </c>
    </row>
    <row r="633" spans="1:13" ht="30" hidden="1" x14ac:dyDescent="0.25">
      <c r="A633" s="168"/>
      <c r="B633" s="133" t="str">
        <f>'Công trình'!B84</f>
        <v>AG.32321</v>
      </c>
      <c r="C633" s="34"/>
      <c r="D633" s="133" t="str">
        <f>'Công trình'!C84</f>
        <v>Sản xuất, lắp dựng, tháo dỡ ván khuôn thép bê tông đúc sẵn cọc</v>
      </c>
      <c r="E633" s="168"/>
      <c r="F633" s="20">
        <v>1</v>
      </c>
      <c r="G633" s="45">
        <f>'Hao phí vật tư'!J681</f>
        <v>26.158999999999999</v>
      </c>
      <c r="H633" s="166"/>
      <c r="I633" s="166"/>
      <c r="J633" s="166"/>
      <c r="K633" s="166"/>
      <c r="L633" s="156">
        <f>ROUND(G633*K589,2)</f>
        <v>-19854.68</v>
      </c>
      <c r="M633" s="156">
        <f>ROUND(G633*J589,2)</f>
        <v>399997.27</v>
      </c>
    </row>
    <row r="634" spans="1:13" ht="45" hidden="1" x14ac:dyDescent="0.25">
      <c r="A634" s="168"/>
      <c r="B634" s="133" t="str">
        <f>'Công trình'!B35</f>
        <v>AF.82111</v>
      </c>
      <c r="C634" s="34"/>
      <c r="D634" s="133" t="str">
        <f>'Công trình'!C35</f>
        <v>Sản xuất, lắp dựng tháo dỡ ván khuôn thép, cây chống gỗ tường, cột vuông (chữ nhật), xà dầm, giằng, chiều cao &lt;=16m</v>
      </c>
      <c r="E634" s="168"/>
      <c r="F634" s="20">
        <v>1</v>
      </c>
      <c r="G634" s="45">
        <f>'Hao phí vật tư'!J263</f>
        <v>28.4053</v>
      </c>
      <c r="H634" s="166"/>
      <c r="I634" s="166"/>
      <c r="J634" s="166"/>
      <c r="K634" s="166"/>
      <c r="L634" s="156">
        <f>ROUND(G634*K589,2)</f>
        <v>-21559.62</v>
      </c>
      <c r="M634" s="156">
        <f>ROUND(G634*J589,2)</f>
        <v>434345.44</v>
      </c>
    </row>
    <row r="635" spans="1:13" hidden="1" x14ac:dyDescent="0.25">
      <c r="A635" s="168"/>
      <c r="B635" s="133" t="str">
        <f>'Công trình'!B316</f>
        <v>AI.52211</v>
      </c>
      <c r="C635" s="34"/>
      <c r="D635" s="133" t="str">
        <f>'Công trình'!C316</f>
        <v>Sản xuất kết cấu thép khe phai - thép CT3</v>
      </c>
      <c r="E635" s="168"/>
      <c r="F635" s="20">
        <v>1</v>
      </c>
      <c r="G635" s="45">
        <f>'Hao phí vật tư'!J2310</f>
        <v>534.24</v>
      </c>
      <c r="H635" s="166"/>
      <c r="I635" s="166"/>
      <c r="J635" s="166"/>
      <c r="K635" s="166"/>
      <c r="L635" s="156">
        <f>ROUND(G635*K589,2)</f>
        <v>-405488.16</v>
      </c>
      <c r="M635" s="156">
        <f>ROUND(G635*J589,2)</f>
        <v>8169063.8399999999</v>
      </c>
    </row>
    <row r="636" spans="1:13" hidden="1" x14ac:dyDescent="0.25">
      <c r="A636" s="168"/>
      <c r="B636" s="133" t="str">
        <f>'Công trình'!B318</f>
        <v>AI.52211</v>
      </c>
      <c r="C636" s="34"/>
      <c r="D636" s="133" t="str">
        <f>'Công trình'!C318</f>
        <v>Sản xuất kết cấu thép khe cửa - thép CT3</v>
      </c>
      <c r="E636" s="168"/>
      <c r="F636" s="20">
        <v>1</v>
      </c>
      <c r="G636" s="45">
        <f>'Hao phí vật tư'!J2341</f>
        <v>540.16</v>
      </c>
      <c r="H636" s="166"/>
      <c r="I636" s="166"/>
      <c r="J636" s="166"/>
      <c r="K636" s="166"/>
      <c r="L636" s="156">
        <f>ROUND(G636*K589,2)</f>
        <v>-409981.44</v>
      </c>
      <c r="M636" s="156">
        <f>ROUND(G636*J589,2)</f>
        <v>8259586.5599999996</v>
      </c>
    </row>
    <row r="637" spans="1:13" ht="30" hidden="1" x14ac:dyDescent="0.25">
      <c r="A637" s="168"/>
      <c r="B637" s="133" t="str">
        <f>'Công trình'!B321</f>
        <v>CV.0202</v>
      </c>
      <c r="C637" s="34"/>
      <c r="D637" s="133" t="str">
        <f>'Công trình'!C321</f>
        <v>Lắp đặt cửa van bằng thép không gỉ, chiều rộng cống (B) &lt;= 8m</v>
      </c>
      <c r="E637" s="168"/>
      <c r="F637" s="20">
        <v>1</v>
      </c>
      <c r="G637" s="45">
        <f>'Hao phí vật tư'!J2390</f>
        <v>482.18799999999999</v>
      </c>
      <c r="H637" s="166"/>
      <c r="I637" s="166"/>
      <c r="J637" s="166"/>
      <c r="K637" s="166"/>
      <c r="L637" s="156">
        <f>ROUND(G637*K589,2)</f>
        <v>-365980.69</v>
      </c>
      <c r="M637" s="156">
        <f>ROUND(G637*J589,2)</f>
        <v>7373136.71</v>
      </c>
    </row>
    <row r="638" spans="1:13" x14ac:dyDescent="0.25">
      <c r="A638" s="168">
        <v>100</v>
      </c>
      <c r="B638" s="84" t="s">
        <v>660</v>
      </c>
      <c r="C638" s="34">
        <v>163</v>
      </c>
      <c r="D638" s="144" t="s">
        <v>882</v>
      </c>
      <c r="E638" s="168" t="s">
        <v>555</v>
      </c>
      <c r="F638" s="34"/>
      <c r="G638" s="60">
        <f>SUM(G639:G639)</f>
        <v>0</v>
      </c>
      <c r="H638" s="166">
        <v>19184</v>
      </c>
      <c r="I638" s="139">
        <v>15291</v>
      </c>
      <c r="J638" s="139">
        <f>'Vật liệu'!W602</f>
        <v>15291</v>
      </c>
      <c r="K638" s="166">
        <f>J638-H638</f>
        <v>-3893</v>
      </c>
      <c r="L638" s="166">
        <f>ROUND(G638*K638,0)</f>
        <v>0</v>
      </c>
      <c r="M638" s="166">
        <f>ROUND(G638*J638,0)</f>
        <v>0</v>
      </c>
    </row>
    <row r="639" spans="1:13" ht="45" hidden="1" x14ac:dyDescent="0.25">
      <c r="A639" s="168"/>
      <c r="B639" s="133" t="str">
        <f>'Công trình'!B26</f>
        <v>AC.12412</v>
      </c>
      <c r="C639" s="34"/>
      <c r="D639" s="133" t="str">
        <f>'Công trình'!C26</f>
        <v>Đóng cọc cừ máng bê tông dự ứng lực trên cạn bằng búa rung kết hợp tách mũi nước áp lực SW600A, chiều cao máng cọc 60-84cm, L=18M</v>
      </c>
      <c r="E639" s="168"/>
      <c r="F639" s="20">
        <v>1</v>
      </c>
      <c r="G639" s="45">
        <f>'Hao phí vật tư'!J183</f>
        <v>0</v>
      </c>
      <c r="H639" s="166"/>
      <c r="I639" s="166"/>
      <c r="J639" s="166"/>
      <c r="K639" s="166"/>
      <c r="L639" s="156">
        <f>ROUND(G639*K638,2)</f>
        <v>0</v>
      </c>
      <c r="M639" s="156">
        <f>ROUND(G639*J638,2)</f>
        <v>0</v>
      </c>
    </row>
    <row r="640" spans="1:13" x14ac:dyDescent="0.25">
      <c r="A640" s="168">
        <v>101</v>
      </c>
      <c r="B640" s="84" t="s">
        <v>429</v>
      </c>
      <c r="C640" s="34">
        <v>827</v>
      </c>
      <c r="D640" s="144" t="s">
        <v>152</v>
      </c>
      <c r="E640" s="168" t="s">
        <v>555</v>
      </c>
      <c r="F640" s="34"/>
      <c r="G640" s="60">
        <f>SUM(G641:G641)</f>
        <v>18082.05</v>
      </c>
      <c r="H640" s="166">
        <v>0</v>
      </c>
      <c r="I640" s="156">
        <v>59000</v>
      </c>
      <c r="J640" s="156">
        <f>'Vật liệu'!W964</f>
        <v>59000</v>
      </c>
      <c r="K640" s="166">
        <f>J640-H640</f>
        <v>59000</v>
      </c>
      <c r="L640" s="166">
        <f>ROUND(G640*K640,0)</f>
        <v>1066840950</v>
      </c>
      <c r="M640" s="166">
        <f>ROUND(G640*J640,0)</f>
        <v>1066840950</v>
      </c>
    </row>
    <row r="641" spans="1:13" ht="30" hidden="1" x14ac:dyDescent="0.25">
      <c r="A641" s="168"/>
      <c r="B641" s="133" t="str">
        <f>'Công trình'!B320</f>
        <v>CV.0102</v>
      </c>
      <c r="C641" s="34"/>
      <c r="D641" s="133" t="str">
        <f>'Công trình'!C320</f>
        <v>Sản xuất cửa van bằng thép không gỉ, chiều rộng cống (B) &lt;= 8m</v>
      </c>
      <c r="E641" s="168"/>
      <c r="F641" s="20">
        <v>1</v>
      </c>
      <c r="G641" s="45">
        <f>'Hao phí vật tư'!J2370</f>
        <v>18082.05</v>
      </c>
      <c r="H641" s="166"/>
      <c r="I641" s="166"/>
      <c r="J641" s="166"/>
      <c r="K641" s="166"/>
      <c r="L641" s="156">
        <f>ROUND(G641*K640,2)</f>
        <v>1066840950</v>
      </c>
      <c r="M641" s="156">
        <f>ROUND(G641*J640,2)</f>
        <v>1066840950</v>
      </c>
    </row>
    <row r="642" spans="1:13" x14ac:dyDescent="0.25">
      <c r="A642" s="168">
        <v>102</v>
      </c>
      <c r="B642" s="84" t="s">
        <v>89</v>
      </c>
      <c r="C642" s="34">
        <v>169</v>
      </c>
      <c r="D642" s="144" t="s">
        <v>628</v>
      </c>
      <c r="E642" s="168" t="s">
        <v>555</v>
      </c>
      <c r="F642" s="34"/>
      <c r="G642" s="60">
        <f>SUM(G643:G643)</f>
        <v>8175.7524999999996</v>
      </c>
      <c r="H642" s="166">
        <v>16167</v>
      </c>
      <c r="I642" s="139">
        <v>12574</v>
      </c>
      <c r="J642" s="139">
        <f>'Vật liệu'!W604</f>
        <v>12574</v>
      </c>
      <c r="K642" s="166">
        <f>J642-H642</f>
        <v>-3593</v>
      </c>
      <c r="L642" s="166">
        <f>ROUND(G642*K642,0)</f>
        <v>-29375479</v>
      </c>
      <c r="M642" s="166">
        <f>ROUND(G642*J642,0)</f>
        <v>102801912</v>
      </c>
    </row>
    <row r="643" spans="1:13" hidden="1" x14ac:dyDescent="0.25">
      <c r="A643" s="168"/>
      <c r="B643" s="133" t="str">
        <f>'Công trình'!B262</f>
        <v>AI.21152</v>
      </c>
      <c r="C643" s="34"/>
      <c r="D643" s="133" t="str">
        <f>'Công trình'!C262</f>
        <v>Sản xuất kết cấu thép lan can cầu đường bộ</v>
      </c>
      <c r="E643" s="168"/>
      <c r="F643" s="20">
        <v>1</v>
      </c>
      <c r="G643" s="45">
        <f>'Hao phí vật tư'!J1996</f>
        <v>8175.7524999999996</v>
      </c>
      <c r="H643" s="166"/>
      <c r="I643" s="166"/>
      <c r="J643" s="166"/>
      <c r="K643" s="166"/>
      <c r="L643" s="156">
        <f>ROUND(G643*K642,2)</f>
        <v>-29375478.73</v>
      </c>
      <c r="M643" s="156">
        <f>ROUND(G643*J642,2)</f>
        <v>102801911.94</v>
      </c>
    </row>
    <row r="644" spans="1:13" x14ac:dyDescent="0.25">
      <c r="A644" s="168">
        <v>103</v>
      </c>
      <c r="B644" s="84" t="s">
        <v>210</v>
      </c>
      <c r="C644" s="34">
        <v>788</v>
      </c>
      <c r="D644" s="144" t="s">
        <v>986</v>
      </c>
      <c r="E644" s="168" t="s">
        <v>555</v>
      </c>
      <c r="F644" s="34"/>
      <c r="G644" s="60">
        <f>SUM(G645:G646)</f>
        <v>2040.5700000000002</v>
      </c>
      <c r="H644" s="166">
        <v>16050</v>
      </c>
      <c r="I644" s="156">
        <v>59000</v>
      </c>
      <c r="J644" s="156">
        <f>'Vật liệu'!W966</f>
        <v>59000</v>
      </c>
      <c r="K644" s="166">
        <f>J644-H644</f>
        <v>42950</v>
      </c>
      <c r="L644" s="166">
        <f>ROUND(G644*K644,0)</f>
        <v>87642482</v>
      </c>
      <c r="M644" s="166">
        <f>ROUND(G644*J644,0)</f>
        <v>120393630</v>
      </c>
    </row>
    <row r="645" spans="1:13" hidden="1" x14ac:dyDescent="0.25">
      <c r="A645" s="168"/>
      <c r="B645" s="133" t="str">
        <f>'Công trình'!B317</f>
        <v>AI.52211</v>
      </c>
      <c r="C645" s="34"/>
      <c r="D645" s="133" t="str">
        <f>'Công trình'!C317</f>
        <v>Sản xuất kết cấu thép khe phai - thép SUS304</v>
      </c>
      <c r="E645" s="168"/>
      <c r="F645" s="20">
        <v>1</v>
      </c>
      <c r="G645" s="45">
        <f>'Hao phí vật tư'!J2325</f>
        <v>935.62</v>
      </c>
      <c r="H645" s="166"/>
      <c r="I645" s="166"/>
      <c r="J645" s="166"/>
      <c r="K645" s="166"/>
      <c r="L645" s="156">
        <f>ROUND(G645*K644,2)</f>
        <v>40184879</v>
      </c>
      <c r="M645" s="156">
        <f>ROUND(G645*J644,2)</f>
        <v>55201580</v>
      </c>
    </row>
    <row r="646" spans="1:13" hidden="1" x14ac:dyDescent="0.25">
      <c r="A646" s="168"/>
      <c r="B646" s="133" t="str">
        <f>'Công trình'!B319</f>
        <v>AI.52211</v>
      </c>
      <c r="C646" s="34"/>
      <c r="D646" s="133" t="str">
        <f>'Công trình'!C319</f>
        <v>Sản xuất kết cấu thép khe cửa- thép SUS304</v>
      </c>
      <c r="E646" s="168"/>
      <c r="F646" s="20">
        <v>1</v>
      </c>
      <c r="G646" s="45">
        <f>'Hao phí vật tư'!J2356</f>
        <v>1104.95</v>
      </c>
      <c r="H646" s="166"/>
      <c r="I646" s="166"/>
      <c r="J646" s="166"/>
      <c r="K646" s="166"/>
      <c r="L646" s="156">
        <f>ROUND(G646*K644,2)</f>
        <v>47457602.5</v>
      </c>
      <c r="M646" s="156">
        <f>ROUND(G646*J644,2)</f>
        <v>65192050</v>
      </c>
    </row>
    <row r="647" spans="1:13" x14ac:dyDescent="0.25">
      <c r="A647" s="168">
        <v>104</v>
      </c>
      <c r="B647" s="84" t="s">
        <v>132</v>
      </c>
      <c r="C647" s="34">
        <v>166</v>
      </c>
      <c r="D647" s="144" t="s">
        <v>1003</v>
      </c>
      <c r="E647" s="168" t="s">
        <v>555</v>
      </c>
      <c r="F647" s="34"/>
      <c r="G647" s="60">
        <f>SUM(G648:G689)</f>
        <v>12711.644699999997</v>
      </c>
      <c r="H647" s="166">
        <v>16050</v>
      </c>
      <c r="I647" s="139">
        <v>12574</v>
      </c>
      <c r="J647" s="139">
        <f>'Vật liệu'!W606</f>
        <v>12574</v>
      </c>
      <c r="K647" s="166">
        <f>J647-H647</f>
        <v>-3476</v>
      </c>
      <c r="L647" s="166">
        <f>ROUND(G647*K647,0)</f>
        <v>-44185677</v>
      </c>
      <c r="M647" s="166">
        <f>ROUND(G647*J647,0)</f>
        <v>159836220</v>
      </c>
    </row>
    <row r="648" spans="1:13" ht="30" hidden="1" x14ac:dyDescent="0.25">
      <c r="A648" s="168"/>
      <c r="B648" s="133" t="str">
        <f>'Công trình'!B15</f>
        <v>AF.82511</v>
      </c>
      <c r="C648" s="34"/>
      <c r="D648" s="133" t="str">
        <f>'Công trình'!C15</f>
        <v>Sản xuất, lắp dựng, tháo dỡ ván khuôn thép, ván khuôn móng</v>
      </c>
      <c r="E648" s="168"/>
      <c r="F648" s="20">
        <v>1</v>
      </c>
      <c r="G648" s="45">
        <f>'Hao phí vật tư'!J104</f>
        <v>22.381900000000002</v>
      </c>
      <c r="H648" s="166"/>
      <c r="I648" s="166"/>
      <c r="J648" s="166"/>
      <c r="K648" s="166"/>
      <c r="L648" s="156">
        <f>ROUND(G648*K647,2)</f>
        <v>-77799.48</v>
      </c>
      <c r="M648" s="156">
        <f>ROUND(G648*J647,2)</f>
        <v>281430.01</v>
      </c>
    </row>
    <row r="649" spans="1:13" ht="30" hidden="1" x14ac:dyDescent="0.25">
      <c r="A649" s="168"/>
      <c r="B649" s="133" t="str">
        <f>'Công trình'!B16</f>
        <v>AF.82111</v>
      </c>
      <c r="C649" s="34"/>
      <c r="D649" s="133" t="str">
        <f>'Công trình'!C16</f>
        <v>Sản xuất, lắp dựng tháo dỡ ván khuôn thép tường, chiều cao &lt;=16m</v>
      </c>
      <c r="E649" s="168"/>
      <c r="F649" s="20">
        <v>1</v>
      </c>
      <c r="G649" s="45">
        <f>'Hao phí vật tư'!J112</f>
        <v>185.4384</v>
      </c>
      <c r="H649" s="166"/>
      <c r="I649" s="166"/>
      <c r="J649" s="166"/>
      <c r="K649" s="166"/>
      <c r="L649" s="156">
        <f>ROUND(G649*K647,2)</f>
        <v>-644583.88</v>
      </c>
      <c r="M649" s="156">
        <f>ROUND(G649*J647,2)</f>
        <v>2331702.44</v>
      </c>
    </row>
    <row r="650" spans="1:13" ht="30" hidden="1" x14ac:dyDescent="0.25">
      <c r="A650" s="168"/>
      <c r="B650" s="133" t="str">
        <f>'Công trình'!B19</f>
        <v>AF.82111</v>
      </c>
      <c r="C650" s="34"/>
      <c r="D650" s="133" t="str">
        <f>'Công trình'!C19</f>
        <v>Sản xuất, lắp dựng tháo dỡ ván khuôn thép dầm, giằng, chiều cao &lt;=16m</v>
      </c>
      <c r="E650" s="168"/>
      <c r="F650" s="20">
        <v>1</v>
      </c>
      <c r="G650" s="45">
        <f>'Hao phí vật tư'!J138</f>
        <v>168.85400000000001</v>
      </c>
      <c r="H650" s="166"/>
      <c r="I650" s="166"/>
      <c r="J650" s="166"/>
      <c r="K650" s="166"/>
      <c r="L650" s="156">
        <f>ROUND(G650*K647,2)</f>
        <v>-586936.5</v>
      </c>
      <c r="M650" s="156">
        <f>ROUND(G650*J647,2)</f>
        <v>2123170.2000000002</v>
      </c>
    </row>
    <row r="651" spans="1:13" ht="30" hidden="1" x14ac:dyDescent="0.25">
      <c r="A651" s="168"/>
      <c r="B651" s="133" t="str">
        <f>'Công trình'!B31</f>
        <v>AF.82111</v>
      </c>
      <c r="C651" s="34"/>
      <c r="D651" s="133" t="str">
        <f>'Công trình'!C31</f>
        <v>Sản xuất, lắp dựng tháo dỡ ván khuôn thép tường, chiều cao &lt;=16m</v>
      </c>
      <c r="E651" s="168"/>
      <c r="F651" s="20">
        <v>1</v>
      </c>
      <c r="G651" s="45">
        <f>'Hao phí vật tư'!J218</f>
        <v>60.286099999999998</v>
      </c>
      <c r="H651" s="166"/>
      <c r="I651" s="166"/>
      <c r="J651" s="166"/>
      <c r="K651" s="166"/>
      <c r="L651" s="156">
        <f>ROUND(G651*K647,2)</f>
        <v>-209554.48</v>
      </c>
      <c r="M651" s="156">
        <f>ROUND(G651*J647,2)</f>
        <v>758037.42</v>
      </c>
    </row>
    <row r="652" spans="1:13" ht="30" hidden="1" x14ac:dyDescent="0.25">
      <c r="A652" s="168"/>
      <c r="B652" s="133" t="str">
        <f>'Công trình'!B39</f>
        <v>AI.13111</v>
      </c>
      <c r="C652" s="34"/>
      <c r="D652" s="133" t="str">
        <f>'Công trình'!C39</f>
        <v>Sản xuất cấu kiện thép đặt sẵn trong bê tông, khối lượng &lt;=10kg/cấu kiện</v>
      </c>
      <c r="E652" s="168"/>
      <c r="F652" s="20">
        <v>1</v>
      </c>
      <c r="G652" s="45">
        <f>'Hao phí vật tư'!J294</f>
        <v>8.58</v>
      </c>
      <c r="H652" s="166"/>
      <c r="I652" s="166"/>
      <c r="J652" s="166"/>
      <c r="K652" s="166"/>
      <c r="L652" s="156">
        <f>ROUND(G652*K647,2)</f>
        <v>-29824.080000000002</v>
      </c>
      <c r="M652" s="156">
        <f>ROUND(G652*J647,2)</f>
        <v>107884.92</v>
      </c>
    </row>
    <row r="653" spans="1:13" ht="30" hidden="1" x14ac:dyDescent="0.25">
      <c r="A653" s="168"/>
      <c r="B653" s="133" t="str">
        <f>'Công trình'!B59</f>
        <v>AF.82111</v>
      </c>
      <c r="C653" s="34"/>
      <c r="D653" s="133" t="str">
        <f>'Công trình'!C59</f>
        <v>Sản xuất, lắp dựng tháo dỡ ván khuôn thép dầm, giằng, chiều cao &lt;=16m</v>
      </c>
      <c r="E653" s="168"/>
      <c r="F653" s="20">
        <v>1</v>
      </c>
      <c r="G653" s="45">
        <f>'Hao phí vật tư'!J444</f>
        <v>119.44280000000001</v>
      </c>
      <c r="H653" s="166"/>
      <c r="I653" s="166"/>
      <c r="J653" s="166"/>
      <c r="K653" s="166"/>
      <c r="L653" s="156">
        <f>ROUND(G653*K647,2)</f>
        <v>-415183.17</v>
      </c>
      <c r="M653" s="156">
        <f>ROUND(G653*J647,2)</f>
        <v>1501873.77</v>
      </c>
    </row>
    <row r="654" spans="1:13" ht="30" hidden="1" x14ac:dyDescent="0.25">
      <c r="A654" s="168"/>
      <c r="B654" s="133" t="str">
        <f>'Công trình'!B72</f>
        <v>AI.13111</v>
      </c>
      <c r="C654" s="34"/>
      <c r="D654" s="133" t="str">
        <f>'Công trình'!C72</f>
        <v>Sản xuất cấu kiện thép đặt sẵn trong bê tông, khối lượng &lt;=10kg/cấu kiện</v>
      </c>
      <c r="E654" s="168"/>
      <c r="F654" s="20">
        <v>1</v>
      </c>
      <c r="G654" s="45">
        <f>'Hao phí vật tư'!J550</f>
        <v>894.96</v>
      </c>
      <c r="H654" s="166"/>
      <c r="I654" s="166"/>
      <c r="J654" s="166"/>
      <c r="K654" s="166"/>
      <c r="L654" s="156">
        <f>ROUND(G654*K647,2)</f>
        <v>-3110880.96</v>
      </c>
      <c r="M654" s="156">
        <f>ROUND(G654*J647,2)</f>
        <v>11253227.039999999</v>
      </c>
    </row>
    <row r="655" spans="1:13" hidden="1" x14ac:dyDescent="0.25">
      <c r="A655" s="168"/>
      <c r="B655" s="133" t="str">
        <f>'Công trình'!B74</f>
        <v>AI.52211</v>
      </c>
      <c r="C655" s="34"/>
      <c r="D655" s="133" t="str">
        <f>'Công trình'!C74</f>
        <v>Sản xuất kết cấu thép hộp nối cọc</v>
      </c>
      <c r="E655" s="168"/>
      <c r="F655" s="20">
        <v>1</v>
      </c>
      <c r="G655" s="45">
        <f>'Hao phí vật tư'!J577</f>
        <v>658.47500000000002</v>
      </c>
      <c r="H655" s="166"/>
      <c r="I655" s="166"/>
      <c r="J655" s="166"/>
      <c r="K655" s="166"/>
      <c r="L655" s="156">
        <f>ROUND(G655*K647,2)</f>
        <v>-2288859.1</v>
      </c>
      <c r="M655" s="156">
        <f>ROUND(G655*J647,2)</f>
        <v>8279664.6500000004</v>
      </c>
    </row>
    <row r="656" spans="1:13" ht="30" hidden="1" x14ac:dyDescent="0.25">
      <c r="A656" s="168"/>
      <c r="B656" s="133" t="str">
        <f>'Công trình'!B83</f>
        <v>AI.13111</v>
      </c>
      <c r="C656" s="34"/>
      <c r="D656" s="133" t="str">
        <f>'Công trình'!C83</f>
        <v>Sản xuất cấu kiện thép đặt sẵn trong bê tông, khối lượng &lt;=10kg/cấu kiện</v>
      </c>
      <c r="E656" s="168"/>
      <c r="F656" s="20">
        <v>1</v>
      </c>
      <c r="G656" s="45">
        <f>'Hao phí vật tư'!J666</f>
        <v>422.64749999999998</v>
      </c>
      <c r="H656" s="166"/>
      <c r="I656" s="166"/>
      <c r="J656" s="166"/>
      <c r="K656" s="166"/>
      <c r="L656" s="156">
        <f>ROUND(G656*K647,2)</f>
        <v>-1469122.71</v>
      </c>
      <c r="M656" s="156">
        <f>ROUND(G656*J647,2)</f>
        <v>5314369.67</v>
      </c>
    </row>
    <row r="657" spans="1:13" hidden="1" x14ac:dyDescent="0.25">
      <c r="A657" s="168"/>
      <c r="B657" s="133" t="str">
        <f>'Công trình'!B85</f>
        <v>AI.52211</v>
      </c>
      <c r="C657" s="34"/>
      <c r="D657" s="133" t="str">
        <f>'Công trình'!C85</f>
        <v>Sản xuất kết cấu thép hộp nối cọc</v>
      </c>
      <c r="E657" s="168"/>
      <c r="F657" s="20">
        <v>1</v>
      </c>
      <c r="G657" s="45">
        <f>'Hao phí vật tư'!J693</f>
        <v>286.39999999999998</v>
      </c>
      <c r="H657" s="166"/>
      <c r="I657" s="166"/>
      <c r="J657" s="166"/>
      <c r="K657" s="166"/>
      <c r="L657" s="156">
        <f>ROUND(G657*K647,2)</f>
        <v>-995526.4</v>
      </c>
      <c r="M657" s="156">
        <f>ROUND(G657*J647,2)</f>
        <v>3601193.6</v>
      </c>
    </row>
    <row r="658" spans="1:13" ht="30" hidden="1" x14ac:dyDescent="0.25">
      <c r="A658" s="168"/>
      <c r="B658" s="133" t="str">
        <f>'Công trình'!B105</f>
        <v>AI.11131</v>
      </c>
      <c r="C658" s="34"/>
      <c r="D658" s="133" t="str">
        <f>'Công trình'!C105</f>
        <v>Khấu hao cọc dẫn bằng thép hình (đóng nhổ 40 lần trong 1 tháng)</v>
      </c>
      <c r="E658" s="168"/>
      <c r="F658" s="20">
        <v>1</v>
      </c>
      <c r="G658" s="45">
        <f>'Hao phí vật tư'!J848</f>
        <v>35.793599999999998</v>
      </c>
      <c r="H658" s="166"/>
      <c r="I658" s="166"/>
      <c r="J658" s="166"/>
      <c r="K658" s="166"/>
      <c r="L658" s="156">
        <f>ROUND(G658*K647,2)</f>
        <v>-124418.55</v>
      </c>
      <c r="M658" s="156">
        <f>ROUND(G658*J647,2)</f>
        <v>450068.73</v>
      </c>
    </row>
    <row r="659" spans="1:13" hidden="1" x14ac:dyDescent="0.25">
      <c r="A659" s="168"/>
      <c r="B659" s="133" t="str">
        <f>'Công trình'!B109</f>
        <v>AI.11912</v>
      </c>
      <c r="C659" s="34"/>
      <c r="D659" s="133" t="str">
        <f>'Công trình'!C109</f>
        <v>Sản xuất hệ sàn đạo, sàn thao tác</v>
      </c>
      <c r="E659" s="168"/>
      <c r="F659" s="20">
        <v>1</v>
      </c>
      <c r="G659" s="45">
        <f>'Hao phí vật tư'!J868</f>
        <v>0</v>
      </c>
      <c r="H659" s="166"/>
      <c r="I659" s="166"/>
      <c r="J659" s="166"/>
      <c r="K659" s="166"/>
      <c r="L659" s="156">
        <f>ROUND(G659*K647,2)</f>
        <v>0</v>
      </c>
      <c r="M659" s="156">
        <f>ROUND(G659*J647,2)</f>
        <v>0</v>
      </c>
    </row>
    <row r="660" spans="1:13" ht="30" hidden="1" x14ac:dyDescent="0.25">
      <c r="A660" s="168"/>
      <c r="B660" s="133" t="str">
        <f>'Công trình'!B110</f>
        <v>TT</v>
      </c>
      <c r="C660" s="34"/>
      <c r="D660" s="133" t="str">
        <f>'Công trình'!C110</f>
        <v>Khấu hao hệ sàn đạo, sàn thao tác (Thi công trong vòng 1 tháng và 5 lần đóng nhổ)</v>
      </c>
      <c r="E660" s="168"/>
      <c r="F660" s="20">
        <v>1</v>
      </c>
      <c r="G660" s="45">
        <f>'Hao phí vật tư'!J882</f>
        <v>338.5016</v>
      </c>
      <c r="H660" s="166"/>
      <c r="I660" s="166"/>
      <c r="J660" s="166"/>
      <c r="K660" s="166"/>
      <c r="L660" s="156">
        <f>ROUND(G660*K647,2)</f>
        <v>-1176631.56</v>
      </c>
      <c r="M660" s="156">
        <f>ROUND(G660*J647,2)</f>
        <v>4256319.12</v>
      </c>
    </row>
    <row r="661" spans="1:13" hidden="1" x14ac:dyDescent="0.25">
      <c r="A661" s="168"/>
      <c r="B661" s="133" t="str">
        <f>'Công trình'!B104</f>
        <v>AI.11131</v>
      </c>
      <c r="C661" s="34"/>
      <c r="D661" s="133" t="str">
        <f>'Công trình'!C104</f>
        <v>Sản xuất cọc dẫn bằng thép hình</v>
      </c>
      <c r="E661" s="168"/>
      <c r="F661" s="20">
        <v>1</v>
      </c>
      <c r="G661" s="45">
        <f>'Hao phí vật tư'!J832</f>
        <v>0</v>
      </c>
      <c r="H661" s="166"/>
      <c r="I661" s="166"/>
      <c r="J661" s="166"/>
      <c r="K661" s="166"/>
      <c r="L661" s="156">
        <f>ROUND(G661*K647,2)</f>
        <v>0</v>
      </c>
      <c r="M661" s="156">
        <f>ROUND(G661*J647,2)</f>
        <v>0</v>
      </c>
    </row>
    <row r="662" spans="1:13" hidden="1" x14ac:dyDescent="0.25">
      <c r="A662" s="168"/>
      <c r="B662" s="133" t="str">
        <f>'Công trình'!B120</f>
        <v>AI.11912</v>
      </c>
      <c r="C662" s="34"/>
      <c r="D662" s="133" t="str">
        <f>'Công trình'!C120</f>
        <v>Sản xuất hệ sàn đạo, sàn thao tác</v>
      </c>
      <c r="E662" s="168"/>
      <c r="F662" s="20">
        <v>1</v>
      </c>
      <c r="G662" s="45">
        <f>'Hao phí vật tư'!J940</f>
        <v>0</v>
      </c>
      <c r="H662" s="166"/>
      <c r="I662" s="166"/>
      <c r="J662" s="166"/>
      <c r="K662" s="166"/>
      <c r="L662" s="156">
        <f>ROUND(G662*K647,2)</f>
        <v>0</v>
      </c>
      <c r="M662" s="156">
        <f>ROUND(G662*J647,2)</f>
        <v>0</v>
      </c>
    </row>
    <row r="663" spans="1:13" ht="30" hidden="1" x14ac:dyDescent="0.25">
      <c r="A663" s="168"/>
      <c r="B663" s="133" t="str">
        <f>'Công trình'!B121</f>
        <v>TT</v>
      </c>
      <c r="C663" s="34"/>
      <c r="D663" s="133" t="str">
        <f>'Công trình'!C121</f>
        <v>Khấu hao hệ sàn đạo, sàn thao tác (Thi công trong vòng 1 tháng và 4 lần đóng nhổ)</v>
      </c>
      <c r="E663" s="168"/>
      <c r="F663" s="20">
        <v>1</v>
      </c>
      <c r="G663" s="45">
        <f>'Hao phí vật tư'!J954</f>
        <v>565.24369999999999</v>
      </c>
      <c r="H663" s="166"/>
      <c r="I663" s="166"/>
      <c r="J663" s="166"/>
      <c r="K663" s="166"/>
      <c r="L663" s="156">
        <f>ROUND(G663*K647,2)</f>
        <v>-1964787.1</v>
      </c>
      <c r="M663" s="156">
        <f>ROUND(G663*J647,2)</f>
        <v>7107374.2800000003</v>
      </c>
    </row>
    <row r="664" spans="1:13" hidden="1" x14ac:dyDescent="0.25">
      <c r="A664" s="168"/>
      <c r="B664" s="133" t="str">
        <f>'Công trình'!B136</f>
        <v>AI.11912</v>
      </c>
      <c r="C664" s="34"/>
      <c r="D664" s="133" t="str">
        <f>'Công trình'!C136</f>
        <v>Sản xuất hệ sàn đạo, sàn thao tác</v>
      </c>
      <c r="E664" s="168"/>
      <c r="F664" s="20">
        <v>1</v>
      </c>
      <c r="G664" s="45">
        <f>'Hao phí vật tư'!J1041</f>
        <v>0</v>
      </c>
      <c r="H664" s="166"/>
      <c r="I664" s="166"/>
      <c r="J664" s="166"/>
      <c r="K664" s="166"/>
      <c r="L664" s="156">
        <f>ROUND(G664*K647,2)</f>
        <v>0</v>
      </c>
      <c r="M664" s="156">
        <f>ROUND(G664*J647,2)</f>
        <v>0</v>
      </c>
    </row>
    <row r="665" spans="1:13" ht="30" hidden="1" x14ac:dyDescent="0.25">
      <c r="A665" s="168"/>
      <c r="B665" s="133" t="str">
        <f>'Công trình'!B137</f>
        <v>TT</v>
      </c>
      <c r="C665" s="34"/>
      <c r="D665" s="133" t="str">
        <f>'Công trình'!C137</f>
        <v>Khấu hao hệ sàn đạo, sàn thao tác (Thi công trong vòng 3 tháng và 1 lần đóng nhổ)</v>
      </c>
      <c r="E665" s="168"/>
      <c r="F665" s="20">
        <v>1</v>
      </c>
      <c r="G665" s="45">
        <f>'Hao phí vật tư'!J1055</f>
        <v>3880.5821000000001</v>
      </c>
      <c r="H665" s="166"/>
      <c r="I665" s="166"/>
      <c r="J665" s="166"/>
      <c r="K665" s="166"/>
      <c r="L665" s="156">
        <f>ROUND(G665*K647,2)</f>
        <v>-13488903.380000001</v>
      </c>
      <c r="M665" s="156">
        <f>ROUND(G665*J647,2)</f>
        <v>48794439.329999998</v>
      </c>
    </row>
    <row r="666" spans="1:13" ht="30" hidden="1" x14ac:dyDescent="0.25">
      <c r="A666" s="168"/>
      <c r="B666" s="133" t="str">
        <f>'Công trình'!B158</f>
        <v>TT</v>
      </c>
      <c r="C666" s="34"/>
      <c r="D666" s="133" t="str">
        <f>'Công trình'!C158</f>
        <v>Khấu hao hệ sàn đạo, sàn thao tác (Thi công trong vòng 3 tháng và 1 lần đóng nhổ)</v>
      </c>
      <c r="E666" s="168"/>
      <c r="F666" s="20">
        <v>1</v>
      </c>
      <c r="G666" s="45">
        <f>'Hao phí vật tư'!J1204</f>
        <v>1891.8715999999999</v>
      </c>
      <c r="H666" s="166"/>
      <c r="I666" s="166"/>
      <c r="J666" s="166"/>
      <c r="K666" s="166"/>
      <c r="L666" s="156">
        <f>ROUND(G666*K647,2)</f>
        <v>-6576145.6799999997</v>
      </c>
      <c r="M666" s="156">
        <f>ROUND(G666*J647,2)</f>
        <v>23788393.5</v>
      </c>
    </row>
    <row r="667" spans="1:13" hidden="1" x14ac:dyDescent="0.25">
      <c r="A667" s="168"/>
      <c r="B667" s="133" t="str">
        <f>'Công trình'!B157</f>
        <v>AI.11912</v>
      </c>
      <c r="C667" s="34"/>
      <c r="D667" s="133" t="str">
        <f>'Công trình'!C157</f>
        <v>Sản xuất cầu công tác</v>
      </c>
      <c r="E667" s="168"/>
      <c r="F667" s="20">
        <v>1</v>
      </c>
      <c r="G667" s="45">
        <f>'Hao phí vật tư'!J1190</f>
        <v>0</v>
      </c>
      <c r="H667" s="166"/>
      <c r="I667" s="166"/>
      <c r="J667" s="166"/>
      <c r="K667" s="166"/>
      <c r="L667" s="156">
        <f>ROUND(G667*K647,2)</f>
        <v>0</v>
      </c>
      <c r="M667" s="156">
        <f>ROUND(G667*J647,2)</f>
        <v>0</v>
      </c>
    </row>
    <row r="668" spans="1:13" ht="30" hidden="1" x14ac:dyDescent="0.25">
      <c r="A668" s="168"/>
      <c r="B668" s="133" t="str">
        <f>'Công trình'!B168</f>
        <v>AG.32211</v>
      </c>
      <c r="C668" s="34"/>
      <c r="D668" s="133" t="str">
        <f>'Công trình'!C168</f>
        <v>Sản xuất, lắp dựng tháo dỡ ván khuôn kim loại các loại cấu kiện khác</v>
      </c>
      <c r="E668" s="168"/>
      <c r="F668" s="20">
        <v>1</v>
      </c>
      <c r="G668" s="45">
        <f>'Hao phí vật tư'!J1271</f>
        <v>5.4779999999999998</v>
      </c>
      <c r="H668" s="166"/>
      <c r="I668" s="166"/>
      <c r="J668" s="166"/>
      <c r="K668" s="166"/>
      <c r="L668" s="156">
        <f>ROUND(G668*K647,2)</f>
        <v>-19041.53</v>
      </c>
      <c r="M668" s="156">
        <f>ROUND(G668*J647,2)</f>
        <v>68880.37</v>
      </c>
    </row>
    <row r="669" spans="1:13" ht="30" hidden="1" x14ac:dyDescent="0.25">
      <c r="A669" s="168"/>
      <c r="B669" s="133" t="str">
        <f>'Công trình'!B200</f>
        <v>AF.82111</v>
      </c>
      <c r="C669" s="34"/>
      <c r="D669" s="133" t="str">
        <f>'Công trình'!C200</f>
        <v>Sản xuất, lắp dựng tháo dỡ ván khuôn thép, cây chống gỗ dầm ngang, chiều cao &lt;=16m</v>
      </c>
      <c r="E669" s="168"/>
      <c r="F669" s="20">
        <v>1</v>
      </c>
      <c r="G669" s="45">
        <f>'Hao phí vật tư'!J1541</f>
        <v>20.0505</v>
      </c>
      <c r="H669" s="166"/>
      <c r="I669" s="166"/>
      <c r="J669" s="166"/>
      <c r="K669" s="166"/>
      <c r="L669" s="156">
        <f>ROUND(G669*K647,2)</f>
        <v>-69695.539999999994</v>
      </c>
      <c r="M669" s="156">
        <f>ROUND(G669*J647,2)</f>
        <v>252114.99</v>
      </c>
    </row>
    <row r="670" spans="1:13" ht="30" hidden="1" x14ac:dyDescent="0.25">
      <c r="A670" s="168"/>
      <c r="B670" s="133" t="str">
        <f>'Công trình'!B229</f>
        <v>AI.13111</v>
      </c>
      <c r="C670" s="34"/>
      <c r="D670" s="133" t="str">
        <f>'Công trình'!C229</f>
        <v>Sản xuất cấu kiện thép đặt sẵn trong bê tông, khối lượng &lt;=10kg/cấu kiện</v>
      </c>
      <c r="E670" s="168"/>
      <c r="F670" s="20">
        <v>1</v>
      </c>
      <c r="G670" s="45">
        <f>'Hao phí vật tư'!J1726</f>
        <v>817.74</v>
      </c>
      <c r="H670" s="166"/>
      <c r="I670" s="166"/>
      <c r="J670" s="166"/>
      <c r="K670" s="166"/>
      <c r="L670" s="156">
        <f>ROUND(G670*K647,2)</f>
        <v>-2842464.24</v>
      </c>
      <c r="M670" s="156">
        <f>ROUND(G670*J647,2)</f>
        <v>10282262.76</v>
      </c>
    </row>
    <row r="671" spans="1:13" hidden="1" x14ac:dyDescent="0.25">
      <c r="A671" s="168"/>
      <c r="B671" s="133" t="str">
        <f>'Công trình'!B231</f>
        <v>AI.52211</v>
      </c>
      <c r="C671" s="34"/>
      <c r="D671" s="133" t="str">
        <f>'Công trình'!C231</f>
        <v>Thép hình hộp nối cọc</v>
      </c>
      <c r="E671" s="168"/>
      <c r="F671" s="20">
        <v>1</v>
      </c>
      <c r="G671" s="45">
        <f>'Hao phí vật tư'!J1753</f>
        <v>617.32500000000005</v>
      </c>
      <c r="H671" s="166"/>
      <c r="I671" s="166"/>
      <c r="J671" s="166"/>
      <c r="K671" s="166"/>
      <c r="L671" s="156">
        <f>ROUND(G671*K647,2)</f>
        <v>-2145821.7000000002</v>
      </c>
      <c r="M671" s="156">
        <f>ROUND(G671*J647,2)</f>
        <v>7762244.5499999998</v>
      </c>
    </row>
    <row r="672" spans="1:13" ht="30" hidden="1" x14ac:dyDescent="0.25">
      <c r="A672" s="168"/>
      <c r="B672" s="133" t="str">
        <f>'Công trình'!B249</f>
        <v>AF.82111</v>
      </c>
      <c r="C672" s="34"/>
      <c r="D672" s="133" t="str">
        <f>'Công trình'!C249</f>
        <v>Sản xuất, lắp dựng tháo dỡ ván khuôn thép, cây chống gỗ dầm, giằng, chiều cao &lt;=16m</v>
      </c>
      <c r="E672" s="168"/>
      <c r="F672" s="20">
        <v>1</v>
      </c>
      <c r="G672" s="45">
        <f>'Hao phí vật tư'!J1889</f>
        <v>36.971600000000002</v>
      </c>
      <c r="H672" s="166"/>
      <c r="I672" s="166"/>
      <c r="J672" s="166"/>
      <c r="K672" s="166"/>
      <c r="L672" s="156">
        <f>ROUND(G672*K647,2)</f>
        <v>-128513.28</v>
      </c>
      <c r="M672" s="156">
        <f>ROUND(G672*J647,2)</f>
        <v>464880.9</v>
      </c>
    </row>
    <row r="673" spans="1:13" ht="30" hidden="1" x14ac:dyDescent="0.25">
      <c r="A673" s="168"/>
      <c r="B673" s="133" t="str">
        <f>'Công trình'!B256</f>
        <v>AF.82111</v>
      </c>
      <c r="C673" s="34"/>
      <c r="D673" s="133" t="str">
        <f>'Công trình'!C256</f>
        <v>Sản xuất, lắp dựng tháo dỡ ván khuôn thép lan can</v>
      </c>
      <c r="E673" s="168"/>
      <c r="F673" s="20">
        <v>1</v>
      </c>
      <c r="G673" s="45">
        <f>'Hao phí vật tư'!J1950</f>
        <v>79.258899999999997</v>
      </c>
      <c r="H673" s="166"/>
      <c r="I673" s="166"/>
      <c r="J673" s="166"/>
      <c r="K673" s="166"/>
      <c r="L673" s="156">
        <f>ROUND(G673*K647,2)</f>
        <v>-275503.94</v>
      </c>
      <c r="M673" s="156">
        <f>ROUND(G673*J647,2)</f>
        <v>996601.41</v>
      </c>
    </row>
    <row r="674" spans="1:13" hidden="1" x14ac:dyDescent="0.25">
      <c r="A674" s="168"/>
      <c r="B674" s="133" t="str">
        <f>'Công trình'!B287</f>
        <v>AF.82511</v>
      </c>
      <c r="C674" s="34"/>
      <c r="D674" s="133" t="str">
        <f>'Công trình'!C287</f>
        <v>Ván khuôn móng</v>
      </c>
      <c r="E674" s="168"/>
      <c r="F674" s="20">
        <v>1</v>
      </c>
      <c r="G674" s="45">
        <f>'Hao phí vật tư'!J2156</f>
        <v>32.495199999999997</v>
      </c>
      <c r="H674" s="166"/>
      <c r="I674" s="166"/>
      <c r="J674" s="166"/>
      <c r="K674" s="166"/>
      <c r="L674" s="156">
        <f>ROUND(G674*K647,2)</f>
        <v>-112953.32</v>
      </c>
      <c r="M674" s="156">
        <f>ROUND(G674*J647,2)</f>
        <v>408594.64</v>
      </c>
    </row>
    <row r="675" spans="1:13" hidden="1" x14ac:dyDescent="0.25">
      <c r="A675" s="168"/>
      <c r="B675" s="133" t="str">
        <f>'Công trình'!B298</f>
        <v>AF.82511</v>
      </c>
      <c r="C675" s="34"/>
      <c r="D675" s="133" t="str">
        <f>'Công trình'!C298</f>
        <v>Ván khuôn móng</v>
      </c>
      <c r="E675" s="168"/>
      <c r="F675" s="20">
        <v>1</v>
      </c>
      <c r="G675" s="45">
        <f>'Hao phí vật tư'!J2234</f>
        <v>0.93259999999999998</v>
      </c>
      <c r="H675" s="166"/>
      <c r="I675" s="166"/>
      <c r="J675" s="166"/>
      <c r="K675" s="166"/>
      <c r="L675" s="156">
        <f>ROUND(G675*K647,2)</f>
        <v>-3241.72</v>
      </c>
      <c r="M675" s="156">
        <f>ROUND(G675*J647,2)</f>
        <v>11726.51</v>
      </c>
    </row>
    <row r="676" spans="1:13" ht="45" hidden="1" x14ac:dyDescent="0.25">
      <c r="A676" s="168"/>
      <c r="B676" s="133" t="str">
        <f>'Công trình'!B305</f>
        <v>AF.82511</v>
      </c>
      <c r="C676" s="34"/>
      <c r="D676" s="133" t="str">
        <f>'Công trình'!C305</f>
        <v>Sản xuất, lắp dựng, tháo dỡ ván khuôn cho bê tông đổ tại chổ, ván khuôn thép, ván khuôn móng</v>
      </c>
      <c r="E676" s="168"/>
      <c r="F676" s="20">
        <v>1</v>
      </c>
      <c r="G676" s="45">
        <f>'Hao phí vật tư'!J2289</f>
        <v>17.097300000000001</v>
      </c>
      <c r="H676" s="166"/>
      <c r="I676" s="166"/>
      <c r="J676" s="166"/>
      <c r="K676" s="166"/>
      <c r="L676" s="156">
        <f>ROUND(G676*K647,2)</f>
        <v>-59430.21</v>
      </c>
      <c r="M676" s="156">
        <f>ROUND(G676*J647,2)</f>
        <v>214981.45</v>
      </c>
    </row>
    <row r="677" spans="1:13" ht="30" hidden="1" x14ac:dyDescent="0.25">
      <c r="A677" s="168"/>
      <c r="B677" s="133" t="str">
        <f>'Công trình'!B179</f>
        <v>AF.87211</v>
      </c>
      <c r="C677" s="34"/>
      <c r="D677" s="133" t="str">
        <f>'Công trình'!C179</f>
        <v>Sản xuất, lắp dựng, tháo dỡ ván khuôn mố, trụ cầu trên cạn</v>
      </c>
      <c r="E677" s="168"/>
      <c r="F677" s="20">
        <v>1</v>
      </c>
      <c r="G677" s="45">
        <f>'Hao phí vật tư'!J1355</f>
        <v>86.212000000000003</v>
      </c>
      <c r="H677" s="166"/>
      <c r="I677" s="166"/>
      <c r="J677" s="166"/>
      <c r="K677" s="166"/>
      <c r="L677" s="156">
        <f>ROUND(G677*K647,2)</f>
        <v>-299672.90999999997</v>
      </c>
      <c r="M677" s="156">
        <f>ROUND(G677*J647,2)</f>
        <v>1084029.69</v>
      </c>
    </row>
    <row r="678" spans="1:13" ht="30" hidden="1" x14ac:dyDescent="0.25">
      <c r="A678" s="168"/>
      <c r="B678" s="133" t="str">
        <f>'Công trình'!B189</f>
        <v>AF.87211</v>
      </c>
      <c r="C678" s="34"/>
      <c r="D678" s="133" t="str">
        <f>'Công trình'!C189</f>
        <v>Sản xuất, lắp dựng, tháo dỡ ván khuôn mố, trụ cầu trên cạn</v>
      </c>
      <c r="E678" s="168"/>
      <c r="F678" s="20">
        <v>1</v>
      </c>
      <c r="G678" s="45">
        <f>'Hao phí vật tư'!J1446</f>
        <v>24.701599999999999</v>
      </c>
      <c r="H678" s="166"/>
      <c r="I678" s="166"/>
      <c r="J678" s="166"/>
      <c r="K678" s="166"/>
      <c r="L678" s="156">
        <f>ROUND(G678*K647,2)</f>
        <v>-85862.76</v>
      </c>
      <c r="M678" s="156">
        <f>ROUND(G678*J647,2)</f>
        <v>310597.92</v>
      </c>
    </row>
    <row r="679" spans="1:13" ht="30" hidden="1" x14ac:dyDescent="0.25">
      <c r="A679" s="168"/>
      <c r="B679" s="133" t="str">
        <f>'Công trình'!B201</f>
        <v>AF.82311</v>
      </c>
      <c r="C679" s="34"/>
      <c r="D679" s="133" t="str">
        <f>'Công trình'!C201</f>
        <v>Sản xuất, lắp dựng tháo dỡ ván khuôn thép, cây chống gỗ mặt cầu, chiều cao &lt;=16m</v>
      </c>
      <c r="E679" s="168"/>
      <c r="F679" s="20">
        <v>1</v>
      </c>
      <c r="G679" s="45">
        <f>'Hao phí vật tư'!J1554</f>
        <v>130.9342</v>
      </c>
      <c r="H679" s="166"/>
      <c r="I679" s="166"/>
      <c r="J679" s="166"/>
      <c r="K679" s="166"/>
      <c r="L679" s="156">
        <f>ROUND(G679*K647,2)</f>
        <v>-455127.28</v>
      </c>
      <c r="M679" s="156">
        <f>ROUND(G679*J647,2)</f>
        <v>1646366.63</v>
      </c>
    </row>
    <row r="680" spans="1:13" ht="45" hidden="1" x14ac:dyDescent="0.25">
      <c r="A680" s="168"/>
      <c r="B680" s="133" t="str">
        <f>'Công trình'!B180</f>
        <v>AF.82511</v>
      </c>
      <c r="C680" s="34"/>
      <c r="D680" s="133" t="str">
        <f>'Công trình'!C180</f>
        <v>Sản xuất, lắp dựng, tháo dỡ ván khuôn cho bê tông đổ tại chổ, ván khuôn thép, ván khuôn bản dẫn</v>
      </c>
      <c r="E680" s="168"/>
      <c r="F680" s="20">
        <v>1</v>
      </c>
      <c r="G680" s="45">
        <f>'Hao phí vật tư'!J1369</f>
        <v>9.7402999999999995</v>
      </c>
      <c r="H680" s="166"/>
      <c r="I680" s="166"/>
      <c r="J680" s="166"/>
      <c r="K680" s="166"/>
      <c r="L680" s="156">
        <f>ROUND(G680*K647,2)</f>
        <v>-33857.279999999999</v>
      </c>
      <c r="M680" s="156">
        <f>ROUND(G680*J647,2)</f>
        <v>122474.53</v>
      </c>
    </row>
    <row r="681" spans="1:13" ht="30" hidden="1" x14ac:dyDescent="0.25">
      <c r="A681" s="168"/>
      <c r="B681" s="133" t="str">
        <f>'Công trình'!B230</f>
        <v>AG.32321</v>
      </c>
      <c r="C681" s="34"/>
      <c r="D681" s="133" t="str">
        <f>'Công trình'!C230</f>
        <v>Sản xuất, lắp dựng, tháo dỡ ván khuôn thép bê tông đúc sẵn cọc, cột</v>
      </c>
      <c r="E681" s="168"/>
      <c r="F681" s="20">
        <v>1</v>
      </c>
      <c r="G681" s="45">
        <f>'Hao phí vật tư'!J1740</f>
        <v>154.86009999999999</v>
      </c>
      <c r="H681" s="166"/>
      <c r="I681" s="166"/>
      <c r="J681" s="166"/>
      <c r="K681" s="166"/>
      <c r="L681" s="156">
        <f>ROUND(G681*K647,2)</f>
        <v>-538293.71</v>
      </c>
      <c r="M681" s="156">
        <f>ROUND(G681*J647,2)</f>
        <v>1947210.9</v>
      </c>
    </row>
    <row r="682" spans="1:13" ht="30" hidden="1" x14ac:dyDescent="0.25">
      <c r="A682" s="168"/>
      <c r="B682" s="133" t="str">
        <f>'Công trình'!B56</f>
        <v>AG.32511</v>
      </c>
      <c r="C682" s="34"/>
      <c r="D682" s="133" t="str">
        <f>'Công trình'!C56</f>
        <v>Sản xuất, lắp dựng, tháo dỡ ván khuôn thép bê tông đúc sẵn tấm tự chèn</v>
      </c>
      <c r="E682" s="168"/>
      <c r="F682" s="20">
        <v>1</v>
      </c>
      <c r="G682" s="45">
        <f>'Hao phí vật tư'!J410</f>
        <v>229.60679999999999</v>
      </c>
      <c r="H682" s="166"/>
      <c r="I682" s="166"/>
      <c r="J682" s="166"/>
      <c r="K682" s="166"/>
      <c r="L682" s="156">
        <f>ROUND(G682*K647,2)</f>
        <v>-798113.24</v>
      </c>
      <c r="M682" s="156">
        <f>ROUND(G682*J647,2)</f>
        <v>2887075.9</v>
      </c>
    </row>
    <row r="683" spans="1:13" ht="30" hidden="1" x14ac:dyDescent="0.25">
      <c r="A683" s="168"/>
      <c r="B683" s="133" t="str">
        <f>'Công trình'!B251</f>
        <v>AG.32511</v>
      </c>
      <c r="C683" s="34"/>
      <c r="D683" s="133" t="str">
        <f>'Công trình'!C251</f>
        <v>Sản xuất, lắp dựng, tháo dỡ ván khuôn thép bê tông đúc sẵn nắp đan, tấm chớp</v>
      </c>
      <c r="E683" s="168"/>
      <c r="F683" s="20">
        <v>1</v>
      </c>
      <c r="G683" s="45">
        <f>'Hao phí vật tư'!J1912</f>
        <v>293.32389999999998</v>
      </c>
      <c r="H683" s="166"/>
      <c r="I683" s="166"/>
      <c r="J683" s="166"/>
      <c r="K683" s="166"/>
      <c r="L683" s="156">
        <f>ROUND(G683*K647,2)</f>
        <v>-1019593.88</v>
      </c>
      <c r="M683" s="156">
        <f>ROUND(G683*J647,2)</f>
        <v>3688254.72</v>
      </c>
    </row>
    <row r="684" spans="1:13" ht="30" hidden="1" x14ac:dyDescent="0.25">
      <c r="A684" s="168"/>
      <c r="B684" s="133" t="str">
        <f>'Công trình'!B73</f>
        <v>AG.32321</v>
      </c>
      <c r="C684" s="34"/>
      <c r="D684" s="133" t="str">
        <f>'Công trình'!C73</f>
        <v>Sản xuất, lắp dựng, tháo dỡ ván khuôn thép bê tông đúc sẵn cọc</v>
      </c>
      <c r="E684" s="168"/>
      <c r="F684" s="20">
        <v>1</v>
      </c>
      <c r="G684" s="45">
        <f>'Hao phí vật tư'!J564</f>
        <v>143.13380000000001</v>
      </c>
      <c r="H684" s="166"/>
      <c r="I684" s="166"/>
      <c r="J684" s="166"/>
      <c r="K684" s="166"/>
      <c r="L684" s="156">
        <f>ROUND(G684*K647,2)</f>
        <v>-497533.09</v>
      </c>
      <c r="M684" s="156">
        <f>ROUND(G684*J647,2)</f>
        <v>1799764.4</v>
      </c>
    </row>
    <row r="685" spans="1:13" ht="30" hidden="1" x14ac:dyDescent="0.25">
      <c r="A685" s="168"/>
      <c r="B685" s="133" t="str">
        <f>'Công trình'!B84</f>
        <v>AG.32321</v>
      </c>
      <c r="C685" s="34"/>
      <c r="D685" s="133" t="str">
        <f>'Công trình'!C84</f>
        <v>Sản xuất, lắp dựng, tháo dỡ ván khuôn thép bê tông đúc sẵn cọc</v>
      </c>
      <c r="E685" s="168"/>
      <c r="F685" s="20">
        <v>1</v>
      </c>
      <c r="G685" s="45">
        <f>'Hao phí vật tư'!J680</f>
        <v>64.769400000000005</v>
      </c>
      <c r="H685" s="166"/>
      <c r="I685" s="166"/>
      <c r="J685" s="166"/>
      <c r="K685" s="166"/>
      <c r="L685" s="156">
        <f>ROUND(G685*K647,2)</f>
        <v>-225138.43</v>
      </c>
      <c r="M685" s="156">
        <f>ROUND(G685*J647,2)</f>
        <v>814410.44</v>
      </c>
    </row>
    <row r="686" spans="1:13" ht="45" hidden="1" x14ac:dyDescent="0.25">
      <c r="A686" s="168"/>
      <c r="B686" s="133" t="str">
        <f>'Công trình'!B35</f>
        <v>AF.82111</v>
      </c>
      <c r="C686" s="34"/>
      <c r="D686" s="133" t="str">
        <f>'Công trình'!C35</f>
        <v>Sản xuất, lắp dựng tháo dỡ ván khuôn thép, cây chống gỗ tường, cột vuông (chữ nhật), xà dầm, giằng, chiều cao &lt;=16m</v>
      </c>
      <c r="E686" s="168"/>
      <c r="F686" s="20">
        <v>1</v>
      </c>
      <c r="G686" s="45">
        <f>'Hao phí vật tư'!J262</f>
        <v>30.1327</v>
      </c>
      <c r="H686" s="166"/>
      <c r="I686" s="166"/>
      <c r="J686" s="166"/>
      <c r="K686" s="166"/>
      <c r="L686" s="156">
        <f>ROUND(G686*K647,2)</f>
        <v>-104741.27</v>
      </c>
      <c r="M686" s="156">
        <f>ROUND(G686*J647,2)</f>
        <v>378888.57</v>
      </c>
    </row>
    <row r="687" spans="1:13" hidden="1" x14ac:dyDescent="0.25">
      <c r="A687" s="168"/>
      <c r="B687" s="133" t="str">
        <f>'Công trình'!B322</f>
        <v>AI.65411</v>
      </c>
      <c r="C687" s="34"/>
      <c r="D687" s="133" t="str">
        <f>'Công trình'!C322</f>
        <v>Lắp đặt kết cấu thép khe van, khe phai</v>
      </c>
      <c r="E687" s="168"/>
      <c r="F687" s="20">
        <v>1</v>
      </c>
      <c r="G687" s="45">
        <f>'Hao phí vật tư'!J2409</f>
        <v>41.672499999999999</v>
      </c>
      <c r="H687" s="166"/>
      <c r="I687" s="166"/>
      <c r="J687" s="166"/>
      <c r="K687" s="166"/>
      <c r="L687" s="156">
        <f>ROUND(G687*K647,2)</f>
        <v>-144853.60999999999</v>
      </c>
      <c r="M687" s="156">
        <f>ROUND(G687*J647,2)</f>
        <v>523990.02</v>
      </c>
    </row>
    <row r="688" spans="1:13" hidden="1" x14ac:dyDescent="0.25">
      <c r="A688" s="168"/>
      <c r="B688" s="133" t="str">
        <f>'Công trình'!B316</f>
        <v>AI.52211</v>
      </c>
      <c r="C688" s="34"/>
      <c r="D688" s="133" t="str">
        <f>'Công trình'!C316</f>
        <v>Sản xuất kết cấu thép khe phai - thép CT3</v>
      </c>
      <c r="E688" s="168"/>
      <c r="F688" s="20">
        <v>1</v>
      </c>
      <c r="G688" s="45">
        <f>'Hao phí vật tư'!J2309</f>
        <v>166.95</v>
      </c>
      <c r="H688" s="166"/>
      <c r="I688" s="166"/>
      <c r="J688" s="166"/>
      <c r="K688" s="166"/>
      <c r="L688" s="156">
        <f>ROUND(G688*K647,2)</f>
        <v>-580318.19999999995</v>
      </c>
      <c r="M688" s="156">
        <f>ROUND(G688*J647,2)</f>
        <v>2099229.2999999998</v>
      </c>
    </row>
    <row r="689" spans="1:13" hidden="1" x14ac:dyDescent="0.25">
      <c r="A689" s="168"/>
      <c r="B689" s="133" t="str">
        <f>'Công trình'!B318</f>
        <v>AI.52211</v>
      </c>
      <c r="C689" s="34"/>
      <c r="D689" s="133" t="str">
        <f>'Công trình'!C318</f>
        <v>Sản xuất kết cấu thép khe cửa - thép CT3</v>
      </c>
      <c r="E689" s="168"/>
      <c r="F689" s="20">
        <v>1</v>
      </c>
      <c r="G689" s="45">
        <f>'Hao phí vật tư'!J2340</f>
        <v>168.8</v>
      </c>
      <c r="H689" s="166"/>
      <c r="I689" s="166"/>
      <c r="J689" s="166"/>
      <c r="K689" s="166"/>
      <c r="L689" s="156">
        <f>ROUND(G689*K647,2)</f>
        <v>-586748.80000000005</v>
      </c>
      <c r="M689" s="156">
        <f>ROUND(G689*J647,2)</f>
        <v>2122491.2000000002</v>
      </c>
    </row>
    <row r="690" spans="1:13" x14ac:dyDescent="0.25">
      <c r="A690" s="168">
        <v>105</v>
      </c>
      <c r="B690" s="84" t="s">
        <v>117</v>
      </c>
      <c r="C690" s="34">
        <v>413</v>
      </c>
      <c r="D690" s="144" t="s">
        <v>406</v>
      </c>
      <c r="E690" s="168" t="s">
        <v>555</v>
      </c>
      <c r="F690" s="34"/>
      <c r="G690" s="60">
        <f>SUM(G691:G691)</f>
        <v>483.3</v>
      </c>
      <c r="H690" s="166">
        <v>16050</v>
      </c>
      <c r="I690" s="139">
        <v>12574</v>
      </c>
      <c r="J690" s="139">
        <f>'Vật liệu'!W646</f>
        <v>12574</v>
      </c>
      <c r="K690" s="166">
        <f>J690-H690</f>
        <v>-3476</v>
      </c>
      <c r="L690" s="166">
        <f>ROUND(G690*K690,0)</f>
        <v>-1679951</v>
      </c>
      <c r="M690" s="166">
        <f>ROUND(G690*J690,0)</f>
        <v>6077014</v>
      </c>
    </row>
    <row r="691" spans="1:13" ht="45" hidden="1" x14ac:dyDescent="0.25">
      <c r="A691" s="168"/>
      <c r="B691" s="133" t="str">
        <f>'Công trình'!B193</f>
        <v>TT</v>
      </c>
      <c r="C691" s="34"/>
      <c r="D691" s="133" t="str">
        <f>'Công trình'!C193</f>
        <v xml:space="preserve">Lắp dựng dầm cầu I DƯL bản  (TT theo MHĐM ĐQ.30010 Quyết định số 2204/QĐ-BGTVT ngày 29/07/2013) </v>
      </c>
      <c r="E691" s="168"/>
      <c r="F691" s="20">
        <v>1</v>
      </c>
      <c r="G691" s="45">
        <f>'Hao phí vật tư'!J1481</f>
        <v>483.3</v>
      </c>
      <c r="H691" s="166"/>
      <c r="I691" s="166"/>
      <c r="J691" s="166"/>
      <c r="K691" s="166"/>
      <c r="L691" s="156">
        <f>ROUND(G691*K690,2)</f>
        <v>-1679950.8</v>
      </c>
      <c r="M691" s="156">
        <f>ROUND(G691*J690,2)</f>
        <v>6077014.2000000002</v>
      </c>
    </row>
    <row r="692" spans="1:13" x14ac:dyDescent="0.25">
      <c r="A692" s="168">
        <v>106</v>
      </c>
      <c r="B692" s="84" t="s">
        <v>778</v>
      </c>
      <c r="C692" s="34">
        <v>165</v>
      </c>
      <c r="D692" s="144" t="s">
        <v>1079</v>
      </c>
      <c r="E692" s="168" t="s">
        <v>555</v>
      </c>
      <c r="F692" s="34"/>
      <c r="G692" s="60">
        <f>SUM(G693:G693)</f>
        <v>30.8627</v>
      </c>
      <c r="H692" s="166">
        <v>14520</v>
      </c>
      <c r="I692" s="139">
        <v>14158</v>
      </c>
      <c r="J692" s="139">
        <f>'Vật liệu'!W648</f>
        <v>14158</v>
      </c>
      <c r="K692" s="166">
        <f>J692-H692</f>
        <v>-362</v>
      </c>
      <c r="L692" s="166">
        <f>ROUND(G692*K692,0)</f>
        <v>-11172</v>
      </c>
      <c r="M692" s="166">
        <f>ROUND(G692*J692,0)</f>
        <v>436954</v>
      </c>
    </row>
    <row r="693" spans="1:13" hidden="1" x14ac:dyDescent="0.25">
      <c r="A693" s="168"/>
      <c r="B693" s="133" t="str">
        <f>'Công trình'!B147</f>
        <v>AI.11411</v>
      </c>
      <c r="C693" s="34"/>
      <c r="D693" s="133" t="str">
        <f>'Công trình'!C147</f>
        <v>Sản xuất thang sắt</v>
      </c>
      <c r="E693" s="168"/>
      <c r="F693" s="20">
        <v>1</v>
      </c>
      <c r="G693" s="45">
        <f>'Hao phí vật tư'!J1117</f>
        <v>30.8627</v>
      </c>
      <c r="H693" s="166"/>
      <c r="I693" s="166"/>
      <c r="J693" s="166"/>
      <c r="K693" s="166"/>
      <c r="L693" s="156">
        <f>ROUND(G693*K692,2)</f>
        <v>-11172.3</v>
      </c>
      <c r="M693" s="156">
        <f>ROUND(G693*J692,2)</f>
        <v>436954.11</v>
      </c>
    </row>
    <row r="694" spans="1:13" x14ac:dyDescent="0.25">
      <c r="A694" s="168">
        <v>107</v>
      </c>
      <c r="B694" s="84" t="s">
        <v>521</v>
      </c>
      <c r="C694" s="34">
        <v>484</v>
      </c>
      <c r="D694" s="144" t="s">
        <v>330</v>
      </c>
      <c r="E694" s="168" t="s">
        <v>555</v>
      </c>
      <c r="F694" s="34"/>
      <c r="G694" s="60">
        <f>SUM(G695:G708)</f>
        <v>11039.322</v>
      </c>
      <c r="H694" s="166">
        <v>14520</v>
      </c>
      <c r="I694" s="139">
        <v>14158</v>
      </c>
      <c r="J694" s="139">
        <f>'Vật liệu'!W650</f>
        <v>14158</v>
      </c>
      <c r="K694" s="166">
        <f>J694-H694</f>
        <v>-362</v>
      </c>
      <c r="L694" s="166">
        <f>ROUND(G694*K694,0)</f>
        <v>-3996235</v>
      </c>
      <c r="M694" s="166">
        <f>ROUND(G694*J694,0)</f>
        <v>156294721</v>
      </c>
    </row>
    <row r="695" spans="1:13" ht="30" hidden="1" x14ac:dyDescent="0.25">
      <c r="A695" s="168"/>
      <c r="B695" s="133" t="str">
        <f>'Công trình'!B20</f>
        <v>AF.61511</v>
      </c>
      <c r="C695" s="34"/>
      <c r="D695" s="133" t="str">
        <f>'Công trình'!C20</f>
        <v>Sản xuất, lắp dựng cốt thép xà dầm, giằng đường kính &lt;=10mm, chiều cao &lt;=4m</v>
      </c>
      <c r="E695" s="168"/>
      <c r="F695" s="20">
        <v>1</v>
      </c>
      <c r="G695" s="45">
        <f>'Hao phí vật tư'!J150</f>
        <v>1110.2235000000001</v>
      </c>
      <c r="H695" s="166"/>
      <c r="I695" s="166"/>
      <c r="J695" s="166"/>
      <c r="K695" s="166"/>
      <c r="L695" s="156">
        <f>ROUND(G695*K694,2)</f>
        <v>-401900.91</v>
      </c>
      <c r="M695" s="156">
        <f>ROUND(G695*J694,2)</f>
        <v>15718544.310000001</v>
      </c>
    </row>
    <row r="696" spans="1:13" ht="30" hidden="1" x14ac:dyDescent="0.25">
      <c r="A696" s="168"/>
      <c r="B696" s="133" t="str">
        <f>'Công trình'!B32</f>
        <v>AF.61311</v>
      </c>
      <c r="C696" s="34"/>
      <c r="D696" s="133" t="str">
        <f>'Công trình'!C32</f>
        <v>Sản xuất, lắp dựng cốt thép tường đường kính &lt;=10mm, chiều cao &lt;=4m</v>
      </c>
      <c r="E696" s="168"/>
      <c r="F696" s="20">
        <v>1</v>
      </c>
      <c r="G696" s="45">
        <f>'Hao phí vật tư'!J230</f>
        <v>879.57600000000002</v>
      </c>
      <c r="H696" s="166"/>
      <c r="I696" s="166"/>
      <c r="J696" s="166"/>
      <c r="K696" s="166"/>
      <c r="L696" s="156">
        <f>ROUND(G696*K694,2)</f>
        <v>-318406.51</v>
      </c>
      <c r="M696" s="156">
        <f>ROUND(G696*J694,2)</f>
        <v>12453037.01</v>
      </c>
    </row>
    <row r="697" spans="1:13" ht="30" hidden="1" x14ac:dyDescent="0.25">
      <c r="A697" s="168"/>
      <c r="B697" s="133" t="str">
        <f>'Công trình'!B60</f>
        <v>AF.61511</v>
      </c>
      <c r="C697" s="34"/>
      <c r="D697" s="133" t="str">
        <f>'Công trình'!C60</f>
        <v>Sản xuất, lắp dựng cốt thép xà dầm, giằng đường kính &lt;=10mm, chiều cao &lt;=4m</v>
      </c>
      <c r="E697" s="168"/>
      <c r="F697" s="20">
        <v>1</v>
      </c>
      <c r="G697" s="45">
        <f>'Hao phí vật tư'!J456</f>
        <v>424.0095</v>
      </c>
      <c r="H697" s="166"/>
      <c r="I697" s="166"/>
      <c r="J697" s="166"/>
      <c r="K697" s="166"/>
      <c r="L697" s="156">
        <f>ROUND(G697*K694,2)</f>
        <v>-153491.44</v>
      </c>
      <c r="M697" s="156">
        <f>ROUND(G697*J694,2)</f>
        <v>6003126.5</v>
      </c>
    </row>
    <row r="698" spans="1:13" ht="30" hidden="1" x14ac:dyDescent="0.25">
      <c r="A698" s="168"/>
      <c r="B698" s="133" t="str">
        <f>'Công trình'!B69</f>
        <v>AG.13111</v>
      </c>
      <c r="C698" s="34"/>
      <c r="D698" s="133" t="str">
        <f>'Công trình'!C69</f>
        <v>Sản xuất, lắp dựng cốt thép BT đúc sẵn cọc, đường kính &lt;=10mm</v>
      </c>
      <c r="E698" s="168"/>
      <c r="F698" s="20">
        <v>1</v>
      </c>
      <c r="G698" s="45">
        <f>'Hao phí vật tư'!J520</f>
        <v>2315.2184999999999</v>
      </c>
      <c r="H698" s="166"/>
      <c r="I698" s="166"/>
      <c r="J698" s="166"/>
      <c r="K698" s="166"/>
      <c r="L698" s="156">
        <f>ROUND(G698*K694,2)</f>
        <v>-838109.1</v>
      </c>
      <c r="M698" s="156">
        <f>ROUND(G698*J694,2)</f>
        <v>32778863.52</v>
      </c>
    </row>
    <row r="699" spans="1:13" ht="30" hidden="1" x14ac:dyDescent="0.25">
      <c r="A699" s="168"/>
      <c r="B699" s="133" t="str">
        <f>'Công trình'!B80</f>
        <v>AG.13111</v>
      </c>
      <c r="C699" s="34"/>
      <c r="D699" s="133" t="str">
        <f>'Công trình'!C80</f>
        <v>Sản xuất, lắp dựng cốt thép BT đúc sẵn cọc, đường kính &lt;=10mm</v>
      </c>
      <c r="E699" s="168"/>
      <c r="F699" s="20">
        <v>1</v>
      </c>
      <c r="G699" s="45">
        <f>'Hao phí vật tư'!J636</f>
        <v>1188.915</v>
      </c>
      <c r="H699" s="166"/>
      <c r="I699" s="166"/>
      <c r="J699" s="166"/>
      <c r="K699" s="166"/>
      <c r="L699" s="156">
        <f>ROUND(G699*K694,2)</f>
        <v>-430387.23</v>
      </c>
      <c r="M699" s="156">
        <f>ROUND(G699*J694,2)</f>
        <v>16832658.57</v>
      </c>
    </row>
    <row r="700" spans="1:13" ht="30" hidden="1" x14ac:dyDescent="0.25">
      <c r="A700" s="168"/>
      <c r="B700" s="133" t="str">
        <f>'Công trình'!B101</f>
        <v>AF.61110</v>
      </c>
      <c r="C700" s="34"/>
      <c r="D700" s="133" t="str">
        <f>'Công trình'!C101</f>
        <v>Sản xuất, lắp dựng cốt thép móng đường kính &lt;=10mm</v>
      </c>
      <c r="E700" s="168"/>
      <c r="F700" s="20">
        <v>1</v>
      </c>
      <c r="G700" s="45">
        <f>'Hao phí vật tư'!J819</f>
        <v>99.093000000000004</v>
      </c>
      <c r="H700" s="166"/>
      <c r="I700" s="166"/>
      <c r="J700" s="166"/>
      <c r="K700" s="166"/>
      <c r="L700" s="156">
        <f>ROUND(G700*K694,2)</f>
        <v>-35871.67</v>
      </c>
      <c r="M700" s="156">
        <f>ROUND(G700*J694,2)</f>
        <v>1402958.69</v>
      </c>
    </row>
    <row r="701" spans="1:13" ht="30" hidden="1" x14ac:dyDescent="0.25">
      <c r="A701" s="168"/>
      <c r="B701" s="133" t="str">
        <f>'Công trình'!B183</f>
        <v>AF.61110</v>
      </c>
      <c r="C701" s="34"/>
      <c r="D701" s="133" t="str">
        <f>'Công trình'!C183</f>
        <v>Sản xuất, lắp dựng cốt thép bản dẫn đường kính &lt;=10mm</v>
      </c>
      <c r="E701" s="168"/>
      <c r="F701" s="20">
        <v>1</v>
      </c>
      <c r="G701" s="45">
        <f>'Hao phí vật tư'!J1398</f>
        <v>13.3665</v>
      </c>
      <c r="H701" s="166"/>
      <c r="I701" s="166"/>
      <c r="J701" s="166"/>
      <c r="K701" s="166"/>
      <c r="L701" s="156">
        <f>ROUND(G701*K694,2)</f>
        <v>-4838.67</v>
      </c>
      <c r="M701" s="156">
        <f>ROUND(G701*J694,2)</f>
        <v>189242.91</v>
      </c>
    </row>
    <row r="702" spans="1:13" ht="30" hidden="1" x14ac:dyDescent="0.25">
      <c r="A702" s="168"/>
      <c r="B702" s="133" t="str">
        <f>'Công trình'!B202</f>
        <v>AF.61711</v>
      </c>
      <c r="C702" s="34"/>
      <c r="D702" s="133" t="str">
        <f>'Công trình'!C202</f>
        <v>Sản xuất, lắp dựng cốt thép mặt cầu đường kính &lt;=10mm, chiều cao &lt;=16m</v>
      </c>
      <c r="E702" s="168"/>
      <c r="F702" s="20">
        <v>1</v>
      </c>
      <c r="G702" s="45">
        <f>'Hao phí vật tư'!J1566</f>
        <v>86.028000000000006</v>
      </c>
      <c r="H702" s="166"/>
      <c r="I702" s="166"/>
      <c r="J702" s="166"/>
      <c r="K702" s="166"/>
      <c r="L702" s="156">
        <f>ROUND(G702*K694,2)</f>
        <v>-31142.14</v>
      </c>
      <c r="M702" s="156">
        <f>ROUND(G702*J694,2)</f>
        <v>1217984.42</v>
      </c>
    </row>
    <row r="703" spans="1:13" ht="30" hidden="1" x14ac:dyDescent="0.25">
      <c r="A703" s="168"/>
      <c r="B703" s="133" t="str">
        <f>'Công trình'!B206</f>
        <v>AF.65410</v>
      </c>
      <c r="C703" s="34"/>
      <c r="D703" s="133" t="str">
        <f>'Công trình'!C206</f>
        <v>Công tác sản xuất lắp dựng cốt thép bê tông tại chỗ, cốt thép dầm cầu trên cạn, D ≤10mm</v>
      </c>
      <c r="E703" s="168"/>
      <c r="F703" s="20">
        <v>1</v>
      </c>
      <c r="G703" s="45">
        <f>'Hao phí vật tư'!J1587</f>
        <v>279.4905</v>
      </c>
      <c r="H703" s="166"/>
      <c r="I703" s="166"/>
      <c r="J703" s="166"/>
      <c r="K703" s="166"/>
      <c r="L703" s="156">
        <f>ROUND(G703*K694,2)</f>
        <v>-101175.56</v>
      </c>
      <c r="M703" s="156">
        <f>ROUND(G703*J694,2)</f>
        <v>3957026.5</v>
      </c>
    </row>
    <row r="704" spans="1:13" hidden="1" x14ac:dyDescent="0.25">
      <c r="A704" s="168"/>
      <c r="B704" s="133" t="str">
        <f>'Công trình'!B220</f>
        <v>AF.61110</v>
      </c>
      <c r="C704" s="34"/>
      <c r="D704" s="133" t="str">
        <f>'Công trình'!C220</f>
        <v>Sản xuất, lắp dựng cốt thép đường kính &lt;=10mm</v>
      </c>
      <c r="E704" s="168"/>
      <c r="F704" s="20">
        <v>1</v>
      </c>
      <c r="G704" s="45">
        <f>'Hao phí vật tư'!J1656</f>
        <v>15.074999999999999</v>
      </c>
      <c r="H704" s="166"/>
      <c r="I704" s="166"/>
      <c r="J704" s="166"/>
      <c r="K704" s="166"/>
      <c r="L704" s="156">
        <f>ROUND(G704*K694,2)</f>
        <v>-5457.15</v>
      </c>
      <c r="M704" s="156">
        <f>ROUND(G704*J694,2)</f>
        <v>213431.85</v>
      </c>
    </row>
    <row r="705" spans="1:13" ht="30" hidden="1" x14ac:dyDescent="0.25">
      <c r="A705" s="168"/>
      <c r="B705" s="133" t="str">
        <f>'Công trình'!B226</f>
        <v>AG.13111</v>
      </c>
      <c r="C705" s="34"/>
      <c r="D705" s="133" t="str">
        <f>'Công trình'!C226</f>
        <v>Sản xuất, lắp dựng cốt thép BT đúc sẵn cọc, đường kính &lt;=10mm</v>
      </c>
      <c r="E705" s="168"/>
      <c r="F705" s="20">
        <v>1</v>
      </c>
      <c r="G705" s="45">
        <f>'Hao phí vật tư'!J1696</f>
        <v>2457.5264999999999</v>
      </c>
      <c r="H705" s="166"/>
      <c r="I705" s="166"/>
      <c r="J705" s="166"/>
      <c r="K705" s="166"/>
      <c r="L705" s="156">
        <f>ROUND(G705*K694,2)</f>
        <v>-889624.59</v>
      </c>
      <c r="M705" s="156">
        <f>ROUND(G705*J694,2)</f>
        <v>34793660.189999998</v>
      </c>
    </row>
    <row r="706" spans="1:13" hidden="1" x14ac:dyDescent="0.25">
      <c r="A706" s="168"/>
      <c r="B706" s="133" t="str">
        <f>'Công trình'!B257</f>
        <v>AF.61110</v>
      </c>
      <c r="C706" s="34"/>
      <c r="D706" s="133" t="str">
        <f>'Công trình'!C257</f>
        <v>Sản xuất, lắp dựng cốt thép đường kính &lt;=10mm</v>
      </c>
      <c r="E706" s="168"/>
      <c r="F706" s="20">
        <v>1</v>
      </c>
      <c r="G706" s="45">
        <f>'Hao phí vật tư'!J1962</f>
        <v>1676.943</v>
      </c>
      <c r="H706" s="166"/>
      <c r="I706" s="166"/>
      <c r="J706" s="166"/>
      <c r="K706" s="166"/>
      <c r="L706" s="156">
        <f>ROUND(G706*K694,2)</f>
        <v>-607053.37</v>
      </c>
      <c r="M706" s="156">
        <f>ROUND(G706*J694,2)</f>
        <v>23742158.989999998</v>
      </c>
    </row>
    <row r="707" spans="1:13" ht="30" hidden="1" x14ac:dyDescent="0.25">
      <c r="A707" s="168"/>
      <c r="B707" s="133" t="str">
        <f>'Công trình'!B302</f>
        <v>AF.61110</v>
      </c>
      <c r="C707" s="34"/>
      <c r="D707" s="133" t="str">
        <f>'Công trình'!C302</f>
        <v>Sản xuất, lắp dựng cốt thép móng đường kính &lt;=10mm</v>
      </c>
      <c r="E707" s="168"/>
      <c r="F707" s="20">
        <v>1</v>
      </c>
      <c r="G707" s="45">
        <f>'Hao phí vật tư'!J2266</f>
        <v>116.178</v>
      </c>
      <c r="H707" s="166"/>
      <c r="I707" s="166"/>
      <c r="J707" s="166"/>
      <c r="K707" s="166"/>
      <c r="L707" s="156">
        <f>ROUND(G707*K694,2)</f>
        <v>-42056.44</v>
      </c>
      <c r="M707" s="156">
        <f>ROUND(G707*J694,2)</f>
        <v>1644848.12</v>
      </c>
    </row>
    <row r="708" spans="1:13" ht="30" hidden="1" x14ac:dyDescent="0.25">
      <c r="A708" s="168"/>
      <c r="B708" s="133" t="str">
        <f>'Công trình'!B36</f>
        <v>AF.61511</v>
      </c>
      <c r="C708" s="34"/>
      <c r="D708" s="133" t="str">
        <f>'Công trình'!C36</f>
        <v>Sản xuất, lắp dựng cốt thép xà dầm, giằng đường kính &lt;=10mm, chiều cao &lt;=4m</v>
      </c>
      <c r="E708" s="168"/>
      <c r="F708" s="20">
        <v>1</v>
      </c>
      <c r="G708" s="45">
        <f>'Hao phí vật tư'!J274</f>
        <v>377.67899999999997</v>
      </c>
      <c r="H708" s="166"/>
      <c r="I708" s="166"/>
      <c r="J708" s="166"/>
      <c r="K708" s="166"/>
      <c r="L708" s="156">
        <f>ROUND(G708*K694,2)</f>
        <v>-136719.79999999999</v>
      </c>
      <c r="M708" s="156">
        <f>ROUND(G708*J694,2)</f>
        <v>5347179.28</v>
      </c>
    </row>
    <row r="709" spans="1:13" x14ac:dyDescent="0.25">
      <c r="A709" s="168">
        <v>108</v>
      </c>
      <c r="B709" s="84" t="s">
        <v>465</v>
      </c>
      <c r="C709" s="34">
        <v>485</v>
      </c>
      <c r="D709" s="144" t="s">
        <v>474</v>
      </c>
      <c r="E709" s="168" t="s">
        <v>555</v>
      </c>
      <c r="F709" s="34"/>
      <c r="G709" s="60">
        <f>SUM(G710:G725)</f>
        <v>32098.175999999992</v>
      </c>
      <c r="H709" s="166">
        <v>14470</v>
      </c>
      <c r="I709" s="139">
        <v>14058</v>
      </c>
      <c r="J709" s="139">
        <f>'Vật liệu'!W665</f>
        <v>14058</v>
      </c>
      <c r="K709" s="166">
        <f>J709-H709</f>
        <v>-412</v>
      </c>
      <c r="L709" s="166">
        <f>ROUND(G709*K709,0)</f>
        <v>-13224449</v>
      </c>
      <c r="M709" s="166">
        <f>ROUND(G709*J709,0)</f>
        <v>451236158</v>
      </c>
    </row>
    <row r="710" spans="1:13" ht="30" hidden="1" x14ac:dyDescent="0.25">
      <c r="A710" s="168"/>
      <c r="B710" s="133" t="str">
        <f>'Công trình'!B11</f>
        <v>AF.61120</v>
      </c>
      <c r="C710" s="34"/>
      <c r="D710" s="133" t="str">
        <f>'Công trình'!C11</f>
        <v>Sản xuất, lắp dựng cốt thép móng đường kính &lt;=18mm</v>
      </c>
      <c r="E710" s="168"/>
      <c r="F710" s="20">
        <v>1</v>
      </c>
      <c r="G710" s="45">
        <f>'Hao phí vật tư'!J65</f>
        <v>9226.8179999999993</v>
      </c>
      <c r="H710" s="166"/>
      <c r="I710" s="166"/>
      <c r="J710" s="166"/>
      <c r="K710" s="166"/>
      <c r="L710" s="156">
        <f>ROUND(G710*K709,2)</f>
        <v>-3801449.02</v>
      </c>
      <c r="M710" s="156">
        <f>ROUND(G710*J709,2)</f>
        <v>129710607.44</v>
      </c>
    </row>
    <row r="711" spans="1:13" ht="30" hidden="1" x14ac:dyDescent="0.25">
      <c r="A711" s="168"/>
      <c r="B711" s="133" t="str">
        <f>'Công trình'!B13</f>
        <v>AF.61321</v>
      </c>
      <c r="C711" s="34"/>
      <c r="D711" s="133" t="str">
        <f>'Công trình'!C13</f>
        <v>Sản xuất, lắp dựng cốt thép tường đường kính &lt;=18mm, chiều cao &lt;=4m</v>
      </c>
      <c r="E711" s="168"/>
      <c r="F711" s="20">
        <v>1</v>
      </c>
      <c r="G711" s="45">
        <f>'Hao phí vật tư'!J85</f>
        <v>7777.9080000000004</v>
      </c>
      <c r="H711" s="166"/>
      <c r="I711" s="166"/>
      <c r="J711" s="166"/>
      <c r="K711" s="166"/>
      <c r="L711" s="156">
        <f>ROUND(G711*K709,2)</f>
        <v>-3204498.1</v>
      </c>
      <c r="M711" s="156">
        <f>ROUND(G711*J709,2)</f>
        <v>109341830.66</v>
      </c>
    </row>
    <row r="712" spans="1:13" ht="30" hidden="1" x14ac:dyDescent="0.25">
      <c r="A712" s="168"/>
      <c r="B712" s="133" t="str">
        <f>'Công trình'!B22</f>
        <v>AF.61521</v>
      </c>
      <c r="C712" s="34"/>
      <c r="D712" s="133" t="str">
        <f>'Công trình'!C22</f>
        <v>Sản xuất, lắp dựng cốt thép xà dầm, giằng đường kính &lt;=18mm, chiều cao &lt;=4m</v>
      </c>
      <c r="E712" s="168"/>
      <c r="F712" s="20">
        <v>1</v>
      </c>
      <c r="G712" s="45">
        <f>'Hao phí vật tư'!J159</f>
        <v>2202.9960000000001</v>
      </c>
      <c r="H712" s="166"/>
      <c r="I712" s="166"/>
      <c r="J712" s="166"/>
      <c r="K712" s="166"/>
      <c r="L712" s="156">
        <f>ROUND(G712*K709,2)</f>
        <v>-907634.35</v>
      </c>
      <c r="M712" s="156">
        <f>ROUND(G712*J709,2)</f>
        <v>30969717.77</v>
      </c>
    </row>
    <row r="713" spans="1:13" ht="30" hidden="1" x14ac:dyDescent="0.25">
      <c r="A713" s="168"/>
      <c r="B713" s="133" t="str">
        <f>'Công trình'!B33</f>
        <v>AF.61321</v>
      </c>
      <c r="C713" s="34"/>
      <c r="D713" s="133" t="str">
        <f>'Công trình'!C33</f>
        <v>Sản xuất, lắp dựng cốt thép tường đường kính &lt;=18mm, chiều cao &lt;=4m</v>
      </c>
      <c r="E713" s="168"/>
      <c r="F713" s="20">
        <v>1</v>
      </c>
      <c r="G713" s="45">
        <f>'Hao phí vật tư'!J239</f>
        <v>862.10400000000004</v>
      </c>
      <c r="H713" s="166"/>
      <c r="I713" s="166"/>
      <c r="J713" s="166"/>
      <c r="K713" s="166"/>
      <c r="L713" s="156">
        <f>ROUND(G713*K709,2)</f>
        <v>-355186.85</v>
      </c>
      <c r="M713" s="156">
        <f>ROUND(G713*J709,2)</f>
        <v>12119458.029999999</v>
      </c>
    </row>
    <row r="714" spans="1:13" ht="30" hidden="1" x14ac:dyDescent="0.25">
      <c r="A714" s="168"/>
      <c r="B714" s="133" t="str">
        <f>'Công trình'!B61</f>
        <v>AF.61521</v>
      </c>
      <c r="C714" s="34"/>
      <c r="D714" s="133" t="str">
        <f>'Công trình'!C61</f>
        <v>Sản xuất, lắp dựng cốt thép xà dầm, giằng đường kính &lt;=18mm, chiều cao &lt;=4m</v>
      </c>
      <c r="E714" s="168"/>
      <c r="F714" s="20">
        <v>1</v>
      </c>
      <c r="G714" s="45">
        <f>'Hao phí vật tư'!J465</f>
        <v>1866.6</v>
      </c>
      <c r="H714" s="166"/>
      <c r="I714" s="166"/>
      <c r="J714" s="166"/>
      <c r="K714" s="166"/>
      <c r="L714" s="156">
        <f>ROUND(G714*K709,2)</f>
        <v>-769039.2</v>
      </c>
      <c r="M714" s="156">
        <f>ROUND(G714*J709,2)</f>
        <v>26240662.800000001</v>
      </c>
    </row>
    <row r="715" spans="1:13" ht="30" hidden="1" x14ac:dyDescent="0.25">
      <c r="A715" s="168"/>
      <c r="B715" s="133" t="str">
        <f>'Công trình'!B70</f>
        <v>AG.13121</v>
      </c>
      <c r="C715" s="34"/>
      <c r="D715" s="133" t="str">
        <f>'Công trình'!C70</f>
        <v>Sản xuất, lắp dựng cốt thép BT đúc sẵn cọc, đường kính &lt;=18mm</v>
      </c>
      <c r="E715" s="168"/>
      <c r="F715" s="20">
        <v>1</v>
      </c>
      <c r="G715" s="45">
        <f>'Hao phí vật tư'!J529</f>
        <v>428.60399999999998</v>
      </c>
      <c r="H715" s="166"/>
      <c r="I715" s="166"/>
      <c r="J715" s="166"/>
      <c r="K715" s="166"/>
      <c r="L715" s="156">
        <f>ROUND(G715*K709,2)</f>
        <v>-176584.85</v>
      </c>
      <c r="M715" s="156">
        <f>ROUND(G715*J709,2)</f>
        <v>6025315.0300000003</v>
      </c>
    </row>
    <row r="716" spans="1:13" ht="30" hidden="1" x14ac:dyDescent="0.25">
      <c r="A716" s="168"/>
      <c r="B716" s="133" t="str">
        <f>'Công trình'!B81</f>
        <v>AG.13121</v>
      </c>
      <c r="C716" s="34"/>
      <c r="D716" s="133" t="str">
        <f>'Công trình'!C81</f>
        <v>Sản xuất, lắp dựng cốt thép BT đúc sẵn cọc, đường kính &lt;=18mm</v>
      </c>
      <c r="E716" s="168"/>
      <c r="F716" s="20">
        <v>1</v>
      </c>
      <c r="G716" s="45">
        <f>'Hao phí vật tư'!J645</f>
        <v>233.172</v>
      </c>
      <c r="H716" s="166"/>
      <c r="I716" s="166"/>
      <c r="J716" s="166"/>
      <c r="K716" s="166"/>
      <c r="L716" s="156">
        <f>ROUND(G716*K709,2)</f>
        <v>-96066.86</v>
      </c>
      <c r="M716" s="156">
        <f>ROUND(G716*J709,2)</f>
        <v>3277931.98</v>
      </c>
    </row>
    <row r="717" spans="1:13" ht="30" hidden="1" x14ac:dyDescent="0.25">
      <c r="A717" s="168"/>
      <c r="B717" s="133" t="str">
        <f>'Công trình'!B181</f>
        <v>AF.65120</v>
      </c>
      <c r="C717" s="34"/>
      <c r="D717" s="133" t="str">
        <f>'Công trình'!C181</f>
        <v>Sản xuất, lắp dựng cốt thép móng, mố, trụ, mũ mố, mũ trụ cầu trên cạn đường kính &lt;=18mm</v>
      </c>
      <c r="E717" s="168"/>
      <c r="F717" s="20">
        <v>1</v>
      </c>
      <c r="G717" s="45">
        <f>'Hao phí vật tư'!J1377</f>
        <v>4366.62</v>
      </c>
      <c r="H717" s="166"/>
      <c r="I717" s="166"/>
      <c r="J717" s="166"/>
      <c r="K717" s="166"/>
      <c r="L717" s="156">
        <f>ROUND(G717*K709,2)</f>
        <v>-1799047.44</v>
      </c>
      <c r="M717" s="156">
        <f>ROUND(G717*J709,2)</f>
        <v>61385943.960000001</v>
      </c>
    </row>
    <row r="718" spans="1:13" ht="30" hidden="1" x14ac:dyDescent="0.25">
      <c r="A718" s="168"/>
      <c r="B718" s="133" t="str">
        <f>'Công trình'!B184</f>
        <v>AF.61120</v>
      </c>
      <c r="C718" s="34"/>
      <c r="D718" s="133" t="str">
        <f>'Công trình'!C184</f>
        <v>Sản xuất, lắp dựng cốt thép bản dẫn đường kính &lt;=18mm</v>
      </c>
      <c r="E718" s="168"/>
      <c r="F718" s="20">
        <v>1</v>
      </c>
      <c r="G718" s="45">
        <f>'Hao phí vật tư'!J1407</f>
        <v>1014.5940000000001</v>
      </c>
      <c r="H718" s="166"/>
      <c r="I718" s="166"/>
      <c r="J718" s="166"/>
      <c r="K718" s="166"/>
      <c r="L718" s="156">
        <f>ROUND(G718*K709,2)</f>
        <v>-418012.73</v>
      </c>
      <c r="M718" s="156">
        <f>ROUND(G718*J709,2)</f>
        <v>14263162.449999999</v>
      </c>
    </row>
    <row r="719" spans="1:13" ht="30" hidden="1" x14ac:dyDescent="0.25">
      <c r="A719" s="168"/>
      <c r="B719" s="133" t="str">
        <f>'Công trình'!B190</f>
        <v>AF.65120</v>
      </c>
      <c r="C719" s="34"/>
      <c r="D719" s="133" t="str">
        <f>'Công trình'!C190</f>
        <v>Sản xuất, lắp dựng cốt thép móng, mố, trụ, mũ mố, mũ trụ cầu trên cạn đường kính &lt;=18mm</v>
      </c>
      <c r="E719" s="168"/>
      <c r="F719" s="20">
        <v>1</v>
      </c>
      <c r="G719" s="45">
        <f>'Hao phí vật tư'!J1461</f>
        <v>504.69600000000003</v>
      </c>
      <c r="H719" s="166"/>
      <c r="I719" s="166"/>
      <c r="J719" s="166"/>
      <c r="K719" s="166"/>
      <c r="L719" s="156">
        <f>ROUND(G719*K709,2)</f>
        <v>-207934.75</v>
      </c>
      <c r="M719" s="156">
        <f>ROUND(G719*J709,2)</f>
        <v>7095016.3700000001</v>
      </c>
    </row>
    <row r="720" spans="1:13" ht="30" hidden="1" x14ac:dyDescent="0.25">
      <c r="A720" s="168"/>
      <c r="B720" s="133" t="str">
        <f>'Công trình'!B208</f>
        <v>AF.65420</v>
      </c>
      <c r="C720" s="34"/>
      <c r="D720" s="133" t="str">
        <f>'Công trình'!C208</f>
        <v>Công tác sản xuất lắp dựng cốt thép bê tông tại chỗ, cốt thép dầm cầu trên cạn, D ≤18mm</v>
      </c>
      <c r="E720" s="168"/>
      <c r="F720" s="20">
        <v>1</v>
      </c>
      <c r="G720" s="45">
        <f>'Hao phí vật tư'!J1597</f>
        <v>124.44</v>
      </c>
      <c r="H720" s="166"/>
      <c r="I720" s="166"/>
      <c r="J720" s="166"/>
      <c r="K720" s="166"/>
      <c r="L720" s="156">
        <f>ROUND(G720*K709,2)</f>
        <v>-51269.279999999999</v>
      </c>
      <c r="M720" s="156">
        <f>ROUND(G720*J709,2)</f>
        <v>1749377.52</v>
      </c>
    </row>
    <row r="721" spans="1:13" ht="30" hidden="1" x14ac:dyDescent="0.25">
      <c r="A721" s="168"/>
      <c r="B721" s="133" t="str">
        <f>'Công trình'!B218</f>
        <v>AF.61120</v>
      </c>
      <c r="C721" s="34"/>
      <c r="D721" s="133" t="str">
        <f>'Công trình'!C218</f>
        <v>Sản xuất, lắp dựng cốt thép móng đường kính &lt;=18mm</v>
      </c>
      <c r="E721" s="168"/>
      <c r="F721" s="20">
        <v>1</v>
      </c>
      <c r="G721" s="45">
        <f>'Hao phí vật tư'!J1647</f>
        <v>317.11799999999999</v>
      </c>
      <c r="H721" s="166"/>
      <c r="I721" s="166"/>
      <c r="J721" s="166"/>
      <c r="K721" s="166"/>
      <c r="L721" s="156">
        <f>ROUND(G721*K709,2)</f>
        <v>-130652.62</v>
      </c>
      <c r="M721" s="156">
        <f>ROUND(G721*J709,2)</f>
        <v>4458044.84</v>
      </c>
    </row>
    <row r="722" spans="1:13" hidden="1" x14ac:dyDescent="0.25">
      <c r="A722" s="168"/>
      <c r="B722" s="133" t="str">
        <f>'Công trình'!B221</f>
        <v>AF.61120</v>
      </c>
      <c r="C722" s="34"/>
      <c r="D722" s="133" t="str">
        <f>'Công trình'!C221</f>
        <v>Sản xuất, lắp dựng cốt thép đường kính &lt;=18mm</v>
      </c>
      <c r="E722" s="168"/>
      <c r="F722" s="20">
        <v>1</v>
      </c>
      <c r="G722" s="45">
        <f>'Hao phí vật tư'!J1665</f>
        <v>1808.0519999999999</v>
      </c>
      <c r="H722" s="166"/>
      <c r="I722" s="166"/>
      <c r="J722" s="166"/>
      <c r="K722" s="166"/>
      <c r="L722" s="156">
        <f>ROUND(G722*K709,2)</f>
        <v>-744917.42</v>
      </c>
      <c r="M722" s="156">
        <f>ROUND(G722*J709,2)</f>
        <v>25417595.02</v>
      </c>
    </row>
    <row r="723" spans="1:13" ht="30" hidden="1" x14ac:dyDescent="0.25">
      <c r="A723" s="168"/>
      <c r="B723" s="133" t="str">
        <f>'Công trình'!B227</f>
        <v>AG.13121</v>
      </c>
      <c r="C723" s="34"/>
      <c r="D723" s="133" t="str">
        <f>'Công trình'!C227</f>
        <v>Sản xuất, lắp dựng cốt thép BT đúc sẵn cọc, đường kính &lt;=18mm</v>
      </c>
      <c r="E723" s="168"/>
      <c r="F723" s="20">
        <v>1</v>
      </c>
      <c r="G723" s="45">
        <f>'Hao phí vật tư'!J1705</f>
        <v>437.274</v>
      </c>
      <c r="H723" s="166"/>
      <c r="I723" s="166"/>
      <c r="J723" s="166"/>
      <c r="K723" s="166"/>
      <c r="L723" s="156">
        <f>ROUND(G723*K709,2)</f>
        <v>-180156.89</v>
      </c>
      <c r="M723" s="156">
        <f>ROUND(G723*J709,2)</f>
        <v>6147197.8899999997</v>
      </c>
    </row>
    <row r="724" spans="1:13" hidden="1" x14ac:dyDescent="0.25">
      <c r="A724" s="168"/>
      <c r="B724" s="133" t="str">
        <f>'Công trình'!B258</f>
        <v>AF.61120</v>
      </c>
      <c r="C724" s="34"/>
      <c r="D724" s="133" t="str">
        <f>'Công trình'!C258</f>
        <v>Sản xuất, lắp dựng cốt thép đường kính &lt;=18mm</v>
      </c>
      <c r="E724" s="168"/>
      <c r="F724" s="20">
        <v>1</v>
      </c>
      <c r="G724" s="45">
        <f>'Hao phí vật tư'!J1971</f>
        <v>649.33199999999999</v>
      </c>
      <c r="H724" s="166"/>
      <c r="I724" s="166"/>
      <c r="J724" s="166"/>
      <c r="K724" s="166"/>
      <c r="L724" s="156">
        <f>ROUND(G724*K709,2)</f>
        <v>-267524.78000000003</v>
      </c>
      <c r="M724" s="156">
        <f>ROUND(G724*J709,2)</f>
        <v>9128309.2599999998</v>
      </c>
    </row>
    <row r="725" spans="1:13" ht="30" hidden="1" x14ac:dyDescent="0.25">
      <c r="A725" s="168"/>
      <c r="B725" s="133" t="str">
        <f>'Công trình'!B37</f>
        <v>AF.61521</v>
      </c>
      <c r="C725" s="34"/>
      <c r="D725" s="133" t="str">
        <f>'Công trình'!C37</f>
        <v>Sản xuất, lắp dựng cốt thép xà dầm, giằng đường kính &lt;=18mm, chiều cao &lt;=4m</v>
      </c>
      <c r="E725" s="168"/>
      <c r="F725" s="20">
        <v>1</v>
      </c>
      <c r="G725" s="45">
        <f>'Hao phí vật tư'!J283</f>
        <v>277.84800000000001</v>
      </c>
      <c r="H725" s="166"/>
      <c r="I725" s="166"/>
      <c r="J725" s="166"/>
      <c r="K725" s="166"/>
      <c r="L725" s="156">
        <f>ROUND(G725*K709,2)</f>
        <v>-114473.38</v>
      </c>
      <c r="M725" s="156">
        <f>ROUND(G725*J709,2)</f>
        <v>3905987.18</v>
      </c>
    </row>
    <row r="726" spans="1:13" x14ac:dyDescent="0.25">
      <c r="A726" s="168">
        <v>109</v>
      </c>
      <c r="B726" s="84" t="s">
        <v>870</v>
      </c>
      <c r="C726" s="34">
        <v>486</v>
      </c>
      <c r="D726" s="144" t="s">
        <v>947</v>
      </c>
      <c r="E726" s="168" t="s">
        <v>555</v>
      </c>
      <c r="F726" s="34"/>
      <c r="G726" s="60">
        <f>SUM(G727:G727)</f>
        <v>10538.028</v>
      </c>
      <c r="H726" s="166">
        <v>14470</v>
      </c>
      <c r="I726" s="139">
        <v>14058</v>
      </c>
      <c r="J726" s="139">
        <f>'Vật liệu'!W682</f>
        <v>14058</v>
      </c>
      <c r="K726" s="166">
        <f>J726-H726</f>
        <v>-412</v>
      </c>
      <c r="L726" s="166">
        <f>ROUND(G726*K726,0)</f>
        <v>-4341668</v>
      </c>
      <c r="M726" s="166">
        <f>ROUND(G726*J726,0)</f>
        <v>148143598</v>
      </c>
    </row>
    <row r="727" spans="1:13" ht="30" hidden="1" x14ac:dyDescent="0.25">
      <c r="A727" s="168"/>
      <c r="B727" s="133" t="str">
        <f>'Công trình'!B204</f>
        <v>AF.61721</v>
      </c>
      <c r="C727" s="34"/>
      <c r="D727" s="133" t="str">
        <f>'Công trình'!C204</f>
        <v>Sản xuất, lắp dựng cốt thép mặt cầu đường kính &gt;10mm, chiều cao &lt;=16m</v>
      </c>
      <c r="E727" s="168"/>
      <c r="F727" s="20">
        <v>1</v>
      </c>
      <c r="G727" s="45">
        <f>'Hao phí vật tư'!J1576</f>
        <v>10538.028</v>
      </c>
      <c r="H727" s="166"/>
      <c r="I727" s="166"/>
      <c r="J727" s="166"/>
      <c r="K727" s="166"/>
      <c r="L727" s="156">
        <f>ROUND(G727*K726,2)</f>
        <v>-4341667.54</v>
      </c>
      <c r="M727" s="156">
        <f>ROUND(G727*J726,2)</f>
        <v>148143597.62</v>
      </c>
    </row>
    <row r="728" spans="1:13" x14ac:dyDescent="0.25">
      <c r="A728" s="168">
        <v>110</v>
      </c>
      <c r="B728" s="84" t="s">
        <v>831</v>
      </c>
      <c r="C728" s="34">
        <v>487</v>
      </c>
      <c r="D728" s="144" t="s">
        <v>966</v>
      </c>
      <c r="E728" s="168" t="s">
        <v>555</v>
      </c>
      <c r="F728" s="34"/>
      <c r="G728" s="60">
        <f>SUM(G729:G732)</f>
        <v>715.94190000000003</v>
      </c>
      <c r="H728" s="166">
        <v>14470</v>
      </c>
      <c r="I728" s="139">
        <v>14058</v>
      </c>
      <c r="J728" s="139">
        <f>'Vật liệu'!W684</f>
        <v>14058</v>
      </c>
      <c r="K728" s="166">
        <f>J728-H728</f>
        <v>-412</v>
      </c>
      <c r="L728" s="166">
        <f>ROUND(G728*K728,0)</f>
        <v>-294968</v>
      </c>
      <c r="M728" s="166">
        <f>ROUND(G728*J728,0)</f>
        <v>10064711</v>
      </c>
    </row>
    <row r="729" spans="1:13" ht="30" hidden="1" x14ac:dyDescent="0.25">
      <c r="A729" s="168"/>
      <c r="B729" s="133" t="str">
        <f>'Công trình'!B39</f>
        <v>AI.13111</v>
      </c>
      <c r="C729" s="34"/>
      <c r="D729" s="133" t="str">
        <f>'Công trình'!C39</f>
        <v>Sản xuất cấu kiện thép đặt sẵn trong bê tông, khối lượng &lt;=10kg/cấu kiện</v>
      </c>
      <c r="E729" s="168"/>
      <c r="F729" s="20">
        <v>1</v>
      </c>
      <c r="G729" s="45">
        <f>'Hao phí vật tư'!J295</f>
        <v>2.8652000000000002</v>
      </c>
      <c r="H729" s="166"/>
      <c r="I729" s="166"/>
      <c r="J729" s="166"/>
      <c r="K729" s="166"/>
      <c r="L729" s="156">
        <f>ROUND(G729*K728,2)</f>
        <v>-1180.46</v>
      </c>
      <c r="M729" s="156">
        <f>ROUND(G729*J728,2)</f>
        <v>40278.980000000003</v>
      </c>
    </row>
    <row r="730" spans="1:13" ht="30" hidden="1" x14ac:dyDescent="0.25">
      <c r="A730" s="168"/>
      <c r="B730" s="133" t="str">
        <f>'Công trình'!B72</f>
        <v>AI.13111</v>
      </c>
      <c r="C730" s="34"/>
      <c r="D730" s="133" t="str">
        <f>'Công trình'!C72</f>
        <v>Sản xuất cấu kiện thép đặt sẵn trong bê tông, khối lượng &lt;=10kg/cấu kiện</v>
      </c>
      <c r="E730" s="168"/>
      <c r="F730" s="20">
        <v>1</v>
      </c>
      <c r="G730" s="45">
        <f>'Hao phí vật tư'!J551</f>
        <v>298.86239999999998</v>
      </c>
      <c r="H730" s="166"/>
      <c r="I730" s="166"/>
      <c r="J730" s="166"/>
      <c r="K730" s="166"/>
      <c r="L730" s="156">
        <f>ROUND(G730*K728,2)</f>
        <v>-123131.31</v>
      </c>
      <c r="M730" s="156">
        <f>ROUND(G730*J728,2)</f>
        <v>4201407.62</v>
      </c>
    </row>
    <row r="731" spans="1:13" ht="30" hidden="1" x14ac:dyDescent="0.25">
      <c r="A731" s="168"/>
      <c r="B731" s="133" t="str">
        <f>'Công trình'!B83</f>
        <v>AI.13111</v>
      </c>
      <c r="C731" s="34"/>
      <c r="D731" s="133" t="str">
        <f>'Công trình'!C83</f>
        <v>Sản xuất cấu kiện thép đặt sẵn trong bê tông, khối lượng &lt;=10kg/cấu kiện</v>
      </c>
      <c r="E731" s="168"/>
      <c r="F731" s="20">
        <v>1</v>
      </c>
      <c r="G731" s="45">
        <f>'Hao phí vật tư'!J667</f>
        <v>141.1387</v>
      </c>
      <c r="H731" s="166"/>
      <c r="I731" s="166"/>
      <c r="J731" s="166"/>
      <c r="K731" s="166"/>
      <c r="L731" s="156">
        <f>ROUND(G731*K728,2)</f>
        <v>-58149.14</v>
      </c>
      <c r="M731" s="156">
        <f>ROUND(G731*J728,2)</f>
        <v>1984127.84</v>
      </c>
    </row>
    <row r="732" spans="1:13" ht="30" hidden="1" x14ac:dyDescent="0.25">
      <c r="A732" s="168"/>
      <c r="B732" s="133" t="str">
        <f>'Công trình'!B229</f>
        <v>AI.13111</v>
      </c>
      <c r="C732" s="34"/>
      <c r="D732" s="133" t="str">
        <f>'Công trình'!C229</f>
        <v>Sản xuất cấu kiện thép đặt sẵn trong bê tông, khối lượng &lt;=10kg/cấu kiện</v>
      </c>
      <c r="E732" s="168"/>
      <c r="F732" s="20">
        <v>1</v>
      </c>
      <c r="G732" s="45">
        <f>'Hao phí vật tư'!J1727</f>
        <v>273.07560000000001</v>
      </c>
      <c r="H732" s="166"/>
      <c r="I732" s="166"/>
      <c r="J732" s="166"/>
      <c r="K732" s="166"/>
      <c r="L732" s="156">
        <f>ROUND(G732*K728,2)</f>
        <v>-112507.15</v>
      </c>
      <c r="M732" s="156">
        <f>ROUND(G732*J728,2)</f>
        <v>3838896.78</v>
      </c>
    </row>
    <row r="733" spans="1:13" x14ac:dyDescent="0.25">
      <c r="A733" s="168">
        <v>111</v>
      </c>
      <c r="B733" s="84" t="s">
        <v>784</v>
      </c>
      <c r="C733" s="34">
        <v>488</v>
      </c>
      <c r="D733" s="144" t="s">
        <v>861</v>
      </c>
      <c r="E733" s="168" t="s">
        <v>555</v>
      </c>
      <c r="F733" s="34"/>
      <c r="G733" s="60">
        <f>SUM(G734:G741)</f>
        <v>45833.904000000002</v>
      </c>
      <c r="H733" s="166">
        <v>14470</v>
      </c>
      <c r="I733" s="139">
        <v>14058</v>
      </c>
      <c r="J733" s="139">
        <f>'Vật liệu'!W689</f>
        <v>14058</v>
      </c>
      <c r="K733" s="166">
        <f>J733-H733</f>
        <v>-412</v>
      </c>
      <c r="L733" s="166">
        <f>ROUND(G733*K733,0)</f>
        <v>-18883568</v>
      </c>
      <c r="M733" s="166">
        <f>ROUND(G733*J733,0)</f>
        <v>644333022</v>
      </c>
    </row>
    <row r="734" spans="1:13" ht="30" hidden="1" x14ac:dyDescent="0.25">
      <c r="A734" s="168"/>
      <c r="B734" s="133" t="str">
        <f>'Công trình'!B12</f>
        <v>AF.61130</v>
      </c>
      <c r="C734" s="34"/>
      <c r="D734" s="133" t="str">
        <f>'Công trình'!C12</f>
        <v>Sản xuất, lắp dựng cốt thép móng đường kính &gt;18mm</v>
      </c>
      <c r="E734" s="168"/>
      <c r="F734" s="20">
        <v>1</v>
      </c>
      <c r="G734" s="45">
        <f>'Hao phí vật tư'!J75</f>
        <v>2677.7040000000002</v>
      </c>
      <c r="H734" s="166"/>
      <c r="I734" s="166"/>
      <c r="J734" s="166"/>
      <c r="K734" s="166"/>
      <c r="L734" s="156">
        <f>ROUND(G734*K733,2)</f>
        <v>-1103214.05</v>
      </c>
      <c r="M734" s="156">
        <f>ROUND(G734*J733,2)</f>
        <v>37643162.829999998</v>
      </c>
    </row>
    <row r="735" spans="1:13" ht="30" hidden="1" x14ac:dyDescent="0.25">
      <c r="A735" s="168"/>
      <c r="B735" s="133" t="str">
        <f>'Công trình'!B14</f>
        <v>AF.61331</v>
      </c>
      <c r="C735" s="34"/>
      <c r="D735" s="133" t="str">
        <f>'Công trình'!C14</f>
        <v>Sản xuất, lắp dựng cốt thép tường đường kính &gt;18mm, chiều cao &lt;=4m</v>
      </c>
      <c r="E735" s="168"/>
      <c r="F735" s="20">
        <v>1</v>
      </c>
      <c r="G735" s="45">
        <f>'Hao phí vật tư'!J95</f>
        <v>3011.04</v>
      </c>
      <c r="H735" s="166"/>
      <c r="I735" s="166"/>
      <c r="J735" s="166"/>
      <c r="K735" s="166"/>
      <c r="L735" s="156">
        <f>ROUND(G735*K733,2)</f>
        <v>-1240548.48</v>
      </c>
      <c r="M735" s="156">
        <f>ROUND(G735*J733,2)</f>
        <v>42329200.32</v>
      </c>
    </row>
    <row r="736" spans="1:13" ht="30" hidden="1" x14ac:dyDescent="0.25">
      <c r="A736" s="168"/>
      <c r="B736" s="133" t="str">
        <f>'Công trình'!B71</f>
        <v>AG.13131</v>
      </c>
      <c r="C736" s="34"/>
      <c r="D736" s="133" t="str">
        <f>'Công trình'!C71</f>
        <v>Sản xuất, lắp dựng cốt thép BT đúc sẵn cọc, đường kính &gt;18mm</v>
      </c>
      <c r="E736" s="168"/>
      <c r="F736" s="20">
        <v>1</v>
      </c>
      <c r="G736" s="45">
        <f>'Hao phí vật tư'!J539</f>
        <v>12809.262000000001</v>
      </c>
      <c r="H736" s="166"/>
      <c r="I736" s="166"/>
      <c r="J736" s="166"/>
      <c r="K736" s="166"/>
      <c r="L736" s="156">
        <f>ROUND(G736*K733,2)</f>
        <v>-5277415.9400000004</v>
      </c>
      <c r="M736" s="156">
        <f>ROUND(G736*J733,2)</f>
        <v>180072605.19999999</v>
      </c>
    </row>
    <row r="737" spans="1:13" ht="30" hidden="1" x14ac:dyDescent="0.25">
      <c r="A737" s="168"/>
      <c r="B737" s="133" t="str">
        <f>'Công trình'!B82</f>
        <v>AG.13131</v>
      </c>
      <c r="C737" s="34"/>
      <c r="D737" s="133" t="str">
        <f>'Công trình'!C82</f>
        <v>Sản xuất, lắp dựng cốt thép BT đúc sẵn cọc, đường kính &gt;18mm</v>
      </c>
      <c r="E737" s="168"/>
      <c r="F737" s="20">
        <v>1</v>
      </c>
      <c r="G737" s="45">
        <f>'Hao phí vật tư'!J655</f>
        <v>6771.6779999999999</v>
      </c>
      <c r="H737" s="166"/>
      <c r="I737" s="166"/>
      <c r="J737" s="166"/>
      <c r="K737" s="166"/>
      <c r="L737" s="156">
        <f>ROUND(G737*K733,2)</f>
        <v>-2789931.34</v>
      </c>
      <c r="M737" s="156">
        <f>ROUND(G737*J733,2)</f>
        <v>95196249.319999993</v>
      </c>
    </row>
    <row r="738" spans="1:13" ht="30" hidden="1" x14ac:dyDescent="0.25">
      <c r="A738" s="168"/>
      <c r="B738" s="133" t="str">
        <f>'Công trình'!B182</f>
        <v>AF.65130</v>
      </c>
      <c r="C738" s="34"/>
      <c r="D738" s="133" t="str">
        <f>'Công trình'!C182</f>
        <v>Sản xuất, lắp dựng cốt thép móng, mố, trụ, mũ mố, mũ trụ cầu trên cạn đường kính &gt;18mm</v>
      </c>
      <c r="E738" s="168"/>
      <c r="F738" s="20">
        <v>1</v>
      </c>
      <c r="G738" s="45">
        <f>'Hao phí vật tư'!J1388</f>
        <v>4840.41</v>
      </c>
      <c r="H738" s="166"/>
      <c r="I738" s="166"/>
      <c r="J738" s="166"/>
      <c r="K738" s="166"/>
      <c r="L738" s="156">
        <f>ROUND(G738*K733,2)</f>
        <v>-1994248.92</v>
      </c>
      <c r="M738" s="156">
        <f>ROUND(G738*J733,2)</f>
        <v>68046483.780000001</v>
      </c>
    </row>
    <row r="739" spans="1:13" ht="30" hidden="1" x14ac:dyDescent="0.25">
      <c r="A739" s="168"/>
      <c r="B739" s="133" t="str">
        <f>'Công trình'!B191</f>
        <v>AF.65130</v>
      </c>
      <c r="C739" s="34"/>
      <c r="D739" s="133" t="str">
        <f>'Công trình'!C191</f>
        <v>Sản xuất, lắp dựng cốt thép móng, mố, trụ, mũ mố, mũ trụ cầu trên cạn đường kính &gt;18mm</v>
      </c>
      <c r="E739" s="168"/>
      <c r="F739" s="20">
        <v>1</v>
      </c>
      <c r="G739" s="45">
        <f>'Hao phí vật tư'!J1472</f>
        <v>1928.82</v>
      </c>
      <c r="H739" s="166"/>
      <c r="I739" s="166"/>
      <c r="J739" s="166"/>
      <c r="K739" s="166"/>
      <c r="L739" s="156">
        <f>ROUND(G739*K733,2)</f>
        <v>-794673.84</v>
      </c>
      <c r="M739" s="156">
        <f>ROUND(G739*J733,2)</f>
        <v>27115351.559999999</v>
      </c>
    </row>
    <row r="740" spans="1:13" ht="30" hidden="1" x14ac:dyDescent="0.25">
      <c r="A740" s="168"/>
      <c r="B740" s="133" t="str">
        <f>'Công trình'!B210</f>
        <v>AF.65430</v>
      </c>
      <c r="C740" s="34"/>
      <c r="D740" s="133" t="str">
        <f>'Công trình'!C210</f>
        <v>Công tác sản xuất lắp dựng cốt thép bê tông tại chỗ, cốt thép dầm cầu trên cạn, D &gt;18mm</v>
      </c>
      <c r="E740" s="168"/>
      <c r="F740" s="20">
        <v>1</v>
      </c>
      <c r="G740" s="45">
        <f>'Hao phí vật tư'!J1608</f>
        <v>216.95400000000001</v>
      </c>
      <c r="H740" s="166"/>
      <c r="I740" s="166"/>
      <c r="J740" s="166"/>
      <c r="K740" s="166"/>
      <c r="L740" s="156">
        <f>ROUND(G740*K733,2)</f>
        <v>-89385.05</v>
      </c>
      <c r="M740" s="156">
        <f>ROUND(G740*J733,2)</f>
        <v>3049939.33</v>
      </c>
    </row>
    <row r="741" spans="1:13" ht="30" hidden="1" x14ac:dyDescent="0.25">
      <c r="A741" s="168"/>
      <c r="B741" s="133" t="str">
        <f>'Công trình'!B228</f>
        <v>AG.13131</v>
      </c>
      <c r="C741" s="34"/>
      <c r="D741" s="133" t="str">
        <f>'Công trình'!C228</f>
        <v>Sản xuất, lắp dựng cốt thép BT đúc sẵn cọc, đường kính &gt;18mm</v>
      </c>
      <c r="E741" s="168"/>
      <c r="F741" s="20">
        <v>1</v>
      </c>
      <c r="G741" s="45">
        <f>'Hao phí vật tư'!J1715</f>
        <v>13578.036</v>
      </c>
      <c r="H741" s="166"/>
      <c r="I741" s="166"/>
      <c r="J741" s="166"/>
      <c r="K741" s="166"/>
      <c r="L741" s="156">
        <f>ROUND(G741*K733,2)</f>
        <v>-5594150.8300000001</v>
      </c>
      <c r="M741" s="156">
        <f>ROUND(G741*J733,2)</f>
        <v>190880030.09</v>
      </c>
    </row>
    <row r="742" spans="1:13" x14ac:dyDescent="0.25">
      <c r="A742" s="168">
        <v>112</v>
      </c>
      <c r="B742" s="84" t="s">
        <v>1038</v>
      </c>
      <c r="C742" s="34">
        <v>118</v>
      </c>
      <c r="D742" s="144" t="s">
        <v>278</v>
      </c>
      <c r="E742" s="168" t="s">
        <v>1123</v>
      </c>
      <c r="F742" s="34"/>
      <c r="G742" s="60">
        <f>SUM(G743:G743)</f>
        <v>56</v>
      </c>
      <c r="H742" s="166">
        <v>12000</v>
      </c>
      <c r="I742" s="166">
        <v>12000</v>
      </c>
      <c r="J742" s="166">
        <f>'Vật liệu'!W698</f>
        <v>12000</v>
      </c>
      <c r="K742" s="166">
        <f>J742-H742</f>
        <v>0</v>
      </c>
      <c r="L742" s="166">
        <f>ROUND(G742*K742,0)</f>
        <v>0</v>
      </c>
      <c r="M742" s="166">
        <f>ROUND(G742*J742,0)</f>
        <v>672000</v>
      </c>
    </row>
    <row r="743" spans="1:13" hidden="1" x14ac:dyDescent="0.25">
      <c r="A743" s="168"/>
      <c r="B743" s="133" t="str">
        <f>'Công trình'!B282</f>
        <v>TT</v>
      </c>
      <c r="C743" s="34"/>
      <c r="D743" s="133" t="str">
        <f>'Công trình'!C282</f>
        <v>Tiêu phản quang</v>
      </c>
      <c r="E743" s="168"/>
      <c r="F743" s="20">
        <v>1</v>
      </c>
      <c r="G743" s="45">
        <f>'Hao phí vật tư'!J2112</f>
        <v>56</v>
      </c>
      <c r="H743" s="166"/>
      <c r="I743" s="166"/>
      <c r="J743" s="166"/>
      <c r="K743" s="166"/>
      <c r="L743" s="156">
        <f>ROUND(G743*K742,2)</f>
        <v>0</v>
      </c>
      <c r="M743" s="156">
        <f>ROUND(G743*J742,2)</f>
        <v>672000</v>
      </c>
    </row>
    <row r="744" spans="1:13" x14ac:dyDescent="0.25">
      <c r="A744" s="168">
        <v>113</v>
      </c>
      <c r="B744" s="84" t="s">
        <v>928</v>
      </c>
      <c r="C744" s="34">
        <v>469</v>
      </c>
      <c r="D744" s="144" t="s">
        <v>390</v>
      </c>
      <c r="E744" s="168" t="s">
        <v>113</v>
      </c>
      <c r="F744" s="34"/>
      <c r="G744" s="60">
        <f>SUM(G745:G745)</f>
        <v>78</v>
      </c>
      <c r="H744" s="166">
        <v>53180</v>
      </c>
      <c r="I744" s="166">
        <v>53180</v>
      </c>
      <c r="J744" s="166">
        <f>'Vật liệu'!W700</f>
        <v>53180</v>
      </c>
      <c r="K744" s="166">
        <f>J744-H744</f>
        <v>0</v>
      </c>
      <c r="L744" s="166">
        <f>ROUND(G744*K744,0)</f>
        <v>0</v>
      </c>
      <c r="M744" s="166">
        <f>ROUND(G744*J744,0)</f>
        <v>4148040</v>
      </c>
    </row>
    <row r="745" spans="1:13" hidden="1" x14ac:dyDescent="0.25">
      <c r="A745" s="168"/>
      <c r="B745" s="133" t="str">
        <f>'Công trình'!B275</f>
        <v>AD.34130</v>
      </c>
      <c r="C745" s="34"/>
      <c r="D745" s="133" t="str">
        <f>'Công trình'!C275</f>
        <v>Lắp đặt dải phân cách bằng tôn lượn sóng</v>
      </c>
      <c r="E745" s="168"/>
      <c r="F745" s="20">
        <v>1</v>
      </c>
      <c r="G745" s="45">
        <f>'Hao phí vật tư'!J2087</f>
        <v>78</v>
      </c>
      <c r="H745" s="166"/>
      <c r="I745" s="166"/>
      <c r="J745" s="166"/>
      <c r="K745" s="166"/>
      <c r="L745" s="156">
        <f>ROUND(G745*K744,2)</f>
        <v>0</v>
      </c>
      <c r="M745" s="156">
        <f>ROUND(G745*J744,2)</f>
        <v>4148040</v>
      </c>
    </row>
    <row r="746" spans="1:13" x14ac:dyDescent="0.25">
      <c r="A746" s="168">
        <v>114</v>
      </c>
      <c r="B746" s="84" t="s">
        <v>283</v>
      </c>
      <c r="C746" s="34">
        <v>414</v>
      </c>
      <c r="D746" s="144" t="s">
        <v>1018</v>
      </c>
      <c r="E746" s="168" t="s">
        <v>555</v>
      </c>
      <c r="F746" s="34"/>
      <c r="G746" s="60">
        <f>SUM(G747:G750)</f>
        <v>524.08900000000006</v>
      </c>
      <c r="H746" s="166">
        <v>22880</v>
      </c>
      <c r="I746" s="166">
        <v>22880</v>
      </c>
      <c r="J746" s="166">
        <f>'Vật liệu'!W702</f>
        <v>22880</v>
      </c>
      <c r="K746" s="166">
        <f>J746-H746</f>
        <v>0</v>
      </c>
      <c r="L746" s="166">
        <f>ROUND(G746*K746,0)</f>
        <v>0</v>
      </c>
      <c r="M746" s="166">
        <f>ROUND(G746*J746,0)</f>
        <v>11991156</v>
      </c>
    </row>
    <row r="747" spans="1:13" hidden="1" x14ac:dyDescent="0.25">
      <c r="A747" s="168"/>
      <c r="B747" s="133" t="str">
        <f>'Công trình'!B223</f>
        <v>TT</v>
      </c>
      <c r="C747" s="34"/>
      <c r="D747" s="133" t="str">
        <f>'Công trình'!C223</f>
        <v>Tôn (206x700x0.1)cm</v>
      </c>
      <c r="E747" s="168"/>
      <c r="F747" s="20">
        <v>1</v>
      </c>
      <c r="G747" s="45">
        <f>'Hao phí vật tư'!J1679</f>
        <v>249.029</v>
      </c>
      <c r="H747" s="166"/>
      <c r="I747" s="166"/>
      <c r="J747" s="166"/>
      <c r="K747" s="166"/>
      <c r="L747" s="156">
        <f>ROUND(G747*K746,2)</f>
        <v>0</v>
      </c>
      <c r="M747" s="156">
        <f>ROUND(G747*J746,2)</f>
        <v>5697783.5199999996</v>
      </c>
    </row>
    <row r="748" spans="1:13" hidden="1" x14ac:dyDescent="0.25">
      <c r="A748" s="168"/>
      <c r="B748" s="133" t="str">
        <f>'Công trình'!B269</f>
        <v>AD.32411</v>
      </c>
      <c r="C748" s="34"/>
      <c r="D748" s="133" t="str">
        <f>'Công trình'!C269</f>
        <v>Biển báo (1.2 x 1.2)m</v>
      </c>
      <c r="E748" s="168"/>
      <c r="F748" s="20">
        <v>1</v>
      </c>
      <c r="G748" s="45">
        <f>'Hao phí vật tư'!J2054</f>
        <v>258.39999999999998</v>
      </c>
      <c r="H748" s="166"/>
      <c r="I748" s="166"/>
      <c r="J748" s="166"/>
      <c r="K748" s="166"/>
      <c r="L748" s="156">
        <f>ROUND(G748*K746,2)</f>
        <v>0</v>
      </c>
      <c r="M748" s="156">
        <f>ROUND(G748*J746,2)</f>
        <v>5912192</v>
      </c>
    </row>
    <row r="749" spans="1:13" ht="30" hidden="1" x14ac:dyDescent="0.25">
      <c r="A749" s="168"/>
      <c r="B749" s="133" t="str">
        <f>'Công trình'!B290</f>
        <v>AD.32421</v>
      </c>
      <c r="C749" s="34"/>
      <c r="D749" s="133" t="str">
        <f>'Công trình'!C290</f>
        <v>Biển báo bằng tôn hình tròn D70cm, dày 1.2mm, sơn phản quang (Biển 115)</v>
      </c>
      <c r="E749" s="168"/>
      <c r="F749" s="20">
        <v>1</v>
      </c>
      <c r="G749" s="45">
        <f>'Hao phí vật tư'!J2170</f>
        <v>10.34</v>
      </c>
      <c r="H749" s="166"/>
      <c r="I749" s="166"/>
      <c r="J749" s="166"/>
      <c r="K749" s="166"/>
      <c r="L749" s="156">
        <f>ROUND(G749*K746,2)</f>
        <v>0</v>
      </c>
      <c r="M749" s="156">
        <f>ROUND(G749*J746,2)</f>
        <v>236579.20000000001</v>
      </c>
    </row>
    <row r="750" spans="1:13" hidden="1" x14ac:dyDescent="0.25">
      <c r="A750" s="168"/>
      <c r="B750" s="133" t="str">
        <f>'Công trình'!B291</f>
        <v>AD.32441</v>
      </c>
      <c r="C750" s="34"/>
      <c r="D750" s="133" t="str">
        <f>'Công trình'!C291</f>
        <v>Biển hình chữ nhật (40x60) (biển 439)</v>
      </c>
      <c r="E750" s="168"/>
      <c r="F750" s="20">
        <v>1</v>
      </c>
      <c r="G750" s="45">
        <f>'Hao phí vật tư'!J2182</f>
        <v>6.32</v>
      </c>
      <c r="H750" s="166"/>
      <c r="I750" s="166"/>
      <c r="J750" s="166"/>
      <c r="K750" s="166"/>
      <c r="L750" s="156">
        <f>ROUND(G750*K746,2)</f>
        <v>0</v>
      </c>
      <c r="M750" s="156">
        <f>ROUND(G750*J746,2)</f>
        <v>144601.60000000001</v>
      </c>
    </row>
    <row r="751" spans="1:13" x14ac:dyDescent="0.25">
      <c r="A751" s="168">
        <v>115</v>
      </c>
      <c r="B751" s="84" t="s">
        <v>647</v>
      </c>
      <c r="C751" s="34">
        <v>170</v>
      </c>
      <c r="D751" s="144" t="s">
        <v>652</v>
      </c>
      <c r="E751" s="168" t="s">
        <v>1123</v>
      </c>
      <c r="F751" s="34"/>
      <c r="G751" s="60">
        <f>SUM(G752:G752)</f>
        <v>15.6</v>
      </c>
      <c r="H751" s="166">
        <v>40000</v>
      </c>
      <c r="I751" s="166">
        <v>40000</v>
      </c>
      <c r="J751" s="166">
        <f>'Vật liệu'!W707</f>
        <v>40000</v>
      </c>
      <c r="K751" s="166">
        <f>J751-H751</f>
        <v>0</v>
      </c>
      <c r="L751" s="166">
        <f>ROUND(G751*K751,0)</f>
        <v>0</v>
      </c>
      <c r="M751" s="166">
        <f>ROUND(G751*J751,0)</f>
        <v>624000</v>
      </c>
    </row>
    <row r="752" spans="1:13" hidden="1" x14ac:dyDescent="0.25">
      <c r="A752" s="168"/>
      <c r="B752" s="133" t="str">
        <f>'Công trình'!B275</f>
        <v>AD.34130</v>
      </c>
      <c r="C752" s="34"/>
      <c r="D752" s="133" t="str">
        <f>'Công trình'!C275</f>
        <v>Lắp đặt dải phân cách bằng tôn lượn sóng</v>
      </c>
      <c r="E752" s="168"/>
      <c r="F752" s="20">
        <v>1</v>
      </c>
      <c r="G752" s="45">
        <f>'Hao phí vật tư'!J2088</f>
        <v>15.6</v>
      </c>
      <c r="H752" s="166"/>
      <c r="I752" s="166"/>
      <c r="J752" s="166"/>
      <c r="K752" s="166"/>
      <c r="L752" s="156">
        <f>ROUND(G752*K751,2)</f>
        <v>0</v>
      </c>
      <c r="M752" s="156">
        <f>ROUND(G752*J751,2)</f>
        <v>624000</v>
      </c>
    </row>
    <row r="753" spans="1:13" x14ac:dyDescent="0.25">
      <c r="A753" s="168">
        <v>116</v>
      </c>
      <c r="B753" s="84" t="s">
        <v>1092</v>
      </c>
      <c r="C753" s="34">
        <v>174</v>
      </c>
      <c r="D753" s="144" t="s">
        <v>262</v>
      </c>
      <c r="E753" s="168" t="s">
        <v>205</v>
      </c>
      <c r="F753" s="34"/>
      <c r="G753" s="60">
        <f>SUM(G754:G759)</f>
        <v>7158.3049999999994</v>
      </c>
      <c r="H753" s="166">
        <v>13200</v>
      </c>
      <c r="I753" s="156">
        <v>23517</v>
      </c>
      <c r="J753" s="156">
        <f>'Vật liệu'!W709</f>
        <v>23517</v>
      </c>
      <c r="K753" s="166">
        <f>J753-H753</f>
        <v>10317</v>
      </c>
      <c r="L753" s="166">
        <f>ROUND(G753*K753,0)</f>
        <v>73852233</v>
      </c>
      <c r="M753" s="166">
        <f>ROUND(G753*J753,0)</f>
        <v>168341859</v>
      </c>
    </row>
    <row r="754" spans="1:13" hidden="1" x14ac:dyDescent="0.25">
      <c r="A754" s="168"/>
      <c r="B754" s="133" t="str">
        <f>'Công trình'!B28</f>
        <v>AL.16122</v>
      </c>
      <c r="C754" s="34"/>
      <c r="D754" s="133" t="str">
        <f>'Công trình'!C28</f>
        <v>Rải vải địa kỹ thuật làm móng công trình</v>
      </c>
      <c r="E754" s="168"/>
      <c r="F754" s="20">
        <v>1</v>
      </c>
      <c r="G754" s="45">
        <f>'Hao phí vật tư'!J195</f>
        <v>891</v>
      </c>
      <c r="H754" s="166"/>
      <c r="I754" s="166"/>
      <c r="J754" s="166"/>
      <c r="K754" s="166"/>
      <c r="L754" s="156">
        <f>ROUND(G754*K753,2)</f>
        <v>9192447</v>
      </c>
      <c r="M754" s="156">
        <f>ROUND(G754*J753,2)</f>
        <v>20953647</v>
      </c>
    </row>
    <row r="755" spans="1:13" hidden="1" x14ac:dyDescent="0.25">
      <c r="A755" s="168"/>
      <c r="B755" s="133" t="str">
        <f>'Công trình'!B49</f>
        <v>AL.16122</v>
      </c>
      <c r="C755" s="34"/>
      <c r="D755" s="133" t="str">
        <f>'Công trình'!C49</f>
        <v>Rải vải địa kỹ thuật làm móng công trình</v>
      </c>
      <c r="E755" s="168"/>
      <c r="F755" s="20">
        <v>1</v>
      </c>
      <c r="G755" s="45">
        <f>'Hao phí vật tư'!J364</f>
        <v>2617.087</v>
      </c>
      <c r="H755" s="166"/>
      <c r="I755" s="166"/>
      <c r="J755" s="166"/>
      <c r="K755" s="166"/>
      <c r="L755" s="156">
        <f>ROUND(G755*K753,2)</f>
        <v>27000486.579999998</v>
      </c>
      <c r="M755" s="156">
        <f>ROUND(G755*J753,2)</f>
        <v>61546034.979999997</v>
      </c>
    </row>
    <row r="756" spans="1:13" hidden="1" x14ac:dyDescent="0.25">
      <c r="A756" s="168"/>
      <c r="B756" s="133" t="str">
        <f>'Công trình'!B53</f>
        <v>AL.16122</v>
      </c>
      <c r="C756" s="34"/>
      <c r="D756" s="133" t="str">
        <f>'Công trình'!C53</f>
        <v>Rải vải địa kỹ thuật làm móng công trình</v>
      </c>
      <c r="E756" s="168"/>
      <c r="F756" s="20">
        <v>1</v>
      </c>
      <c r="G756" s="45">
        <f>'Hao phí vật tư'!J389</f>
        <v>841.64300000000003</v>
      </c>
      <c r="H756" s="166"/>
      <c r="I756" s="166"/>
      <c r="J756" s="166"/>
      <c r="K756" s="166"/>
      <c r="L756" s="156">
        <f>ROUND(G756*K753,2)</f>
        <v>8683230.8300000001</v>
      </c>
      <c r="M756" s="156">
        <f>ROUND(G756*J753,2)</f>
        <v>19792918.43</v>
      </c>
    </row>
    <row r="757" spans="1:13" hidden="1" x14ac:dyDescent="0.25">
      <c r="A757" s="168"/>
      <c r="B757" s="133" t="str">
        <f>'Công trình'!B97</f>
        <v>AL.16122</v>
      </c>
      <c r="C757" s="34"/>
      <c r="D757" s="133" t="str">
        <f>'Công trình'!C97</f>
        <v>Rải vải địa kỹ thuật làm móng công trình</v>
      </c>
      <c r="E757" s="168"/>
      <c r="F757" s="20">
        <v>1</v>
      </c>
      <c r="G757" s="45">
        <f>'Hao phí vật tư'!J783</f>
        <v>541.20000000000005</v>
      </c>
      <c r="H757" s="166"/>
      <c r="I757" s="166"/>
      <c r="J757" s="166"/>
      <c r="K757" s="166"/>
      <c r="L757" s="156">
        <f>ROUND(G757*K753,2)</f>
        <v>5583560.4000000004</v>
      </c>
      <c r="M757" s="156">
        <f>ROUND(G757*J753,2)</f>
        <v>12727400.4</v>
      </c>
    </row>
    <row r="758" spans="1:13" hidden="1" x14ac:dyDescent="0.25">
      <c r="A758" s="168"/>
      <c r="B758" s="133" t="str">
        <f>'Công trình'!B150</f>
        <v>AL.16122</v>
      </c>
      <c r="C758" s="34"/>
      <c r="D758" s="133" t="str">
        <f>'Công trình'!C150</f>
        <v>Rải vải địa kỹ thuật làm móng công trình</v>
      </c>
      <c r="E758" s="168"/>
      <c r="F758" s="20">
        <v>1</v>
      </c>
      <c r="G758" s="45">
        <f>'Hao phí vật tư'!J1143</f>
        <v>80.531000000000006</v>
      </c>
      <c r="H758" s="166"/>
      <c r="I758" s="166"/>
      <c r="J758" s="166"/>
      <c r="K758" s="166"/>
      <c r="L758" s="156">
        <f>ROUND(G758*K753,2)</f>
        <v>830838.33</v>
      </c>
      <c r="M758" s="156">
        <f>ROUND(G758*J753,2)</f>
        <v>1893847.53</v>
      </c>
    </row>
    <row r="759" spans="1:13" hidden="1" x14ac:dyDescent="0.25">
      <c r="A759" s="168"/>
      <c r="B759" s="133" t="str">
        <f>'Công trình'!B253</f>
        <v>AL.16122</v>
      </c>
      <c r="C759" s="34"/>
      <c r="D759" s="133" t="str">
        <f>'Công trình'!C253</f>
        <v>Rải vải địa kỹ thuật làm móng công trình</v>
      </c>
      <c r="E759" s="168"/>
      <c r="F759" s="20">
        <v>1</v>
      </c>
      <c r="G759" s="45">
        <f>'Hao phí vật tư'!J1930</f>
        <v>2186.8440000000001</v>
      </c>
      <c r="H759" s="166"/>
      <c r="I759" s="166"/>
      <c r="J759" s="166"/>
      <c r="K759" s="166"/>
      <c r="L759" s="156">
        <f>ROUND(G759*K753,2)</f>
        <v>22561669.550000001</v>
      </c>
      <c r="M759" s="156">
        <f>ROUND(G759*J753,2)</f>
        <v>51428010.350000001</v>
      </c>
    </row>
    <row r="760" spans="1:13" x14ac:dyDescent="0.25">
      <c r="A760" s="168">
        <v>117</v>
      </c>
      <c r="B760" s="84" t="s">
        <v>289</v>
      </c>
      <c r="C760" s="34">
        <v>396</v>
      </c>
      <c r="D760" s="144" t="s">
        <v>300</v>
      </c>
      <c r="E760" s="168" t="s">
        <v>555</v>
      </c>
      <c r="F760" s="34"/>
      <c r="G760" s="60">
        <f>SUM(G761:G764)</f>
        <v>58630.582999999999</v>
      </c>
      <c r="H760" s="166">
        <v>1504</v>
      </c>
      <c r="I760" s="156">
        <v>1513</v>
      </c>
      <c r="J760" s="156">
        <f>'Vật liệu'!W716</f>
        <v>1513</v>
      </c>
      <c r="K760" s="166">
        <f>J760-H760</f>
        <v>9</v>
      </c>
      <c r="L760" s="166">
        <f>ROUND(G760*K760,0)</f>
        <v>527675</v>
      </c>
      <c r="M760" s="166">
        <f>ROUND(G760*J760,0)</f>
        <v>88708072</v>
      </c>
    </row>
    <row r="761" spans="1:13" hidden="1" x14ac:dyDescent="0.25">
      <c r="A761" s="168"/>
      <c r="B761" s="133" t="str">
        <f>'Công trình'!B92</f>
        <v>AF.11121</v>
      </c>
      <c r="C761" s="34"/>
      <c r="D761" s="133" t="str">
        <f>'Công trình'!C92</f>
        <v>Bê tông M100 đá 4x6</v>
      </c>
      <c r="E761" s="168"/>
      <c r="F761" s="20">
        <v>1</v>
      </c>
      <c r="G761" s="45">
        <f>'Hao phí vật tư'!J744</f>
        <v>20687.55</v>
      </c>
      <c r="H761" s="166"/>
      <c r="I761" s="166"/>
      <c r="J761" s="166"/>
      <c r="K761" s="166"/>
      <c r="L761" s="156">
        <f>ROUND(G761*K760,2)</f>
        <v>186187.95</v>
      </c>
      <c r="M761" s="156">
        <f>ROUND(G761*J760,2)</f>
        <v>31300263.149999999</v>
      </c>
    </row>
    <row r="762" spans="1:13" ht="30" hidden="1" x14ac:dyDescent="0.25">
      <c r="A762" s="168"/>
      <c r="B762" s="133" t="str">
        <f>'Công trình'!B177</f>
        <v>AF.11121</v>
      </c>
      <c r="C762" s="34"/>
      <c r="D762" s="133" t="str">
        <f>'Công trình'!C177</f>
        <v>Bê tông lót móng rộng &gt;250cm đá 4x6, vữa BT mác 100</v>
      </c>
      <c r="E762" s="168"/>
      <c r="F762" s="20">
        <v>1</v>
      </c>
      <c r="G762" s="45">
        <f>'Hao phí vật tư'!J1336</f>
        <v>1661.0295000000001</v>
      </c>
      <c r="H762" s="166"/>
      <c r="I762" s="166"/>
      <c r="J762" s="166"/>
      <c r="K762" s="166"/>
      <c r="L762" s="156">
        <f>ROUND(G762*K760,2)</f>
        <v>14949.27</v>
      </c>
      <c r="M762" s="156">
        <f>ROUND(G762*J760,2)</f>
        <v>2513137.63</v>
      </c>
    </row>
    <row r="763" spans="1:13" hidden="1" x14ac:dyDescent="0.25">
      <c r="A763" s="168"/>
      <c r="B763" s="133" t="str">
        <f>'Công trình'!B196</f>
        <v>AF.14315</v>
      </c>
      <c r="C763" s="34"/>
      <c r="D763" s="133" t="str">
        <f>'Công trình'!C196</f>
        <v>Bê tông mặt cầu đá 1x2, vữa BT mác 300</v>
      </c>
      <c r="E763" s="168"/>
      <c r="F763" s="20">
        <v>1</v>
      </c>
      <c r="G763" s="45">
        <f>'Hao phí vật tư'!J1496</f>
        <v>25315.593499999999</v>
      </c>
      <c r="H763" s="166"/>
      <c r="I763" s="166"/>
      <c r="J763" s="166"/>
      <c r="K763" s="166"/>
      <c r="L763" s="156">
        <f>ROUND(G763*K760,2)</f>
        <v>227840.34</v>
      </c>
      <c r="M763" s="156">
        <f>ROUND(G763*J760,2)</f>
        <v>38302492.969999999</v>
      </c>
    </row>
    <row r="764" spans="1:13" ht="30" hidden="1" x14ac:dyDescent="0.25">
      <c r="A764" s="168"/>
      <c r="B764" s="133" t="str">
        <f>'Công trình'!B10</f>
        <v>AF.11121</v>
      </c>
      <c r="C764" s="34"/>
      <c r="D764" s="133" t="str">
        <f>'Công trình'!C10</f>
        <v>Bê tông lót móng rộng &gt;250cm đá 4x6, vữa BT mác 100</v>
      </c>
      <c r="E764" s="168"/>
      <c r="F764" s="20">
        <v>1</v>
      </c>
      <c r="G764" s="45">
        <f>'Hao phí vật tư'!J52</f>
        <v>10966.41</v>
      </c>
      <c r="H764" s="166"/>
      <c r="I764" s="166"/>
      <c r="J764" s="166"/>
      <c r="K764" s="166"/>
      <c r="L764" s="156">
        <f>ROUND(G764*K760,2)</f>
        <v>98697.69</v>
      </c>
      <c r="M764" s="156">
        <f>ROUND(G764*J760,2)</f>
        <v>16592178.33</v>
      </c>
    </row>
    <row r="765" spans="1:13" x14ac:dyDescent="0.25">
      <c r="A765" s="168">
        <v>118</v>
      </c>
      <c r="B765" s="84" t="s">
        <v>972</v>
      </c>
      <c r="C765" s="34">
        <v>397</v>
      </c>
      <c r="D765" s="144" t="s">
        <v>265</v>
      </c>
      <c r="E765" s="168" t="s">
        <v>555</v>
      </c>
      <c r="F765" s="34"/>
      <c r="G765" s="60">
        <f>SUM(G766:G806)</f>
        <v>464808.59579999995</v>
      </c>
      <c r="H765" s="166">
        <v>1504</v>
      </c>
      <c r="I765" s="156">
        <v>1513</v>
      </c>
      <c r="J765" s="156">
        <f>'Vật liệu'!W721</f>
        <v>1513</v>
      </c>
      <c r="K765" s="166">
        <f>J765-H765</f>
        <v>9</v>
      </c>
      <c r="L765" s="166">
        <f>ROUND(G765*K765,0)</f>
        <v>4183277</v>
      </c>
      <c r="M765" s="166">
        <f>ROUND(G765*J765,0)</f>
        <v>703255405</v>
      </c>
    </row>
    <row r="766" spans="1:13" ht="30" hidden="1" x14ac:dyDescent="0.25">
      <c r="A766" s="168"/>
      <c r="B766" s="133" t="str">
        <f>'Công trình'!B18</f>
        <v>AF.12314</v>
      </c>
      <c r="C766" s="34"/>
      <c r="D766" s="133" t="str">
        <f>'Công trình'!C18</f>
        <v>Bê tông xà dầm, giằng nhà đá 1x2, vữa BT mác 250</v>
      </c>
      <c r="E766" s="168"/>
      <c r="F766" s="20">
        <v>1</v>
      </c>
      <c r="G766" s="45">
        <f>'Hao phí vật tư'!J123</f>
        <v>21722.691800000001</v>
      </c>
      <c r="H766" s="166"/>
      <c r="I766" s="166"/>
      <c r="J766" s="166"/>
      <c r="K766" s="166"/>
      <c r="L766" s="156">
        <f>ROUND(G766*K765,2)</f>
        <v>195504.23</v>
      </c>
      <c r="M766" s="156">
        <f>ROUND(G766*J765,2)</f>
        <v>32866432.690000001</v>
      </c>
    </row>
    <row r="767" spans="1:13" ht="30" hidden="1" x14ac:dyDescent="0.25">
      <c r="A767" s="168"/>
      <c r="B767" s="133" t="str">
        <f>'Công trình'!B30</f>
        <v>AF.12113</v>
      </c>
      <c r="C767" s="34"/>
      <c r="D767" s="133" t="str">
        <f>'Công trình'!C30</f>
        <v>Bê tông tường dày &lt;=45cm, chiều cao &lt;=4m đá 1x2, vữa BT mác 200</v>
      </c>
      <c r="E767" s="168"/>
      <c r="F767" s="20">
        <v>1</v>
      </c>
      <c r="G767" s="45">
        <f>'Hao phí vật tư'!J203</f>
        <v>7540.4944999999998</v>
      </c>
      <c r="H767" s="166"/>
      <c r="I767" s="166"/>
      <c r="J767" s="166"/>
      <c r="K767" s="166"/>
      <c r="L767" s="156">
        <f>ROUND(G767*K765,2)</f>
        <v>67864.45</v>
      </c>
      <c r="M767" s="156">
        <f>ROUND(G767*J765,2)</f>
        <v>11408768.18</v>
      </c>
    </row>
    <row r="768" spans="1:13" ht="30" hidden="1" x14ac:dyDescent="0.25">
      <c r="A768" s="168"/>
      <c r="B768" s="133" t="str">
        <f>'Công trình'!B43</f>
        <v>AF.11212</v>
      </c>
      <c r="C768" s="34"/>
      <c r="D768" s="133" t="str">
        <f>'Công trình'!C43</f>
        <v>Bê tông móng rộng &lt;=250cm đá 1x2, vữa BT mác 150</v>
      </c>
      <c r="E768" s="168"/>
      <c r="F768" s="20">
        <v>1</v>
      </c>
      <c r="G768" s="45">
        <f>'Hao phí vật tư'!J321</f>
        <v>14.329499999999999</v>
      </c>
      <c r="H768" s="166"/>
      <c r="I768" s="166"/>
      <c r="J768" s="166"/>
      <c r="K768" s="166"/>
      <c r="L768" s="156">
        <f>ROUND(G768*K765,2)</f>
        <v>128.97</v>
      </c>
      <c r="M768" s="156">
        <f>ROUND(G768*J765,2)</f>
        <v>21680.53</v>
      </c>
    </row>
    <row r="769" spans="1:13" ht="30" hidden="1" x14ac:dyDescent="0.25">
      <c r="A769" s="168"/>
      <c r="B769" s="133" t="str">
        <f>'Công trình'!B44</f>
        <v>AF.11213</v>
      </c>
      <c r="C769" s="34"/>
      <c r="D769" s="133" t="str">
        <f>'Công trình'!C44</f>
        <v>Bê tông móng rộng &lt;=250cm đá 1x2, vữa BT mác 200</v>
      </c>
      <c r="E769" s="168"/>
      <c r="F769" s="20">
        <v>1</v>
      </c>
      <c r="G769" s="45">
        <f>'Hao phí vật tư'!J333</f>
        <v>57.604999999999997</v>
      </c>
      <c r="H769" s="166"/>
      <c r="I769" s="166"/>
      <c r="J769" s="166"/>
      <c r="K769" s="166"/>
      <c r="L769" s="156">
        <f>ROUND(G769*K765,2)</f>
        <v>518.45000000000005</v>
      </c>
      <c r="M769" s="156">
        <f>ROUND(G769*J765,2)</f>
        <v>87156.37</v>
      </c>
    </row>
    <row r="770" spans="1:13" ht="30" hidden="1" x14ac:dyDescent="0.25">
      <c r="A770" s="168"/>
      <c r="B770" s="133" t="str">
        <f>'Công trình'!B52</f>
        <v>AG.11412</v>
      </c>
      <c r="C770" s="34"/>
      <c r="D770" s="133" t="str">
        <f>'Công trình'!C52</f>
        <v>Sản xuất bê tông tấm BT tự chèn đúc sẵn đá 1x2, vữa BT mác 150</v>
      </c>
      <c r="E770" s="168"/>
      <c r="F770" s="20">
        <v>1</v>
      </c>
      <c r="G770" s="45">
        <f>'Hao phí vật tư'!J378</f>
        <v>21713.9303</v>
      </c>
      <c r="H770" s="166"/>
      <c r="I770" s="166"/>
      <c r="J770" s="166"/>
      <c r="K770" s="166"/>
      <c r="L770" s="156">
        <f>ROUND(G770*K765,2)</f>
        <v>195425.37</v>
      </c>
      <c r="M770" s="156">
        <f>ROUND(G770*J765,2)</f>
        <v>32853176.539999999</v>
      </c>
    </row>
    <row r="771" spans="1:13" ht="30" hidden="1" x14ac:dyDescent="0.25">
      <c r="A771" s="168"/>
      <c r="B771" s="133" t="str">
        <f>'Công trình'!B55</f>
        <v>AG.42111</v>
      </c>
      <c r="C771" s="34"/>
      <c r="D771" s="133" t="str">
        <f>'Công trình'!C55</f>
        <v>Lắp các loại cấu kiện BT đúc sẵn bằng thủ công trọng lượng &lt;=50kg, vữa XM mác 100</v>
      </c>
      <c r="E771" s="168"/>
      <c r="F771" s="20">
        <v>1</v>
      </c>
      <c r="G771" s="45">
        <f>'Hao phí vật tư'!J401</f>
        <v>4304.3392999999996</v>
      </c>
      <c r="H771" s="166"/>
      <c r="I771" s="166"/>
      <c r="J771" s="166"/>
      <c r="K771" s="166"/>
      <c r="L771" s="156">
        <f>ROUND(G771*K765,2)</f>
        <v>38739.050000000003</v>
      </c>
      <c r="M771" s="156">
        <f>ROUND(G771*J765,2)</f>
        <v>6512465.3600000003</v>
      </c>
    </row>
    <row r="772" spans="1:13" hidden="1" x14ac:dyDescent="0.25">
      <c r="A772" s="168"/>
      <c r="B772" s="133" t="str">
        <f>'Công trình'!B57</f>
        <v>AF.12313</v>
      </c>
      <c r="C772" s="34"/>
      <c r="D772" s="133" t="str">
        <f>'Công trình'!C57</f>
        <v>Bê tông xà dầm, giằng đá 1x2, vữa BT mác 200</v>
      </c>
      <c r="E772" s="168"/>
      <c r="F772" s="20">
        <v>1</v>
      </c>
      <c r="G772" s="45">
        <f>'Hao phí vật tư'!J420</f>
        <v>10043.4318</v>
      </c>
      <c r="H772" s="166"/>
      <c r="I772" s="166"/>
      <c r="J772" s="166"/>
      <c r="K772" s="166"/>
      <c r="L772" s="156">
        <f>ROUND(G772*K765,2)</f>
        <v>90390.89</v>
      </c>
      <c r="M772" s="156">
        <f>ROUND(G772*J765,2)</f>
        <v>15195712.310000001</v>
      </c>
    </row>
    <row r="773" spans="1:13" hidden="1" x14ac:dyDescent="0.25">
      <c r="A773" s="168"/>
      <c r="B773" s="133" t="str">
        <f>'Công trình'!B58</f>
        <v>AK.41124</v>
      </c>
      <c r="C773" s="34"/>
      <c r="D773" s="133" t="str">
        <f>'Công trình'!C58</f>
        <v>Vữa lót M75 dày 3cm</v>
      </c>
      <c r="E773" s="168"/>
      <c r="F773" s="20">
        <v>1</v>
      </c>
      <c r="G773" s="45">
        <f>'Hao phí vật tư'!J433</f>
        <v>692.63459999999998</v>
      </c>
      <c r="H773" s="166"/>
      <c r="I773" s="166"/>
      <c r="J773" s="166"/>
      <c r="K773" s="166"/>
      <c r="L773" s="156">
        <f>ROUND(G773*K765,2)</f>
        <v>6233.71</v>
      </c>
      <c r="M773" s="156">
        <f>ROUND(G773*J765,2)</f>
        <v>1047956.15</v>
      </c>
    </row>
    <row r="774" spans="1:13" ht="30" hidden="1" x14ac:dyDescent="0.25">
      <c r="A774" s="168"/>
      <c r="B774" s="133" t="str">
        <f>'Công trình'!B63</f>
        <v>AF.11223</v>
      </c>
      <c r="C774" s="34"/>
      <c r="D774" s="133" t="str">
        <f>'Công trình'!C63</f>
        <v>Bê tông lát mái rộng &gt;250cm đá 1x2, vữa BT mác 200</v>
      </c>
      <c r="E774" s="168"/>
      <c r="F774" s="20">
        <v>1</v>
      </c>
      <c r="G774" s="45">
        <f>'Hao phí vật tư'!J475</f>
        <v>46950.955300000001</v>
      </c>
      <c r="H774" s="166"/>
      <c r="I774" s="166"/>
      <c r="J774" s="166"/>
      <c r="K774" s="166"/>
      <c r="L774" s="156">
        <f>ROUND(G774*K765,2)</f>
        <v>422558.6</v>
      </c>
      <c r="M774" s="156">
        <f>ROUND(G774*J765,2)</f>
        <v>71036795.370000005</v>
      </c>
    </row>
    <row r="775" spans="1:13" hidden="1" x14ac:dyDescent="0.25">
      <c r="A775" s="168"/>
      <c r="B775" s="133" t="str">
        <f>'Công trình'!B64</f>
        <v>AK.41124</v>
      </c>
      <c r="C775" s="34"/>
      <c r="D775" s="133" t="str">
        <f>'Công trình'!C64</f>
        <v>Vữa lót M75 dày 3cm</v>
      </c>
      <c r="E775" s="168"/>
      <c r="F775" s="20">
        <v>1</v>
      </c>
      <c r="G775" s="45">
        <f>'Hao phí vật tư'!J488</f>
        <v>10792.9089</v>
      </c>
      <c r="H775" s="166"/>
      <c r="I775" s="166"/>
      <c r="J775" s="166"/>
      <c r="K775" s="166"/>
      <c r="L775" s="156">
        <f>ROUND(G775*K765,2)</f>
        <v>97136.18</v>
      </c>
      <c r="M775" s="156">
        <f>ROUND(G775*J765,2)</f>
        <v>16329671.17</v>
      </c>
    </row>
    <row r="776" spans="1:13" ht="30" hidden="1" x14ac:dyDescent="0.25">
      <c r="A776" s="168"/>
      <c r="B776" s="133" t="str">
        <f>'Công trình'!B68</f>
        <v>AG.11125</v>
      </c>
      <c r="C776" s="34"/>
      <c r="D776" s="133" t="str">
        <f>'Công trình'!C68</f>
        <v>Sản xuất bê tông cọc cừ đúc sẵn đá 1x2, vữa BT mác 300</v>
      </c>
      <c r="E776" s="168"/>
      <c r="F776" s="20">
        <v>1</v>
      </c>
      <c r="G776" s="45">
        <f>'Hao phí vật tư'!J506</f>
        <v>27107.950099999998</v>
      </c>
      <c r="H776" s="166"/>
      <c r="I776" s="166"/>
      <c r="J776" s="166"/>
      <c r="K776" s="166"/>
      <c r="L776" s="156">
        <f>ROUND(G776*K765,2)</f>
        <v>243971.55</v>
      </c>
      <c r="M776" s="156">
        <f>ROUND(G776*J765,2)</f>
        <v>41014328.5</v>
      </c>
    </row>
    <row r="777" spans="1:13" ht="30" hidden="1" x14ac:dyDescent="0.25">
      <c r="A777" s="168"/>
      <c r="B777" s="133" t="str">
        <f>'Công trình'!B79</f>
        <v>AG.11125</v>
      </c>
      <c r="C777" s="34"/>
      <c r="D777" s="133" t="str">
        <f>'Công trình'!C79</f>
        <v>Sản xuất bê tông cọc cừ đúc sẵn đá 1x2, vữa BT mác 300</v>
      </c>
      <c r="E777" s="168"/>
      <c r="F777" s="20">
        <v>1</v>
      </c>
      <c r="G777" s="45">
        <f>'Hao phí vật tư'!J622</f>
        <v>10617.691699999999</v>
      </c>
      <c r="H777" s="166"/>
      <c r="I777" s="166"/>
      <c r="J777" s="166"/>
      <c r="K777" s="166"/>
      <c r="L777" s="156">
        <f>ROUND(G777*K765,2)</f>
        <v>95559.23</v>
      </c>
      <c r="M777" s="156">
        <f>ROUND(G777*J765,2)</f>
        <v>16064567.539999999</v>
      </c>
    </row>
    <row r="778" spans="1:13" ht="30" hidden="1" x14ac:dyDescent="0.25">
      <c r="A778" s="168"/>
      <c r="B778" s="133" t="str">
        <f>'Công trình'!B167</f>
        <v>AG.11413</v>
      </c>
      <c r="C778" s="34"/>
      <c r="D778" s="133" t="str">
        <f>'Công trình'!C167</f>
        <v>Bê tông tấm đan đúc sẵn đá 1x2, vữa BT mác 200</v>
      </c>
      <c r="E778" s="168"/>
      <c r="F778" s="20">
        <v>1</v>
      </c>
      <c r="G778" s="45">
        <f>'Hao phí vật tư'!J1259</f>
        <v>2504.1876999999999</v>
      </c>
      <c r="H778" s="166"/>
      <c r="I778" s="166"/>
      <c r="J778" s="166"/>
      <c r="K778" s="166"/>
      <c r="L778" s="156">
        <f>ROUND(G778*K765,2)</f>
        <v>22537.69</v>
      </c>
      <c r="M778" s="156">
        <f>ROUND(G778*J765,2)</f>
        <v>3788835.99</v>
      </c>
    </row>
    <row r="779" spans="1:13" ht="30" hidden="1" x14ac:dyDescent="0.25">
      <c r="A779" s="168"/>
      <c r="B779" s="133" t="str">
        <f>'Công trình'!B169</f>
        <v>AG.42141</v>
      </c>
      <c r="C779" s="34"/>
      <c r="D779" s="133" t="str">
        <f>'Công trình'!C169</f>
        <v>Lắp các loại cấu kiện BT đúc sẵn bằng thủ công trọng lượng &gt;250kg, vữa XM mác 100</v>
      </c>
      <c r="E779" s="168"/>
      <c r="F779" s="20">
        <v>1</v>
      </c>
      <c r="G779" s="45">
        <f>'Hao phí vật tư'!J1281</f>
        <v>181.18219999999999</v>
      </c>
      <c r="H779" s="166"/>
      <c r="I779" s="166"/>
      <c r="J779" s="166"/>
      <c r="K779" s="166"/>
      <c r="L779" s="156">
        <f>ROUND(G779*K765,2)</f>
        <v>1630.64</v>
      </c>
      <c r="M779" s="156">
        <f>ROUND(G779*J765,2)</f>
        <v>274128.67</v>
      </c>
    </row>
    <row r="780" spans="1:13" ht="30" hidden="1" x14ac:dyDescent="0.25">
      <c r="A780" s="168"/>
      <c r="B780" s="133" t="str">
        <f>'Công trình'!B174</f>
        <v>AF.14115</v>
      </c>
      <c r="C780" s="34"/>
      <c r="D780" s="133" t="str">
        <f>'Công trình'!C174</f>
        <v>Bê tông móng, mố trụ cầu trên cạn đá 1x2, vữa BT mác 300</v>
      </c>
      <c r="E780" s="168"/>
      <c r="F780" s="20">
        <v>1</v>
      </c>
      <c r="G780" s="45">
        <f>'Hao phí vật tư'!J1298</f>
        <v>37748.474499999997</v>
      </c>
      <c r="H780" s="166"/>
      <c r="I780" s="166"/>
      <c r="J780" s="166"/>
      <c r="K780" s="166"/>
      <c r="L780" s="156">
        <f>ROUND(G780*K765,2)</f>
        <v>339736.27</v>
      </c>
      <c r="M780" s="156">
        <f>ROUND(G780*J765,2)</f>
        <v>57113441.920000002</v>
      </c>
    </row>
    <row r="781" spans="1:13" hidden="1" x14ac:dyDescent="0.25">
      <c r="A781" s="168"/>
      <c r="B781" s="133" t="str">
        <f>'Công trình'!B176</f>
        <v>AK.41125</v>
      </c>
      <c r="C781" s="34"/>
      <c r="D781" s="133" t="str">
        <f>'Công trình'!C176</f>
        <v>Vữa xi măng M100 độ dốc 10%</v>
      </c>
      <c r="E781" s="168"/>
      <c r="F781" s="20">
        <v>1</v>
      </c>
      <c r="G781" s="45">
        <f>'Hao phí vật tư'!J1327</f>
        <v>48.901400000000002</v>
      </c>
      <c r="H781" s="166"/>
      <c r="I781" s="166"/>
      <c r="J781" s="166"/>
      <c r="K781" s="166"/>
      <c r="L781" s="156">
        <f>ROUND(G781*K765,2)</f>
        <v>440.11</v>
      </c>
      <c r="M781" s="156">
        <f>ROUND(G781*J765,2)</f>
        <v>73987.820000000007</v>
      </c>
    </row>
    <row r="782" spans="1:13" ht="30" hidden="1" x14ac:dyDescent="0.25">
      <c r="A782" s="168"/>
      <c r="B782" s="133" t="str">
        <f>'Công trình'!B186</f>
        <v>AF.14115</v>
      </c>
      <c r="C782" s="34"/>
      <c r="D782" s="133" t="str">
        <f>'Công trình'!C186</f>
        <v>Bê tông móng, mố trụ cầu trên cạn đá 1x2, vữa BT mác 300</v>
      </c>
      <c r="E782" s="168"/>
      <c r="F782" s="20">
        <v>1</v>
      </c>
      <c r="G782" s="45">
        <f>'Hao phí vật tư'!J1415</f>
        <v>1349.3920000000001</v>
      </c>
      <c r="H782" s="166"/>
      <c r="I782" s="166"/>
      <c r="J782" s="166"/>
      <c r="K782" s="166"/>
      <c r="L782" s="156">
        <f>ROUND(G782*K765,2)</f>
        <v>12144.53</v>
      </c>
      <c r="M782" s="156">
        <f>ROUND(G782*J765,2)</f>
        <v>2041630.1</v>
      </c>
    </row>
    <row r="783" spans="1:13" hidden="1" x14ac:dyDescent="0.25">
      <c r="A783" s="168"/>
      <c r="B783" s="133" t="str">
        <f>'Công trình'!B187</f>
        <v>AK.41125</v>
      </c>
      <c r="C783" s="34"/>
      <c r="D783" s="133" t="str">
        <f>'Công trình'!C187</f>
        <v>Vữa xi măng dày 3cm, vữa XM mác 100</v>
      </c>
      <c r="E783" s="168"/>
      <c r="F783" s="20">
        <v>1</v>
      </c>
      <c r="G783" s="45">
        <f>'Hao phí vật tư'!J1429</f>
        <v>9.9799000000000007</v>
      </c>
      <c r="H783" s="166"/>
      <c r="I783" s="166"/>
      <c r="J783" s="166"/>
      <c r="K783" s="166"/>
      <c r="L783" s="156">
        <f>ROUND(G783*K765,2)</f>
        <v>89.82</v>
      </c>
      <c r="M783" s="156">
        <f>ROUND(G783*J765,2)</f>
        <v>15099.59</v>
      </c>
    </row>
    <row r="784" spans="1:13" hidden="1" x14ac:dyDescent="0.25">
      <c r="A784" s="168"/>
      <c r="B784" s="133" t="str">
        <f>'Công trình'!B197</f>
        <v>AF.15225</v>
      </c>
      <c r="C784" s="34"/>
      <c r="D784" s="133" t="str">
        <f>'Công trình'!C197</f>
        <v>Bê tông dầm cầu đá 1x2, vữa BT mác 300</v>
      </c>
      <c r="E784" s="168"/>
      <c r="F784" s="20">
        <v>1</v>
      </c>
      <c r="G784" s="45">
        <f>'Hao phí vật tư'!J1510</f>
        <v>1176.8844999999999</v>
      </c>
      <c r="H784" s="166"/>
      <c r="I784" s="166"/>
      <c r="J784" s="166"/>
      <c r="K784" s="166"/>
      <c r="L784" s="156">
        <f>ROUND(G784*K765,2)</f>
        <v>10591.96</v>
      </c>
      <c r="M784" s="156">
        <f>ROUND(G784*J765,2)</f>
        <v>1780626.25</v>
      </c>
    </row>
    <row r="785" spans="1:13" ht="30" hidden="1" x14ac:dyDescent="0.25">
      <c r="A785" s="168"/>
      <c r="B785" s="133" t="str">
        <f>'Công trình'!B225</f>
        <v>AG.11125</v>
      </c>
      <c r="C785" s="34"/>
      <c r="D785" s="133" t="str">
        <f>'Công trình'!C225</f>
        <v>Sản xuất bê tông cọc cừ đúc sẵn đá 1x2, vữa BT mác 300</v>
      </c>
      <c r="E785" s="168"/>
      <c r="F785" s="20">
        <v>1</v>
      </c>
      <c r="G785" s="45">
        <f>'Hao phí vật tư'!J1682</f>
        <v>29298.299800000001</v>
      </c>
      <c r="H785" s="166"/>
      <c r="I785" s="166"/>
      <c r="J785" s="166"/>
      <c r="K785" s="166"/>
      <c r="L785" s="156">
        <f>ROUND(G785*K765,2)</f>
        <v>263684.7</v>
      </c>
      <c r="M785" s="156">
        <f>ROUND(G785*J765,2)</f>
        <v>44328327.600000001</v>
      </c>
    </row>
    <row r="786" spans="1:13" ht="30" hidden="1" x14ac:dyDescent="0.25">
      <c r="A786" s="168"/>
      <c r="B786" s="133" t="str">
        <f>'Công trình'!B247</f>
        <v>AF.12313</v>
      </c>
      <c r="C786" s="34"/>
      <c r="D786" s="133" t="str">
        <f>'Công trình'!C247</f>
        <v>Bê tông dầm chặn chân, đá 1x2, vữa BT mác 200</v>
      </c>
      <c r="E786" s="168"/>
      <c r="F786" s="20">
        <v>1</v>
      </c>
      <c r="G786" s="45">
        <f>'Hao phí vật tư'!J1865</f>
        <v>5138.366</v>
      </c>
      <c r="H786" s="166"/>
      <c r="I786" s="166"/>
      <c r="J786" s="166"/>
      <c r="K786" s="166"/>
      <c r="L786" s="156">
        <f>ROUND(G786*K765,2)</f>
        <v>46245.29</v>
      </c>
      <c r="M786" s="156">
        <f>ROUND(G786*J765,2)</f>
        <v>7774347.7599999998</v>
      </c>
    </row>
    <row r="787" spans="1:13" hidden="1" x14ac:dyDescent="0.25">
      <c r="A787" s="168"/>
      <c r="B787" s="133" t="str">
        <f>'Công trình'!B248</f>
        <v>AK.41124</v>
      </c>
      <c r="C787" s="34"/>
      <c r="D787" s="133" t="str">
        <f>'Công trình'!C248</f>
        <v>Vữa lót M75-3cm</v>
      </c>
      <c r="E787" s="168"/>
      <c r="F787" s="20">
        <v>1</v>
      </c>
      <c r="G787" s="45">
        <f>'Hao phí vật tư'!J1878</f>
        <v>567.00519999999995</v>
      </c>
      <c r="H787" s="166"/>
      <c r="I787" s="166"/>
      <c r="J787" s="166"/>
      <c r="K787" s="166"/>
      <c r="L787" s="156">
        <f>ROUND(G787*K765,2)</f>
        <v>5103.05</v>
      </c>
      <c r="M787" s="156">
        <f>ROUND(G787*J765,2)</f>
        <v>857878.87</v>
      </c>
    </row>
    <row r="788" spans="1:13" ht="30" hidden="1" x14ac:dyDescent="0.25">
      <c r="A788" s="168"/>
      <c r="B788" s="133" t="str">
        <f>'Công trình'!B250</f>
        <v>AG.11413</v>
      </c>
      <c r="C788" s="34"/>
      <c r="D788" s="133" t="str">
        <f>'Công trình'!C250</f>
        <v>Sản xuất bê tông lục giác, đá 1x2, vữa BT mác 200</v>
      </c>
      <c r="E788" s="168"/>
      <c r="F788" s="20">
        <v>1</v>
      </c>
      <c r="G788" s="45">
        <f>'Hao phí vật tư'!J1900</f>
        <v>20666.678899999999</v>
      </c>
      <c r="H788" s="166"/>
      <c r="I788" s="166"/>
      <c r="J788" s="166"/>
      <c r="K788" s="166"/>
      <c r="L788" s="156">
        <f>ROUND(G788*K765,2)</f>
        <v>186000.11</v>
      </c>
      <c r="M788" s="156">
        <f>ROUND(G788*J765,2)</f>
        <v>31268685.18</v>
      </c>
    </row>
    <row r="789" spans="1:13" ht="30" hidden="1" x14ac:dyDescent="0.25">
      <c r="A789" s="168"/>
      <c r="B789" s="133" t="str">
        <f>'Công trình'!B255</f>
        <v>AF.14325</v>
      </c>
      <c r="C789" s="34"/>
      <c r="D789" s="133" t="str">
        <f>'Công trình'!C255</f>
        <v>Bê tông lan can, gờ chắn đá 1x2, vữa BT mác 300</v>
      </c>
      <c r="E789" s="168"/>
      <c r="F789" s="20">
        <v>1</v>
      </c>
      <c r="G789" s="45">
        <f>'Hao phí vật tư'!J1936</f>
        <v>8215.1905000000006</v>
      </c>
      <c r="H789" s="166"/>
      <c r="I789" s="166"/>
      <c r="J789" s="166"/>
      <c r="K789" s="166"/>
      <c r="L789" s="156">
        <f>ROUND(G789*K765,2)</f>
        <v>73936.710000000006</v>
      </c>
      <c r="M789" s="156">
        <f>ROUND(G789*J765,2)</f>
        <v>12429583.23</v>
      </c>
    </row>
    <row r="790" spans="1:13" hidden="1" x14ac:dyDescent="0.25">
      <c r="A790" s="168"/>
      <c r="B790" s="133" t="str">
        <f>'Công trình'!B263</f>
        <v>AI.63211</v>
      </c>
      <c r="C790" s="34"/>
      <c r="D790" s="133" t="str">
        <f>'Công trình'!C263</f>
        <v>Lắp dựng lan can sắt, vữa XM mác 75</v>
      </c>
      <c r="E790" s="168"/>
      <c r="F790" s="20">
        <v>1</v>
      </c>
      <c r="G790" s="45">
        <f>'Hao phí vật tư'!J2009</f>
        <v>65.033299999999997</v>
      </c>
      <c r="H790" s="166"/>
      <c r="I790" s="166"/>
      <c r="J790" s="166"/>
      <c r="K790" s="166"/>
      <c r="L790" s="156">
        <f>ROUND(G790*K765,2)</f>
        <v>585.29999999999995</v>
      </c>
      <c r="M790" s="156">
        <f>ROUND(G790*J765,2)</f>
        <v>98395.38</v>
      </c>
    </row>
    <row r="791" spans="1:13" ht="30" hidden="1" x14ac:dyDescent="0.25">
      <c r="A791" s="168"/>
      <c r="B791" s="133" t="str">
        <f>'Công trình'!B267</f>
        <v>AF.11212</v>
      </c>
      <c r="C791" s="34"/>
      <c r="D791" s="133" t="str">
        <f>'Công trình'!C267</f>
        <v>Bê tông móng rộng &lt;=250cm đá 1x2, vữa BT mác 150</v>
      </c>
      <c r="E791" s="168"/>
      <c r="F791" s="20">
        <v>1</v>
      </c>
      <c r="G791" s="45">
        <f>'Hao phí vật tư'!J2031</f>
        <v>812.005</v>
      </c>
      <c r="H791" s="166"/>
      <c r="I791" s="166"/>
      <c r="J791" s="166"/>
      <c r="K791" s="166"/>
      <c r="L791" s="156">
        <f>ROUND(G791*K765,2)</f>
        <v>7308.05</v>
      </c>
      <c r="M791" s="156">
        <f>ROUND(G791*J765,2)</f>
        <v>1228563.57</v>
      </c>
    </row>
    <row r="792" spans="1:13" ht="30" hidden="1" x14ac:dyDescent="0.25">
      <c r="A792" s="168"/>
      <c r="B792" s="133" t="str">
        <f>'Công trình'!B284</f>
        <v>AF.11213</v>
      </c>
      <c r="C792" s="34"/>
      <c r="D792" s="133" t="str">
        <f>'Công trình'!C284</f>
        <v>Bê tông móng rộng &lt;=250cm đá 1x2, vữa BT mác 200</v>
      </c>
      <c r="E792" s="168"/>
      <c r="F792" s="20">
        <v>1</v>
      </c>
      <c r="G792" s="45">
        <f>'Hao phí vật tư'!J2122</f>
        <v>2258.116</v>
      </c>
      <c r="H792" s="166"/>
      <c r="I792" s="166"/>
      <c r="J792" s="166"/>
      <c r="K792" s="166"/>
      <c r="L792" s="156">
        <f>ROUND(G792*K765,2)</f>
        <v>20323.04</v>
      </c>
      <c r="M792" s="156">
        <f>ROUND(G792*J765,2)</f>
        <v>3416529.51</v>
      </c>
    </row>
    <row r="793" spans="1:13" ht="30" hidden="1" x14ac:dyDescent="0.25">
      <c r="A793" s="168"/>
      <c r="B793" s="133" t="str">
        <f>'Công trình'!B285</f>
        <v>AF.11212</v>
      </c>
      <c r="C793" s="34"/>
      <c r="D793" s="133" t="str">
        <f>'Công trình'!C285</f>
        <v>Bê tông móng rộng &lt;=250cm đá 1x2, vữa BT mác 150</v>
      </c>
      <c r="E793" s="168"/>
      <c r="F793" s="20">
        <v>1</v>
      </c>
      <c r="G793" s="45">
        <f>'Hao phí vật tư'!J2134</f>
        <v>334.35500000000002</v>
      </c>
      <c r="H793" s="166"/>
      <c r="I793" s="166"/>
      <c r="J793" s="166"/>
      <c r="K793" s="166"/>
      <c r="L793" s="156">
        <f>ROUND(G793*K765,2)</f>
        <v>3009.2</v>
      </c>
      <c r="M793" s="156">
        <f>ROUND(G793*J765,2)</f>
        <v>505879.12</v>
      </c>
    </row>
    <row r="794" spans="1:13" hidden="1" x14ac:dyDescent="0.25">
      <c r="A794" s="168"/>
      <c r="B794" s="133" t="str">
        <f>'Công trình'!B286</f>
        <v>AK.41124</v>
      </c>
      <c r="C794" s="34"/>
      <c r="D794" s="133" t="str">
        <f>'Công trình'!C286</f>
        <v>Vữa lót M75 dày 3cm</v>
      </c>
      <c r="E794" s="168"/>
      <c r="F794" s="20">
        <v>1</v>
      </c>
      <c r="G794" s="45">
        <f>'Hao phí vật tư'!J2146</f>
        <v>90.104200000000006</v>
      </c>
      <c r="H794" s="166"/>
      <c r="I794" s="166"/>
      <c r="J794" s="166"/>
      <c r="K794" s="166"/>
      <c r="L794" s="156">
        <f>ROUND(G794*K765,2)</f>
        <v>810.94</v>
      </c>
      <c r="M794" s="156">
        <f>ROUND(G794*J765,2)</f>
        <v>136327.65</v>
      </c>
    </row>
    <row r="795" spans="1:13" ht="30" hidden="1" x14ac:dyDescent="0.25">
      <c r="A795" s="168"/>
      <c r="B795" s="133" t="str">
        <f>'Công trình'!B252</f>
        <v>AG.42111</v>
      </c>
      <c r="C795" s="34"/>
      <c r="D795" s="133" t="str">
        <f>'Công trình'!C252</f>
        <v>Lắp các loại cấu kiện BT đúc sẵn bằng thủ công trọng lượng &lt;=50kg, vữa XM mác 100</v>
      </c>
      <c r="E795" s="168"/>
      <c r="F795" s="20">
        <v>1</v>
      </c>
      <c r="G795" s="45">
        <f>'Hao phí vật tư'!J1922</f>
        <v>6209.1848</v>
      </c>
      <c r="H795" s="166"/>
      <c r="I795" s="166"/>
      <c r="J795" s="166"/>
      <c r="K795" s="166"/>
      <c r="L795" s="156">
        <f>ROUND(G795*K765,2)</f>
        <v>55882.66</v>
      </c>
      <c r="M795" s="156">
        <f>ROUND(G795*J765,2)</f>
        <v>9394496.5999999996</v>
      </c>
    </row>
    <row r="796" spans="1:13" hidden="1" x14ac:dyDescent="0.25">
      <c r="A796" s="168"/>
      <c r="B796" s="133" t="str">
        <f>'Công trình'!B265</f>
        <v>AK.41115</v>
      </c>
      <c r="C796" s="34"/>
      <c r="D796" s="133" t="str">
        <f>'Công trình'!C265</f>
        <v>Vữa xi măng M100</v>
      </c>
      <c r="E796" s="168"/>
      <c r="F796" s="20">
        <v>1</v>
      </c>
      <c r="G796" s="45">
        <f>'Hao phí vật tư'!J2022</f>
        <v>118.80800000000001</v>
      </c>
      <c r="H796" s="166"/>
      <c r="I796" s="166"/>
      <c r="J796" s="166"/>
      <c r="K796" s="166"/>
      <c r="L796" s="156">
        <f>ROUND(G796*K765,2)</f>
        <v>1069.27</v>
      </c>
      <c r="M796" s="156">
        <f>ROUND(G796*J765,2)</f>
        <v>179756.5</v>
      </c>
    </row>
    <row r="797" spans="1:13" ht="30" hidden="1" x14ac:dyDescent="0.25">
      <c r="A797" s="168"/>
      <c r="B797" s="133" t="str">
        <f>'Công trình'!B295</f>
        <v>AF.11213</v>
      </c>
      <c r="C797" s="34"/>
      <c r="D797" s="133" t="str">
        <f>'Công trình'!C295</f>
        <v>Bê tông móng rộng &lt;=250cm đá 1x2, vữa BT mác 200</v>
      </c>
      <c r="E797" s="168"/>
      <c r="F797" s="20">
        <v>1</v>
      </c>
      <c r="G797" s="45">
        <f>'Hao phí vật tư'!J2206</f>
        <v>48.964300000000001</v>
      </c>
      <c r="H797" s="166"/>
      <c r="I797" s="166"/>
      <c r="J797" s="166"/>
      <c r="K797" s="166"/>
      <c r="L797" s="156">
        <f>ROUND(G797*K765,2)</f>
        <v>440.68</v>
      </c>
      <c r="M797" s="156">
        <f>ROUND(G797*J765,2)</f>
        <v>74082.990000000005</v>
      </c>
    </row>
    <row r="798" spans="1:13" ht="30" hidden="1" x14ac:dyDescent="0.25">
      <c r="A798" s="168"/>
      <c r="B798" s="133" t="str">
        <f>'Công trình'!B296</f>
        <v>AF.11212</v>
      </c>
      <c r="C798" s="34"/>
      <c r="D798" s="133" t="str">
        <f>'Công trình'!C296</f>
        <v>Bê tông móng rộng &lt;=250cm đá 1x2, vữa BT mác 150</v>
      </c>
      <c r="E798" s="168"/>
      <c r="F798" s="20">
        <v>1</v>
      </c>
      <c r="G798" s="45">
        <f>'Hao phí vật tư'!J2218</f>
        <v>14.329499999999999</v>
      </c>
      <c r="H798" s="166"/>
      <c r="I798" s="166"/>
      <c r="J798" s="166"/>
      <c r="K798" s="166"/>
      <c r="L798" s="156">
        <f>ROUND(G798*K765,2)</f>
        <v>128.97</v>
      </c>
      <c r="M798" s="156">
        <f>ROUND(G798*J765,2)</f>
        <v>21680.53</v>
      </c>
    </row>
    <row r="799" spans="1:13" ht="30" hidden="1" x14ac:dyDescent="0.25">
      <c r="A799" s="168"/>
      <c r="B799" s="133" t="str">
        <f>'Công trình'!B300</f>
        <v>AG.11113</v>
      </c>
      <c r="C799" s="34"/>
      <c r="D799" s="133" t="str">
        <f>'Công trình'!C300</f>
        <v>Sản xuất bê tông cọc, cột đúc sẵn đá 1x2, vữa BT mác 200</v>
      </c>
      <c r="E799" s="168"/>
      <c r="F799" s="20">
        <v>1</v>
      </c>
      <c r="G799" s="45">
        <f>'Hao phí vật tư'!J2240</f>
        <v>256.69349999999997</v>
      </c>
      <c r="H799" s="166"/>
      <c r="I799" s="166"/>
      <c r="J799" s="166"/>
      <c r="K799" s="166"/>
      <c r="L799" s="156">
        <f>ROUND(G799*K765,2)</f>
        <v>2310.2399999999998</v>
      </c>
      <c r="M799" s="156">
        <f>ROUND(G799*J765,2)</f>
        <v>388377.27</v>
      </c>
    </row>
    <row r="800" spans="1:13" ht="30" hidden="1" x14ac:dyDescent="0.25">
      <c r="A800" s="168"/>
      <c r="B800" s="133" t="str">
        <f>'Công trình'!B301</f>
        <v>AF.11212</v>
      </c>
      <c r="C800" s="34"/>
      <c r="D800" s="133" t="str">
        <f>'Công trình'!C301</f>
        <v>Bê tông móng rộng &lt;=250cm đá 1x2, vữa BT mác 150</v>
      </c>
      <c r="E800" s="168"/>
      <c r="F800" s="20">
        <v>1</v>
      </c>
      <c r="G800" s="45">
        <f>'Hao phí vật tư'!J2253</f>
        <v>343.90800000000002</v>
      </c>
      <c r="H800" s="166"/>
      <c r="I800" s="166"/>
      <c r="J800" s="166"/>
      <c r="K800" s="166"/>
      <c r="L800" s="156">
        <f>ROUND(G800*K765,2)</f>
        <v>3095.17</v>
      </c>
      <c r="M800" s="156">
        <f>ROUND(G800*J765,2)</f>
        <v>520332.79999999999</v>
      </c>
    </row>
    <row r="801" spans="1:13" ht="30" hidden="1" x14ac:dyDescent="0.25">
      <c r="A801" s="168"/>
      <c r="B801" s="133" t="str">
        <f>'Công trình'!B303</f>
        <v>AG.42111</v>
      </c>
      <c r="C801" s="34"/>
      <c r="D801" s="133" t="str">
        <f>'Công trình'!C303</f>
        <v>Lắp các loại cấu kiện BT đúc sẵn bằng thủ công trọng lượng &lt;=50kg, vữa XM mác 100</v>
      </c>
      <c r="E801" s="168"/>
      <c r="F801" s="20">
        <v>1</v>
      </c>
      <c r="G801" s="45">
        <f>'Hao phí vật tư'!J2273</f>
        <v>35.643999999999998</v>
      </c>
      <c r="H801" s="166"/>
      <c r="I801" s="166"/>
      <c r="J801" s="166"/>
      <c r="K801" s="166"/>
      <c r="L801" s="156">
        <f>ROUND(G801*K765,2)</f>
        <v>320.8</v>
      </c>
      <c r="M801" s="156">
        <f>ROUND(G801*J765,2)</f>
        <v>53929.37</v>
      </c>
    </row>
    <row r="802" spans="1:13" ht="30" hidden="1" x14ac:dyDescent="0.25">
      <c r="A802" s="168"/>
      <c r="B802" s="133" t="str">
        <f>'Công trình'!B7</f>
        <v>AF.11224</v>
      </c>
      <c r="C802" s="34"/>
      <c r="D802" s="133" t="str">
        <f>'Công trình'!C7</f>
        <v>Bê tông móng rộng &gt;250cm đá 1x2, vữa BT mác 250</v>
      </c>
      <c r="E802" s="168"/>
      <c r="F802" s="20">
        <v>1</v>
      </c>
      <c r="G802" s="45">
        <f>'Hao phí vật tư'!J11</f>
        <v>55082.659500000002</v>
      </c>
      <c r="H802" s="166"/>
      <c r="I802" s="166"/>
      <c r="J802" s="166"/>
      <c r="K802" s="166"/>
      <c r="L802" s="156">
        <f>ROUND(G802*K765,2)</f>
        <v>495743.94</v>
      </c>
      <c r="M802" s="156">
        <f>ROUND(G802*J765,2)</f>
        <v>83340063.819999993</v>
      </c>
    </row>
    <row r="803" spans="1:13" ht="30" hidden="1" x14ac:dyDescent="0.25">
      <c r="A803" s="168"/>
      <c r="B803" s="133" t="str">
        <f>'Công trình'!B8</f>
        <v>AF.12144</v>
      </c>
      <c r="C803" s="34"/>
      <c r="D803" s="133" t="str">
        <f>'Công trình'!C8</f>
        <v>Bê tông tường dày &gt;45cm, chiều cao &lt;=16m đá 1x2, vữa BT mác 250</v>
      </c>
      <c r="E803" s="168"/>
      <c r="F803" s="20">
        <v>1</v>
      </c>
      <c r="G803" s="45">
        <f>'Hao phí vật tư'!J26</f>
        <v>53852.567300000002</v>
      </c>
      <c r="H803" s="166"/>
      <c r="I803" s="166"/>
      <c r="J803" s="166"/>
      <c r="K803" s="166"/>
      <c r="L803" s="156">
        <f>ROUND(G803*K765,2)</f>
        <v>484673.11</v>
      </c>
      <c r="M803" s="156">
        <f>ROUND(G803*J765,2)</f>
        <v>81478934.319999993</v>
      </c>
    </row>
    <row r="804" spans="1:13" hidden="1" x14ac:dyDescent="0.25">
      <c r="A804" s="168"/>
      <c r="B804" s="133" t="str">
        <f>'Công trình'!B175</f>
        <v>AF.11225</v>
      </c>
      <c r="C804" s="34"/>
      <c r="D804" s="133" t="str">
        <f>'Công trình'!C175</f>
        <v>Bê tông bản dẫn đá 1x2, vữa BT mác 300</v>
      </c>
      <c r="E804" s="168"/>
      <c r="F804" s="20">
        <v>1</v>
      </c>
      <c r="G804" s="45">
        <f>'Hao phí vật tư'!J1314</f>
        <v>6900.3</v>
      </c>
      <c r="H804" s="166"/>
      <c r="I804" s="166"/>
      <c r="J804" s="166"/>
      <c r="K804" s="166"/>
      <c r="L804" s="156">
        <f>ROUND(G804*K765,2)</f>
        <v>62102.7</v>
      </c>
      <c r="M804" s="156">
        <f>ROUND(G804*J765,2)</f>
        <v>10440153.9</v>
      </c>
    </row>
    <row r="805" spans="1:13" hidden="1" x14ac:dyDescent="0.25">
      <c r="A805" s="168"/>
      <c r="B805" s="133" t="str">
        <f>'Công trình'!B9</f>
        <v>AF.11333</v>
      </c>
      <c r="C805" s="34"/>
      <c r="D805" s="133" t="str">
        <f>'Công trình'!C9</f>
        <v>Bê tông bịt đáy đá 4x6, vữa BT mác 200</v>
      </c>
      <c r="E805" s="168"/>
      <c r="F805" s="20">
        <v>1</v>
      </c>
      <c r="G805" s="45">
        <f>'Hao phí vật tư'!J40</f>
        <v>66950</v>
      </c>
      <c r="H805" s="166"/>
      <c r="I805" s="166"/>
      <c r="J805" s="166"/>
      <c r="K805" s="166"/>
      <c r="L805" s="156">
        <f>ROUND(G805*K765,2)</f>
        <v>602550</v>
      </c>
      <c r="M805" s="156">
        <f>ROUND(G805*J765,2)</f>
        <v>101295350</v>
      </c>
    </row>
    <row r="806" spans="1:13" hidden="1" x14ac:dyDescent="0.25">
      <c r="A806" s="168"/>
      <c r="B806" s="133" t="str">
        <f>'Công trình'!B34</f>
        <v>AF.12313</v>
      </c>
      <c r="C806" s="34"/>
      <c r="D806" s="133" t="str">
        <f>'Công trình'!C34</f>
        <v>Bê tông dầm, giằng đá 1x2, vữa BT mác 200</v>
      </c>
      <c r="E806" s="168"/>
      <c r="F806" s="20">
        <v>1</v>
      </c>
      <c r="G806" s="45">
        <f>'Hao phí vật tư'!J247</f>
        <v>2972.4180000000001</v>
      </c>
      <c r="H806" s="166"/>
      <c r="I806" s="166"/>
      <c r="J806" s="166"/>
      <c r="K806" s="166"/>
      <c r="L806" s="156">
        <f>ROUND(G806*K765,2)</f>
        <v>26751.759999999998</v>
      </c>
      <c r="M806" s="156">
        <f>ROUND(G806*J765,2)</f>
        <v>4497268.43</v>
      </c>
    </row>
    <row r="807" spans="1:13" x14ac:dyDescent="0.25">
      <c r="A807" s="168">
        <v>119</v>
      </c>
      <c r="B807" s="84" t="s">
        <v>657</v>
      </c>
      <c r="C807" s="34">
        <v>442</v>
      </c>
      <c r="D807" s="144" t="s">
        <v>467</v>
      </c>
      <c r="E807" s="168" t="s">
        <v>555</v>
      </c>
      <c r="F807" s="34"/>
      <c r="G807" s="60">
        <f>SUM(G808:G809)</f>
        <v>9886.7929999999997</v>
      </c>
      <c r="H807" s="166">
        <v>1504</v>
      </c>
      <c r="I807" s="156">
        <v>1513</v>
      </c>
      <c r="J807" s="156">
        <f>'Vật liệu'!W763</f>
        <v>1513</v>
      </c>
      <c r="K807" s="166">
        <f>J807-H807</f>
        <v>9</v>
      </c>
      <c r="L807" s="166">
        <f>ROUND(G807*K807,0)</f>
        <v>88981</v>
      </c>
      <c r="M807" s="166">
        <f>ROUND(G807*J807,0)</f>
        <v>14958718</v>
      </c>
    </row>
    <row r="808" spans="1:13" hidden="1" x14ac:dyDescent="0.25">
      <c r="A808" s="168"/>
      <c r="B808" s="133" t="str">
        <f>'Công trình'!B217</f>
        <v>AF.11215</v>
      </c>
      <c r="C808" s="34"/>
      <c r="D808" s="133" t="str">
        <f>'Công trình'!C217</f>
        <v>BT M300 đổ sau có phụ gia</v>
      </c>
      <c r="E808" s="168"/>
      <c r="F808" s="20">
        <v>1</v>
      </c>
      <c r="G808" s="45">
        <f>'Hao phí vật tư'!J1632</f>
        <v>454.03399999999999</v>
      </c>
      <c r="H808" s="166"/>
      <c r="I808" s="166"/>
      <c r="J808" s="166"/>
      <c r="K808" s="166"/>
      <c r="L808" s="156">
        <f>ROUND(G808*K807,2)</f>
        <v>4086.31</v>
      </c>
      <c r="M808" s="156">
        <f>ROUND(G808*J807,2)</f>
        <v>686953.44</v>
      </c>
    </row>
    <row r="809" spans="1:13" hidden="1" x14ac:dyDescent="0.25">
      <c r="A809" s="168"/>
      <c r="B809" s="133" t="str">
        <f>'Công trình'!B198</f>
        <v>TT</v>
      </c>
      <c r="C809" s="34"/>
      <c r="D809" s="133" t="str">
        <f>'Công trình'!C198</f>
        <v>Vữa xi măng dày 7cm, vữa XM mác 400</v>
      </c>
      <c r="E809" s="168"/>
      <c r="F809" s="20">
        <v>1</v>
      </c>
      <c r="G809" s="45">
        <f>'Hao phí vật tư'!J1525</f>
        <v>9432.759</v>
      </c>
      <c r="H809" s="166"/>
      <c r="I809" s="166"/>
      <c r="J809" s="166"/>
      <c r="K809" s="166"/>
      <c r="L809" s="156">
        <f>ROUND(G809*K807,2)</f>
        <v>84894.83</v>
      </c>
      <c r="M809" s="156">
        <f>ROUND(G809*J807,2)</f>
        <v>14271764.369999999</v>
      </c>
    </row>
    <row r="810" spans="1:13" x14ac:dyDescent="0.25">
      <c r="A810" s="168">
        <v>120</v>
      </c>
      <c r="B810" s="84" t="s">
        <v>629</v>
      </c>
      <c r="C810" s="34">
        <v>179</v>
      </c>
      <c r="D810" s="144" t="s">
        <v>392</v>
      </c>
      <c r="E810" s="7" t="s">
        <v>584</v>
      </c>
      <c r="F810" s="34"/>
      <c r="G810" s="60"/>
      <c r="H810" s="166"/>
      <c r="I810" s="166"/>
      <c r="J810" s="166"/>
      <c r="K810" s="166"/>
      <c r="L810" s="166">
        <f>ROUND(SUM(L811:L959),0)</f>
        <v>15967770</v>
      </c>
      <c r="M810" s="166">
        <f>ROUND(SUM(M811:M959),0)</f>
        <v>170861412</v>
      </c>
    </row>
    <row r="811" spans="1:13" ht="30" hidden="1" x14ac:dyDescent="0.25">
      <c r="A811" s="168"/>
      <c r="B811" s="133" t="str">
        <f>'Công trình'!B15</f>
        <v>AF.82511</v>
      </c>
      <c r="C811" s="34"/>
      <c r="D811" s="133" t="str">
        <f>'Công trình'!C15</f>
        <v>Sản xuất, lắp dựng, tháo dỡ ván khuôn thép, ván khuôn móng</v>
      </c>
      <c r="E811" s="168"/>
      <c r="F811" s="20">
        <v>1</v>
      </c>
      <c r="G811" s="45">
        <f>'Hao phí vật tư'!G105</f>
        <v>10</v>
      </c>
      <c r="H811" s="166"/>
      <c r="I811" s="166"/>
      <c r="J811" s="166"/>
      <c r="K811" s="166"/>
      <c r="L811" s="156">
        <f>ROUND((L590+L648)*G811/100,2)</f>
        <v>-8829.84</v>
      </c>
      <c r="M811" s="156">
        <f>ROUND((M590+M648)*G811/100,2)</f>
        <v>49294.43</v>
      </c>
    </row>
    <row r="812" spans="1:13" ht="30" hidden="1" x14ac:dyDescent="0.25">
      <c r="A812" s="168"/>
      <c r="B812" s="133" t="str">
        <f>'Công trình'!B16</f>
        <v>AF.82111</v>
      </c>
      <c r="C812" s="34"/>
      <c r="D812" s="133" t="str">
        <f>'Công trình'!C16</f>
        <v>Sản xuất, lắp dựng tháo dỡ ván khuôn thép tường, chiều cao &lt;=16m</v>
      </c>
      <c r="E812" s="168"/>
      <c r="F812" s="20">
        <v>1</v>
      </c>
      <c r="G812" s="45">
        <f>'Hao phí vật tư'!G114</f>
        <v>5</v>
      </c>
      <c r="H812" s="166"/>
      <c r="I812" s="166"/>
      <c r="J812" s="166"/>
      <c r="K812" s="166"/>
      <c r="L812" s="156">
        <f>ROUND((L306+L477+L591+L649)*G812/100,2)</f>
        <v>-86554.2</v>
      </c>
      <c r="M812" s="156">
        <f>ROUND((M306+M477+M591+M649)*G812/100,2)</f>
        <v>559870.79</v>
      </c>
    </row>
    <row r="813" spans="1:13" ht="30" hidden="1" x14ac:dyDescent="0.25">
      <c r="A813" s="168"/>
      <c r="B813" s="133" t="str">
        <f>'Công trình'!B18</f>
        <v>AF.12314</v>
      </c>
      <c r="C813" s="34"/>
      <c r="D813" s="133" t="str">
        <f>'Công trình'!C18</f>
        <v>Bê tông xà dầm, giằng nhà đá 1x2, vữa BT mác 250</v>
      </c>
      <c r="E813" s="168"/>
      <c r="F813" s="20">
        <v>1</v>
      </c>
      <c r="G813" s="45">
        <f>'Hao phí vật tư'!G127</f>
        <v>1</v>
      </c>
      <c r="H813" s="166"/>
      <c r="I813" s="166"/>
      <c r="J813" s="166"/>
      <c r="K813" s="166"/>
      <c r="L813" s="156">
        <f>ROUND((L53+L141+L370+L766)*G813/100,2)</f>
        <v>100699.6</v>
      </c>
      <c r="M813" s="156">
        <f>ROUND((M53+M141+M370+M766)*G813/100,2)</f>
        <v>673631.24</v>
      </c>
    </row>
    <row r="814" spans="1:13" ht="30" hidden="1" x14ac:dyDescent="0.25">
      <c r="A814" s="168"/>
      <c r="B814" s="133" t="str">
        <f>'Công trình'!B19</f>
        <v>AF.82111</v>
      </c>
      <c r="C814" s="34"/>
      <c r="D814" s="133" t="str">
        <f>'Công trình'!C19</f>
        <v>Sản xuất, lắp dựng tháo dỡ ván khuôn thép dầm, giằng, chiều cao &lt;=16m</v>
      </c>
      <c r="E814" s="168"/>
      <c r="F814" s="20">
        <v>1</v>
      </c>
      <c r="G814" s="45">
        <f>'Hao phí vật tư'!G140</f>
        <v>5</v>
      </c>
      <c r="H814" s="166"/>
      <c r="I814" s="166"/>
      <c r="J814" s="166"/>
      <c r="K814" s="166"/>
      <c r="L814" s="156">
        <f>ROUND((L307+L478+L592+L650)*G814/100,2)</f>
        <v>-78812.58</v>
      </c>
      <c r="M814" s="156">
        <f>ROUND((M307+M478+M592+M650)*G814/100,2)</f>
        <v>509794.95</v>
      </c>
    </row>
    <row r="815" spans="1:13" ht="45" hidden="1" x14ac:dyDescent="0.25">
      <c r="A815" s="168"/>
      <c r="B815" s="133" t="str">
        <f>'Công trình'!B26</f>
        <v>AC.12412</v>
      </c>
      <c r="C815" s="34"/>
      <c r="D815" s="133" t="str">
        <f>'Công trình'!C26</f>
        <v>Đóng cọc cừ máng bê tông dự ứng lực trên cạn bằng búa rung kết hợp tách mũi nước áp lực SW600A, chiều cao máng cọc 60-84cm, L=18M</v>
      </c>
      <c r="E815" s="168"/>
      <c r="F815" s="20">
        <v>1</v>
      </c>
      <c r="G815" s="45">
        <f>'Hao phí vật tư'!G185</f>
        <v>5</v>
      </c>
      <c r="H815" s="166"/>
      <c r="I815" s="166"/>
      <c r="J815" s="166"/>
      <c r="K815" s="166"/>
      <c r="L815" s="156">
        <f>ROUND((L137+L446+L448+L579+L639)*G815/100,2)</f>
        <v>0</v>
      </c>
      <c r="M815" s="156">
        <f>ROUND((M137+M446+M448+M579+M639)*G815/100,2)</f>
        <v>79252527.870000005</v>
      </c>
    </row>
    <row r="816" spans="1:13" hidden="1" x14ac:dyDescent="0.25">
      <c r="A816" s="168"/>
      <c r="B816" s="133" t="str">
        <f>'Công trình'!B28</f>
        <v>AL.16122</v>
      </c>
      <c r="C816" s="34"/>
      <c r="D816" s="133" t="str">
        <f>'Công trình'!C28</f>
        <v>Rải vải địa kỹ thuật làm móng công trình</v>
      </c>
      <c r="E816" s="168"/>
      <c r="F816" s="20">
        <v>1</v>
      </c>
      <c r="G816" s="45">
        <f>'Hao phí vật tư'!G196</f>
        <v>0.2</v>
      </c>
      <c r="H816" s="166"/>
      <c r="I816" s="166"/>
      <c r="J816" s="166"/>
      <c r="K816" s="166"/>
      <c r="L816" s="156">
        <f>ROUND((L754)*G816/100,2)</f>
        <v>18384.89</v>
      </c>
      <c r="M816" s="156">
        <f>ROUND((M754)*G816/100,2)</f>
        <v>41907.29</v>
      </c>
    </row>
    <row r="817" spans="1:13" ht="30" hidden="1" x14ac:dyDescent="0.25">
      <c r="A817" s="168"/>
      <c r="B817" s="133" t="str">
        <f>'Công trình'!B30</f>
        <v>AF.12113</v>
      </c>
      <c r="C817" s="34"/>
      <c r="D817" s="133" t="str">
        <f>'Công trình'!C30</f>
        <v>Bê tông tường dày &lt;=45cm, chiều cao &lt;=4m đá 1x2, vữa BT mác 200</v>
      </c>
      <c r="E817" s="168"/>
      <c r="F817" s="20">
        <v>1</v>
      </c>
      <c r="G817" s="45">
        <f>'Hao phí vật tư'!G208</f>
        <v>2</v>
      </c>
      <c r="H817" s="166"/>
      <c r="I817" s="166"/>
      <c r="J817" s="166"/>
      <c r="K817" s="166"/>
      <c r="L817" s="156">
        <f>ROUND((L54+L142+L279+L286+L329+L371+L767)*G817/100,2)</f>
        <v>69604.14</v>
      </c>
      <c r="M817" s="156">
        <f>ROUND((M54+M142+M279+M286+M329+M371+M767)*G817/100,2)</f>
        <v>599144.31999999995</v>
      </c>
    </row>
    <row r="818" spans="1:13" ht="30" hidden="1" x14ac:dyDescent="0.25">
      <c r="A818" s="168"/>
      <c r="B818" s="133" t="str">
        <f>'Công trình'!B31</f>
        <v>AF.82111</v>
      </c>
      <c r="C818" s="34"/>
      <c r="D818" s="133" t="str">
        <f>'Công trình'!C31</f>
        <v>Sản xuất, lắp dựng tháo dỡ ván khuôn thép tường, chiều cao &lt;=16m</v>
      </c>
      <c r="E818" s="168"/>
      <c r="F818" s="20">
        <v>1</v>
      </c>
      <c r="G818" s="45">
        <f>'Hao phí vật tư'!G220</f>
        <v>5</v>
      </c>
      <c r="H818" s="166"/>
      <c r="I818" s="166"/>
      <c r="J818" s="166"/>
      <c r="K818" s="166"/>
      <c r="L818" s="156">
        <f>ROUND((L308+L480+L593+L651)*G818/100,2)</f>
        <v>-28137.439999999999</v>
      </c>
      <c r="M818" s="156">
        <f>ROUND((M308+M480+M593+M651)*G818/100,2)</f>
        <v>182005.98</v>
      </c>
    </row>
    <row r="819" spans="1:13" ht="30" hidden="1" x14ac:dyDescent="0.25">
      <c r="A819" s="168"/>
      <c r="B819" s="133" t="str">
        <f>'Công trình'!B39</f>
        <v>AI.13111</v>
      </c>
      <c r="C819" s="34"/>
      <c r="D819" s="133" t="str">
        <f>'Công trình'!C39</f>
        <v>Sản xuất cấu kiện thép đặt sẵn trong bê tông, khối lượng &lt;=10kg/cấu kiện</v>
      </c>
      <c r="E819" s="168"/>
      <c r="F819" s="20">
        <v>1</v>
      </c>
      <c r="G819" s="45">
        <f>'Hao phí vật tư'!G297</f>
        <v>2.5</v>
      </c>
      <c r="H819" s="166"/>
      <c r="I819" s="166"/>
      <c r="J819" s="166"/>
      <c r="K819" s="166"/>
      <c r="L819" s="156">
        <f>ROUND((L185+L205+L418+L482+L652+L729)*G819/100,2)</f>
        <v>-775.11</v>
      </c>
      <c r="M819" s="156">
        <f>ROUND((M185+M205+M418+M482+M652+M729)*G819/100,2)</f>
        <v>3918.33</v>
      </c>
    </row>
    <row r="820" spans="1:13" ht="30" hidden="1" x14ac:dyDescent="0.25">
      <c r="A820" s="168"/>
      <c r="B820" s="133" t="str">
        <f>'Công trình'!B42</f>
        <v>AC.11121</v>
      </c>
      <c r="C820" s="34"/>
      <c r="D820" s="133" t="str">
        <f>'Công trình'!C42</f>
        <v>Đóng cọc tràm chiều dài cọc ngập đất &gt;2,5m đất cấp I</v>
      </c>
      <c r="E820" s="168"/>
      <c r="F820" s="20">
        <v>1</v>
      </c>
      <c r="G820" s="45">
        <f>'Hao phí vật tư'!G316</f>
        <v>5</v>
      </c>
      <c r="H820" s="166"/>
      <c r="I820" s="166"/>
      <c r="J820" s="166"/>
      <c r="K820" s="166"/>
      <c r="L820" s="156">
        <f>ROUND((L100+L123+L319)*G820/100,2)</f>
        <v>3393.87</v>
      </c>
      <c r="M820" s="156">
        <f>ROUND((M100+M123+M319)*G820/100,2)</f>
        <v>9867.7900000000009</v>
      </c>
    </row>
    <row r="821" spans="1:13" ht="30" hidden="1" x14ac:dyDescent="0.25">
      <c r="A821" s="168"/>
      <c r="B821" s="133" t="str">
        <f>'Công trình'!B43</f>
        <v>AF.11212</v>
      </c>
      <c r="C821" s="34"/>
      <c r="D821" s="133" t="str">
        <f>'Công trình'!C43</f>
        <v>Bê tông móng rộng &lt;=250cm đá 1x2, vữa BT mác 150</v>
      </c>
      <c r="E821" s="168"/>
      <c r="F821" s="20">
        <v>1</v>
      </c>
      <c r="G821" s="45">
        <f>'Hao phí vật tư'!G325</f>
        <v>1</v>
      </c>
      <c r="H821" s="166"/>
      <c r="I821" s="166"/>
      <c r="J821" s="166"/>
      <c r="K821" s="166"/>
      <c r="L821" s="156">
        <f>ROUND((L55+L143+L372+L768)*G821/100,2)</f>
        <v>97.88</v>
      </c>
      <c r="M821" s="156">
        <f>ROUND((M55+M143+M372+M768)*G821/100,2)</f>
        <v>550.11</v>
      </c>
    </row>
    <row r="822" spans="1:13" ht="30" hidden="1" x14ac:dyDescent="0.25">
      <c r="A822" s="168"/>
      <c r="B822" s="133" t="str">
        <f>'Công trình'!B44</f>
        <v>AF.11213</v>
      </c>
      <c r="C822" s="34"/>
      <c r="D822" s="133" t="str">
        <f>'Công trình'!C44</f>
        <v>Bê tông móng rộng &lt;=250cm đá 1x2, vữa BT mác 200</v>
      </c>
      <c r="E822" s="168"/>
      <c r="F822" s="20">
        <v>1</v>
      </c>
      <c r="G822" s="45">
        <f>'Hao phí vật tư'!G337</f>
        <v>1</v>
      </c>
      <c r="H822" s="166"/>
      <c r="I822" s="166"/>
      <c r="J822" s="166"/>
      <c r="K822" s="166"/>
      <c r="L822" s="156">
        <f>ROUND((L56+L144+L373+L769)*G822/100,2)</f>
        <v>318.62</v>
      </c>
      <c r="M822" s="156">
        <f>ROUND((M56+M144+M373+M769)*G822/100,2)</f>
        <v>1959.31</v>
      </c>
    </row>
    <row r="823" spans="1:13" ht="30" hidden="1" x14ac:dyDescent="0.25">
      <c r="A823" s="168"/>
      <c r="B823" s="133" t="str">
        <f>'Công trình'!B45</f>
        <v>AK.84422</v>
      </c>
      <c r="C823" s="34"/>
      <c r="D823" s="133" t="str">
        <f>'Công trình'!C45</f>
        <v>Sơn dầm, trần, cột, tường 1 nước lót + 2 nước phủ bằng sơn ICI Dulux</v>
      </c>
      <c r="E823" s="168"/>
      <c r="F823" s="20">
        <v>1</v>
      </c>
      <c r="G823" s="45">
        <f>'Hao phí vật tư'!G347</f>
        <v>1</v>
      </c>
      <c r="H823" s="166"/>
      <c r="I823" s="166"/>
      <c r="J823" s="166"/>
      <c r="K823" s="166"/>
      <c r="L823" s="156">
        <f>ROUND((L567+L569)*G823/100,2)</f>
        <v>0</v>
      </c>
      <c r="M823" s="156">
        <f>ROUND((M567+M569)*G823/100,2)</f>
        <v>634.26</v>
      </c>
    </row>
    <row r="824" spans="1:13" hidden="1" x14ac:dyDescent="0.25">
      <c r="A824" s="168"/>
      <c r="B824" s="133" t="str">
        <f>'Công trình'!B49</f>
        <v>AL.16122</v>
      </c>
      <c r="C824" s="34"/>
      <c r="D824" s="133" t="str">
        <f>'Công trình'!C49</f>
        <v>Rải vải địa kỹ thuật làm móng công trình</v>
      </c>
      <c r="E824" s="168"/>
      <c r="F824" s="20">
        <v>1</v>
      </c>
      <c r="G824" s="45">
        <f>'Hao phí vật tư'!G365</f>
        <v>0.2</v>
      </c>
      <c r="H824" s="166"/>
      <c r="I824" s="166"/>
      <c r="J824" s="166"/>
      <c r="K824" s="166"/>
      <c r="L824" s="156">
        <f>ROUND((L755)*G824/100,2)</f>
        <v>54000.97</v>
      </c>
      <c r="M824" s="156">
        <f>ROUND((M755)*G824/100,2)</f>
        <v>123092.07</v>
      </c>
    </row>
    <row r="825" spans="1:13" ht="30" hidden="1" x14ac:dyDescent="0.25">
      <c r="A825" s="168"/>
      <c r="B825" s="133" t="str">
        <f>'Công trình'!B50</f>
        <v>AC.11121</v>
      </c>
      <c r="C825" s="34"/>
      <c r="D825" s="133" t="str">
        <f>'Công trình'!C50</f>
        <v>Đóng cọc tràm chiều dài cọc ngập đất &gt;2,5m đất cấp I</v>
      </c>
      <c r="E825" s="168"/>
      <c r="F825" s="20">
        <v>1</v>
      </c>
      <c r="G825" s="45">
        <f>'Hao phí vật tư'!G373</f>
        <v>5</v>
      </c>
      <c r="H825" s="166"/>
      <c r="I825" s="166"/>
      <c r="J825" s="166"/>
      <c r="K825" s="166"/>
      <c r="L825" s="156">
        <f>ROUND((L101+L124+L320)*G825/100,2)</f>
        <v>1681659.86</v>
      </c>
      <c r="M825" s="156">
        <f>ROUND((M101+M124+M320)*G825/100,2)</f>
        <v>4889499.26</v>
      </c>
    </row>
    <row r="826" spans="1:13" ht="30" hidden="1" x14ac:dyDescent="0.25">
      <c r="A826" s="168"/>
      <c r="B826" s="133" t="str">
        <f>'Công trình'!B52</f>
        <v>AG.11412</v>
      </c>
      <c r="C826" s="34"/>
      <c r="D826" s="133" t="str">
        <f>'Công trình'!C52</f>
        <v>Sản xuất bê tông tấm BT tự chèn đúc sẵn đá 1x2, vữa BT mác 150</v>
      </c>
      <c r="E826" s="168"/>
      <c r="F826" s="20">
        <v>1</v>
      </c>
      <c r="G826" s="45">
        <f>'Hao phí vật tư'!G382</f>
        <v>0.5</v>
      </c>
      <c r="H826" s="166"/>
      <c r="I826" s="166"/>
      <c r="J826" s="166"/>
      <c r="K826" s="166"/>
      <c r="L826" s="156">
        <f>ROUND((L57+L145+L374+L770)*G826/100,2)</f>
        <v>74127.509999999995</v>
      </c>
      <c r="M826" s="156">
        <f>ROUND((M57+M145+M374+M770)*G826/100,2)</f>
        <v>416787.99</v>
      </c>
    </row>
    <row r="827" spans="1:13" hidden="1" x14ac:dyDescent="0.25">
      <c r="A827" s="168"/>
      <c r="B827" s="133" t="str">
        <f>'Công trình'!B53</f>
        <v>AL.16122</v>
      </c>
      <c r="C827" s="34"/>
      <c r="D827" s="133" t="str">
        <f>'Công trình'!C53</f>
        <v>Rải vải địa kỹ thuật làm móng công trình</v>
      </c>
      <c r="E827" s="168"/>
      <c r="F827" s="20">
        <v>1</v>
      </c>
      <c r="G827" s="45">
        <f>'Hao phí vật tư'!G390</f>
        <v>0.2</v>
      </c>
      <c r="H827" s="166"/>
      <c r="I827" s="166"/>
      <c r="J827" s="166"/>
      <c r="K827" s="166"/>
      <c r="L827" s="156">
        <f>ROUND((L756)*G827/100,2)</f>
        <v>17366.46</v>
      </c>
      <c r="M827" s="156">
        <f>ROUND((M756)*G827/100,2)</f>
        <v>39585.839999999997</v>
      </c>
    </row>
    <row r="828" spans="1:13" hidden="1" x14ac:dyDescent="0.25">
      <c r="A828" s="168"/>
      <c r="B828" s="133" t="str">
        <f>'Công trình'!B54</f>
        <v>AB.13411</v>
      </c>
      <c r="C828" s="34"/>
      <c r="D828" s="133" t="str">
        <f>'Công trình'!C54</f>
        <v>Đắp cát nền móng công trình</v>
      </c>
      <c r="E828" s="168"/>
      <c r="F828" s="20">
        <v>1</v>
      </c>
      <c r="G828" s="45">
        <f>'Hao phí vật tư'!G396</f>
        <v>2</v>
      </c>
      <c r="H828" s="166"/>
      <c r="I828" s="166"/>
      <c r="J828" s="166"/>
      <c r="K828" s="166"/>
      <c r="L828" s="156">
        <f>ROUND((L51)*G828/100,2)</f>
        <v>261392.32</v>
      </c>
      <c r="M828" s="156">
        <f>ROUND((M51)*G828/100,2)</f>
        <v>392088.48</v>
      </c>
    </row>
    <row r="829" spans="1:13" ht="30" hidden="1" x14ac:dyDescent="0.25">
      <c r="A829" s="168"/>
      <c r="B829" s="133" t="str">
        <f>'Công trình'!B55</f>
        <v>AG.42111</v>
      </c>
      <c r="C829" s="34"/>
      <c r="D829" s="133" t="str">
        <f>'Công trình'!C55</f>
        <v>Lắp các loại cấu kiện BT đúc sẵn bằng thủ công trọng lượng &lt;=50kg, vữa XM mác 100</v>
      </c>
      <c r="E829" s="168"/>
      <c r="F829" s="20">
        <v>1</v>
      </c>
      <c r="G829" s="45">
        <f>'Hao phí vật tư'!G404</f>
        <v>10</v>
      </c>
      <c r="H829" s="166"/>
      <c r="I829" s="166"/>
      <c r="J829" s="166"/>
      <c r="K829" s="166"/>
      <c r="L829" s="156">
        <f>ROUND((L58+L375+L771)*G829/100,2)</f>
        <v>322677.90999999997</v>
      </c>
      <c r="M829" s="156">
        <f>ROUND((M58+M375+M771)*G829/100,2)</f>
        <v>1324502.6200000001</v>
      </c>
    </row>
    <row r="830" spans="1:13" ht="30" hidden="1" x14ac:dyDescent="0.25">
      <c r="A830" s="168"/>
      <c r="B830" s="133" t="str">
        <f>'Công trình'!B59</f>
        <v>AF.82111</v>
      </c>
      <c r="C830" s="34"/>
      <c r="D830" s="133" t="str">
        <f>'Công trình'!C59</f>
        <v>Sản xuất, lắp dựng tháo dỡ ván khuôn thép dầm, giằng, chiều cao &lt;=16m</v>
      </c>
      <c r="E830" s="168"/>
      <c r="F830" s="20">
        <v>1</v>
      </c>
      <c r="G830" s="45">
        <f>'Hao phí vật tư'!G446</f>
        <v>5</v>
      </c>
      <c r="H830" s="166"/>
      <c r="I830" s="166"/>
      <c r="J830" s="166"/>
      <c r="K830" s="166"/>
      <c r="L830" s="156">
        <f>ROUND((L309+L483+L594+L653)*G830/100,2)</f>
        <v>-55750.75</v>
      </c>
      <c r="M830" s="156">
        <f>ROUND((M309+M483+M594+M653)*G830/100,2)</f>
        <v>360620.33</v>
      </c>
    </row>
    <row r="831" spans="1:13" hidden="1" x14ac:dyDescent="0.25">
      <c r="A831" s="168"/>
      <c r="B831" s="133" t="str">
        <f>'Công trình'!B57</f>
        <v>AF.12313</v>
      </c>
      <c r="C831" s="34"/>
      <c r="D831" s="133" t="str">
        <f>'Công trình'!C57</f>
        <v>Bê tông xà dầm, giằng đá 1x2, vữa BT mác 200</v>
      </c>
      <c r="E831" s="168"/>
      <c r="F831" s="20">
        <v>1</v>
      </c>
      <c r="G831" s="45">
        <f>'Hao phí vật tư'!G424</f>
        <v>1</v>
      </c>
      <c r="H831" s="166"/>
      <c r="I831" s="166"/>
      <c r="J831" s="166"/>
      <c r="K831" s="166"/>
      <c r="L831" s="156">
        <f>ROUND((L59+L146+L376+L772)*G831/100,2)</f>
        <v>55533.75</v>
      </c>
      <c r="M831" s="156">
        <f>ROUND((M59+M146+M376+M772)*G831/100,2)</f>
        <v>341552.15</v>
      </c>
    </row>
    <row r="832" spans="1:13" ht="30" hidden="1" x14ac:dyDescent="0.25">
      <c r="A832" s="168"/>
      <c r="B832" s="133" t="str">
        <f>'Công trình'!B63</f>
        <v>AF.11223</v>
      </c>
      <c r="C832" s="34"/>
      <c r="D832" s="133" t="str">
        <f>'Công trình'!C63</f>
        <v>Bê tông lát mái rộng &gt;250cm đá 1x2, vữa BT mác 200</v>
      </c>
      <c r="E832" s="168"/>
      <c r="F832" s="20">
        <v>1</v>
      </c>
      <c r="G832" s="45">
        <f>'Hao phí vật tư'!G480</f>
        <v>1</v>
      </c>
      <c r="H832" s="166"/>
      <c r="I832" s="166"/>
      <c r="J832" s="166"/>
      <c r="K832" s="166"/>
      <c r="L832" s="156">
        <f>ROUND((L61+L147+L280+L287+L330+L378+L774)*G832/100,2)</f>
        <v>246471.44</v>
      </c>
      <c r="M832" s="156">
        <f>ROUND((M61+M147+M280+M287+M330+M378+M774)*G832/100,2)</f>
        <v>1681178.72</v>
      </c>
    </row>
    <row r="833" spans="1:13" hidden="1" x14ac:dyDescent="0.25">
      <c r="A833" s="168"/>
      <c r="B833" s="133" t="str">
        <f>'Công trình'!B65</f>
        <v>AF.82511</v>
      </c>
      <c r="C833" s="34"/>
      <c r="D833" s="133" t="str">
        <f>'Công trình'!C65</f>
        <v>Sản xuất, lắp dựng tháo dỡ ván khuôn lát mái</v>
      </c>
      <c r="E833" s="168"/>
      <c r="F833" s="20">
        <v>1</v>
      </c>
      <c r="G833" s="45">
        <f>'Hao phí vật tư'!G501</f>
        <v>1</v>
      </c>
      <c r="H833" s="166"/>
      <c r="I833" s="166"/>
      <c r="J833" s="166"/>
      <c r="K833" s="166"/>
      <c r="L833" s="156">
        <f>ROUND((L281+L310+L317+L321)*G833/100,2)</f>
        <v>-6704.09</v>
      </c>
      <c r="M833" s="156">
        <f>ROUND((M281+M310+M317+M321)*G833/100,2)</f>
        <v>43076.29</v>
      </c>
    </row>
    <row r="834" spans="1:13" ht="30" hidden="1" x14ac:dyDescent="0.25">
      <c r="A834" s="168"/>
      <c r="B834" s="133" t="str">
        <f>'Công trình'!B68</f>
        <v>AG.11125</v>
      </c>
      <c r="C834" s="34"/>
      <c r="D834" s="133" t="str">
        <f>'Công trình'!C68</f>
        <v>Sản xuất bê tông cọc cừ đúc sẵn đá 1x2, vữa BT mác 300</v>
      </c>
      <c r="E834" s="168"/>
      <c r="F834" s="20">
        <v>1</v>
      </c>
      <c r="G834" s="45">
        <f>'Hao phí vật tư'!G510</f>
        <v>0.5</v>
      </c>
      <c r="H834" s="166"/>
      <c r="I834" s="166"/>
      <c r="J834" s="166"/>
      <c r="K834" s="166"/>
      <c r="L834" s="156">
        <f>ROUND((L63+L148+L380+L776)*G834/100,2)</f>
        <v>53588.46</v>
      </c>
      <c r="M834" s="156">
        <f>ROUND((M63+M148+M380+M776)*G834/100,2)</f>
        <v>389358</v>
      </c>
    </row>
    <row r="835" spans="1:13" ht="30" hidden="1" x14ac:dyDescent="0.25">
      <c r="A835" s="168"/>
      <c r="B835" s="133" t="str">
        <f>'Công trình'!B72</f>
        <v>AI.13111</v>
      </c>
      <c r="C835" s="34"/>
      <c r="D835" s="133" t="str">
        <f>'Công trình'!C72</f>
        <v>Sản xuất cấu kiện thép đặt sẵn trong bê tông, khối lượng &lt;=10kg/cấu kiện</v>
      </c>
      <c r="E835" s="168"/>
      <c r="F835" s="20">
        <v>1</v>
      </c>
      <c r="G835" s="45">
        <f>'Hao phí vật tư'!G553</f>
        <v>2.5</v>
      </c>
      <c r="H835" s="166"/>
      <c r="I835" s="166"/>
      <c r="J835" s="166"/>
      <c r="K835" s="166"/>
      <c r="L835" s="156">
        <f>ROUND((L186+L206+L419+L487+L654+L730)*G835/100,2)</f>
        <v>-80850.31</v>
      </c>
      <c r="M835" s="156">
        <f>ROUND((M186+M206+M419+M487+M654+M730)*G835/100,2)</f>
        <v>408713.3</v>
      </c>
    </row>
    <row r="836" spans="1:13" hidden="1" x14ac:dyDescent="0.25">
      <c r="A836" s="168"/>
      <c r="B836" s="133" t="str">
        <f>'Công trình'!B76</f>
        <v>AC.29341</v>
      </c>
      <c r="C836" s="34"/>
      <c r="D836" s="133" t="str">
        <f>'Công trình'!C76</f>
        <v>Nối cọc BTCT 35x35cm</v>
      </c>
      <c r="E836" s="168"/>
      <c r="F836" s="20">
        <v>1</v>
      </c>
      <c r="G836" s="45">
        <f>'Hao phí vật tư'!G604</f>
        <v>3</v>
      </c>
      <c r="H836" s="166"/>
      <c r="I836" s="166"/>
      <c r="J836" s="166"/>
      <c r="K836" s="166"/>
      <c r="L836" s="156">
        <f>ROUND((L488+L585)*G836/100,2)</f>
        <v>0</v>
      </c>
      <c r="M836" s="156">
        <f>ROUND((M488+M585)*G836/100,2)</f>
        <v>77158.19</v>
      </c>
    </row>
    <row r="837" spans="1:13" hidden="1" x14ac:dyDescent="0.25">
      <c r="A837" s="168"/>
      <c r="B837" s="133" t="str">
        <f>'Công trình'!B74</f>
        <v>AI.52211</v>
      </c>
      <c r="C837" s="34"/>
      <c r="D837" s="133" t="str">
        <f>'Công trình'!C74</f>
        <v>Sản xuất kết cấu thép hộp nối cọc</v>
      </c>
      <c r="E837" s="168"/>
      <c r="F837" s="20">
        <v>1</v>
      </c>
      <c r="G837" s="45">
        <f>'Hao phí vật tư'!G580</f>
        <v>2</v>
      </c>
      <c r="H837" s="166"/>
      <c r="I837" s="166"/>
      <c r="J837" s="166"/>
      <c r="K837" s="166"/>
      <c r="L837" s="156">
        <f>ROUND((L187+L207+L420+L489+L595+L655)*G837/100,2)</f>
        <v>-77763.259999999995</v>
      </c>
      <c r="M837" s="156">
        <f>ROUND((M187+M207+M420+M489+M595+M655)*G837/100,2)</f>
        <v>842775.9</v>
      </c>
    </row>
    <row r="838" spans="1:13" ht="30" hidden="1" x14ac:dyDescent="0.25">
      <c r="A838" s="168"/>
      <c r="B838" s="133" t="str">
        <f>'Công trình'!B79</f>
        <v>AG.11125</v>
      </c>
      <c r="C838" s="34"/>
      <c r="D838" s="133" t="str">
        <f>'Công trình'!C79</f>
        <v>Sản xuất bê tông cọc cừ đúc sẵn đá 1x2, vữa BT mác 300</v>
      </c>
      <c r="E838" s="168"/>
      <c r="F838" s="20">
        <v>1</v>
      </c>
      <c r="G838" s="45">
        <f>'Hao phí vật tư'!G626</f>
        <v>0.5</v>
      </c>
      <c r="H838" s="166"/>
      <c r="I838" s="166"/>
      <c r="J838" s="166"/>
      <c r="K838" s="166"/>
      <c r="L838" s="156">
        <f>ROUND((L64+L149+L381+L777)*G838/100,2)</f>
        <v>20989.63</v>
      </c>
      <c r="M838" s="156">
        <f>ROUND((M64+M149+M381+M777)*G838/100,2)</f>
        <v>152504.4</v>
      </c>
    </row>
    <row r="839" spans="1:13" ht="30" hidden="1" x14ac:dyDescent="0.25">
      <c r="A839" s="168"/>
      <c r="B839" s="133" t="str">
        <f>'Công trình'!B83</f>
        <v>AI.13111</v>
      </c>
      <c r="C839" s="34"/>
      <c r="D839" s="133" t="str">
        <f>'Công trình'!C83</f>
        <v>Sản xuất cấu kiện thép đặt sẵn trong bê tông, khối lượng &lt;=10kg/cấu kiện</v>
      </c>
      <c r="E839" s="168"/>
      <c r="F839" s="20">
        <v>1</v>
      </c>
      <c r="G839" s="45">
        <f>'Hao phí vật tư'!G669</f>
        <v>2.5</v>
      </c>
      <c r="H839" s="166"/>
      <c r="I839" s="166"/>
      <c r="J839" s="166"/>
      <c r="K839" s="166"/>
      <c r="L839" s="156">
        <f>ROUND((L188+L208+L421+L493+L656+L731)*G839/100,2)</f>
        <v>-38181.800000000003</v>
      </c>
      <c r="M839" s="156">
        <f>ROUND((M188+M208+M421+M493+M656+M731)*G839/100,2)</f>
        <v>193016.13</v>
      </c>
    </row>
    <row r="840" spans="1:13" hidden="1" x14ac:dyDescent="0.25">
      <c r="A840" s="168"/>
      <c r="B840" s="133" t="str">
        <f>'Công trình'!B85</f>
        <v>AI.52211</v>
      </c>
      <c r="C840" s="34"/>
      <c r="D840" s="133" t="str">
        <f>'Công trình'!C85</f>
        <v>Sản xuất kết cấu thép hộp nối cọc</v>
      </c>
      <c r="E840" s="168"/>
      <c r="F840" s="20">
        <v>1</v>
      </c>
      <c r="G840" s="45">
        <f>'Hao phí vật tư'!G696</f>
        <v>2</v>
      </c>
      <c r="H840" s="166"/>
      <c r="I840" s="166"/>
      <c r="J840" s="166"/>
      <c r="K840" s="166"/>
      <c r="L840" s="156">
        <f>ROUND((L189+L209+L422+L494+L596+L657)*G840/100,2)</f>
        <v>-33822.69</v>
      </c>
      <c r="M840" s="156">
        <f>ROUND((M189+M209+M422+M494+M596+M657)*G840/100,2)</f>
        <v>366560.68</v>
      </c>
    </row>
    <row r="841" spans="1:13" hidden="1" x14ac:dyDescent="0.25">
      <c r="A841" s="168"/>
      <c r="B841" s="133" t="str">
        <f>'Công trình'!B87</f>
        <v>AC.29331</v>
      </c>
      <c r="C841" s="34"/>
      <c r="D841" s="133" t="str">
        <f>'Công trình'!C87</f>
        <v>Nối cọc BTCT 30x30cm</v>
      </c>
      <c r="E841" s="168"/>
      <c r="F841" s="20">
        <v>1</v>
      </c>
      <c r="G841" s="45">
        <f>'Hao phí vật tư'!G720</f>
        <v>3</v>
      </c>
      <c r="H841" s="166"/>
      <c r="I841" s="166"/>
      <c r="J841" s="166"/>
      <c r="K841" s="166"/>
      <c r="L841" s="156">
        <f>ROUND((L496+L588)*G841/100,2)</f>
        <v>0</v>
      </c>
      <c r="M841" s="156">
        <f>ROUND((M496+M588)*G841/100,2)</f>
        <v>9759.32</v>
      </c>
    </row>
    <row r="842" spans="1:13" ht="30" hidden="1" x14ac:dyDescent="0.25">
      <c r="A842" s="168"/>
      <c r="B842" s="133" t="str">
        <f>'Công trình'!B96</f>
        <v>AC.11121</v>
      </c>
      <c r="C842" s="34"/>
      <c r="D842" s="133" t="str">
        <f>'Công trình'!C96</f>
        <v>Đóng cọc tràm chiều dài cọc ngập đất &gt;2,5m đất cấp I</v>
      </c>
      <c r="E842" s="168"/>
      <c r="F842" s="20">
        <v>1</v>
      </c>
      <c r="G842" s="45">
        <f>'Hao phí vật tư'!G778</f>
        <v>5</v>
      </c>
      <c r="H842" s="166"/>
      <c r="I842" s="166"/>
      <c r="J842" s="166"/>
      <c r="K842" s="166"/>
      <c r="L842" s="156">
        <f>ROUND((L102+L125+L322)*G842/100,2)</f>
        <v>271509.38</v>
      </c>
      <c r="M842" s="156">
        <f>ROUND((M102+M125+M322)*G842/100,2)</f>
        <v>789423.38</v>
      </c>
    </row>
    <row r="843" spans="1:13" hidden="1" x14ac:dyDescent="0.25">
      <c r="A843" s="168"/>
      <c r="B843" s="133" t="str">
        <f>'Công trình'!B97</f>
        <v>AL.16122</v>
      </c>
      <c r="C843" s="34"/>
      <c r="D843" s="133" t="str">
        <f>'Công trình'!C97</f>
        <v>Rải vải địa kỹ thuật làm móng công trình</v>
      </c>
      <c r="E843" s="168"/>
      <c r="F843" s="20">
        <v>1</v>
      </c>
      <c r="G843" s="45">
        <f>'Hao phí vật tư'!G784</f>
        <v>0.2</v>
      </c>
      <c r="H843" s="166"/>
      <c r="I843" s="166"/>
      <c r="J843" s="166"/>
      <c r="K843" s="166"/>
      <c r="L843" s="156">
        <f>ROUND((L757)*G843/100,2)</f>
        <v>11167.12</v>
      </c>
      <c r="M843" s="156">
        <f>ROUND((M757)*G843/100,2)</f>
        <v>25454.799999999999</v>
      </c>
    </row>
    <row r="844" spans="1:13" ht="30" hidden="1" x14ac:dyDescent="0.25">
      <c r="A844" s="168"/>
      <c r="B844" s="133" t="str">
        <f>'Công trình'!B105</f>
        <v>AI.11131</v>
      </c>
      <c r="C844" s="34"/>
      <c r="D844" s="133" t="str">
        <f>'Công trình'!C105</f>
        <v>Khấu hao cọc dẫn bằng thép hình (đóng nhổ 40 lần trong 1 tháng)</v>
      </c>
      <c r="E844" s="168"/>
      <c r="F844" s="20">
        <v>1</v>
      </c>
      <c r="G844" s="45">
        <f>'Hao phí vật tư'!G850</f>
        <v>5</v>
      </c>
      <c r="H844" s="166"/>
      <c r="I844" s="166"/>
      <c r="J844" s="166"/>
      <c r="K844" s="166"/>
      <c r="L844" s="156">
        <f>ROUND((L210+L423+L497+L597+L658)*G844/100,2)</f>
        <v>-91543.360000000001</v>
      </c>
      <c r="M844" s="156">
        <f>ROUND((M210+M423+M497+M597+M658)*G844/100,2)</f>
        <v>1741430.12</v>
      </c>
    </row>
    <row r="845" spans="1:13" ht="30" hidden="1" x14ac:dyDescent="0.25">
      <c r="A845" s="168"/>
      <c r="B845" s="133" t="str">
        <f>'Công trình'!B86</f>
        <v>AC.17111</v>
      </c>
      <c r="C845" s="34"/>
      <c r="D845" s="133" t="str">
        <f>'Công trình'!C86</f>
        <v>Đóng cọc BTCT 30x30 chiều dài &lt;=24m trên mặt nước bằng tàu đóng cọc búa 1,8T</v>
      </c>
      <c r="E845" s="168"/>
      <c r="F845" s="20">
        <v>1</v>
      </c>
      <c r="G845" s="45">
        <f>'Hao phí vật tư'!G707</f>
        <v>2</v>
      </c>
      <c r="H845" s="166"/>
      <c r="I845" s="166"/>
      <c r="J845" s="166"/>
      <c r="K845" s="166"/>
      <c r="L845" s="156">
        <f>ROUND((L108)*G845/100,2)</f>
        <v>0</v>
      </c>
      <c r="M845" s="156">
        <f>ROUND((M108)*G845/100,2)</f>
        <v>0</v>
      </c>
    </row>
    <row r="846" spans="1:13" ht="30" hidden="1" x14ac:dyDescent="0.25">
      <c r="A846" s="168"/>
      <c r="B846" s="133" t="str">
        <f>'Công trình'!B75</f>
        <v>AC.17112</v>
      </c>
      <c r="C846" s="34"/>
      <c r="D846" s="133" t="str">
        <f>'Công trình'!C75</f>
        <v>Đóng cọc BTCT 35x35 chiều dài &lt;=24m trên mặt nước bằng tàu đóng cọc búa 1,8T</v>
      </c>
      <c r="E846" s="168"/>
      <c r="F846" s="20">
        <v>1</v>
      </c>
      <c r="G846" s="45">
        <f>'Hao phí vật tư'!G591</f>
        <v>2</v>
      </c>
      <c r="H846" s="166"/>
      <c r="I846" s="166"/>
      <c r="J846" s="166"/>
      <c r="K846" s="166"/>
      <c r="L846" s="156">
        <f>ROUND((L110)*G846/100,2)</f>
        <v>0</v>
      </c>
      <c r="M846" s="156">
        <f>ROUND((M110)*G846/100,2)</f>
        <v>0</v>
      </c>
    </row>
    <row r="847" spans="1:13" ht="30" hidden="1" x14ac:dyDescent="0.25">
      <c r="A847" s="168"/>
      <c r="B847" s="133" t="str">
        <f>'Công trình'!B107</f>
        <v>AC.17112</v>
      </c>
      <c r="C847" s="34"/>
      <c r="D847" s="133" t="str">
        <f>'Công trình'!C107</f>
        <v>Đóng cọc âm BTCT 35x35 chiều dài &lt;=24m trên mặt nước bằng tàu đóng cọc búa 1,8T</v>
      </c>
      <c r="E847" s="168"/>
      <c r="F847" s="20">
        <v>1</v>
      </c>
      <c r="G847" s="45">
        <f>'Hao phí vật tư'!G854</f>
        <v>2</v>
      </c>
      <c r="H847" s="166"/>
      <c r="I847" s="166"/>
      <c r="J847" s="166"/>
      <c r="K847" s="166"/>
      <c r="L847" s="156">
        <f>ROUND((L111)*G847/100,2)</f>
        <v>0</v>
      </c>
      <c r="M847" s="156">
        <f>ROUND((M111)*G847/100,2)</f>
        <v>0</v>
      </c>
    </row>
    <row r="848" spans="1:13" hidden="1" x14ac:dyDescent="0.25">
      <c r="A848" s="168"/>
      <c r="B848" s="133" t="str">
        <f>'Công trình'!B109</f>
        <v>AI.11912</v>
      </c>
      <c r="C848" s="34"/>
      <c r="D848" s="133" t="str">
        <f>'Công trình'!C109</f>
        <v>Sản xuất hệ sàn đạo, sàn thao tác</v>
      </c>
      <c r="E848" s="168"/>
      <c r="F848" s="20">
        <v>1</v>
      </c>
      <c r="G848" s="45">
        <f>'Hao phí vật tư'!G870</f>
        <v>5</v>
      </c>
      <c r="H848" s="166"/>
      <c r="I848" s="166"/>
      <c r="J848" s="166"/>
      <c r="K848" s="166"/>
      <c r="L848" s="156">
        <f>ROUND((L211+L424+L498+L598+L659)*G848/100,2)</f>
        <v>0</v>
      </c>
      <c r="M848" s="156">
        <f>ROUND((M211+M424+M498+M598+M659)*G848/100,2)</f>
        <v>92186.97</v>
      </c>
    </row>
    <row r="849" spans="1:13" ht="30" hidden="1" x14ac:dyDescent="0.25">
      <c r="A849" s="168"/>
      <c r="B849" s="133" t="str">
        <f>'Công trình'!B110</f>
        <v>TT</v>
      </c>
      <c r="C849" s="34"/>
      <c r="D849" s="133" t="str">
        <f>'Công trình'!C110</f>
        <v>Khấu hao hệ sàn đạo, sàn thao tác (Thi công trong vòng 1 tháng và 5 lần đóng nhổ)</v>
      </c>
      <c r="E849" s="168"/>
      <c r="F849" s="20">
        <v>1</v>
      </c>
      <c r="G849" s="45">
        <f>'Hao phí vật tư'!G884</f>
        <v>5</v>
      </c>
      <c r="H849" s="166"/>
      <c r="I849" s="166"/>
      <c r="J849" s="166"/>
      <c r="K849" s="166"/>
      <c r="L849" s="156">
        <f>ROUND((L212+L425+L499+L599+L660)*G849/100,2)</f>
        <v>-83585.62</v>
      </c>
      <c r="M849" s="156">
        <f>ROUND((M212+M425+M499+M599+M660)*G849/100,2)</f>
        <v>711516.94</v>
      </c>
    </row>
    <row r="850" spans="1:13" hidden="1" x14ac:dyDescent="0.25">
      <c r="A850" s="168"/>
      <c r="B850" s="133" t="str">
        <f>'Công trình'!B104</f>
        <v>AI.11131</v>
      </c>
      <c r="C850" s="34"/>
      <c r="D850" s="133" t="str">
        <f>'Công trình'!C104</f>
        <v>Sản xuất cọc dẫn bằng thép hình</v>
      </c>
      <c r="E850" s="168"/>
      <c r="F850" s="20">
        <v>1</v>
      </c>
      <c r="G850" s="45">
        <f>'Hao phí vật tư'!G834</f>
        <v>5</v>
      </c>
      <c r="H850" s="166"/>
      <c r="I850" s="166"/>
      <c r="J850" s="166"/>
      <c r="K850" s="166"/>
      <c r="L850" s="156">
        <f>ROUND((L213+L426+L500+L600+L661)*G850/100,2)</f>
        <v>0</v>
      </c>
      <c r="M850" s="156">
        <f>ROUND((M213+M426+M500+M600+M661)*G850/100,2)</f>
        <v>36864.339999999997</v>
      </c>
    </row>
    <row r="851" spans="1:13" hidden="1" x14ac:dyDescent="0.25">
      <c r="A851" s="168"/>
      <c r="B851" s="133" t="str">
        <f>'Công trình'!B120</f>
        <v>AI.11912</v>
      </c>
      <c r="C851" s="34"/>
      <c r="D851" s="133" t="str">
        <f>'Công trình'!C120</f>
        <v>Sản xuất hệ sàn đạo, sàn thao tác</v>
      </c>
      <c r="E851" s="168"/>
      <c r="F851" s="20">
        <v>1</v>
      </c>
      <c r="G851" s="45">
        <f>'Hao phí vật tư'!G942</f>
        <v>5</v>
      </c>
      <c r="H851" s="166"/>
      <c r="I851" s="166"/>
      <c r="J851" s="166"/>
      <c r="K851" s="166"/>
      <c r="L851" s="156">
        <f>ROUND((L214+L427+L501+L601+L662)*G851/100,2)</f>
        <v>0</v>
      </c>
      <c r="M851" s="156">
        <f>ROUND((M214+M427+M501+M601+M662)*G851/100,2)</f>
        <v>189961.25</v>
      </c>
    </row>
    <row r="852" spans="1:13" ht="30" hidden="1" x14ac:dyDescent="0.25">
      <c r="A852" s="168"/>
      <c r="B852" s="133" t="str">
        <f>'Công trình'!B121</f>
        <v>TT</v>
      </c>
      <c r="C852" s="34"/>
      <c r="D852" s="133" t="str">
        <f>'Công trình'!C121</f>
        <v>Khấu hao hệ sàn đạo, sàn thao tác (Thi công trong vòng 1 tháng và 4 lần đóng nhổ)</v>
      </c>
      <c r="E852" s="168"/>
      <c r="F852" s="20">
        <v>1</v>
      </c>
      <c r="G852" s="45">
        <f>'Hao phí vật tư'!G956</f>
        <v>5</v>
      </c>
      <c r="H852" s="166"/>
      <c r="I852" s="166"/>
      <c r="J852" s="166"/>
      <c r="K852" s="166"/>
      <c r="L852" s="156">
        <f>ROUND((L215+L428+L502+L602+L663)*G852/100,2)</f>
        <v>-139574.66</v>
      </c>
      <c r="M852" s="156">
        <f>ROUND((M215+M428+M502+M602+M663)*G852/100,2)</f>
        <v>1188119.8600000001</v>
      </c>
    </row>
    <row r="853" spans="1:13" ht="30" hidden="1" x14ac:dyDescent="0.25">
      <c r="A853" s="168"/>
      <c r="B853" s="133" t="str">
        <f>'Công trình'!B112</f>
        <v>AI.63311</v>
      </c>
      <c r="C853" s="34"/>
      <c r="D853" s="133" t="str">
        <f>'Công trình'!C112</f>
        <v>Lắp dựng kết cấu thép hệ khung dàn, sàn đạo trên cạn</v>
      </c>
      <c r="E853" s="168"/>
      <c r="F853" s="20">
        <v>1</v>
      </c>
      <c r="G853" s="45">
        <f>'Hao phí vật tư'!G890</f>
        <v>5</v>
      </c>
      <c r="H853" s="166"/>
      <c r="I853" s="166"/>
      <c r="J853" s="166"/>
      <c r="K853" s="166"/>
      <c r="L853" s="156">
        <f>ROUND((L19+L503+L603)*G853/100,2)</f>
        <v>-215.71</v>
      </c>
      <c r="M853" s="156">
        <f>ROUND((M19+M503+M603)*G853/100,2)</f>
        <v>224814.75</v>
      </c>
    </row>
    <row r="854" spans="1:13" ht="30" hidden="1" x14ac:dyDescent="0.25">
      <c r="A854" s="168"/>
      <c r="B854" s="133" t="str">
        <f>'Công trình'!B113</f>
        <v>AI.63311</v>
      </c>
      <c r="C854" s="34"/>
      <c r="D854" s="133" t="str">
        <f>'Công trình'!C113</f>
        <v>Tháo dỡ kết cấu thép hệ khung dàn, sàn đạo trên cạn (60% Đg)</v>
      </c>
      <c r="E854" s="168"/>
      <c r="F854" s="20">
        <v>1</v>
      </c>
      <c r="G854" s="45">
        <f>'Hao phí vật tư'!G901</f>
        <v>5</v>
      </c>
      <c r="H854" s="166"/>
      <c r="I854" s="166"/>
      <c r="J854" s="166"/>
      <c r="K854" s="166"/>
      <c r="L854" s="156">
        <f>ROUND((L20+L504+L604)*G854/100,2)</f>
        <v>-129.41999999999999</v>
      </c>
      <c r="M854" s="156">
        <f>ROUND((M20+M504+M604)*G854/100,2)</f>
        <v>134888.85</v>
      </c>
    </row>
    <row r="855" spans="1:13" ht="30" hidden="1" x14ac:dyDescent="0.25">
      <c r="A855" s="168"/>
      <c r="B855" s="133" t="str">
        <f>'Công trình'!B114</f>
        <v>AC.22522</v>
      </c>
      <c r="C855" s="34"/>
      <c r="D855" s="133" t="str">
        <f>'Công trình'!C114</f>
        <v>Đóng cọc thép hình H300 trên mặt đất, chiều dài cọc &gt;10m, đất cấp II, phần ngập đất</v>
      </c>
      <c r="E855" s="168"/>
      <c r="F855" s="20">
        <v>1</v>
      </c>
      <c r="G855" s="45">
        <f>'Hao phí vật tư'!G910</f>
        <v>1</v>
      </c>
      <c r="H855" s="166"/>
      <c r="I855" s="166"/>
      <c r="J855" s="166"/>
      <c r="K855" s="166"/>
      <c r="L855" s="156">
        <f>ROUND((L116)*G855/100,2)</f>
        <v>0</v>
      </c>
      <c r="M855" s="156">
        <f>ROUND((M116)*G855/100,2)</f>
        <v>0</v>
      </c>
    </row>
    <row r="856" spans="1:13" ht="45" hidden="1" x14ac:dyDescent="0.25">
      <c r="A856" s="168"/>
      <c r="B856" s="133" t="str">
        <f>'Công trình'!B115</f>
        <v>AC.22522</v>
      </c>
      <c r="C856" s="34"/>
      <c r="D856" s="133" t="str">
        <f>'Công trình'!C115</f>
        <v>Đóng cọc thép hình H300 trên mặt đất, chiều dài cọc &gt;10m, đất cấp II, phần không ngập đất (NC, MTC * 0,75)</v>
      </c>
      <c r="E856" s="168"/>
      <c r="F856" s="20">
        <v>1</v>
      </c>
      <c r="G856" s="45">
        <f>'Hao phí vật tư'!G919</f>
        <v>1</v>
      </c>
      <c r="H856" s="166"/>
      <c r="I856" s="166"/>
      <c r="J856" s="166"/>
      <c r="K856" s="166"/>
      <c r="L856" s="156">
        <f>ROUND((L117)*G856/100,2)</f>
        <v>0</v>
      </c>
      <c r="M856" s="156">
        <f>ROUND((M117)*G856/100,2)</f>
        <v>0</v>
      </c>
    </row>
    <row r="857" spans="1:13" ht="30" hidden="1" x14ac:dyDescent="0.25">
      <c r="A857" s="168"/>
      <c r="B857" s="133" t="str">
        <f>'Công trình'!B123</f>
        <v>AI.63311</v>
      </c>
      <c r="C857" s="34"/>
      <c r="D857" s="133" t="str">
        <f>'Công trình'!C123</f>
        <v>Lắp dựng kết cấu thép hệ khung dàn, sàn đạo trên cạn</v>
      </c>
      <c r="E857" s="168"/>
      <c r="F857" s="20">
        <v>1</v>
      </c>
      <c r="G857" s="45">
        <f>'Hao phí vật tư'!G962</f>
        <v>5</v>
      </c>
      <c r="H857" s="166"/>
      <c r="I857" s="166"/>
      <c r="J857" s="166"/>
      <c r="K857" s="166"/>
      <c r="L857" s="156">
        <f>ROUND((L21+L505+L605)*G857/100,2)</f>
        <v>-88.9</v>
      </c>
      <c r="M857" s="156">
        <f>ROUND((M21+M505+M605)*G857/100,2)</f>
        <v>92650.880000000005</v>
      </c>
    </row>
    <row r="858" spans="1:13" ht="30" hidden="1" x14ac:dyDescent="0.25">
      <c r="A858" s="168"/>
      <c r="B858" s="133" t="str">
        <f>'Công trình'!B124</f>
        <v>AI.63311</v>
      </c>
      <c r="C858" s="34"/>
      <c r="D858" s="133" t="str">
        <f>'Công trình'!C124</f>
        <v>Tháo dỡ kết cấu thép hệ khung dàn, sàn đạo trên cạn (60% Đg)</v>
      </c>
      <c r="E858" s="168"/>
      <c r="F858" s="20">
        <v>1</v>
      </c>
      <c r="G858" s="45">
        <f>'Hao phí vật tư'!G973</f>
        <v>5</v>
      </c>
      <c r="H858" s="166"/>
      <c r="I858" s="166"/>
      <c r="J858" s="166"/>
      <c r="K858" s="166"/>
      <c r="L858" s="156">
        <f>ROUND((L22+L506+L606)*G858/100,2)</f>
        <v>-53.34</v>
      </c>
      <c r="M858" s="156">
        <f>ROUND((M22+M506+M606)*G858/100,2)</f>
        <v>55590.53</v>
      </c>
    </row>
    <row r="859" spans="1:13" ht="30" hidden="1" x14ac:dyDescent="0.25">
      <c r="A859" s="168"/>
      <c r="B859" s="133" t="str">
        <f>'Công trình'!B125</f>
        <v>AC.22522</v>
      </c>
      <c r="C859" s="34"/>
      <c r="D859" s="133" t="str">
        <f>'Công trình'!C125</f>
        <v>Đóng cọc thép hình H300 trên mặt đất, chiều dài cọc &gt;10m, đất cấp II, phần ngập đất</v>
      </c>
      <c r="E859" s="168"/>
      <c r="F859" s="20">
        <v>1</v>
      </c>
      <c r="G859" s="45">
        <f>'Hao phí vật tư'!G982</f>
        <v>1</v>
      </c>
      <c r="H859" s="166"/>
      <c r="I859" s="166"/>
      <c r="J859" s="166"/>
      <c r="K859" s="166"/>
      <c r="L859" s="156">
        <f>ROUND((L118)*G859/100,2)</f>
        <v>0</v>
      </c>
      <c r="M859" s="156">
        <f>ROUND((M118)*G859/100,2)</f>
        <v>0</v>
      </c>
    </row>
    <row r="860" spans="1:13" ht="45" hidden="1" x14ac:dyDescent="0.25">
      <c r="A860" s="168"/>
      <c r="B860" s="133" t="str">
        <f>'Công trình'!B126</f>
        <v>AC.22522</v>
      </c>
      <c r="C860" s="34"/>
      <c r="D860" s="133" t="str">
        <f>'Công trình'!C126</f>
        <v>Đóng cọc thép hình H300 trên mặt đất, chiều dài cọc &gt;10m, đất cấp II, phần không ngập đất (NC, MTC * 0,75)</v>
      </c>
      <c r="E860" s="168"/>
      <c r="F860" s="20">
        <v>1</v>
      </c>
      <c r="G860" s="45">
        <f>'Hao phí vật tư'!G991</f>
        <v>1</v>
      </c>
      <c r="H860" s="166"/>
      <c r="I860" s="166"/>
      <c r="J860" s="166"/>
      <c r="K860" s="166"/>
      <c r="L860" s="156">
        <f>ROUND((L119)*G860/100,2)</f>
        <v>0</v>
      </c>
      <c r="M860" s="156">
        <f>ROUND((M119)*G860/100,2)</f>
        <v>0</v>
      </c>
    </row>
    <row r="861" spans="1:13" ht="30" hidden="1" x14ac:dyDescent="0.25">
      <c r="A861" s="168"/>
      <c r="B861" s="133" t="str">
        <f>'Công trình'!B131</f>
        <v>AC.22112</v>
      </c>
      <c r="C861" s="34"/>
      <c r="D861" s="133" t="str">
        <f>'Công trình'!C131</f>
        <v>Đóng cừ Larsen IV trên mặt đất chiều dài cọc &lt;=12m đất cấp II, ngập đất 15,5m</v>
      </c>
      <c r="E861" s="168"/>
      <c r="F861" s="20">
        <v>1</v>
      </c>
      <c r="G861" s="45">
        <f>'Hao phí vật tư'!G1010</f>
        <v>0.5</v>
      </c>
      <c r="H861" s="166"/>
      <c r="I861" s="166"/>
      <c r="J861" s="166"/>
      <c r="K861" s="166"/>
      <c r="L861" s="156">
        <f>ROUND((L133)*G861/100,2)</f>
        <v>0</v>
      </c>
      <c r="M861" s="156">
        <f>ROUND((M133)*G861/100,2)</f>
        <v>0</v>
      </c>
    </row>
    <row r="862" spans="1:13" ht="45" hidden="1" x14ac:dyDescent="0.25">
      <c r="A862" s="168"/>
      <c r="B862" s="133" t="str">
        <f>'Công trình'!B132</f>
        <v>AC.22112</v>
      </c>
      <c r="C862" s="34"/>
      <c r="D862" s="133" t="str">
        <f>'Công trình'!C132</f>
        <v>Đóng cừ Larsen IV trên mặt đất chiều dài cọc &lt;=12m đất cấp II, không ngập đất (NC, MTC * 0,75)</v>
      </c>
      <c r="E862" s="168"/>
      <c r="F862" s="20">
        <v>1</v>
      </c>
      <c r="G862" s="45">
        <f>'Hao phí vật tư'!G1019</f>
        <v>0.5</v>
      </c>
      <c r="H862" s="166"/>
      <c r="I862" s="166"/>
      <c r="J862" s="166"/>
      <c r="K862" s="166"/>
      <c r="L862" s="156">
        <f>ROUND((L134)*G862/100,2)</f>
        <v>0</v>
      </c>
      <c r="M862" s="156">
        <f>ROUND((M134)*G862/100,2)</f>
        <v>0</v>
      </c>
    </row>
    <row r="863" spans="1:13" ht="30" hidden="1" x14ac:dyDescent="0.25">
      <c r="A863" s="168"/>
      <c r="B863" s="133" t="str">
        <f>'Công trình'!B133</f>
        <v>TT</v>
      </c>
      <c r="C863" s="34"/>
      <c r="D863" s="133" t="str">
        <f>'Công trình'!C133</f>
        <v>Khấu hao cừ Larsen (Thi công trong vòng 3 tháng và 1 lần đóng nhổ)</v>
      </c>
      <c r="E863" s="168"/>
      <c r="F863" s="20">
        <v>1</v>
      </c>
      <c r="G863" s="45">
        <f>'Hao phí vật tư'!G1028</f>
        <v>0.5</v>
      </c>
      <c r="H863" s="166"/>
      <c r="I863" s="166"/>
      <c r="J863" s="166"/>
      <c r="K863" s="166"/>
      <c r="L863" s="156">
        <f>ROUND((L135)*G863/100,2)</f>
        <v>356403.74</v>
      </c>
      <c r="M863" s="156">
        <f>ROUND((M135)*G863/100,2)</f>
        <v>1297753.92</v>
      </c>
    </row>
    <row r="864" spans="1:13" hidden="1" x14ac:dyDescent="0.25">
      <c r="A864" s="168"/>
      <c r="B864" s="133" t="str">
        <f>'Công trình'!B136</f>
        <v>AI.11912</v>
      </c>
      <c r="C864" s="34"/>
      <c r="D864" s="133" t="str">
        <f>'Công trình'!C136</f>
        <v>Sản xuất hệ sàn đạo, sàn thao tác</v>
      </c>
      <c r="E864" s="168"/>
      <c r="F864" s="20">
        <v>1</v>
      </c>
      <c r="G864" s="45">
        <f>'Hao phí vật tư'!G1043</f>
        <v>5</v>
      </c>
      <c r="H864" s="166"/>
      <c r="I864" s="166"/>
      <c r="J864" s="166"/>
      <c r="K864" s="166"/>
      <c r="L864" s="156">
        <f>ROUND((L216+L429+L507+L607+L664)*G864/100,2)</f>
        <v>0</v>
      </c>
      <c r="M864" s="156">
        <f>ROUND((M216+M429+M507+M607+M664)*G864/100,2)</f>
        <v>3007935.64</v>
      </c>
    </row>
    <row r="865" spans="1:13" ht="30" hidden="1" x14ac:dyDescent="0.25">
      <c r="A865" s="168"/>
      <c r="B865" s="133" t="str">
        <f>'Công trình'!B137</f>
        <v>TT</v>
      </c>
      <c r="C865" s="34"/>
      <c r="D865" s="133" t="str">
        <f>'Công trình'!C137</f>
        <v>Khấu hao hệ sàn đạo, sàn thao tác (Thi công trong vòng 3 tháng và 1 lần đóng nhổ)</v>
      </c>
      <c r="E865" s="168"/>
      <c r="F865" s="20">
        <v>1</v>
      </c>
      <c r="G865" s="45">
        <f>'Hao phí vật tư'!G1057</f>
        <v>5</v>
      </c>
      <c r="H865" s="166"/>
      <c r="I865" s="166"/>
      <c r="J865" s="166"/>
      <c r="K865" s="166"/>
      <c r="L865" s="156">
        <f>ROUND((L217+L430+L508+L608+L665)*G865/100,2)</f>
        <v>-958225.47</v>
      </c>
      <c r="M865" s="156">
        <f>ROUND((M217+M430+M508+M608+M665)*G865/100,2)</f>
        <v>8156829.54</v>
      </c>
    </row>
    <row r="866" spans="1:13" ht="30" hidden="1" x14ac:dyDescent="0.25">
      <c r="A866" s="168"/>
      <c r="B866" s="133" t="str">
        <f>'Công trình'!B139</f>
        <v>AI.63311</v>
      </c>
      <c r="C866" s="34"/>
      <c r="D866" s="133" t="str">
        <f>'Công trình'!C139</f>
        <v>Lắp dựng kết cấu thép hệ khung dàn, sàn đạo trên cạn</v>
      </c>
      <c r="E866" s="168"/>
      <c r="F866" s="20">
        <v>1</v>
      </c>
      <c r="G866" s="45">
        <f>'Hao phí vật tư'!G1063</f>
        <v>5</v>
      </c>
      <c r="H866" s="166"/>
      <c r="I866" s="166"/>
      <c r="J866" s="166"/>
      <c r="K866" s="166"/>
      <c r="L866" s="156">
        <f>ROUND((L23+L509+L609)*G866/100,2)</f>
        <v>-1407.64</v>
      </c>
      <c r="M866" s="156">
        <f>ROUND((M23+M509+M609)*G866/100,2)</f>
        <v>1467078.45</v>
      </c>
    </row>
    <row r="867" spans="1:13" ht="30" hidden="1" x14ac:dyDescent="0.25">
      <c r="A867" s="168"/>
      <c r="B867" s="133" t="str">
        <f>'Công trình'!B140</f>
        <v>AI.63311</v>
      </c>
      <c r="C867" s="34"/>
      <c r="D867" s="133" t="str">
        <f>'Công trình'!C140</f>
        <v>Tháo dỡ kết cấu thép hệ khung dàn, sàn đạo trên cạn (60% Đg)</v>
      </c>
      <c r="E867" s="168"/>
      <c r="F867" s="20">
        <v>1</v>
      </c>
      <c r="G867" s="45">
        <f>'Hao phí vật tư'!G1074</f>
        <v>5</v>
      </c>
      <c r="H867" s="166"/>
      <c r="I867" s="166"/>
      <c r="J867" s="166"/>
      <c r="K867" s="166"/>
      <c r="L867" s="156">
        <f>ROUND((L24+L510+L610)*G867/100,2)</f>
        <v>-844.58</v>
      </c>
      <c r="M867" s="156">
        <f>ROUND((M24+M510+M610)*G867/100,2)</f>
        <v>880247.07</v>
      </c>
    </row>
    <row r="868" spans="1:13" ht="30" hidden="1" x14ac:dyDescent="0.25">
      <c r="A868" s="168"/>
      <c r="B868" s="133" t="str">
        <f>'Công trình'!B142</f>
        <v>AC.22522</v>
      </c>
      <c r="C868" s="34"/>
      <c r="D868" s="133" t="str">
        <f>'Công trình'!C142</f>
        <v>Đóng cọc thép hình H300 trên mặt đất, chiều dài cọc &gt;10m, đất cấp II, phần ngập đất</v>
      </c>
      <c r="E868" s="168"/>
      <c r="F868" s="20">
        <v>1</v>
      </c>
      <c r="G868" s="45">
        <f>'Hao phí vật tư'!G1086</f>
        <v>1</v>
      </c>
      <c r="H868" s="166"/>
      <c r="I868" s="166"/>
      <c r="J868" s="166"/>
      <c r="K868" s="166"/>
      <c r="L868" s="156">
        <f>ROUND((L338)*G868/100,2)</f>
        <v>0</v>
      </c>
      <c r="M868" s="156">
        <f>ROUND((M338)*G868/100,2)</f>
        <v>0</v>
      </c>
    </row>
    <row r="869" spans="1:13" ht="45" hidden="1" x14ac:dyDescent="0.25">
      <c r="A869" s="168"/>
      <c r="B869" s="133" t="str">
        <f>'Công trình'!B143</f>
        <v>AC.22522</v>
      </c>
      <c r="C869" s="34"/>
      <c r="D869" s="133" t="str">
        <f>'Công trình'!C143</f>
        <v>Đóng cọc thép hình H300 trên mặt đất, chiều dài cọc &gt;10m, đất cấp II, phần không ngập đất (NC, MTC * 0,75)</v>
      </c>
      <c r="E869" s="168"/>
      <c r="F869" s="20">
        <v>1</v>
      </c>
      <c r="G869" s="45">
        <f>'Hao phí vật tư'!G1095</f>
        <v>1</v>
      </c>
      <c r="H869" s="166"/>
      <c r="I869" s="166"/>
      <c r="J869" s="166"/>
      <c r="K869" s="166"/>
      <c r="L869" s="156">
        <f>ROUND((L339)*G869/100,2)</f>
        <v>0</v>
      </c>
      <c r="M869" s="156">
        <f>ROUND((M339)*G869/100,2)</f>
        <v>0</v>
      </c>
    </row>
    <row r="870" spans="1:13" ht="30" hidden="1" x14ac:dyDescent="0.25">
      <c r="A870" s="168"/>
      <c r="B870" s="133" t="str">
        <f>'Công trình'!B144</f>
        <v>TT</v>
      </c>
      <c r="C870" s="34"/>
      <c r="D870" s="133" t="str">
        <f>'Công trình'!C144</f>
        <v>Khấu hao cọc thép hình (Thi công trong vòng 3 tháng và 1 lần đóng nhổ)</v>
      </c>
      <c r="E870" s="168"/>
      <c r="F870" s="20">
        <v>1</v>
      </c>
      <c r="G870" s="45">
        <f>'Hao phí vật tư'!G1104</f>
        <v>1</v>
      </c>
      <c r="H870" s="166"/>
      <c r="I870" s="166"/>
      <c r="J870" s="166"/>
      <c r="K870" s="166"/>
      <c r="L870" s="156">
        <f>ROUND((L340)*G870/100,2)</f>
        <v>178003.84</v>
      </c>
      <c r="M870" s="156">
        <f>ROUND((M340)*G870/100,2)</f>
        <v>390770.73</v>
      </c>
    </row>
    <row r="871" spans="1:13" ht="30" hidden="1" x14ac:dyDescent="0.25">
      <c r="A871" s="168"/>
      <c r="B871" s="133" t="str">
        <f>'Công trình'!B116</f>
        <v>TT</v>
      </c>
      <c r="C871" s="34"/>
      <c r="D871" s="133" t="str">
        <f>'Công trình'!C116</f>
        <v>Khấu hao cọc thép hình (Thi công trong vòng 3 tháng và 1 lần đóng nhổ)</v>
      </c>
      <c r="E871" s="168"/>
      <c r="F871" s="20">
        <v>1</v>
      </c>
      <c r="G871" s="45">
        <f>'Hao phí vật tư'!G928</f>
        <v>1</v>
      </c>
      <c r="H871" s="166"/>
      <c r="I871" s="166"/>
      <c r="J871" s="166"/>
      <c r="K871" s="166"/>
      <c r="L871" s="156">
        <f>ROUND((L120)*G871/100,2)</f>
        <v>103242.82</v>
      </c>
      <c r="M871" s="156">
        <f>ROUND((M120)*G871/100,2)</f>
        <v>191418</v>
      </c>
    </row>
    <row r="872" spans="1:13" ht="30" hidden="1" x14ac:dyDescent="0.25">
      <c r="A872" s="168"/>
      <c r="B872" s="133" t="str">
        <f>'Công trình'!B127</f>
        <v>TT</v>
      </c>
      <c r="C872" s="34"/>
      <c r="D872" s="133" t="str">
        <f>'Công trình'!C127</f>
        <v>Khấu hao cọc thép hình (Thi công trong vòng 3 tháng và 1 lần đóng nhổ)</v>
      </c>
      <c r="E872" s="168"/>
      <c r="F872" s="20">
        <v>1</v>
      </c>
      <c r="G872" s="45">
        <f>'Hao phí vật tư'!G1000</f>
        <v>1</v>
      </c>
      <c r="H872" s="166"/>
      <c r="I872" s="166"/>
      <c r="J872" s="166"/>
      <c r="K872" s="166"/>
      <c r="L872" s="156">
        <f>ROUND((L121)*G872/100,2)</f>
        <v>71855.42</v>
      </c>
      <c r="M872" s="156">
        <f>ROUND((M121)*G872/100,2)</f>
        <v>133224</v>
      </c>
    </row>
    <row r="873" spans="1:13" hidden="1" x14ac:dyDescent="0.25">
      <c r="A873" s="168"/>
      <c r="B873" s="133" t="str">
        <f>'Công trình'!B148</f>
        <v>AI.61171</v>
      </c>
      <c r="C873" s="34"/>
      <c r="D873" s="133" t="str">
        <f>'Công trình'!C148</f>
        <v>Lắp sàn thang sắt</v>
      </c>
      <c r="E873" s="168"/>
      <c r="F873" s="20">
        <v>1</v>
      </c>
      <c r="G873" s="45">
        <f>'Hao phí vật tư'!G1127</f>
        <v>5</v>
      </c>
      <c r="H873" s="166"/>
      <c r="I873" s="166"/>
      <c r="J873" s="166"/>
      <c r="K873" s="166"/>
      <c r="L873" s="156">
        <f>ROUND((L29+L512)*G873/100,2)</f>
        <v>0</v>
      </c>
      <c r="M873" s="156">
        <f>ROUND((M29+M512)*G873/100,2)</f>
        <v>1515.69</v>
      </c>
    </row>
    <row r="874" spans="1:13" ht="30" hidden="1" x14ac:dyDescent="0.25">
      <c r="A874" s="168"/>
      <c r="B874" s="133" t="str">
        <f>'Công trình'!B149</f>
        <v>AC.11121</v>
      </c>
      <c r="C874" s="34"/>
      <c r="D874" s="133" t="str">
        <f>'Công trình'!C149</f>
        <v>Đóng cọc tràm chiều dài cọc ngập đất &gt;2,5m đất cấp I</v>
      </c>
      <c r="E874" s="168"/>
      <c r="F874" s="20">
        <v>1</v>
      </c>
      <c r="G874" s="45">
        <f>'Hao phí vật tư'!G1138</f>
        <v>5</v>
      </c>
      <c r="H874" s="166"/>
      <c r="I874" s="166"/>
      <c r="J874" s="166"/>
      <c r="K874" s="166"/>
      <c r="L874" s="156">
        <f>ROUND((L103+L126+L323)*G874/100,2)</f>
        <v>265852.93</v>
      </c>
      <c r="M874" s="156">
        <f>ROUND((M103+M126+M323)*G874/100,2)</f>
        <v>772977.06</v>
      </c>
    </row>
    <row r="875" spans="1:13" hidden="1" x14ac:dyDescent="0.25">
      <c r="A875" s="168"/>
      <c r="B875" s="133" t="str">
        <f>'Công trình'!B150</f>
        <v>AL.16122</v>
      </c>
      <c r="C875" s="34"/>
      <c r="D875" s="133" t="str">
        <f>'Công trình'!C150</f>
        <v>Rải vải địa kỹ thuật làm móng công trình</v>
      </c>
      <c r="E875" s="168"/>
      <c r="F875" s="20">
        <v>1</v>
      </c>
      <c r="G875" s="45">
        <f>'Hao phí vật tư'!G1144</f>
        <v>0.2</v>
      </c>
      <c r="H875" s="166"/>
      <c r="I875" s="166"/>
      <c r="J875" s="166"/>
      <c r="K875" s="166"/>
      <c r="L875" s="156">
        <f>ROUND((L758)*G875/100,2)</f>
        <v>1661.68</v>
      </c>
      <c r="M875" s="156">
        <f>ROUND((M758)*G875/100,2)</f>
        <v>3787.7</v>
      </c>
    </row>
    <row r="876" spans="1:13" hidden="1" x14ac:dyDescent="0.25">
      <c r="A876" s="168"/>
      <c r="B876" s="133" t="str">
        <f>'Công trình'!B152</f>
        <v>AB.13411</v>
      </c>
      <c r="C876" s="34"/>
      <c r="D876" s="133" t="str">
        <f>'Công trình'!C152</f>
        <v>Đắp cát nền móng công trình</v>
      </c>
      <c r="E876" s="168"/>
      <c r="F876" s="20">
        <v>1</v>
      </c>
      <c r="G876" s="45">
        <f>'Hao phí vật tư'!G1155</f>
        <v>2</v>
      </c>
      <c r="H876" s="166"/>
      <c r="I876" s="166"/>
      <c r="J876" s="166"/>
      <c r="K876" s="166"/>
      <c r="L876" s="156">
        <f>ROUND((L46)*G876/100,2)</f>
        <v>10287.040000000001</v>
      </c>
      <c r="M876" s="156">
        <f>ROUND((M46)*G876/100,2)</f>
        <v>27230.400000000001</v>
      </c>
    </row>
    <row r="877" spans="1:13" ht="30" hidden="1" x14ac:dyDescent="0.25">
      <c r="A877" s="168"/>
      <c r="B877" s="133" t="str">
        <f>'Công trình'!B154</f>
        <v>AB.36120</v>
      </c>
      <c r="C877" s="34"/>
      <c r="D877" s="133" t="str">
        <f>'Công trình'!C154</f>
        <v>Xói hút bùn trong khung vây phòng nước, các trụ dưới nước</v>
      </c>
      <c r="E877" s="168"/>
      <c r="F877" s="20">
        <v>1</v>
      </c>
      <c r="G877" s="45">
        <f>'Hao phí vật tư'!G1169</f>
        <v>5</v>
      </c>
      <c r="H877" s="166"/>
      <c r="I877" s="166"/>
      <c r="J877" s="166"/>
      <c r="K877" s="166"/>
      <c r="L877" s="156">
        <f>ROUND((L459+L461+L463)*G877/100,2)</f>
        <v>0</v>
      </c>
      <c r="M877" s="156">
        <f>ROUND((M459+M461+M463)*G877/100,2)</f>
        <v>84631.49</v>
      </c>
    </row>
    <row r="878" spans="1:13" ht="30" hidden="1" x14ac:dyDescent="0.25">
      <c r="A878" s="168"/>
      <c r="B878" s="133" t="str">
        <f>'Công trình'!B160</f>
        <v>AI.63311</v>
      </c>
      <c r="C878" s="34"/>
      <c r="D878" s="133" t="str">
        <f>'Công trình'!C160</f>
        <v>Lắp dựng kết cấu thép hệ khung dàn, sàn đạo trên cạn</v>
      </c>
      <c r="E878" s="168"/>
      <c r="F878" s="20">
        <v>1</v>
      </c>
      <c r="G878" s="45">
        <f>'Hao phí vật tư'!G1212</f>
        <v>5</v>
      </c>
      <c r="H878" s="166"/>
      <c r="I878" s="166"/>
      <c r="J878" s="166"/>
      <c r="K878" s="166"/>
      <c r="L878" s="156">
        <f>ROUND((L25+L513+L612)*G878/100,2)</f>
        <v>-686.26</v>
      </c>
      <c r="M878" s="156">
        <f>ROUND((M25+M513+M612)*G878/100,2)</f>
        <v>715236.87</v>
      </c>
    </row>
    <row r="879" spans="1:13" ht="30" hidden="1" x14ac:dyDescent="0.25">
      <c r="A879" s="168"/>
      <c r="B879" s="133" t="str">
        <f>'Công trình'!B161</f>
        <v>AI.63311</v>
      </c>
      <c r="C879" s="34"/>
      <c r="D879" s="133" t="str">
        <f>'Công trình'!C161</f>
        <v>Tháo dỡ kết cấu thép hệ khung dàn, sàn đạo trên cạn (60% Đg)</v>
      </c>
      <c r="E879" s="168"/>
      <c r="F879" s="20">
        <v>1</v>
      </c>
      <c r="G879" s="45">
        <f>'Hao phí vật tư'!G1223</f>
        <v>5</v>
      </c>
      <c r="H879" s="166"/>
      <c r="I879" s="166"/>
      <c r="J879" s="166"/>
      <c r="K879" s="166"/>
      <c r="L879" s="156">
        <f>ROUND((L26+L514+L613)*G879/100,2)</f>
        <v>-411.75</v>
      </c>
      <c r="M879" s="156">
        <f>ROUND((M26+M514+M613)*G879/100,2)</f>
        <v>429142.13</v>
      </c>
    </row>
    <row r="880" spans="1:13" ht="30" hidden="1" x14ac:dyDescent="0.25">
      <c r="A880" s="168"/>
      <c r="B880" s="133" t="str">
        <f>'Công trình'!B158</f>
        <v>TT</v>
      </c>
      <c r="C880" s="34"/>
      <c r="D880" s="133" t="str">
        <f>'Công trình'!C158</f>
        <v>Khấu hao hệ sàn đạo, sàn thao tác (Thi công trong vòng 3 tháng và 1 lần đóng nhổ)</v>
      </c>
      <c r="E880" s="168"/>
      <c r="F880" s="20">
        <v>1</v>
      </c>
      <c r="G880" s="45">
        <f>'Hao phí vật tư'!G1206</f>
        <v>5</v>
      </c>
      <c r="H880" s="166"/>
      <c r="I880" s="166"/>
      <c r="J880" s="166"/>
      <c r="K880" s="166"/>
      <c r="L880" s="156">
        <f>ROUND((L219+L432+L515+L614+L666)*G880/100,2)</f>
        <v>-467156.61</v>
      </c>
      <c r="M880" s="156">
        <f>ROUND((M219+M432+M515+M614+M666)*G880/100,2)</f>
        <v>3976639</v>
      </c>
    </row>
    <row r="881" spans="1:13" hidden="1" x14ac:dyDescent="0.25">
      <c r="A881" s="168"/>
      <c r="B881" s="133" t="str">
        <f>'Công trình'!B157</f>
        <v>AI.11912</v>
      </c>
      <c r="C881" s="34"/>
      <c r="D881" s="133" t="str">
        <f>'Công trình'!C157</f>
        <v>Sản xuất cầu công tác</v>
      </c>
      <c r="E881" s="168"/>
      <c r="F881" s="20">
        <v>1</v>
      </c>
      <c r="G881" s="45">
        <f>'Hao phí vật tư'!G1192</f>
        <v>5</v>
      </c>
      <c r="H881" s="166"/>
      <c r="I881" s="166"/>
      <c r="J881" s="166"/>
      <c r="K881" s="166"/>
      <c r="L881" s="156">
        <f>ROUND((L220+L433+L516+L615+L667)*G881/100,2)</f>
        <v>0</v>
      </c>
      <c r="M881" s="156">
        <f>ROUND((M220+M433+M516+M615+M667)*G881/100,2)</f>
        <v>1466442.77</v>
      </c>
    </row>
    <row r="882" spans="1:13" ht="45" hidden="1" x14ac:dyDescent="0.25">
      <c r="A882" s="168"/>
      <c r="B882" s="133" t="str">
        <f>'Công trình'!B162</f>
        <v>AC.22522</v>
      </c>
      <c r="C882" s="34"/>
      <c r="D882" s="133" t="str">
        <f>'Công trình'!C162</f>
        <v>Đóng cọc thép hình I350x150, dài 14m đóng ngập đất 11m trên mặt đất, đất cấp II, phần ngập đất</v>
      </c>
      <c r="E882" s="168"/>
      <c r="F882" s="20">
        <v>1</v>
      </c>
      <c r="G882" s="45">
        <f>'Hao phí vật tư'!G1232</f>
        <v>1</v>
      </c>
      <c r="H882" s="166"/>
      <c r="I882" s="166"/>
      <c r="J882" s="166"/>
      <c r="K882" s="166"/>
      <c r="L882" s="156">
        <f>ROUND((L342)*G882/100,2)</f>
        <v>0</v>
      </c>
      <c r="M882" s="156">
        <f>ROUND((M342)*G882/100,2)</f>
        <v>0</v>
      </c>
    </row>
    <row r="883" spans="1:13" ht="45" hidden="1" x14ac:dyDescent="0.25">
      <c r="A883" s="168"/>
      <c r="B883" s="133" t="str">
        <f>'Công trình'!B163</f>
        <v>AC.22522</v>
      </c>
      <c r="C883" s="34"/>
      <c r="D883" s="133" t="str">
        <f>'Công trình'!C163</f>
        <v>Đóng cọc thép hình I350x150, dài 14m đóng không ngập đất 3m, đất cấp II, phần không ngập đất (NC, MTC * 0,75)</v>
      </c>
      <c r="E883" s="168"/>
      <c r="F883" s="20">
        <v>1</v>
      </c>
      <c r="G883" s="45">
        <f>'Hao phí vật tư'!G1241</f>
        <v>1</v>
      </c>
      <c r="H883" s="166"/>
      <c r="I883" s="166"/>
      <c r="J883" s="166"/>
      <c r="K883" s="166"/>
      <c r="L883" s="156">
        <f>ROUND((L343)*G883/100,2)</f>
        <v>0</v>
      </c>
      <c r="M883" s="156">
        <f>ROUND((M343)*G883/100,2)</f>
        <v>0</v>
      </c>
    </row>
    <row r="884" spans="1:13" ht="30" hidden="1" x14ac:dyDescent="0.25">
      <c r="A884" s="168"/>
      <c r="B884" s="133" t="str">
        <f>'Công trình'!B164</f>
        <v>TT</v>
      </c>
      <c r="C884" s="34"/>
      <c r="D884" s="133" t="str">
        <f>'Công trình'!C164</f>
        <v>Khấu hao cọc thép hình (Thi công trong vòng 3 tháng và 1 lần đóng nhổ)</v>
      </c>
      <c r="E884" s="168"/>
      <c r="F884" s="20">
        <v>1</v>
      </c>
      <c r="G884" s="45">
        <f>'Hao phí vật tư'!G1250</f>
        <v>1</v>
      </c>
      <c r="H884" s="166"/>
      <c r="I884" s="166"/>
      <c r="J884" s="166"/>
      <c r="K884" s="166"/>
      <c r="L884" s="156">
        <f>ROUND((L344)*G884/100,2)</f>
        <v>271234.46999999997</v>
      </c>
      <c r="M884" s="156">
        <f>ROUND((M344)*G884/100,2)</f>
        <v>502884</v>
      </c>
    </row>
    <row r="885" spans="1:13" ht="30" hidden="1" x14ac:dyDescent="0.25">
      <c r="A885" s="168"/>
      <c r="B885" s="133" t="str">
        <f>'Công trình'!B167</f>
        <v>AG.11413</v>
      </c>
      <c r="C885" s="34"/>
      <c r="D885" s="133" t="str">
        <f>'Công trình'!C167</f>
        <v>Bê tông tấm đan đúc sẵn đá 1x2, vữa BT mác 200</v>
      </c>
      <c r="E885" s="168"/>
      <c r="F885" s="20">
        <v>1</v>
      </c>
      <c r="G885" s="45">
        <f>'Hao phí vật tư'!G1263</f>
        <v>0.5</v>
      </c>
      <c r="H885" s="166"/>
      <c r="I885" s="166"/>
      <c r="J885" s="166"/>
      <c r="K885" s="166"/>
      <c r="L885" s="156">
        <f>ROUND((L66+L151+L383+L778)*G885/100,2)</f>
        <v>6923.55</v>
      </c>
      <c r="M885" s="156">
        <f>ROUND((M66+M151+M383+M778)*G885/100,2)</f>
        <v>42581.22</v>
      </c>
    </row>
    <row r="886" spans="1:13" ht="30" hidden="1" x14ac:dyDescent="0.25">
      <c r="A886" s="168"/>
      <c r="B886" s="133" t="str">
        <f>'Công trình'!B168</f>
        <v>AG.32211</v>
      </c>
      <c r="C886" s="34"/>
      <c r="D886" s="133" t="str">
        <f>'Công trình'!C168</f>
        <v>Sản xuất, lắp dựng tháo dỡ ván khuôn kim loại các loại cấu kiện khác</v>
      </c>
      <c r="E886" s="168"/>
      <c r="F886" s="20">
        <v>1</v>
      </c>
      <c r="G886" s="45">
        <f>'Hao phí vật tư'!G1273</f>
        <v>5</v>
      </c>
      <c r="H886" s="166"/>
      <c r="I886" s="166"/>
      <c r="J886" s="166"/>
      <c r="K886" s="166"/>
      <c r="L886" s="156">
        <f>ROUND((L517+L616+L668)*G886/100,2)</f>
        <v>-1148.05</v>
      </c>
      <c r="M886" s="156">
        <f>ROUND((M517+M616+M668)*G886/100,2)</f>
        <v>7967.46</v>
      </c>
    </row>
    <row r="887" spans="1:13" ht="30" hidden="1" x14ac:dyDescent="0.25">
      <c r="A887" s="168"/>
      <c r="B887" s="133" t="str">
        <f>'Công trình'!B169</f>
        <v>AG.42141</v>
      </c>
      <c r="C887" s="34"/>
      <c r="D887" s="133" t="str">
        <f>'Công trình'!C169</f>
        <v>Lắp các loại cấu kiện BT đúc sẵn bằng thủ công trọng lượng &gt;250kg, vữa XM mác 100</v>
      </c>
      <c r="E887" s="168"/>
      <c r="F887" s="20">
        <v>1</v>
      </c>
      <c r="G887" s="45">
        <f>'Hao phí vật tư'!G1284</f>
        <v>10</v>
      </c>
      <c r="H887" s="166"/>
      <c r="I887" s="166"/>
      <c r="J887" s="166"/>
      <c r="K887" s="166"/>
      <c r="L887" s="156">
        <f>ROUND((L67+L384+L779)*G887/100,2)</f>
        <v>13705.06</v>
      </c>
      <c r="M887" s="156">
        <f>ROUND((M67+M384+M779)*G887/100,2)</f>
        <v>56009.67</v>
      </c>
    </row>
    <row r="888" spans="1:13" ht="30" hidden="1" x14ac:dyDescent="0.25">
      <c r="A888" s="168"/>
      <c r="B888" s="133" t="str">
        <f>'Công trình'!B174</f>
        <v>AF.14115</v>
      </c>
      <c r="C888" s="34"/>
      <c r="D888" s="133" t="str">
        <f>'Công trình'!C174</f>
        <v>Bê tông móng, mố trụ cầu trên cạn đá 1x2, vữa BT mác 300</v>
      </c>
      <c r="E888" s="168"/>
      <c r="F888" s="20">
        <v>1</v>
      </c>
      <c r="G888" s="45">
        <f>'Hao phí vật tư'!G1302</f>
        <v>2</v>
      </c>
      <c r="H888" s="166"/>
      <c r="I888" s="166"/>
      <c r="J888" s="166"/>
      <c r="K888" s="166"/>
      <c r="L888" s="156">
        <f>ROUND((L68+L152+L385+L780)*G888/100,2)</f>
        <v>298462.51</v>
      </c>
      <c r="M888" s="156">
        <f>ROUND((M68+M152+M385+M780)*G888/100,2)</f>
        <v>2168688.61</v>
      </c>
    </row>
    <row r="889" spans="1:13" ht="30" hidden="1" x14ac:dyDescent="0.25">
      <c r="A889" s="168"/>
      <c r="B889" s="133" t="str">
        <f>'Công trình'!B186</f>
        <v>AF.14115</v>
      </c>
      <c r="C889" s="34"/>
      <c r="D889" s="133" t="str">
        <f>'Công trình'!C186</f>
        <v>Bê tông móng, mố trụ cầu trên cạn đá 1x2, vữa BT mác 300</v>
      </c>
      <c r="E889" s="168"/>
      <c r="F889" s="20">
        <v>1</v>
      </c>
      <c r="G889" s="45">
        <f>'Hao phí vật tư'!G1419</f>
        <v>2</v>
      </c>
      <c r="H889" s="166"/>
      <c r="I889" s="166"/>
      <c r="J889" s="166"/>
      <c r="K889" s="166"/>
      <c r="L889" s="156">
        <f>ROUND((L71+L153+L388+L782)*G889/100,2)</f>
        <v>10669.28</v>
      </c>
      <c r="M889" s="156">
        <f>ROUND((M71+M153+M388+M782)*G889/100,2)</f>
        <v>77524.41</v>
      </c>
    </row>
    <row r="890" spans="1:13" hidden="1" x14ac:dyDescent="0.25">
      <c r="A890" s="168"/>
      <c r="B890" s="133" t="str">
        <f>'Công trình'!B196</f>
        <v>AF.14315</v>
      </c>
      <c r="C890" s="34"/>
      <c r="D890" s="133" t="str">
        <f>'Công trình'!C196</f>
        <v>Bê tông mặt cầu đá 1x2, vữa BT mác 300</v>
      </c>
      <c r="E890" s="168"/>
      <c r="F890" s="20">
        <v>1</v>
      </c>
      <c r="G890" s="45">
        <f>'Hao phí vật tư'!G1501</f>
        <v>4</v>
      </c>
      <c r="H890" s="166"/>
      <c r="I890" s="166"/>
      <c r="J890" s="166"/>
      <c r="K890" s="166"/>
      <c r="L890" s="156">
        <f>ROUND((L73+L178+L390+L467+L763)*G890/100,2)</f>
        <v>335424.8</v>
      </c>
      <c r="M890" s="156">
        <f>ROUND((M73+M178+M390+M467+M763)*G890/100,2)</f>
        <v>3478781.13</v>
      </c>
    </row>
    <row r="891" spans="1:13" hidden="1" x14ac:dyDescent="0.25">
      <c r="A891" s="168"/>
      <c r="B891" s="133" t="str">
        <f>'Công trình'!B197</f>
        <v>AF.15225</v>
      </c>
      <c r="C891" s="34"/>
      <c r="D891" s="133" t="str">
        <f>'Công trình'!C197</f>
        <v>Bê tông dầm cầu đá 1x2, vữa BT mác 300</v>
      </c>
      <c r="E891" s="168"/>
      <c r="F891" s="20">
        <v>1</v>
      </c>
      <c r="G891" s="45">
        <f>'Hao phí vật tư'!G1514</f>
        <v>1</v>
      </c>
      <c r="H891" s="166"/>
      <c r="I891" s="166"/>
      <c r="J891" s="166"/>
      <c r="K891" s="166"/>
      <c r="L891" s="156">
        <f>ROUND((L74+L154+L391+L784)*G891/100,2)</f>
        <v>4652.63</v>
      </c>
      <c r="M891" s="156">
        <f>ROUND((M74+M154+M391+M784)*G891/100,2)</f>
        <v>33806.79</v>
      </c>
    </row>
    <row r="892" spans="1:13" ht="30" hidden="1" x14ac:dyDescent="0.25">
      <c r="A892" s="168"/>
      <c r="B892" s="133" t="str">
        <f>'Công trình'!B200</f>
        <v>AF.82111</v>
      </c>
      <c r="C892" s="34"/>
      <c r="D892" s="133" t="str">
        <f>'Công trình'!C200</f>
        <v>Sản xuất, lắp dựng tháo dỡ ván khuôn thép, cây chống gỗ dầm ngang, chiều cao &lt;=16m</v>
      </c>
      <c r="E892" s="168"/>
      <c r="F892" s="20">
        <v>1</v>
      </c>
      <c r="G892" s="45">
        <f>'Hao phí vật tư'!G1543</f>
        <v>5</v>
      </c>
      <c r="H892" s="166"/>
      <c r="I892" s="166"/>
      <c r="J892" s="166"/>
      <c r="K892" s="166"/>
      <c r="L892" s="156">
        <f>ROUND((L311+L523+L617+L669)*G892/100,2)</f>
        <v>-9359.89</v>
      </c>
      <c r="M892" s="156">
        <f>ROUND((M311+M523+M617+M669)*G892/100,2)</f>
        <v>60543.47</v>
      </c>
    </row>
    <row r="893" spans="1:13" hidden="1" x14ac:dyDescent="0.25">
      <c r="A893" s="168"/>
      <c r="B893" s="133" t="str">
        <f>'Công trình'!B213</f>
        <v>AL.25121</v>
      </c>
      <c r="C893" s="34"/>
      <c r="D893" s="133" t="str">
        <f>'Công trình'!C213</f>
        <v>Lắp đặt khe co giãn dầm liên tục</v>
      </c>
      <c r="E893" s="168"/>
      <c r="F893" s="20">
        <v>1</v>
      </c>
      <c r="G893" s="45">
        <f>'Hao phí vật tư'!G1618</f>
        <v>1</v>
      </c>
      <c r="H893" s="166"/>
      <c r="I893" s="166"/>
      <c r="J893" s="166"/>
      <c r="K893" s="166"/>
      <c r="L893" s="156">
        <f>ROUND((L348)*G893/100,2)</f>
        <v>0</v>
      </c>
      <c r="M893" s="156">
        <f>ROUND((M348)*G893/100,2)</f>
        <v>189000</v>
      </c>
    </row>
    <row r="894" spans="1:13" hidden="1" x14ac:dyDescent="0.25">
      <c r="A894" s="168"/>
      <c r="B894" s="133" t="str">
        <f>'Công trình'!B217</f>
        <v>AF.11215</v>
      </c>
      <c r="C894" s="34"/>
      <c r="D894" s="133" t="str">
        <f>'Công trình'!C217</f>
        <v>BT M300 đổ sau có phụ gia</v>
      </c>
      <c r="E894" s="168"/>
      <c r="F894" s="20">
        <v>1</v>
      </c>
      <c r="G894" s="45">
        <f>'Hao phí vật tư'!G1637</f>
        <v>1</v>
      </c>
      <c r="H894" s="166"/>
      <c r="I894" s="166"/>
      <c r="J894" s="166"/>
      <c r="K894" s="166"/>
      <c r="L894" s="156">
        <f>ROUND((L75+L179+L392+L469+L808)*G894/100,2)</f>
        <v>1678.64</v>
      </c>
      <c r="M894" s="156">
        <f>ROUND((M75+M179+M392+M469+M808)*G894/100,2)</f>
        <v>16003.39</v>
      </c>
    </row>
    <row r="895" spans="1:13" hidden="1" x14ac:dyDescent="0.25">
      <c r="A895" s="168"/>
      <c r="B895" s="133" t="str">
        <f>'Công trình'!B222</f>
        <v>AL.16210</v>
      </c>
      <c r="C895" s="34"/>
      <c r="D895" s="133" t="str">
        <f>'Công trình'!C222</f>
        <v>Giấy dầu</v>
      </c>
      <c r="E895" s="168"/>
      <c r="F895" s="20">
        <v>1</v>
      </c>
      <c r="G895" s="45">
        <f>'Hao phí vật tư'!G1674</f>
        <v>0.2</v>
      </c>
      <c r="H895" s="166"/>
      <c r="I895" s="166"/>
      <c r="J895" s="166"/>
      <c r="K895" s="166"/>
      <c r="L895" s="156">
        <f>ROUND((L304)*G895/100,2)</f>
        <v>0</v>
      </c>
      <c r="M895" s="156">
        <f>ROUND((M304)*G895/100,2)</f>
        <v>260.92</v>
      </c>
    </row>
    <row r="896" spans="1:13" ht="30" hidden="1" x14ac:dyDescent="0.25">
      <c r="A896" s="168"/>
      <c r="B896" s="133" t="str">
        <f>'Công trình'!B225</f>
        <v>AG.11125</v>
      </c>
      <c r="C896" s="34"/>
      <c r="D896" s="133" t="str">
        <f>'Công trình'!C225</f>
        <v>Sản xuất bê tông cọc cừ đúc sẵn đá 1x2, vữa BT mác 300</v>
      </c>
      <c r="E896" s="168"/>
      <c r="F896" s="20">
        <v>1</v>
      </c>
      <c r="G896" s="45">
        <f>'Hao phí vật tư'!G1686</f>
        <v>0.5</v>
      </c>
      <c r="H896" s="166"/>
      <c r="I896" s="166"/>
      <c r="J896" s="166"/>
      <c r="K896" s="166"/>
      <c r="L896" s="156">
        <f>ROUND((L76+L155+L393+L785)*G896/100,2)</f>
        <v>57918.45</v>
      </c>
      <c r="M896" s="156">
        <f>ROUND((M76+M155+M393+M785)*G896/100,2)</f>
        <v>420818.46</v>
      </c>
    </row>
    <row r="897" spans="1:13" ht="30" hidden="1" x14ac:dyDescent="0.25">
      <c r="A897" s="168"/>
      <c r="B897" s="133" t="str">
        <f>'Công trình'!B229</f>
        <v>AI.13111</v>
      </c>
      <c r="C897" s="34"/>
      <c r="D897" s="133" t="str">
        <f>'Công trình'!C229</f>
        <v>Sản xuất cấu kiện thép đặt sẵn trong bê tông, khối lượng &lt;=10kg/cấu kiện</v>
      </c>
      <c r="E897" s="168"/>
      <c r="F897" s="20">
        <v>1</v>
      </c>
      <c r="G897" s="45">
        <f>'Hao phí vật tư'!G1729</f>
        <v>2.5</v>
      </c>
      <c r="H897" s="166"/>
      <c r="I897" s="166"/>
      <c r="J897" s="166"/>
      <c r="K897" s="166"/>
      <c r="L897" s="156">
        <f>ROUND((L190+L221+L434+L531+L670+L732)*G897/100,2)</f>
        <v>-73874.28</v>
      </c>
      <c r="M897" s="156">
        <f>ROUND((M190+M221+M434+M531+M670+M732)*G897/100,2)</f>
        <v>373448.39</v>
      </c>
    </row>
    <row r="898" spans="1:13" hidden="1" x14ac:dyDescent="0.25">
      <c r="A898" s="168"/>
      <c r="B898" s="133" t="str">
        <f>'Công trình'!B231</f>
        <v>AI.52211</v>
      </c>
      <c r="C898" s="34"/>
      <c r="D898" s="133" t="str">
        <f>'Công trình'!C231</f>
        <v>Thép hình hộp nối cọc</v>
      </c>
      <c r="E898" s="168"/>
      <c r="F898" s="20">
        <v>1</v>
      </c>
      <c r="G898" s="45">
        <f>'Hao phí vật tư'!G1756</f>
        <v>2</v>
      </c>
      <c r="H898" s="166"/>
      <c r="I898" s="166"/>
      <c r="J898" s="166"/>
      <c r="K898" s="166"/>
      <c r="L898" s="156">
        <f>ROUND((L191+L222+L435+L532+L618+L671)*G898/100,2)</f>
        <v>-72903.61</v>
      </c>
      <c r="M898" s="156">
        <f>ROUND((M191+M222+M435+M532+M618+M671)*G898/100,2)</f>
        <v>790108.51</v>
      </c>
    </row>
    <row r="899" spans="1:13" ht="30" hidden="1" x14ac:dyDescent="0.25">
      <c r="A899" s="168"/>
      <c r="B899" s="133" t="str">
        <f>'Công trình'!B232</f>
        <v>AC.14114</v>
      </c>
      <c r="C899" s="34"/>
      <c r="D899" s="133" t="str">
        <f>'Công trình'!C232</f>
        <v>Đóng cọc BTCT 35x35 chiều dài &lt;=24m trên mặt đất, trọng lượng đầu búa 1,8T, đất cấp I</v>
      </c>
      <c r="E899" s="168"/>
      <c r="F899" s="20">
        <v>1</v>
      </c>
      <c r="G899" s="45">
        <f>'Hao phí vật tư'!G1767</f>
        <v>1.5</v>
      </c>
      <c r="H899" s="166"/>
      <c r="I899" s="166"/>
      <c r="J899" s="166"/>
      <c r="K899" s="166"/>
      <c r="L899" s="156">
        <f>ROUND((L112)*G899/100,2)</f>
        <v>0</v>
      </c>
      <c r="M899" s="156">
        <f>ROUND((M112)*G899/100,2)</f>
        <v>0</v>
      </c>
    </row>
    <row r="900" spans="1:13" ht="45" hidden="1" x14ac:dyDescent="0.25">
      <c r="A900" s="168"/>
      <c r="B900" s="133" t="str">
        <f>'Công trình'!B233</f>
        <v>AC.14114</v>
      </c>
      <c r="C900" s="34"/>
      <c r="D900" s="133" t="str">
        <f>'Công trình'!C233</f>
        <v>Đóng cọc xiên BTCT 35x35 chiều dài &lt;=24m trên mặt đất, trọng lượng đầu búa 1,8T, đất cấp I (HS NC, MTC x 1,22)</v>
      </c>
      <c r="E900" s="168"/>
      <c r="F900" s="20">
        <v>1</v>
      </c>
      <c r="G900" s="45">
        <f>'Hao phí vật tư'!G1776</f>
        <v>1.5</v>
      </c>
      <c r="H900" s="166"/>
      <c r="I900" s="166"/>
      <c r="J900" s="166"/>
      <c r="K900" s="166"/>
      <c r="L900" s="156">
        <f>ROUND((L113)*G900/100,2)</f>
        <v>0</v>
      </c>
      <c r="M900" s="156">
        <f>ROUND((M113)*G900/100,2)</f>
        <v>0</v>
      </c>
    </row>
    <row r="901" spans="1:13" hidden="1" x14ac:dyDescent="0.25">
      <c r="A901" s="168"/>
      <c r="B901" s="133" t="str">
        <f>'Công trình'!B234</f>
        <v>AC.29341</v>
      </c>
      <c r="C901" s="34"/>
      <c r="D901" s="133" t="str">
        <f>'Công trình'!C234</f>
        <v>Nối cọc BTCT 35x35cm</v>
      </c>
      <c r="E901" s="168"/>
      <c r="F901" s="20">
        <v>1</v>
      </c>
      <c r="G901" s="45">
        <f>'Hao phí vật tư'!G1786</f>
        <v>3</v>
      </c>
      <c r="H901" s="166"/>
      <c r="I901" s="166"/>
      <c r="J901" s="166"/>
      <c r="K901" s="166"/>
      <c r="L901" s="156">
        <f>ROUND((L534+L586)*G901/100,2)</f>
        <v>0</v>
      </c>
      <c r="M901" s="156">
        <f>ROUND((M534+M586)*G901/100,2)</f>
        <v>72335.8</v>
      </c>
    </row>
    <row r="902" spans="1:13" ht="30" hidden="1" x14ac:dyDescent="0.25">
      <c r="A902" s="168"/>
      <c r="B902" s="133" t="str">
        <f>'Công trình'!B236</f>
        <v>AC.14114</v>
      </c>
      <c r="C902" s="34"/>
      <c r="D902" s="133" t="str">
        <f>'Công trình'!C236</f>
        <v>Đóng cọc âm chiều dài &lt;=24m trên mặt đất, trọng lượng đầu búa 1,8T, đất cấp I</v>
      </c>
      <c r="E902" s="168"/>
      <c r="F902" s="20">
        <v>1</v>
      </c>
      <c r="G902" s="45">
        <f>'Hao phí vật tư'!G1805</f>
        <v>1.5</v>
      </c>
      <c r="H902" s="166"/>
      <c r="I902" s="166"/>
      <c r="J902" s="166"/>
      <c r="K902" s="166"/>
      <c r="L902" s="156">
        <f>ROUND((L114)*G902/100,2)</f>
        <v>0</v>
      </c>
      <c r="M902" s="156">
        <f>ROUND((M114)*G902/100,2)</f>
        <v>0</v>
      </c>
    </row>
    <row r="903" spans="1:13" ht="30" hidden="1" x14ac:dyDescent="0.25">
      <c r="A903" s="168"/>
      <c r="B903" s="133" t="str">
        <f>'Công trình'!B247</f>
        <v>AF.12313</v>
      </c>
      <c r="C903" s="34"/>
      <c r="D903" s="133" t="str">
        <f>'Công trình'!C247</f>
        <v>Bê tông dầm chặn chân, đá 1x2, vữa BT mác 200</v>
      </c>
      <c r="E903" s="168"/>
      <c r="F903" s="20">
        <v>1</v>
      </c>
      <c r="G903" s="45">
        <f>'Hao phí vật tư'!G1869</f>
        <v>1</v>
      </c>
      <c r="H903" s="166"/>
      <c r="I903" s="166"/>
      <c r="J903" s="166"/>
      <c r="K903" s="166"/>
      <c r="L903" s="156">
        <f>ROUND((L77+L156+L394+L786)*G903/100,2)</f>
        <v>28411.99</v>
      </c>
      <c r="M903" s="156">
        <f>ROUND((M77+M156+M394+M786)*G903/100,2)</f>
        <v>174743.33</v>
      </c>
    </row>
    <row r="904" spans="1:13" ht="30" hidden="1" x14ac:dyDescent="0.25">
      <c r="A904" s="168"/>
      <c r="B904" s="133" t="str">
        <f>'Công trình'!B249</f>
        <v>AF.82111</v>
      </c>
      <c r="C904" s="34"/>
      <c r="D904" s="133" t="str">
        <f>'Công trình'!C249</f>
        <v>Sản xuất, lắp dựng tháo dỡ ván khuôn thép, cây chống gỗ dầm, giằng, chiều cao &lt;=16m</v>
      </c>
      <c r="E904" s="168"/>
      <c r="F904" s="20">
        <v>1</v>
      </c>
      <c r="G904" s="45">
        <f>'Hao phí vật tư'!G1891</f>
        <v>5</v>
      </c>
      <c r="H904" s="166"/>
      <c r="I904" s="166"/>
      <c r="J904" s="166"/>
      <c r="K904" s="166"/>
      <c r="L904" s="156">
        <f>ROUND((L312+L535+L619+L672)*G904/100,2)</f>
        <v>-17255.349999999999</v>
      </c>
      <c r="M904" s="156">
        <f>ROUND((M312+M535+M619+M672)*G904/100,2)</f>
        <v>111615.77</v>
      </c>
    </row>
    <row r="905" spans="1:13" ht="30" hidden="1" x14ac:dyDescent="0.25">
      <c r="A905" s="168"/>
      <c r="B905" s="133" t="str">
        <f>'Công trình'!B250</f>
        <v>AG.11413</v>
      </c>
      <c r="C905" s="34"/>
      <c r="D905" s="133" t="str">
        <f>'Công trình'!C250</f>
        <v>Sản xuất bê tông lục giác, đá 1x2, vữa BT mác 200</v>
      </c>
      <c r="E905" s="168"/>
      <c r="F905" s="20">
        <v>1</v>
      </c>
      <c r="G905" s="45">
        <f>'Hao phí vật tư'!G1904</f>
        <v>0.5</v>
      </c>
      <c r="H905" s="166"/>
      <c r="I905" s="166"/>
      <c r="J905" s="166"/>
      <c r="K905" s="166"/>
      <c r="L905" s="156">
        <f>ROUND((L79+L157+L396+L788)*G905/100,2)</f>
        <v>57139.15</v>
      </c>
      <c r="M905" s="156">
        <f>ROUND((M79+M157+M396+M788)*G905/100,2)</f>
        <v>351416.99</v>
      </c>
    </row>
    <row r="906" spans="1:13" hidden="1" x14ac:dyDescent="0.25">
      <c r="A906" s="168"/>
      <c r="B906" s="133" t="str">
        <f>'Công trình'!B253</f>
        <v>AL.16122</v>
      </c>
      <c r="C906" s="34"/>
      <c r="D906" s="133" t="str">
        <f>'Công trình'!C253</f>
        <v>Rải vải địa kỹ thuật làm móng công trình</v>
      </c>
      <c r="E906" s="168"/>
      <c r="F906" s="20">
        <v>1</v>
      </c>
      <c r="G906" s="45">
        <f>'Hao phí vật tư'!G1931</f>
        <v>0.2</v>
      </c>
      <c r="H906" s="166"/>
      <c r="I906" s="166"/>
      <c r="J906" s="166"/>
      <c r="K906" s="166"/>
      <c r="L906" s="156">
        <f>ROUND((L759)*G906/100,2)</f>
        <v>45123.34</v>
      </c>
      <c r="M906" s="156">
        <f>ROUND((M759)*G906/100,2)</f>
        <v>102856.02</v>
      </c>
    </row>
    <row r="907" spans="1:13" ht="30" hidden="1" x14ac:dyDescent="0.25">
      <c r="A907" s="168"/>
      <c r="B907" s="133" t="str">
        <f>'Công trình'!B255</f>
        <v>AF.14325</v>
      </c>
      <c r="C907" s="34"/>
      <c r="D907" s="133" t="str">
        <f>'Công trình'!C255</f>
        <v>Bê tông lan can, gờ chắn đá 1x2, vữa BT mác 300</v>
      </c>
      <c r="E907" s="168"/>
      <c r="F907" s="20">
        <v>1</v>
      </c>
      <c r="G907" s="45">
        <f>'Hao phí vật tư'!G1940</f>
        <v>4</v>
      </c>
      <c r="H907" s="166"/>
      <c r="I907" s="166"/>
      <c r="J907" s="166"/>
      <c r="K907" s="166"/>
      <c r="L907" s="156">
        <f>ROUND((L80+L158+L397+L789)*G907/100,2)</f>
        <v>129908.53</v>
      </c>
      <c r="M907" s="156">
        <f>ROUND((M80+M158+M397+M789)*G907/100,2)</f>
        <v>943941.7</v>
      </c>
    </row>
    <row r="908" spans="1:13" ht="30" hidden="1" x14ac:dyDescent="0.25">
      <c r="A908" s="168"/>
      <c r="B908" s="133" t="str">
        <f>'Công trình'!B256</f>
        <v>AF.82111</v>
      </c>
      <c r="C908" s="34"/>
      <c r="D908" s="133" t="str">
        <f>'Công trình'!C256</f>
        <v>Sản xuất, lắp dựng tháo dỡ ván khuôn thép lan can</v>
      </c>
      <c r="E908" s="168"/>
      <c r="F908" s="20">
        <v>1</v>
      </c>
      <c r="G908" s="45">
        <f>'Hao phí vật tư'!G1952</f>
        <v>5</v>
      </c>
      <c r="H908" s="166"/>
      <c r="I908" s="166"/>
      <c r="J908" s="166"/>
      <c r="K908" s="166"/>
      <c r="L908" s="156">
        <f>ROUND((L313+L536+L620+L673)*G908/100,2)</f>
        <v>-36994.78</v>
      </c>
      <c r="M908" s="156">
        <f>ROUND((M313+M536+M620+M673)*G908/100,2)</f>
        <v>239298.53</v>
      </c>
    </row>
    <row r="909" spans="1:13" ht="30" hidden="1" x14ac:dyDescent="0.25">
      <c r="A909" s="168"/>
      <c r="B909" s="133" t="str">
        <f>'Công trình'!B259</f>
        <v>BB.14309</v>
      </c>
      <c r="C909" s="34"/>
      <c r="D909" s="133" t="str">
        <f>'Công trình'!C259</f>
        <v>Lắp đặt ống thép tráng kẽm, đoạn ống dài 8m, đk=110mm</v>
      </c>
      <c r="E909" s="168"/>
      <c r="F909" s="20">
        <v>1</v>
      </c>
      <c r="G909" s="45">
        <f>'Hao phí vật tư'!G1981</f>
        <v>0.01</v>
      </c>
      <c r="H909" s="166"/>
      <c r="I909" s="166"/>
      <c r="J909" s="166"/>
      <c r="K909" s="166"/>
      <c r="L909" s="156">
        <f>ROUND((L356+L455)*G909/100,2)</f>
        <v>0</v>
      </c>
      <c r="M909" s="156">
        <f>ROUND((M356+M455)*G909/100,2)</f>
        <v>278.07</v>
      </c>
    </row>
    <row r="910" spans="1:13" hidden="1" x14ac:dyDescent="0.25">
      <c r="A910" s="168"/>
      <c r="B910" s="133" t="str">
        <f>'Công trình'!B260</f>
        <v>BB.26119</v>
      </c>
      <c r="C910" s="34"/>
      <c r="D910" s="133" t="str">
        <f>'Công trình'!C260</f>
        <v>Cút nối 90 độ thép mạ kẽm</v>
      </c>
      <c r="E910" s="168"/>
      <c r="F910" s="20">
        <v>1</v>
      </c>
      <c r="G910" s="45">
        <f>'Hao phí vật tư'!G1987</f>
        <v>0.1</v>
      </c>
      <c r="H910" s="166"/>
      <c r="I910" s="166"/>
      <c r="J910" s="166"/>
      <c r="K910" s="166"/>
      <c r="L910" s="156">
        <f>ROUND((L139)*G910/100,2)</f>
        <v>0</v>
      </c>
      <c r="M910" s="156">
        <f>ROUND((M139)*G910/100,2)</f>
        <v>1220</v>
      </c>
    </row>
    <row r="911" spans="1:13" hidden="1" x14ac:dyDescent="0.25">
      <c r="A911" s="168"/>
      <c r="B911" s="133" t="str">
        <f>'Công trình'!B263</f>
        <v>AI.63211</v>
      </c>
      <c r="C911" s="34"/>
      <c r="D911" s="133" t="str">
        <f>'Công trình'!C263</f>
        <v>Lắp dựng lan can sắt, vữa XM mác 75</v>
      </c>
      <c r="E911" s="168"/>
      <c r="F911" s="20">
        <v>1</v>
      </c>
      <c r="G911" s="45">
        <f>'Hao phí vật tư'!G2012</f>
        <v>5</v>
      </c>
      <c r="H911" s="166"/>
      <c r="I911" s="166"/>
      <c r="J911" s="166"/>
      <c r="K911" s="166"/>
      <c r="L911" s="156">
        <f>ROUND((L49+L398+L538+L790)*G911/100,2)</f>
        <v>2139.77</v>
      </c>
      <c r="M911" s="156">
        <f>ROUND((M49+M398+M538+M790)*G911/100,2)</f>
        <v>29378.32</v>
      </c>
    </row>
    <row r="912" spans="1:13" ht="30" hidden="1" x14ac:dyDescent="0.25">
      <c r="A912" s="168"/>
      <c r="B912" s="133" t="str">
        <f>'Công trình'!B267</f>
        <v>AF.11212</v>
      </c>
      <c r="C912" s="34"/>
      <c r="D912" s="133" t="str">
        <f>'Công trình'!C267</f>
        <v>Bê tông móng rộng &lt;=250cm đá 1x2, vữa BT mác 150</v>
      </c>
      <c r="E912" s="168"/>
      <c r="F912" s="20">
        <v>1</v>
      </c>
      <c r="G912" s="45">
        <f>'Hao phí vật tư'!G2035</f>
        <v>1</v>
      </c>
      <c r="H912" s="166"/>
      <c r="I912" s="166"/>
      <c r="J912" s="166"/>
      <c r="K912" s="166"/>
      <c r="L912" s="156">
        <f>ROUND((L81+L159+L399+L791)*G912/100,2)</f>
        <v>5544.16</v>
      </c>
      <c r="M912" s="156">
        <f>ROUND((M81+M159+M399+M791)*G912/100,2)</f>
        <v>31172.69</v>
      </c>
    </row>
    <row r="913" spans="1:13" hidden="1" x14ac:dyDescent="0.25">
      <c r="A913" s="168"/>
      <c r="B913" s="133" t="str">
        <f>'Công trình'!B268</f>
        <v>BB.14211</v>
      </c>
      <c r="C913" s="34"/>
      <c r="D913" s="133" t="str">
        <f>'Công trình'!C268</f>
        <v>Ống thép Þ120 dày 2 mm</v>
      </c>
      <c r="E913" s="168"/>
      <c r="F913" s="20">
        <v>1</v>
      </c>
      <c r="G913" s="45">
        <f>'Hao phí vật tư'!G2045</f>
        <v>0.01</v>
      </c>
      <c r="H913" s="166"/>
      <c r="I913" s="166"/>
      <c r="J913" s="166"/>
      <c r="K913" s="166"/>
      <c r="L913" s="156">
        <f>ROUND((L453+L558)*G913/100,2)</f>
        <v>15.95</v>
      </c>
      <c r="M913" s="156">
        <f>ROUND((M453+M558)*G913/100,2)</f>
        <v>594.89</v>
      </c>
    </row>
    <row r="914" spans="1:13" hidden="1" x14ac:dyDescent="0.25">
      <c r="A914" s="168"/>
      <c r="B914" s="133" t="str">
        <f>'Công trình'!B269</f>
        <v>AD.32411</v>
      </c>
      <c r="C914" s="34"/>
      <c r="D914" s="133" t="str">
        <f>'Công trình'!C269</f>
        <v>Biển báo (1.2 x 1.2)m</v>
      </c>
      <c r="E914" s="168"/>
      <c r="F914" s="20">
        <v>1</v>
      </c>
      <c r="G914" s="45">
        <f>'Hao phí vật tư'!G2058</f>
        <v>1.5</v>
      </c>
      <c r="H914" s="166"/>
      <c r="I914" s="166"/>
      <c r="J914" s="166"/>
      <c r="K914" s="166"/>
      <c r="L914" s="156">
        <f>ROUND((L292+L296+L352+L366+L748)*G914/100,2)</f>
        <v>0</v>
      </c>
      <c r="M914" s="156">
        <f>ROUND((M292+M296+M352+M366+M748)*G914/100,2)</f>
        <v>187806.48</v>
      </c>
    </row>
    <row r="915" spans="1:13" ht="30" hidden="1" x14ac:dyDescent="0.25">
      <c r="A915" s="168"/>
      <c r="B915" s="133" t="str">
        <f>'Công trình'!B271</f>
        <v>AC.11121</v>
      </c>
      <c r="C915" s="34"/>
      <c r="D915" s="133" t="str">
        <f>'Công trình'!C271</f>
        <v>Đóng cọc tràm chiều dài cọc ngập đất &gt;2,5m đất cấp I</v>
      </c>
      <c r="E915" s="168"/>
      <c r="F915" s="20">
        <v>1</v>
      </c>
      <c r="G915" s="45">
        <f>'Hao phí vật tư'!G2071</f>
        <v>5</v>
      </c>
      <c r="H915" s="166"/>
      <c r="I915" s="166"/>
      <c r="J915" s="166"/>
      <c r="K915" s="166"/>
      <c r="L915" s="156">
        <f>ROUND((L104+L127+L324)*G915/100,2)</f>
        <v>15083.85</v>
      </c>
      <c r="M915" s="156">
        <f>ROUND((M104+M127+M324)*G915/100,2)</f>
        <v>43856.85</v>
      </c>
    </row>
    <row r="916" spans="1:13" hidden="1" x14ac:dyDescent="0.25">
      <c r="A916" s="168"/>
      <c r="B916" s="133" t="str">
        <f>'Công trình'!B275</f>
        <v>AD.34130</v>
      </c>
      <c r="C916" s="34"/>
      <c r="D916" s="133" t="str">
        <f>'Công trình'!C275</f>
        <v>Lắp đặt dải phân cách bằng tôn lượn sóng</v>
      </c>
      <c r="E916" s="168"/>
      <c r="F916" s="20">
        <v>1</v>
      </c>
      <c r="G916" s="45">
        <f>'Hao phí vật tư'!G2089</f>
        <v>1.5</v>
      </c>
      <c r="H916" s="166"/>
      <c r="I916" s="166"/>
      <c r="J916" s="166"/>
      <c r="K916" s="166"/>
      <c r="L916" s="156">
        <f>ROUND((L14+L745+L752)*G916/100,2)</f>
        <v>0</v>
      </c>
      <c r="M916" s="156">
        <f>ROUND((M14+M745+M752)*G916/100,2)</f>
        <v>73920.600000000006</v>
      </c>
    </row>
    <row r="917" spans="1:13" hidden="1" x14ac:dyDescent="0.25">
      <c r="A917" s="168"/>
      <c r="B917" s="133" t="str">
        <f>'Công trình'!B283</f>
        <v>AK.90122</v>
      </c>
      <c r="C917" s="34"/>
      <c r="D917" s="133" t="str">
        <f>'Công trình'!C283</f>
        <v>Sơn trắng đỏ</v>
      </c>
      <c r="E917" s="168"/>
      <c r="F917" s="20">
        <v>1</v>
      </c>
      <c r="G917" s="45">
        <f>'Hao phí vật tư'!G2117</f>
        <v>1</v>
      </c>
      <c r="H917" s="166"/>
      <c r="I917" s="166"/>
      <c r="J917" s="166"/>
      <c r="K917" s="166"/>
      <c r="L917" s="156">
        <f>ROUND((L571+L575)*G917/100,2)</f>
        <v>0</v>
      </c>
      <c r="M917" s="156">
        <f>ROUND((M571+M575)*G917/100,2)</f>
        <v>12312.75</v>
      </c>
    </row>
    <row r="918" spans="1:13" ht="30" hidden="1" x14ac:dyDescent="0.25">
      <c r="A918" s="168"/>
      <c r="B918" s="133" t="str">
        <f>'Công trình'!B284</f>
        <v>AF.11213</v>
      </c>
      <c r="C918" s="34"/>
      <c r="D918" s="133" t="str">
        <f>'Công trình'!C284</f>
        <v>Bê tông móng rộng &lt;=250cm đá 1x2, vữa BT mác 200</v>
      </c>
      <c r="E918" s="168"/>
      <c r="F918" s="20">
        <v>1</v>
      </c>
      <c r="G918" s="45">
        <f>'Hao phí vật tư'!G2126</f>
        <v>1</v>
      </c>
      <c r="H918" s="166"/>
      <c r="I918" s="166"/>
      <c r="J918" s="166"/>
      <c r="K918" s="166"/>
      <c r="L918" s="156">
        <f>ROUND((L82+L160+L400+L792)*G918/100,2)</f>
        <v>12486.05</v>
      </c>
      <c r="M918" s="156">
        <f>ROUND((M82+M160+M400+M792)*G918/100,2)</f>
        <v>76793.2</v>
      </c>
    </row>
    <row r="919" spans="1:13" ht="30" hidden="1" x14ac:dyDescent="0.25">
      <c r="A919" s="168"/>
      <c r="B919" s="133" t="str">
        <f>'Công trình'!B285</f>
        <v>AF.11212</v>
      </c>
      <c r="C919" s="34"/>
      <c r="D919" s="133" t="str">
        <f>'Công trình'!C285</f>
        <v>Bê tông móng rộng &lt;=250cm đá 1x2, vữa BT mác 150</v>
      </c>
      <c r="E919" s="168"/>
      <c r="F919" s="20">
        <v>1</v>
      </c>
      <c r="G919" s="45">
        <f>'Hao phí vật tư'!G2138</f>
        <v>1</v>
      </c>
      <c r="H919" s="166"/>
      <c r="I919" s="166"/>
      <c r="J919" s="166"/>
      <c r="K919" s="166"/>
      <c r="L919" s="156">
        <f>ROUND((L83+L161+L401+L793)*G919/100,2)</f>
        <v>2282.85</v>
      </c>
      <c r="M919" s="156">
        <f>ROUND((M83+M161+M401+M793)*G919/100,2)</f>
        <v>12835.68</v>
      </c>
    </row>
    <row r="920" spans="1:13" hidden="1" x14ac:dyDescent="0.25">
      <c r="A920" s="168"/>
      <c r="B920" s="133" t="str">
        <f>'Công trình'!B287</f>
        <v>AF.82511</v>
      </c>
      <c r="C920" s="34"/>
      <c r="D920" s="133" t="str">
        <f>'Công trình'!C287</f>
        <v>Ván khuôn móng</v>
      </c>
      <c r="E920" s="168"/>
      <c r="F920" s="20">
        <v>1</v>
      </c>
      <c r="G920" s="45">
        <f>'Hao phí vật tư'!G2157</f>
        <v>10</v>
      </c>
      <c r="H920" s="166"/>
      <c r="I920" s="166"/>
      <c r="J920" s="166"/>
      <c r="K920" s="166"/>
      <c r="L920" s="156">
        <f>ROUND((L621+L674)*G920/100,2)</f>
        <v>-12819.62</v>
      </c>
      <c r="M920" s="156">
        <f>ROUND((M621+M674)*G920/100,2)</f>
        <v>71568.23</v>
      </c>
    </row>
    <row r="921" spans="1:13" hidden="1" x14ac:dyDescent="0.25">
      <c r="A921" s="168"/>
      <c r="B921" s="133" t="str">
        <f>'Công trình'!B289</f>
        <v>BB.14306</v>
      </c>
      <c r="C921" s="34"/>
      <c r="D921" s="133" t="str">
        <f>'Công trình'!C289</f>
        <v>Ống thép D80mm, dày 2.9mm, mạ kẽm</v>
      </c>
      <c r="E921" s="168"/>
      <c r="F921" s="20">
        <v>1</v>
      </c>
      <c r="G921" s="45">
        <f>'Hao phí vật tư'!G2164</f>
        <v>0.01</v>
      </c>
      <c r="H921" s="166"/>
      <c r="I921" s="166"/>
      <c r="J921" s="166"/>
      <c r="K921" s="166"/>
      <c r="L921" s="156">
        <f>ROUND((L358+L457)*G921/100,2)</f>
        <v>0</v>
      </c>
      <c r="M921" s="156">
        <f>ROUND((M358+M457)*G921/100,2)</f>
        <v>26.49</v>
      </c>
    </row>
    <row r="922" spans="1:13" ht="30" hidden="1" x14ac:dyDescent="0.25">
      <c r="A922" s="168"/>
      <c r="B922" s="133" t="str">
        <f>'Công trình'!B290</f>
        <v>AD.32421</v>
      </c>
      <c r="C922" s="34"/>
      <c r="D922" s="133" t="str">
        <f>'Công trình'!C290</f>
        <v>Biển báo bằng tôn hình tròn D70cm, dày 1.2mm, sơn phản quang (Biển 115)</v>
      </c>
      <c r="E922" s="168"/>
      <c r="F922" s="20">
        <v>1</v>
      </c>
      <c r="G922" s="45">
        <f>'Hao phí vật tư'!G2174</f>
        <v>1.5</v>
      </c>
      <c r="H922" s="166"/>
      <c r="I922" s="166"/>
      <c r="J922" s="166"/>
      <c r="K922" s="166"/>
      <c r="L922" s="156">
        <f>ROUND((L293+L297+L353+L367+L749)*G922/100,2)</f>
        <v>0</v>
      </c>
      <c r="M922" s="156">
        <f>ROUND((M293+M297+M353+M367+M749)*G922/100,2)</f>
        <v>7189.49</v>
      </c>
    </row>
    <row r="923" spans="1:13" hidden="1" x14ac:dyDescent="0.25">
      <c r="A923" s="168"/>
      <c r="B923" s="133" t="str">
        <f>'Công trình'!B291</f>
        <v>AD.32441</v>
      </c>
      <c r="C923" s="34"/>
      <c r="D923" s="133" t="str">
        <f>'Công trình'!C291</f>
        <v>Biển hình chữ nhật (40x60) (biển 439)</v>
      </c>
      <c r="E923" s="168"/>
      <c r="F923" s="20">
        <v>1</v>
      </c>
      <c r="G923" s="45">
        <f>'Hao phí vật tư'!G2186</f>
        <v>1.5</v>
      </c>
      <c r="H923" s="166"/>
      <c r="I923" s="166"/>
      <c r="J923" s="166"/>
      <c r="K923" s="166"/>
      <c r="L923" s="156">
        <f>ROUND((L294+L298+L354+L368+L750)*G923/100,2)</f>
        <v>0</v>
      </c>
      <c r="M923" s="156">
        <f>ROUND((M294+M298+M354+M368+M750)*G923/100,2)</f>
        <v>4540.22</v>
      </c>
    </row>
    <row r="924" spans="1:13" hidden="1" x14ac:dyDescent="0.25">
      <c r="A924" s="168"/>
      <c r="B924" s="133" t="str">
        <f>'Công trình'!B292</f>
        <v>AK.90122</v>
      </c>
      <c r="C924" s="34"/>
      <c r="D924" s="133" t="str">
        <f>'Công trình'!C292</f>
        <v>Sơn trắng đỏ</v>
      </c>
      <c r="E924" s="168"/>
      <c r="F924" s="20">
        <v>1</v>
      </c>
      <c r="G924" s="45">
        <f>'Hao phí vật tư'!G2195</f>
        <v>1</v>
      </c>
      <c r="H924" s="166"/>
      <c r="I924" s="166"/>
      <c r="J924" s="166"/>
      <c r="K924" s="166"/>
      <c r="L924" s="156">
        <f>ROUND((L572+L576)*G924/100,2)</f>
        <v>0</v>
      </c>
      <c r="M924" s="156">
        <f>ROUND((M572+M576)*G924/100,2)</f>
        <v>12312.75</v>
      </c>
    </row>
    <row r="925" spans="1:13" ht="30" hidden="1" x14ac:dyDescent="0.25">
      <c r="A925" s="168"/>
      <c r="B925" s="133" t="str">
        <f>'Công trình'!B252</f>
        <v>AG.42111</v>
      </c>
      <c r="C925" s="34"/>
      <c r="D925" s="133" t="str">
        <f>'Công trình'!C252</f>
        <v>Lắp các loại cấu kiện BT đúc sẵn bằng thủ công trọng lượng &lt;=50kg, vữa XM mác 100</v>
      </c>
      <c r="E925" s="168"/>
      <c r="F925" s="20">
        <v>1</v>
      </c>
      <c r="G925" s="45">
        <f>'Hao phí vật tư'!G1925</f>
        <v>10</v>
      </c>
      <c r="H925" s="166"/>
      <c r="I925" s="166"/>
      <c r="J925" s="166"/>
      <c r="K925" s="166"/>
      <c r="L925" s="156">
        <f>ROUND((L85+L403+L795)*G925/100,2)</f>
        <v>465476.27</v>
      </c>
      <c r="M925" s="156">
        <f>ROUND((M85+M403+M795)*G925/100,2)</f>
        <v>1910649.5</v>
      </c>
    </row>
    <row r="926" spans="1:13" ht="30" hidden="1" x14ac:dyDescent="0.25">
      <c r="A926" s="168"/>
      <c r="B926" s="133" t="str">
        <f>'Công trình'!B295</f>
        <v>AF.11213</v>
      </c>
      <c r="C926" s="34"/>
      <c r="D926" s="133" t="str">
        <f>'Công trình'!C295</f>
        <v>Bê tông móng rộng &lt;=250cm đá 1x2, vữa BT mác 200</v>
      </c>
      <c r="E926" s="168"/>
      <c r="F926" s="20">
        <v>1</v>
      </c>
      <c r="G926" s="45">
        <f>'Hao phí vật tư'!G2210</f>
        <v>1</v>
      </c>
      <c r="H926" s="166"/>
      <c r="I926" s="166"/>
      <c r="J926" s="166"/>
      <c r="K926" s="166"/>
      <c r="L926" s="156">
        <f>ROUND((L87+L162+L405+L797)*G926/100,2)</f>
        <v>270.76</v>
      </c>
      <c r="M926" s="156">
        <f>ROUND((M87+M162+M405+M797)*G926/100,2)</f>
        <v>1665.29</v>
      </c>
    </row>
    <row r="927" spans="1:13" ht="30" hidden="1" x14ac:dyDescent="0.25">
      <c r="A927" s="168"/>
      <c r="B927" s="133" t="str">
        <f>'Công trình'!B296</f>
        <v>AF.11212</v>
      </c>
      <c r="C927" s="34"/>
      <c r="D927" s="133" t="str">
        <f>'Công trình'!C296</f>
        <v>Bê tông móng rộng &lt;=250cm đá 1x2, vữa BT mác 150</v>
      </c>
      <c r="E927" s="168"/>
      <c r="F927" s="20">
        <v>1</v>
      </c>
      <c r="G927" s="45">
        <f>'Hao phí vật tư'!G2222</f>
        <v>1</v>
      </c>
      <c r="H927" s="166"/>
      <c r="I927" s="166"/>
      <c r="J927" s="166"/>
      <c r="K927" s="166"/>
      <c r="L927" s="156">
        <f>ROUND((L88+L163+L406+L798)*G927/100,2)</f>
        <v>97.88</v>
      </c>
      <c r="M927" s="156">
        <f>ROUND((M88+M163+M406+M798)*G927/100,2)</f>
        <v>550.11</v>
      </c>
    </row>
    <row r="928" spans="1:13" hidden="1" x14ac:dyDescent="0.25">
      <c r="A928" s="168"/>
      <c r="B928" s="133" t="str">
        <f>'Công trình'!B298</f>
        <v>AF.82511</v>
      </c>
      <c r="C928" s="34"/>
      <c r="D928" s="133" t="str">
        <f>'Công trình'!C298</f>
        <v>Ván khuôn móng</v>
      </c>
      <c r="E928" s="168"/>
      <c r="F928" s="20">
        <v>1</v>
      </c>
      <c r="G928" s="45">
        <f>'Hao phí vật tư'!G2235</f>
        <v>10</v>
      </c>
      <c r="H928" s="166"/>
      <c r="I928" s="166"/>
      <c r="J928" s="166"/>
      <c r="K928" s="166"/>
      <c r="L928" s="156">
        <f>ROUND((L622+L675)*G928/100,2)</f>
        <v>-367.92</v>
      </c>
      <c r="M928" s="156">
        <f>ROUND((M622+M675)*G928/100,2)</f>
        <v>2054.02</v>
      </c>
    </row>
    <row r="929" spans="1:13" ht="30" hidden="1" x14ac:dyDescent="0.25">
      <c r="A929" s="168"/>
      <c r="B929" s="133" t="str">
        <f>'Công trình'!B300</f>
        <v>AG.11113</v>
      </c>
      <c r="C929" s="34"/>
      <c r="D929" s="133" t="str">
        <f>'Công trình'!C300</f>
        <v>Sản xuất bê tông cọc, cột đúc sẵn đá 1x2, vữa BT mác 200</v>
      </c>
      <c r="E929" s="168"/>
      <c r="F929" s="20">
        <v>1</v>
      </c>
      <c r="G929" s="45">
        <f>'Hao phí vật tư'!G2244</f>
        <v>0.5</v>
      </c>
      <c r="H929" s="166"/>
      <c r="I929" s="166"/>
      <c r="J929" s="166"/>
      <c r="K929" s="166"/>
      <c r="L929" s="156">
        <f>ROUND((L89+L164+L407+L799)*G929/100,2)</f>
        <v>709.76</v>
      </c>
      <c r="M929" s="156">
        <f>ROUND((M89+M164+M407+M799)*G929/100,2)</f>
        <v>4364.9799999999996</v>
      </c>
    </row>
    <row r="930" spans="1:13" ht="30" hidden="1" x14ac:dyDescent="0.25">
      <c r="A930" s="168"/>
      <c r="B930" s="133" t="str">
        <f>'Công trình'!B301</f>
        <v>AF.11212</v>
      </c>
      <c r="C930" s="34"/>
      <c r="D930" s="133" t="str">
        <f>'Công trình'!C301</f>
        <v>Bê tông móng rộng &lt;=250cm đá 1x2, vữa BT mác 150</v>
      </c>
      <c r="E930" s="168"/>
      <c r="F930" s="20">
        <v>1</v>
      </c>
      <c r="G930" s="45">
        <f>'Hao phí vật tư'!G2257</f>
        <v>1</v>
      </c>
      <c r="H930" s="166"/>
      <c r="I930" s="166"/>
      <c r="J930" s="166"/>
      <c r="K930" s="166"/>
      <c r="L930" s="156">
        <f>ROUND((L90+L165+L408+L800)*G930/100,2)</f>
        <v>2348.1</v>
      </c>
      <c r="M930" s="156">
        <f>ROUND((M90+M165+M408+M800)*G930/100,2)</f>
        <v>13202.64</v>
      </c>
    </row>
    <row r="931" spans="1:13" hidden="1" x14ac:dyDescent="0.25">
      <c r="A931" s="168"/>
      <c r="B931" s="133" t="str">
        <f>'Công trình'!B304</f>
        <v>AK.90122</v>
      </c>
      <c r="C931" s="34"/>
      <c r="D931" s="133" t="str">
        <f>'Công trình'!C304</f>
        <v>Sơn trắng đỏ</v>
      </c>
      <c r="E931" s="168"/>
      <c r="F931" s="20">
        <v>1</v>
      </c>
      <c r="G931" s="45">
        <f>'Hao phí vật tư'!G2283</f>
        <v>1</v>
      </c>
      <c r="H931" s="166"/>
      <c r="I931" s="166"/>
      <c r="J931" s="166"/>
      <c r="K931" s="166"/>
      <c r="L931" s="156">
        <f>ROUND((L573+L577)*G931/100,2)</f>
        <v>0</v>
      </c>
      <c r="M931" s="156">
        <f>ROUND((M573+M577)*G931/100,2)</f>
        <v>9906.99</v>
      </c>
    </row>
    <row r="932" spans="1:13" ht="45" hidden="1" x14ac:dyDescent="0.25">
      <c r="A932" s="168"/>
      <c r="B932" s="133" t="str">
        <f>'Công trình'!B305</f>
        <v>AF.82511</v>
      </c>
      <c r="C932" s="34"/>
      <c r="D932" s="133" t="str">
        <f>'Công trình'!C305</f>
        <v>Sản xuất, lắp dựng, tháo dỡ ván khuôn cho bê tông đổ tại chổ, ván khuôn thép, ván khuôn móng</v>
      </c>
      <c r="E932" s="168"/>
      <c r="F932" s="20">
        <v>1</v>
      </c>
      <c r="G932" s="45">
        <f>'Hao phí vật tư'!G2290</f>
        <v>10</v>
      </c>
      <c r="H932" s="166"/>
      <c r="I932" s="166"/>
      <c r="J932" s="166"/>
      <c r="K932" s="166"/>
      <c r="L932" s="156">
        <f>ROUND((L623+L676)*G932/100,2)</f>
        <v>-6745.03</v>
      </c>
      <c r="M932" s="156">
        <f>ROUND((M623+M676)*G932/100,2)</f>
        <v>37655.53</v>
      </c>
    </row>
    <row r="933" spans="1:13" ht="30" hidden="1" x14ac:dyDescent="0.25">
      <c r="A933" s="168"/>
      <c r="B933" s="133" t="str">
        <f>'Công trình'!B303</f>
        <v>AG.42111</v>
      </c>
      <c r="C933" s="34"/>
      <c r="D933" s="133" t="str">
        <f>'Công trình'!C303</f>
        <v>Lắp các loại cấu kiện BT đúc sẵn bằng thủ công trọng lượng &lt;=50kg, vữa XM mác 100</v>
      </c>
      <c r="E933" s="168"/>
      <c r="F933" s="20">
        <v>1</v>
      </c>
      <c r="G933" s="45">
        <f>'Hao phí vật tư'!G2276</f>
        <v>10</v>
      </c>
      <c r="H933" s="166"/>
      <c r="I933" s="166"/>
      <c r="J933" s="166"/>
      <c r="K933" s="166"/>
      <c r="L933" s="156">
        <f>ROUND((L91+L409+L801)*G933/100,2)</f>
        <v>2672.08</v>
      </c>
      <c r="M933" s="156">
        <f>ROUND((M91+M409+M801)*G933/100,2)</f>
        <v>10968.14</v>
      </c>
    </row>
    <row r="934" spans="1:13" hidden="1" x14ac:dyDescent="0.25">
      <c r="A934" s="168"/>
      <c r="B934" s="133" t="str">
        <f>'Công trình'!B322</f>
        <v>AI.65411</v>
      </c>
      <c r="C934" s="34"/>
      <c r="D934" s="133" t="str">
        <f>'Công trình'!C322</f>
        <v>Lắp đặt kết cấu thép khe van, khe phai</v>
      </c>
      <c r="E934" s="168"/>
      <c r="F934" s="20">
        <v>1</v>
      </c>
      <c r="G934" s="45">
        <f>'Hao phí vật tư'!G2411</f>
        <v>2</v>
      </c>
      <c r="H934" s="166"/>
      <c r="I934" s="166"/>
      <c r="J934" s="166"/>
      <c r="K934" s="166"/>
      <c r="L934" s="156">
        <f>ROUND((L192+L228+L325+L362+L551+L687)*G934/100,2)</f>
        <v>-3577.26</v>
      </c>
      <c r="M934" s="156">
        <f>ROUND((M192+M228+M325+M362+M551+M687)*G934/100,2)</f>
        <v>50546.83</v>
      </c>
    </row>
    <row r="935" spans="1:13" hidden="1" x14ac:dyDescent="0.25">
      <c r="A935" s="168"/>
      <c r="B935" s="133" t="str">
        <f>'Công trình'!B316</f>
        <v>AI.52211</v>
      </c>
      <c r="C935" s="34"/>
      <c r="D935" s="133" t="str">
        <f>'Công trình'!C316</f>
        <v>Sản xuất kết cấu thép khe phai - thép CT3</v>
      </c>
      <c r="E935" s="168"/>
      <c r="F935" s="20">
        <v>1</v>
      </c>
      <c r="G935" s="45">
        <f>'Hao phí vật tư'!G2312</f>
        <v>2</v>
      </c>
      <c r="H935" s="166"/>
      <c r="I935" s="166"/>
      <c r="J935" s="166"/>
      <c r="K935" s="166"/>
      <c r="L935" s="156">
        <f>ROUND((L193+L223+L439+L552+L635+L688)*G935/100,2)</f>
        <v>-19716.13</v>
      </c>
      <c r="M935" s="156">
        <f>ROUND((M193+M223+M439+M552+M635+M688)*G935/100,2)</f>
        <v>213677.82</v>
      </c>
    </row>
    <row r="936" spans="1:13" hidden="1" x14ac:dyDescent="0.25">
      <c r="A936" s="168"/>
      <c r="B936" s="133" t="str">
        <f>'Công trình'!B317</f>
        <v>AI.52211</v>
      </c>
      <c r="C936" s="34"/>
      <c r="D936" s="133" t="str">
        <f>'Công trình'!C317</f>
        <v>Sản xuất kết cấu thép khe phai - thép SUS304</v>
      </c>
      <c r="E936" s="168"/>
      <c r="F936" s="20">
        <v>1</v>
      </c>
      <c r="G936" s="45">
        <f>'Hao phí vật tư'!G2327</f>
        <v>2</v>
      </c>
      <c r="H936" s="166"/>
      <c r="I936" s="166"/>
      <c r="J936" s="166"/>
      <c r="K936" s="166"/>
      <c r="L936" s="156">
        <f>ROUND((L194+L224+L440+L555+L645)*G936/100,2)</f>
        <v>846951.98</v>
      </c>
      <c r="M936" s="156">
        <f>ROUND((M194+M224+M440+M555+M645)*G936/100,2)</f>
        <v>1158647.29</v>
      </c>
    </row>
    <row r="937" spans="1:13" hidden="1" x14ac:dyDescent="0.25">
      <c r="A937" s="168"/>
      <c r="B937" s="133" t="str">
        <f>'Công trình'!B318</f>
        <v>AI.52211</v>
      </c>
      <c r="C937" s="34"/>
      <c r="D937" s="133" t="str">
        <f>'Công trình'!C318</f>
        <v>Sản xuất kết cấu thép khe cửa - thép CT3</v>
      </c>
      <c r="E937" s="168"/>
      <c r="F937" s="20">
        <v>1</v>
      </c>
      <c r="G937" s="45">
        <f>'Hao phí vật tư'!G2343</f>
        <v>2</v>
      </c>
      <c r="H937" s="166"/>
      <c r="I937" s="166"/>
      <c r="J937" s="166"/>
      <c r="K937" s="166"/>
      <c r="L937" s="156">
        <f>ROUND((L195+L225+L441+L553+L636+L689)*G937/100,2)</f>
        <v>-19934.599999999999</v>
      </c>
      <c r="M937" s="156">
        <f>ROUND((M195+M225+M441+M553+M636+M689)*G937/100,2)</f>
        <v>216045.53</v>
      </c>
    </row>
    <row r="938" spans="1:13" hidden="1" x14ac:dyDescent="0.25">
      <c r="A938" s="168"/>
      <c r="B938" s="133" t="str">
        <f>'Công trình'!B319</f>
        <v>AI.52211</v>
      </c>
      <c r="C938" s="34"/>
      <c r="D938" s="133" t="str">
        <f>'Công trình'!C319</f>
        <v>Sản xuất kết cấu thép khe cửa- thép SUS304</v>
      </c>
      <c r="E938" s="168"/>
      <c r="F938" s="20">
        <v>1</v>
      </c>
      <c r="G938" s="45">
        <f>'Hao phí vật tư'!G2358</f>
        <v>2</v>
      </c>
      <c r="H938" s="166"/>
      <c r="I938" s="166"/>
      <c r="J938" s="166"/>
      <c r="K938" s="166"/>
      <c r="L938" s="156">
        <f>ROUND((L196+L226+L442+L556+L646)*G938/100,2)</f>
        <v>1000234.7</v>
      </c>
      <c r="M938" s="156">
        <f>ROUND((M196+M226+M442+M556+M646)*G938/100,2)</f>
        <v>1368341.13</v>
      </c>
    </row>
    <row r="939" spans="1:13" ht="30" hidden="1" x14ac:dyDescent="0.25">
      <c r="A939" s="168"/>
      <c r="B939" s="133" t="str">
        <f>'Công trình'!B7</f>
        <v>AF.11224</v>
      </c>
      <c r="C939" s="34"/>
      <c r="D939" s="133" t="str">
        <f>'Công trình'!C7</f>
        <v>Bê tông móng rộng &gt;250cm đá 1x2, vữa BT mác 250</v>
      </c>
      <c r="E939" s="168"/>
      <c r="F939" s="20">
        <v>1</v>
      </c>
      <c r="G939" s="45">
        <f>'Hao phí vật tư'!G16</f>
        <v>1</v>
      </c>
      <c r="H939" s="166"/>
      <c r="I939" s="166"/>
      <c r="J939" s="166"/>
      <c r="K939" s="166"/>
      <c r="L939" s="156">
        <f>ROUND((L92+L166+L282+L288+L331+L410+L802)*G939/100,2)</f>
        <v>242101.54</v>
      </c>
      <c r="M939" s="156">
        <f>ROUND((M92+M166+M282+M288+M331+M410+M802)*G939/100,2)</f>
        <v>1793321.35</v>
      </c>
    </row>
    <row r="940" spans="1:13" ht="30" hidden="1" x14ac:dyDescent="0.25">
      <c r="A940" s="168"/>
      <c r="B940" s="133" t="str">
        <f>'Công trình'!B8</f>
        <v>AF.12144</v>
      </c>
      <c r="C940" s="34"/>
      <c r="D940" s="133" t="str">
        <f>'Công trình'!C8</f>
        <v>Bê tông tường dày &gt;45cm, chiều cao &lt;=16m đá 1x2, vữa BT mác 250</v>
      </c>
      <c r="E940" s="168"/>
      <c r="F940" s="20">
        <v>1</v>
      </c>
      <c r="G940" s="45">
        <f>'Hao phí vật tư'!G31</f>
        <v>2</v>
      </c>
      <c r="H940" s="166"/>
      <c r="I940" s="166"/>
      <c r="J940" s="166"/>
      <c r="K940" s="166"/>
      <c r="L940" s="156">
        <f>ROUND((L93+L167+L283+L289+L332+L411+L803)*G940/100,2)</f>
        <v>464757.71</v>
      </c>
      <c r="M940" s="156">
        <f>ROUND((M93+M167+M283+M289+M332+M411+M803)*G940/100,2)</f>
        <v>3553970.74</v>
      </c>
    </row>
    <row r="941" spans="1:13" hidden="1" x14ac:dyDescent="0.25">
      <c r="A941" s="168"/>
      <c r="B941" s="133" t="str">
        <f>'Công trình'!B178</f>
        <v>AL.25112</v>
      </c>
      <c r="C941" s="34"/>
      <c r="D941" s="133" t="str">
        <f>'Công trình'!C178</f>
        <v>Gối cao su (56x20.3x5)cm</v>
      </c>
      <c r="E941" s="168"/>
      <c r="F941" s="20">
        <v>1</v>
      </c>
      <c r="G941" s="45">
        <f>'Hao phí vật tư'!G1348</f>
        <v>1</v>
      </c>
      <c r="H941" s="166"/>
      <c r="I941" s="166"/>
      <c r="J941" s="166"/>
      <c r="K941" s="166"/>
      <c r="L941" s="156">
        <f>ROUND((L335)*G941/100,2)</f>
        <v>14312.76</v>
      </c>
      <c r="M941" s="156">
        <f>ROUND((M335)*G941/100,2)</f>
        <v>42000</v>
      </c>
    </row>
    <row r="942" spans="1:13" ht="30" hidden="1" x14ac:dyDescent="0.25">
      <c r="A942" s="168"/>
      <c r="B942" s="133" t="str">
        <f>'Công trình'!B179</f>
        <v>AF.87211</v>
      </c>
      <c r="C942" s="34"/>
      <c r="D942" s="133" t="str">
        <f>'Công trình'!C179</f>
        <v>Sản xuất, lắp dựng, tháo dỡ ván khuôn mố, trụ cầu trên cạn</v>
      </c>
      <c r="E942" s="168"/>
      <c r="F942" s="20">
        <v>1</v>
      </c>
      <c r="G942" s="45">
        <f>'Hao phí vật tư'!G1358</f>
        <v>3</v>
      </c>
      <c r="H942" s="166"/>
      <c r="I942" s="166"/>
      <c r="J942" s="166"/>
      <c r="K942" s="166"/>
      <c r="L942" s="156">
        <f>ROUND((L300+L436+L539+L624+L677)*G942/100,2)</f>
        <v>-9537.0400000000009</v>
      </c>
      <c r="M942" s="156">
        <f>ROUND((M300+M436+M539+M624+M677)*G942/100,2)</f>
        <v>64380.34</v>
      </c>
    </row>
    <row r="943" spans="1:13" hidden="1" x14ac:dyDescent="0.25">
      <c r="A943" s="168"/>
      <c r="B943" s="133" t="str">
        <f>'Công trình'!B188</f>
        <v>AL.25112</v>
      </c>
      <c r="C943" s="34"/>
      <c r="D943" s="133" t="str">
        <f>'Công trình'!C188</f>
        <v>Gối cao su (56x20.3x5)cm</v>
      </c>
      <c r="E943" s="168"/>
      <c r="F943" s="20">
        <v>1</v>
      </c>
      <c r="G943" s="45">
        <f>'Hao phí vật tư'!G1439</f>
        <v>1</v>
      </c>
      <c r="H943" s="166"/>
      <c r="I943" s="166"/>
      <c r="J943" s="166"/>
      <c r="K943" s="166"/>
      <c r="L943" s="156">
        <f>ROUND((L336)*G943/100,2)</f>
        <v>28625.52</v>
      </c>
      <c r="M943" s="156">
        <f>ROUND((M336)*G943/100,2)</f>
        <v>84000</v>
      </c>
    </row>
    <row r="944" spans="1:13" ht="30" hidden="1" x14ac:dyDescent="0.25">
      <c r="A944" s="168"/>
      <c r="B944" s="133" t="str">
        <f>'Công trình'!B189</f>
        <v>AF.87211</v>
      </c>
      <c r="C944" s="34"/>
      <c r="D944" s="133" t="str">
        <f>'Công trình'!C189</f>
        <v>Sản xuất, lắp dựng, tháo dỡ ván khuôn mố, trụ cầu trên cạn</v>
      </c>
      <c r="E944" s="168"/>
      <c r="F944" s="20">
        <v>1</v>
      </c>
      <c r="G944" s="45">
        <f>'Hao phí vật tư'!G1449</f>
        <v>3</v>
      </c>
      <c r="H944" s="166"/>
      <c r="I944" s="166"/>
      <c r="J944" s="166"/>
      <c r="K944" s="166"/>
      <c r="L944" s="156">
        <f>ROUND((L301+L437+L540+L625+L678)*G944/100,2)</f>
        <v>-2732.57</v>
      </c>
      <c r="M944" s="156">
        <f>ROUND((M301+M437+M540+M625+M678)*G944/100,2)</f>
        <v>18446.47</v>
      </c>
    </row>
    <row r="945" spans="1:13" ht="45" hidden="1" x14ac:dyDescent="0.25">
      <c r="A945" s="168"/>
      <c r="B945" s="133" t="str">
        <f>'Công trình'!B193</f>
        <v>TT</v>
      </c>
      <c r="C945" s="34"/>
      <c r="D945" s="133" t="str">
        <f>'Công trình'!C193</f>
        <v xml:space="preserve">Lắp dựng dầm cầu I DƯL bản  (TT theo MHĐM ĐQ.30010 Quyết định số 2204/QĐ-BGTVT ngày 29/07/2013) </v>
      </c>
      <c r="E945" s="168"/>
      <c r="F945" s="20">
        <v>1</v>
      </c>
      <c r="G945" s="45">
        <f>'Hao phí vật tư'!G1482</f>
        <v>10</v>
      </c>
      <c r="H945" s="166"/>
      <c r="I945" s="166"/>
      <c r="J945" s="166"/>
      <c r="K945" s="166"/>
      <c r="L945" s="156">
        <f>ROUND((L691)*G945/100,2)</f>
        <v>-167995.08</v>
      </c>
      <c r="M945" s="156">
        <f>ROUND((M691)*G945/100,2)</f>
        <v>607701.42000000004</v>
      </c>
    </row>
    <row r="946" spans="1:13" ht="30" hidden="1" x14ac:dyDescent="0.25">
      <c r="A946" s="168"/>
      <c r="B946" s="133" t="str">
        <f>'Công trình'!B201</f>
        <v>AF.82311</v>
      </c>
      <c r="C946" s="34"/>
      <c r="D946" s="133" t="str">
        <f>'Công trình'!C201</f>
        <v>Sản xuất, lắp dựng tháo dỡ ván khuôn thép, cây chống gỗ mặt cầu, chiều cao &lt;=16m</v>
      </c>
      <c r="E946" s="168"/>
      <c r="F946" s="20">
        <v>1</v>
      </c>
      <c r="G946" s="45">
        <f>'Hao phí vật tư'!G1556</f>
        <v>5</v>
      </c>
      <c r="H946" s="166"/>
      <c r="I946" s="166"/>
      <c r="J946" s="166"/>
      <c r="K946" s="166"/>
      <c r="L946" s="156">
        <f>ROUND((L314+L541+L626+L679)*G946/100,2)</f>
        <v>-72011</v>
      </c>
      <c r="M946" s="156">
        <f>ROUND((M314+M541+M626+M679)*G946/100,2)</f>
        <v>450476.4</v>
      </c>
    </row>
    <row r="947" spans="1:13" hidden="1" x14ac:dyDescent="0.25">
      <c r="A947" s="168"/>
      <c r="B947" s="133" t="str">
        <f>'Công trình'!B175</f>
        <v>AF.11225</v>
      </c>
      <c r="C947" s="34"/>
      <c r="D947" s="133" t="str">
        <f>'Công trình'!C175</f>
        <v>Bê tông bản dẫn đá 1x2, vữa BT mác 300</v>
      </c>
      <c r="E947" s="168"/>
      <c r="F947" s="20">
        <v>1</v>
      </c>
      <c r="G947" s="45">
        <f>'Hao phí vật tư'!G1319</f>
        <v>1</v>
      </c>
      <c r="H947" s="166"/>
      <c r="I947" s="166"/>
      <c r="J947" s="166"/>
      <c r="K947" s="166"/>
      <c r="L947" s="156">
        <f>ROUND((L95+L168+L284+L290+L333+L413+L804)*G947/100,2)</f>
        <v>25828.37</v>
      </c>
      <c r="M947" s="156">
        <f>ROUND((M95+M168+M284+M290+M333+M413+M804)*G947/100,2)</f>
        <v>207544.52</v>
      </c>
    </row>
    <row r="948" spans="1:13" ht="45" hidden="1" x14ac:dyDescent="0.25">
      <c r="A948" s="168"/>
      <c r="B948" s="133" t="str">
        <f>'Công trình'!B180</f>
        <v>AF.82511</v>
      </c>
      <c r="C948" s="34"/>
      <c r="D948" s="133" t="str">
        <f>'Công trình'!C180</f>
        <v>Sản xuất, lắp dựng, tháo dỡ ván khuôn cho bê tông đổ tại chổ, ván khuôn thép, ván khuôn bản dẫn</v>
      </c>
      <c r="E948" s="168"/>
      <c r="F948" s="20">
        <v>1</v>
      </c>
      <c r="G948" s="45">
        <f>'Hao phí vật tư'!G1370</f>
        <v>10</v>
      </c>
      <c r="H948" s="166"/>
      <c r="I948" s="166"/>
      <c r="J948" s="166"/>
      <c r="K948" s="166"/>
      <c r="L948" s="156">
        <f>ROUND((L627+L680)*G948/100,2)</f>
        <v>-3842.63</v>
      </c>
      <c r="M948" s="156">
        <f>ROUND((M627+M680)*G948/100,2)</f>
        <v>21452.33</v>
      </c>
    </row>
    <row r="949" spans="1:13" hidden="1" x14ac:dyDescent="0.25">
      <c r="A949" s="168"/>
      <c r="B949" s="133" t="str">
        <f>'Công trình'!B9</f>
        <v>AF.11333</v>
      </c>
      <c r="C949" s="34"/>
      <c r="D949" s="133" t="str">
        <f>'Công trình'!C9</f>
        <v>Bê tông bịt đáy đá 4x6, vữa BT mác 200</v>
      </c>
      <c r="E949" s="168"/>
      <c r="F949" s="20">
        <v>1</v>
      </c>
      <c r="G949" s="45">
        <f>'Hao phí vật tư'!G44</f>
        <v>1</v>
      </c>
      <c r="H949" s="166"/>
      <c r="I949" s="166"/>
      <c r="J949" s="166"/>
      <c r="K949" s="166"/>
      <c r="L949" s="156">
        <f>ROUND((L96+L173+L414+L805)*G949/100,2)</f>
        <v>394676.95</v>
      </c>
      <c r="M949" s="156">
        <f>ROUND((M96+M173+M414+M805)*G949/100,2)</f>
        <v>2323236.0499999998</v>
      </c>
    </row>
    <row r="950" spans="1:13" ht="30" hidden="1" x14ac:dyDescent="0.25">
      <c r="A950" s="168"/>
      <c r="B950" s="133" t="str">
        <f>'Công trình'!B230</f>
        <v>AG.32321</v>
      </c>
      <c r="C950" s="34"/>
      <c r="D950" s="133" t="str">
        <f>'Công trình'!C230</f>
        <v>Sản xuất, lắp dựng, tháo dỡ ván khuôn thép bê tông đúc sẵn cọc, cột</v>
      </c>
      <c r="E950" s="168"/>
      <c r="F950" s="20">
        <v>1</v>
      </c>
      <c r="G950" s="45">
        <f>'Hao phí vật tư'!G1742</f>
        <v>5</v>
      </c>
      <c r="H950" s="166"/>
      <c r="I950" s="166"/>
      <c r="J950" s="166"/>
      <c r="K950" s="166"/>
      <c r="L950" s="156">
        <f>ROUND((L542+L628+L681)*G950/100,2)</f>
        <v>-29288.26</v>
      </c>
      <c r="M950" s="156">
        <f>ROUND((M542+M628+M681)*G950/100,2)</f>
        <v>150400.47</v>
      </c>
    </row>
    <row r="951" spans="1:13" ht="30" hidden="1" x14ac:dyDescent="0.25">
      <c r="A951" s="168"/>
      <c r="B951" s="133" t="str">
        <f>'Công trình'!B56</f>
        <v>AG.32511</v>
      </c>
      <c r="C951" s="34"/>
      <c r="D951" s="133" t="str">
        <f>'Công trình'!C56</f>
        <v>Sản xuất, lắp dựng, tháo dỡ ván khuôn thép bê tông đúc sẵn tấm tự chèn</v>
      </c>
      <c r="E951" s="168"/>
      <c r="F951" s="20">
        <v>1</v>
      </c>
      <c r="G951" s="45">
        <f>'Hao phí vật tư'!G412</f>
        <v>5</v>
      </c>
      <c r="H951" s="166"/>
      <c r="I951" s="166"/>
      <c r="J951" s="166"/>
      <c r="K951" s="166"/>
      <c r="L951" s="156">
        <f>ROUND((L543+L629+L682)*G951/100,2)</f>
        <v>-45081.59</v>
      </c>
      <c r="M951" s="156">
        <f>ROUND((M543+M629+M682)*G951/100,2)</f>
        <v>260049.53</v>
      </c>
    </row>
    <row r="952" spans="1:13" ht="30" hidden="1" x14ac:dyDescent="0.25">
      <c r="A952" s="168"/>
      <c r="B952" s="133" t="str">
        <f>'Công trình'!B251</f>
        <v>AG.32511</v>
      </c>
      <c r="C952" s="34"/>
      <c r="D952" s="133" t="str">
        <f>'Công trình'!C251</f>
        <v>Sản xuất, lắp dựng, tháo dỡ ván khuôn thép bê tông đúc sẵn nắp đan, tấm chớp</v>
      </c>
      <c r="E952" s="168"/>
      <c r="F952" s="20">
        <v>1</v>
      </c>
      <c r="G952" s="45">
        <f>'Hao phí vật tư'!G1914</f>
        <v>5</v>
      </c>
      <c r="H952" s="166"/>
      <c r="I952" s="166"/>
      <c r="J952" s="166"/>
      <c r="K952" s="166"/>
      <c r="L952" s="156">
        <f>ROUND((L544+L630+L683)*G952/100,2)</f>
        <v>-57591.98</v>
      </c>
      <c r="M952" s="156">
        <f>ROUND((M544+M630+M683)*G952/100,2)</f>
        <v>332214.65000000002</v>
      </c>
    </row>
    <row r="953" spans="1:13" hidden="1" x14ac:dyDescent="0.25">
      <c r="A953" s="168"/>
      <c r="B953" s="133" t="str">
        <f>'Công trình'!B262</f>
        <v>AI.21152</v>
      </c>
      <c r="C953" s="34"/>
      <c r="D953" s="133" t="str">
        <f>'Công trình'!C262</f>
        <v>Sản xuất kết cấu thép lan can cầu đường bộ</v>
      </c>
      <c r="E953" s="168"/>
      <c r="F953" s="20">
        <v>1</v>
      </c>
      <c r="G953" s="45">
        <f>'Hao phí vật tư'!G1998</f>
        <v>5</v>
      </c>
      <c r="H953" s="166"/>
      <c r="I953" s="166"/>
      <c r="J953" s="166"/>
      <c r="K953" s="166"/>
      <c r="L953" s="156">
        <f>ROUND((L7+L27+L438+L545+L631+L643)*G953/100,2)</f>
        <v>-1725083.78</v>
      </c>
      <c r="M953" s="156">
        <f>ROUND((M7+M27+M438+M545+M631+M643)*G953/100,2)</f>
        <v>10488924.880000001</v>
      </c>
    </row>
    <row r="954" spans="1:13" ht="30" hidden="1" x14ac:dyDescent="0.25">
      <c r="A954" s="168"/>
      <c r="B954" s="133" t="str">
        <f>'Công trình'!B320</f>
        <v>CV.0102</v>
      </c>
      <c r="C954" s="34"/>
      <c r="D954" s="133" t="str">
        <f>'Công trình'!C320</f>
        <v>Sản xuất cửa van bằng thép không gỉ, chiều rộng cống (B) &lt;= 8m</v>
      </c>
      <c r="E954" s="168"/>
      <c r="F954" s="20">
        <v>1</v>
      </c>
      <c r="G954" s="45">
        <f>'Hao phí vật tư'!G2372</f>
        <v>1</v>
      </c>
      <c r="H954" s="166"/>
      <c r="I954" s="166"/>
      <c r="J954" s="166"/>
      <c r="K954" s="166"/>
      <c r="L954" s="156">
        <f>ROUND((L197+L560+L563+L641)*G954/100,2)</f>
        <v>11553462.4</v>
      </c>
      <c r="M954" s="156">
        <f>ROUND((M197+M560+M563+M641)*G954/100,2)</f>
        <v>11559418.1</v>
      </c>
    </row>
    <row r="955" spans="1:13" ht="30" hidden="1" x14ac:dyDescent="0.25">
      <c r="A955" s="168"/>
      <c r="B955" s="133" t="str">
        <f>'Công trình'!B321</f>
        <v>CV.0202</v>
      </c>
      <c r="C955" s="34"/>
      <c r="D955" s="133" t="str">
        <f>'Công trình'!C321</f>
        <v>Lắp đặt cửa van bằng thép không gỉ, chiều rộng cống (B) &lt;= 8m</v>
      </c>
      <c r="E955" s="168"/>
      <c r="F955" s="20">
        <v>1</v>
      </c>
      <c r="G955" s="45">
        <f>'Hao phí vật tư'!G2393</f>
        <v>5</v>
      </c>
      <c r="H955" s="166"/>
      <c r="I955" s="166"/>
      <c r="J955" s="166"/>
      <c r="K955" s="166"/>
      <c r="L955" s="156">
        <f>ROUND((L302+L327+L444+L561+L637)*G955/100,2)</f>
        <v>41062.93</v>
      </c>
      <c r="M955" s="156">
        <f>ROUND((M302+M327+M444+M561+M637)*G955/100,2)</f>
        <v>508477.55</v>
      </c>
    </row>
    <row r="956" spans="1:13" ht="30" hidden="1" x14ac:dyDescent="0.25">
      <c r="A956" s="168"/>
      <c r="B956" s="133" t="str">
        <f>'Công trình'!B73</f>
        <v>AG.32321</v>
      </c>
      <c r="C956" s="34"/>
      <c r="D956" s="133" t="str">
        <f>'Công trình'!C73</f>
        <v>Sản xuất, lắp dựng, tháo dỡ ván khuôn thép bê tông đúc sẵn cọc</v>
      </c>
      <c r="E956" s="168"/>
      <c r="F956" s="20">
        <v>1</v>
      </c>
      <c r="G956" s="45">
        <f>'Hao phí vật tư'!G566</f>
        <v>5</v>
      </c>
      <c r="H956" s="166"/>
      <c r="I956" s="166"/>
      <c r="J956" s="166"/>
      <c r="K956" s="166"/>
      <c r="L956" s="156">
        <f>ROUND((L546+L632+L684)*G956/100,2)</f>
        <v>-27070.5</v>
      </c>
      <c r="M956" s="156">
        <f>ROUND((M546+M632+M684)*G956/100,2)</f>
        <v>139011.85999999999</v>
      </c>
    </row>
    <row r="957" spans="1:13" ht="30" hidden="1" x14ac:dyDescent="0.25">
      <c r="A957" s="168"/>
      <c r="B957" s="133" t="str">
        <f>'Công trình'!B84</f>
        <v>AG.32321</v>
      </c>
      <c r="C957" s="34"/>
      <c r="D957" s="133" t="str">
        <f>'Công trình'!C84</f>
        <v>Sản xuất, lắp dựng, tháo dỡ ván khuôn thép bê tông đúc sẵn cọc</v>
      </c>
      <c r="E957" s="168"/>
      <c r="F957" s="20">
        <v>1</v>
      </c>
      <c r="G957" s="45">
        <f>'Hao phí vật tư'!G682</f>
        <v>5</v>
      </c>
      <c r="H957" s="166"/>
      <c r="I957" s="166"/>
      <c r="J957" s="166"/>
      <c r="K957" s="166"/>
      <c r="L957" s="156">
        <f>ROUND((L547+L633+L685)*G957/100,2)</f>
        <v>-12249.66</v>
      </c>
      <c r="M957" s="156">
        <f>ROUND((M547+M633+M685)*G957/100,2)</f>
        <v>62904.11</v>
      </c>
    </row>
    <row r="958" spans="1:13" hidden="1" x14ac:dyDescent="0.25">
      <c r="A958" s="168"/>
      <c r="B958" s="133" t="str">
        <f>'Công trình'!B34</f>
        <v>AF.12313</v>
      </c>
      <c r="C958" s="34"/>
      <c r="D958" s="133" t="str">
        <f>'Công trình'!C34</f>
        <v>Bê tông dầm, giằng đá 1x2, vữa BT mác 200</v>
      </c>
      <c r="E958" s="168"/>
      <c r="F958" s="20">
        <v>1</v>
      </c>
      <c r="G958" s="45">
        <f>'Hao phí vật tư'!G251</f>
        <v>1</v>
      </c>
      <c r="H958" s="166"/>
      <c r="I958" s="166"/>
      <c r="J958" s="166"/>
      <c r="K958" s="166"/>
      <c r="L958" s="156">
        <f>ROUND((L98+L169+L416+L806)*G958/100,2)</f>
        <v>16435.61</v>
      </c>
      <c r="M958" s="156">
        <f>ROUND((M98+M169+M416+M806)*G958/100,2)</f>
        <v>101084.71</v>
      </c>
    </row>
    <row r="959" spans="1:13" ht="45" hidden="1" x14ac:dyDescent="0.25">
      <c r="A959" s="168"/>
      <c r="B959" s="133" t="str">
        <f>'Công trình'!B35</f>
        <v>AF.82111</v>
      </c>
      <c r="C959" s="34"/>
      <c r="D959" s="133" t="str">
        <f>'Công trình'!C35</f>
        <v>Sản xuất, lắp dựng tháo dỡ ván khuôn thép, cây chống gỗ tường, cột vuông (chữ nhật), xà dầm, giằng, chiều cao &lt;=16m</v>
      </c>
      <c r="E959" s="168"/>
      <c r="F959" s="20">
        <v>1</v>
      </c>
      <c r="G959" s="45">
        <f>'Hao phí vật tư'!G264</f>
        <v>5</v>
      </c>
      <c r="H959" s="166"/>
      <c r="I959" s="166"/>
      <c r="J959" s="166"/>
      <c r="K959" s="166"/>
      <c r="L959" s="156">
        <f>ROUND((L315+L549+L634+L686)*G959/100,2)</f>
        <v>-14065.21</v>
      </c>
      <c r="M959" s="156">
        <f>ROUND((M315+M549+M634+M686)*G959/100,2)</f>
        <v>90979.76</v>
      </c>
    </row>
    <row r="960" spans="1:13" x14ac:dyDescent="0.25">
      <c r="A960" s="168"/>
      <c r="B960" s="144"/>
      <c r="C960" s="34"/>
      <c r="D960" s="62" t="s">
        <v>127</v>
      </c>
      <c r="E960" s="168"/>
      <c r="F960" s="34"/>
      <c r="G960" s="60"/>
      <c r="H960" s="166"/>
      <c r="I960" s="166"/>
      <c r="J960" s="166"/>
      <c r="K960" s="166"/>
      <c r="L960" s="85">
        <f>ROUND(SUMIF(C6:C959,"&gt;0",L6:L959),0)</f>
        <v>2618342757</v>
      </c>
      <c r="M960" s="85">
        <f>ROUND(SUMIF(C6:C959,"&gt;0",M6:M959),0)</f>
        <v>10331343919</v>
      </c>
    </row>
    <row r="961" spans="1:13" x14ac:dyDescent="0.25">
      <c r="A961" s="168"/>
      <c r="B961" s="144"/>
      <c r="C961" s="34"/>
      <c r="D961" s="62" t="s">
        <v>202</v>
      </c>
      <c r="E961" s="168"/>
      <c r="F961" s="34"/>
      <c r="G961" s="60"/>
      <c r="H961" s="166"/>
      <c r="I961" s="166"/>
      <c r="J961" s="166"/>
      <c r="K961" s="166"/>
      <c r="L961" s="166"/>
      <c r="M961" s="166"/>
    </row>
    <row r="962" spans="1:13" x14ac:dyDescent="0.25">
      <c r="A962" s="168">
        <v>1</v>
      </c>
      <c r="B962" s="84" t="s">
        <v>17</v>
      </c>
      <c r="C962" s="34">
        <v>545</v>
      </c>
      <c r="D962" s="144" t="s">
        <v>525</v>
      </c>
      <c r="E962" s="168" t="s">
        <v>450</v>
      </c>
      <c r="F962" s="34"/>
      <c r="G962" s="60">
        <f>SUM(G963:G1000)</f>
        <v>2604.3040000000005</v>
      </c>
      <c r="H962" s="166">
        <v>195231</v>
      </c>
      <c r="I962" s="166">
        <v>195231</v>
      </c>
      <c r="J962" s="166">
        <f>'Nhân công'!M6</f>
        <v>195231</v>
      </c>
      <c r="K962" s="166">
        <f>J962-H962</f>
        <v>0</v>
      </c>
      <c r="L962" s="166">
        <f>ROUND(G962*K962,0)</f>
        <v>0</v>
      </c>
      <c r="M962" s="166">
        <f>ROUND(G962*J962,0)</f>
        <v>508440874</v>
      </c>
    </row>
    <row r="963" spans="1:13" ht="30" hidden="1" x14ac:dyDescent="0.25">
      <c r="A963" s="168"/>
      <c r="B963" s="133" t="str">
        <f>'Công trình'!B43</f>
        <v>AF.11212</v>
      </c>
      <c r="C963" s="34"/>
      <c r="D963" s="133" t="str">
        <f>'Công trình'!C43</f>
        <v>Bê tông móng rộng &lt;=250cm đá 1x2, vữa BT mác 150</v>
      </c>
      <c r="E963" s="168"/>
      <c r="F963" s="20">
        <v>1</v>
      </c>
      <c r="G963" s="45">
        <f>'Hao phí vật tư'!K327</f>
        <v>9.8400000000000001E-2</v>
      </c>
      <c r="H963" s="166"/>
      <c r="I963" s="166"/>
      <c r="J963" s="166"/>
      <c r="K963" s="166"/>
      <c r="L963" s="156">
        <f>ROUND(G963*K962,2)</f>
        <v>0</v>
      </c>
      <c r="M963" s="156">
        <f>ROUND(G963*J962,2)</f>
        <v>19210.73</v>
      </c>
    </row>
    <row r="964" spans="1:13" ht="30" hidden="1" x14ac:dyDescent="0.25">
      <c r="A964" s="168"/>
      <c r="B964" s="133" t="str">
        <f>'Công trình'!B44</f>
        <v>AF.11213</v>
      </c>
      <c r="C964" s="34"/>
      <c r="D964" s="133" t="str">
        <f>'Công trình'!C44</f>
        <v>Bê tông móng rộng &lt;=250cm đá 1x2, vữa BT mác 200</v>
      </c>
      <c r="E964" s="168"/>
      <c r="F964" s="20">
        <v>1</v>
      </c>
      <c r="G964" s="45">
        <f>'Hao phí vật tư'!K339</f>
        <v>0.32800000000000001</v>
      </c>
      <c r="H964" s="166"/>
      <c r="I964" s="166"/>
      <c r="J964" s="166"/>
      <c r="K964" s="166"/>
      <c r="L964" s="156">
        <f>ROUND(G964*K962,2)</f>
        <v>0</v>
      </c>
      <c r="M964" s="156">
        <f>ROUND(G964*J962,2)</f>
        <v>64035.77</v>
      </c>
    </row>
    <row r="965" spans="1:13" ht="30" hidden="1" x14ac:dyDescent="0.25">
      <c r="A965" s="168"/>
      <c r="B965" s="133" t="str">
        <f>'Công trình'!B52</f>
        <v>AG.11412</v>
      </c>
      <c r="C965" s="34"/>
      <c r="D965" s="133" t="str">
        <f>'Công trình'!C52</f>
        <v>Sản xuất bê tông tấm BT tự chèn đúc sẵn đá 1x2, vữa BT mác 150</v>
      </c>
      <c r="E965" s="168"/>
      <c r="F965" s="20">
        <v>1</v>
      </c>
      <c r="G965" s="45">
        <f>'Hao phí vật tư'!K384</f>
        <v>235.96610000000001</v>
      </c>
      <c r="H965" s="166"/>
      <c r="I965" s="166"/>
      <c r="J965" s="166"/>
      <c r="K965" s="166"/>
      <c r="L965" s="156">
        <f>ROUND(G965*K962,2)</f>
        <v>0</v>
      </c>
      <c r="M965" s="156">
        <f>ROUND(G965*J962,2)</f>
        <v>46067897.670000002</v>
      </c>
    </row>
    <row r="966" spans="1:13" hidden="1" x14ac:dyDescent="0.25">
      <c r="A966" s="168"/>
      <c r="B966" s="133" t="str">
        <f>'Công trình'!B54</f>
        <v>AB.13411</v>
      </c>
      <c r="C966" s="34"/>
      <c r="D966" s="133" t="str">
        <f>'Công trình'!C54</f>
        <v>Đắp cát nền móng công trình</v>
      </c>
      <c r="E966" s="168"/>
      <c r="F966" s="20">
        <v>1</v>
      </c>
      <c r="G966" s="45">
        <f>'Hao phí vật tư'!K398</f>
        <v>17.216999999999999</v>
      </c>
      <c r="H966" s="166"/>
      <c r="I966" s="166"/>
      <c r="J966" s="166"/>
      <c r="K966" s="166"/>
      <c r="L966" s="156">
        <f>ROUND(G966*K962,2)</f>
        <v>0</v>
      </c>
      <c r="M966" s="156">
        <f>ROUND(G966*J962,2)</f>
        <v>3361292.13</v>
      </c>
    </row>
    <row r="967" spans="1:13" ht="30" hidden="1" x14ac:dyDescent="0.25">
      <c r="A967" s="168"/>
      <c r="B967" s="133" t="str">
        <f>'Công trình'!B63</f>
        <v>AF.11223</v>
      </c>
      <c r="C967" s="34"/>
      <c r="D967" s="133" t="str">
        <f>'Công trình'!C63</f>
        <v>Bê tông lát mái rộng &gt;250cm đá 1x2, vữa BT mác 200</v>
      </c>
      <c r="E967" s="168"/>
      <c r="F967" s="20">
        <v>1</v>
      </c>
      <c r="G967" s="45">
        <f>'Hao phí vật tư'!K482</f>
        <v>321.12970000000001</v>
      </c>
      <c r="H967" s="166"/>
      <c r="I967" s="166"/>
      <c r="J967" s="166"/>
      <c r="K967" s="166"/>
      <c r="L967" s="156">
        <f>ROUND(G967*K962,2)</f>
        <v>0</v>
      </c>
      <c r="M967" s="156">
        <f>ROUND(G967*J962,2)</f>
        <v>62694472.460000001</v>
      </c>
    </row>
    <row r="968" spans="1:13" ht="30" hidden="1" x14ac:dyDescent="0.25">
      <c r="A968" s="168"/>
      <c r="B968" s="133" t="str">
        <f>'Công trình'!B68</f>
        <v>AG.11125</v>
      </c>
      <c r="C968" s="34"/>
      <c r="D968" s="133" t="str">
        <f>'Công trình'!C68</f>
        <v>Sản xuất bê tông cọc cừ đúc sẵn đá 1x2, vữa BT mác 300</v>
      </c>
      <c r="E968" s="168"/>
      <c r="F968" s="20">
        <v>1</v>
      </c>
      <c r="G968" s="45">
        <f>'Hao phí vật tư'!K512</f>
        <v>267.78750000000002</v>
      </c>
      <c r="H968" s="166"/>
      <c r="I968" s="166"/>
      <c r="J968" s="166"/>
      <c r="K968" s="166"/>
      <c r="L968" s="156">
        <f>ROUND(G968*K962,2)</f>
        <v>0</v>
      </c>
      <c r="M968" s="156">
        <f>ROUND(G968*J962,2)</f>
        <v>52280421.409999996</v>
      </c>
    </row>
    <row r="969" spans="1:13" ht="30" hidden="1" x14ac:dyDescent="0.25">
      <c r="A969" s="168"/>
      <c r="B969" s="133" t="str">
        <f>'Công trình'!B79</f>
        <v>AG.11125</v>
      </c>
      <c r="C969" s="34"/>
      <c r="D969" s="133" t="str">
        <f>'Công trình'!C79</f>
        <v>Sản xuất bê tông cọc cừ đúc sẵn đá 1x2, vữa BT mác 300</v>
      </c>
      <c r="E969" s="168"/>
      <c r="F969" s="20">
        <v>1</v>
      </c>
      <c r="G969" s="45">
        <f>'Hao phí vật tư'!K628</f>
        <v>104.8875</v>
      </c>
      <c r="H969" s="166"/>
      <c r="I969" s="166"/>
      <c r="J969" s="166"/>
      <c r="K969" s="166"/>
      <c r="L969" s="156">
        <f>ROUND(G969*K962,2)</f>
        <v>0</v>
      </c>
      <c r="M969" s="156">
        <f>ROUND(G969*J962,2)</f>
        <v>20477291.510000002</v>
      </c>
    </row>
    <row r="970" spans="1:13" ht="30" hidden="1" x14ac:dyDescent="0.25">
      <c r="A970" s="168"/>
      <c r="B970" s="133" t="str">
        <f>'Công trình'!B91</f>
        <v>AB.62111</v>
      </c>
      <c r="C970" s="34"/>
      <c r="D970" s="133" t="str">
        <f>'Công trình'!C91</f>
        <v>San đầm đất mặt bằng bằng máy đầm 9T, độ chặt K=0,85</v>
      </c>
      <c r="E970" s="168"/>
      <c r="F970" s="20">
        <v>1</v>
      </c>
      <c r="G970" s="45">
        <f>'Hao phí vật tư'!K738</f>
        <v>7.3630000000000004</v>
      </c>
      <c r="H970" s="166"/>
      <c r="I970" s="166"/>
      <c r="J970" s="166"/>
      <c r="K970" s="166"/>
      <c r="L970" s="156">
        <f>ROUND(G970*K962,2)</f>
        <v>0</v>
      </c>
      <c r="M970" s="156">
        <f>ROUND(G970*J962,2)</f>
        <v>1437485.85</v>
      </c>
    </row>
    <row r="971" spans="1:13" hidden="1" x14ac:dyDescent="0.25">
      <c r="A971" s="168"/>
      <c r="B971" s="133" t="str">
        <f>'Công trình'!B92</f>
        <v>AF.11121</v>
      </c>
      <c r="C971" s="34"/>
      <c r="D971" s="133" t="str">
        <f>'Công trình'!C92</f>
        <v>Bê tông M100 đá 4x6</v>
      </c>
      <c r="E971" s="168"/>
      <c r="F971" s="20">
        <v>1</v>
      </c>
      <c r="G971" s="45">
        <f>'Hao phí vật tư'!K749</f>
        <v>121.54</v>
      </c>
      <c r="H971" s="166"/>
      <c r="I971" s="166"/>
      <c r="J971" s="166"/>
      <c r="K971" s="166"/>
      <c r="L971" s="156">
        <f>ROUND(G971*K962,2)</f>
        <v>0</v>
      </c>
      <c r="M971" s="156">
        <f>ROUND(G971*J962,2)</f>
        <v>23728375.739999998</v>
      </c>
    </row>
    <row r="972" spans="1:13" ht="30" hidden="1" x14ac:dyDescent="0.25">
      <c r="A972" s="168"/>
      <c r="B972" s="133" t="str">
        <f>'Công trình'!B99</f>
        <v>TT</v>
      </c>
      <c r="C972" s="34"/>
      <c r="D972" s="133" t="str">
        <f>'Công trình'!C99</f>
        <v>Đắp đê quây bằng bao tải cát (VD định mức đắp bao tải đất theo QĐ số 4416/QĐ-BGTVT)</v>
      </c>
      <c r="E972" s="168"/>
      <c r="F972" s="20">
        <v>1</v>
      </c>
      <c r="G972" s="45">
        <f>'Hao phí vật tư'!K806</f>
        <v>69.92</v>
      </c>
      <c r="H972" s="166"/>
      <c r="I972" s="166"/>
      <c r="J972" s="166"/>
      <c r="K972" s="166"/>
      <c r="L972" s="156">
        <f>ROUND(G972*K962,2)</f>
        <v>0</v>
      </c>
      <c r="M972" s="156">
        <f>ROUND(G972*J962,2)</f>
        <v>13650551.52</v>
      </c>
    </row>
    <row r="973" spans="1:13" ht="30" hidden="1" x14ac:dyDescent="0.25">
      <c r="A973" s="168"/>
      <c r="B973" s="133" t="str">
        <f>'Công trình'!B100</f>
        <v>AB.66112</v>
      </c>
      <c r="C973" s="34"/>
      <c r="D973" s="133" t="str">
        <f>'Công trình'!C100</f>
        <v>Đắp cát công trình bằng máy đầm 9T, độ chặt K=0,90</v>
      </c>
      <c r="E973" s="168"/>
      <c r="F973" s="20">
        <v>1</v>
      </c>
      <c r="G973" s="45">
        <f>'Hao phí vật tư'!K811</f>
        <v>5.5259999999999998</v>
      </c>
      <c r="H973" s="166"/>
      <c r="I973" s="166"/>
      <c r="J973" s="166"/>
      <c r="K973" s="166"/>
      <c r="L973" s="156">
        <f>ROUND(G973*K962,2)</f>
        <v>0</v>
      </c>
      <c r="M973" s="156">
        <f>ROUND(G973*J962,2)</f>
        <v>1078846.51</v>
      </c>
    </row>
    <row r="974" spans="1:13" hidden="1" x14ac:dyDescent="0.25">
      <c r="A974" s="168"/>
      <c r="B974" s="133" t="str">
        <f>'Công trình'!B148</f>
        <v>AI.61171</v>
      </c>
      <c r="C974" s="34"/>
      <c r="D974" s="133" t="str">
        <f>'Công trình'!C148</f>
        <v>Lắp sàn thang sắt</v>
      </c>
      <c r="E974" s="168"/>
      <c r="F974" s="20">
        <v>1</v>
      </c>
      <c r="G974" s="45">
        <f>'Hao phí vật tư'!K1129</f>
        <v>1.01</v>
      </c>
      <c r="H974" s="166"/>
      <c r="I974" s="166"/>
      <c r="J974" s="166"/>
      <c r="K974" s="166"/>
      <c r="L974" s="156">
        <f>ROUND(G974*K962,2)</f>
        <v>0</v>
      </c>
      <c r="M974" s="156">
        <f>ROUND(G974*J962,2)</f>
        <v>197183.31</v>
      </c>
    </row>
    <row r="975" spans="1:13" hidden="1" x14ac:dyDescent="0.25">
      <c r="A975" s="168"/>
      <c r="B975" s="133" t="str">
        <f>'Công trình'!B152</f>
        <v>AB.13411</v>
      </c>
      <c r="C975" s="34"/>
      <c r="D975" s="133" t="str">
        <f>'Công trình'!C152</f>
        <v>Đắp cát nền móng công trình</v>
      </c>
      <c r="E975" s="168"/>
      <c r="F975" s="20">
        <v>1</v>
      </c>
      <c r="G975" s="45">
        <f>'Hao phí vật tư'!K1157</f>
        <v>2.2320000000000002</v>
      </c>
      <c r="H975" s="166"/>
      <c r="I975" s="166"/>
      <c r="J975" s="166"/>
      <c r="K975" s="166"/>
      <c r="L975" s="156">
        <f>ROUND(G975*K962,2)</f>
        <v>0</v>
      </c>
      <c r="M975" s="156">
        <f>ROUND(G975*J962,2)</f>
        <v>435755.59</v>
      </c>
    </row>
    <row r="976" spans="1:13" ht="30" hidden="1" x14ac:dyDescent="0.25">
      <c r="A976" s="168"/>
      <c r="B976" s="133" t="str">
        <f>'Công trình'!B167</f>
        <v>AG.11413</v>
      </c>
      <c r="C976" s="34"/>
      <c r="D976" s="133" t="str">
        <f>'Công trình'!C167</f>
        <v>Bê tông tấm đan đúc sẵn đá 1x2, vữa BT mác 200</v>
      </c>
      <c r="E976" s="168"/>
      <c r="F976" s="20">
        <v>1</v>
      </c>
      <c r="G976" s="45">
        <f>'Hao phí vật tư'!K1265</f>
        <v>22.564599999999999</v>
      </c>
      <c r="H976" s="166"/>
      <c r="I976" s="166"/>
      <c r="J976" s="166"/>
      <c r="K976" s="166"/>
      <c r="L976" s="156">
        <f>ROUND(G976*K962,2)</f>
        <v>0</v>
      </c>
      <c r="M976" s="156">
        <f>ROUND(G976*J962,2)</f>
        <v>4405309.42</v>
      </c>
    </row>
    <row r="977" spans="1:13" hidden="1" x14ac:dyDescent="0.25">
      <c r="A977" s="168"/>
      <c r="B977" s="133" t="str">
        <f>'Công trình'!B171</f>
        <v>AB.13112</v>
      </c>
      <c r="C977" s="34"/>
      <c r="D977" s="133" t="str">
        <f>'Công trình'!C171</f>
        <v>Đắp đất nền móng công trình, độ chặt K=0,90</v>
      </c>
      <c r="E977" s="168"/>
      <c r="F977" s="20">
        <v>1</v>
      </c>
      <c r="G977" s="45">
        <f>'Hao phí vật tư'!K1295</f>
        <v>5.4672000000000001</v>
      </c>
      <c r="H977" s="166"/>
      <c r="I977" s="166"/>
      <c r="J977" s="166"/>
      <c r="K977" s="166"/>
      <c r="L977" s="156">
        <f>ROUND(G977*K962,2)</f>
        <v>0</v>
      </c>
      <c r="M977" s="156">
        <f>ROUND(G977*J962,2)</f>
        <v>1067366.92</v>
      </c>
    </row>
    <row r="978" spans="1:13" ht="30" hidden="1" x14ac:dyDescent="0.25">
      <c r="A978" s="168"/>
      <c r="B978" s="133" t="str">
        <f>'Công trình'!B177</f>
        <v>AF.11121</v>
      </c>
      <c r="C978" s="34"/>
      <c r="D978" s="133" t="str">
        <f>'Công trình'!C177</f>
        <v>Bê tông lót móng rộng &gt;250cm đá 4x6, vữa BT mác 100</v>
      </c>
      <c r="E978" s="168"/>
      <c r="F978" s="20">
        <v>1</v>
      </c>
      <c r="G978" s="45">
        <f>'Hao phí vật tư'!K1341</f>
        <v>9.7585999999999995</v>
      </c>
      <c r="H978" s="166"/>
      <c r="I978" s="166"/>
      <c r="J978" s="166"/>
      <c r="K978" s="166"/>
      <c r="L978" s="156">
        <f>ROUND(G978*K962,2)</f>
        <v>0</v>
      </c>
      <c r="M978" s="156">
        <f>ROUND(G978*J962,2)</f>
        <v>1905181.24</v>
      </c>
    </row>
    <row r="979" spans="1:13" hidden="1" x14ac:dyDescent="0.25">
      <c r="A979" s="168"/>
      <c r="B979" s="133" t="str">
        <f>'Công trình'!B217</f>
        <v>AF.11215</v>
      </c>
      <c r="C979" s="34"/>
      <c r="D979" s="133" t="str">
        <f>'Công trình'!C217</f>
        <v>BT M300 đổ sau có phụ gia</v>
      </c>
      <c r="E979" s="168"/>
      <c r="F979" s="20">
        <v>1</v>
      </c>
      <c r="G979" s="45">
        <f>'Hao phí vật tư'!K1639</f>
        <v>1.8532</v>
      </c>
      <c r="H979" s="166"/>
      <c r="I979" s="166"/>
      <c r="J979" s="166"/>
      <c r="K979" s="166"/>
      <c r="L979" s="156">
        <f>ROUND(G979*K962,2)</f>
        <v>0</v>
      </c>
      <c r="M979" s="156">
        <f>ROUND(G979*J962,2)</f>
        <v>361802.09</v>
      </c>
    </row>
    <row r="980" spans="1:13" ht="30" hidden="1" x14ac:dyDescent="0.25">
      <c r="A980" s="168"/>
      <c r="B980" s="133" t="str">
        <f>'Công trình'!B225</f>
        <v>AG.11125</v>
      </c>
      <c r="C980" s="34"/>
      <c r="D980" s="133" t="str">
        <f>'Công trình'!C225</f>
        <v>Sản xuất bê tông cọc cừ đúc sẵn đá 1x2, vữa BT mác 300</v>
      </c>
      <c r="E980" s="168"/>
      <c r="F980" s="20">
        <v>1</v>
      </c>
      <c r="G980" s="45">
        <f>'Hao phí vật tư'!K1688</f>
        <v>289.42500000000001</v>
      </c>
      <c r="H980" s="166"/>
      <c r="I980" s="166"/>
      <c r="J980" s="166"/>
      <c r="K980" s="166"/>
      <c r="L980" s="156">
        <f>ROUND(G980*K962,2)</f>
        <v>0</v>
      </c>
      <c r="M980" s="156">
        <f>ROUND(G980*J962,2)</f>
        <v>56504732.18</v>
      </c>
    </row>
    <row r="981" spans="1:13" ht="30" hidden="1" x14ac:dyDescent="0.25">
      <c r="A981" s="168"/>
      <c r="B981" s="133" t="str">
        <f>'Công trình'!B238</f>
        <v>AB.25112</v>
      </c>
      <c r="C981" s="34"/>
      <c r="D981" s="133" t="str">
        <f>'Công trình'!C238</f>
        <v>Đào móng chiều rộng &lt;=6m bằng máy đào 0,8m3, đất cấp II</v>
      </c>
      <c r="E981" s="168"/>
      <c r="F981" s="20">
        <v>1</v>
      </c>
      <c r="G981" s="45">
        <f>'Hao phí vật tư'!K1813</f>
        <v>13.884399999999999</v>
      </c>
      <c r="H981" s="166"/>
      <c r="I981" s="166"/>
      <c r="J981" s="166"/>
      <c r="K981" s="166"/>
      <c r="L981" s="156">
        <f>ROUND(G981*K962,2)</f>
        <v>0</v>
      </c>
      <c r="M981" s="156">
        <f>ROUND(G981*J962,2)</f>
        <v>2710665.3</v>
      </c>
    </row>
    <row r="982" spans="1:13" ht="30" hidden="1" x14ac:dyDescent="0.25">
      <c r="A982" s="168"/>
      <c r="B982" s="133" t="str">
        <f>'Công trình'!B242</f>
        <v>AB.66114</v>
      </c>
      <c r="C982" s="34"/>
      <c r="D982" s="133" t="str">
        <f>'Công trình'!C242</f>
        <v>Đắp cát công trình bằng máy đầm 9T, độ chặt K=0,98</v>
      </c>
      <c r="E982" s="168"/>
      <c r="F982" s="20">
        <v>1</v>
      </c>
      <c r="G982" s="45">
        <f>'Hao phí vật tư'!K1837</f>
        <v>23.668099999999999</v>
      </c>
      <c r="H982" s="166"/>
      <c r="I982" s="166"/>
      <c r="J982" s="166"/>
      <c r="K982" s="166"/>
      <c r="L982" s="156">
        <f>ROUND(G982*K962,2)</f>
        <v>0</v>
      </c>
      <c r="M982" s="156">
        <f>ROUND(G982*J962,2)</f>
        <v>4620746.83</v>
      </c>
    </row>
    <row r="983" spans="1:13" hidden="1" x14ac:dyDescent="0.25">
      <c r="A983" s="168"/>
      <c r="B983" s="133" t="str">
        <f>'Công trình'!B243</f>
        <v>AB.21121</v>
      </c>
      <c r="C983" s="34"/>
      <c r="D983" s="133" t="str">
        <f>'Công trình'!C243</f>
        <v>Đất bóc phong hóa</v>
      </c>
      <c r="E983" s="168"/>
      <c r="F983" s="20">
        <v>1</v>
      </c>
      <c r="G983" s="45">
        <f>'Hao phí vật tư'!K1844</f>
        <v>1.2507999999999999</v>
      </c>
      <c r="H983" s="166"/>
      <c r="I983" s="166"/>
      <c r="J983" s="166"/>
      <c r="K983" s="166"/>
      <c r="L983" s="156">
        <f>ROUND(G983*K962,2)</f>
        <v>0</v>
      </c>
      <c r="M983" s="156">
        <f>ROUND(G983*J962,2)</f>
        <v>244194.93</v>
      </c>
    </row>
    <row r="984" spans="1:13" ht="30" hidden="1" x14ac:dyDescent="0.25">
      <c r="A984" s="168"/>
      <c r="B984" s="133" t="str">
        <f>'Công trình'!B244</f>
        <v>AB.25112</v>
      </c>
      <c r="C984" s="34"/>
      <c r="D984" s="133" t="str">
        <f>'Công trình'!C244</f>
        <v>Đào móng chiều rộng &lt;=6m bằng máy đào 0,8m3, đất cấp II</v>
      </c>
      <c r="E984" s="168"/>
      <c r="F984" s="20">
        <v>1</v>
      </c>
      <c r="G984" s="45">
        <f>'Hao phí vật tư'!K1850</f>
        <v>0.87190000000000001</v>
      </c>
      <c r="H984" s="166"/>
      <c r="I984" s="166"/>
      <c r="J984" s="166"/>
      <c r="K984" s="166"/>
      <c r="L984" s="156">
        <f>ROUND(G984*K962,2)</f>
        <v>0</v>
      </c>
      <c r="M984" s="156">
        <f>ROUND(G984*J962,2)</f>
        <v>170221.91</v>
      </c>
    </row>
    <row r="985" spans="1:13" ht="30" hidden="1" x14ac:dyDescent="0.25">
      <c r="A985" s="168"/>
      <c r="B985" s="133" t="str">
        <f>'Công trình'!B250</f>
        <v>AG.11413</v>
      </c>
      <c r="C985" s="34"/>
      <c r="D985" s="133" t="str">
        <f>'Công trình'!C250</f>
        <v>Sản xuất bê tông lục giác, đá 1x2, vữa BT mác 200</v>
      </c>
      <c r="E985" s="168"/>
      <c r="F985" s="20">
        <v>1</v>
      </c>
      <c r="G985" s="45">
        <f>'Hao phí vật tư'!K1906</f>
        <v>186.22219999999999</v>
      </c>
      <c r="H985" s="166"/>
      <c r="I985" s="166"/>
      <c r="J985" s="166"/>
      <c r="K985" s="166"/>
      <c r="L985" s="156">
        <f>ROUND(G985*K962,2)</f>
        <v>0</v>
      </c>
      <c r="M985" s="156">
        <f>ROUND(G985*J962,2)</f>
        <v>36356346.329999998</v>
      </c>
    </row>
    <row r="986" spans="1:13" ht="30" hidden="1" x14ac:dyDescent="0.25">
      <c r="A986" s="168"/>
      <c r="B986" s="133" t="str">
        <f>'Công trình'!B267</f>
        <v>AF.11212</v>
      </c>
      <c r="C986" s="34"/>
      <c r="D986" s="133" t="str">
        <f>'Công trình'!C267</f>
        <v>Bê tông móng rộng &lt;=250cm đá 1x2, vữa BT mác 150</v>
      </c>
      <c r="E986" s="168"/>
      <c r="F986" s="20">
        <v>1</v>
      </c>
      <c r="G986" s="45">
        <f>'Hao phí vật tư'!K2037</f>
        <v>5.5759999999999996</v>
      </c>
      <c r="H986" s="166"/>
      <c r="I986" s="166"/>
      <c r="J986" s="166"/>
      <c r="K986" s="166"/>
      <c r="L986" s="156">
        <f>ROUND(G986*K962,2)</f>
        <v>0</v>
      </c>
      <c r="M986" s="156">
        <f>ROUND(G986*J962,2)</f>
        <v>1088608.06</v>
      </c>
    </row>
    <row r="987" spans="1:13" ht="30" hidden="1" x14ac:dyDescent="0.25">
      <c r="A987" s="168"/>
      <c r="B987" s="133" t="str">
        <f>'Công trình'!B272</f>
        <v>AB.11412</v>
      </c>
      <c r="C987" s="34"/>
      <c r="D987" s="133" t="str">
        <f>'Công trình'!C272</f>
        <v>Đào móng cột trụ, hố kiểm tra, rộng &lt;=1m,sâu &lt;=1m, đất cấp II</v>
      </c>
      <c r="E987" s="168"/>
      <c r="F987" s="20">
        <v>1</v>
      </c>
      <c r="G987" s="45">
        <f>'Hao phí vật tư'!K2076</f>
        <v>3.8555999999999999</v>
      </c>
      <c r="H987" s="166"/>
      <c r="I987" s="166"/>
      <c r="J987" s="166"/>
      <c r="K987" s="166"/>
      <c r="L987" s="156">
        <f>ROUND(G987*K962,2)</f>
        <v>0</v>
      </c>
      <c r="M987" s="156">
        <f>ROUND(G987*J962,2)</f>
        <v>752732.64</v>
      </c>
    </row>
    <row r="988" spans="1:13" ht="30" hidden="1" x14ac:dyDescent="0.25">
      <c r="A988" s="168"/>
      <c r="B988" s="133" t="str">
        <f>'Công trình'!B284</f>
        <v>AF.11213</v>
      </c>
      <c r="C988" s="34"/>
      <c r="D988" s="133" t="str">
        <f>'Công trình'!C284</f>
        <v>Bê tông móng rộng &lt;=250cm đá 1x2, vữa BT mác 200</v>
      </c>
      <c r="E988" s="168"/>
      <c r="F988" s="20">
        <v>1</v>
      </c>
      <c r="G988" s="45">
        <f>'Hao phí vật tư'!K2128</f>
        <v>12.8576</v>
      </c>
      <c r="H988" s="166"/>
      <c r="I988" s="166"/>
      <c r="J988" s="166"/>
      <c r="K988" s="166"/>
      <c r="L988" s="156">
        <f>ROUND(G988*K962,2)</f>
        <v>0</v>
      </c>
      <c r="M988" s="156">
        <f>ROUND(G988*J962,2)</f>
        <v>2510202.11</v>
      </c>
    </row>
    <row r="989" spans="1:13" ht="30" hidden="1" x14ac:dyDescent="0.25">
      <c r="A989" s="168"/>
      <c r="B989" s="133" t="str">
        <f>'Công trình'!B285</f>
        <v>AF.11212</v>
      </c>
      <c r="C989" s="34"/>
      <c r="D989" s="133" t="str">
        <f>'Công trình'!C285</f>
        <v>Bê tông móng rộng &lt;=250cm đá 1x2, vữa BT mác 150</v>
      </c>
      <c r="E989" s="168"/>
      <c r="F989" s="20">
        <v>1</v>
      </c>
      <c r="G989" s="45">
        <f>'Hao phí vật tư'!K2140</f>
        <v>2.2959999999999998</v>
      </c>
      <c r="H989" s="166"/>
      <c r="I989" s="166"/>
      <c r="J989" s="166"/>
      <c r="K989" s="166"/>
      <c r="L989" s="156">
        <f>ROUND(G989*K962,2)</f>
        <v>0</v>
      </c>
      <c r="M989" s="156">
        <f>ROUND(G989*J962,2)</f>
        <v>448250.38</v>
      </c>
    </row>
    <row r="990" spans="1:13" ht="30" hidden="1" x14ac:dyDescent="0.25">
      <c r="A990" s="168"/>
      <c r="B990" s="133" t="str">
        <f>'Công trình'!B295</f>
        <v>AF.11213</v>
      </c>
      <c r="C990" s="34"/>
      <c r="D990" s="133" t="str">
        <f>'Công trình'!C295</f>
        <v>Bê tông móng rộng &lt;=250cm đá 1x2, vữa BT mác 200</v>
      </c>
      <c r="E990" s="168"/>
      <c r="F990" s="20">
        <v>1</v>
      </c>
      <c r="G990" s="45">
        <f>'Hao phí vật tư'!K2212</f>
        <v>0.27879999999999999</v>
      </c>
      <c r="H990" s="166"/>
      <c r="I990" s="166"/>
      <c r="J990" s="166"/>
      <c r="K990" s="166"/>
      <c r="L990" s="156">
        <f>ROUND(G990*K962,2)</f>
        <v>0</v>
      </c>
      <c r="M990" s="156">
        <f>ROUND(G990*J962,2)</f>
        <v>54430.400000000001</v>
      </c>
    </row>
    <row r="991" spans="1:13" ht="30" hidden="1" x14ac:dyDescent="0.25">
      <c r="A991" s="168"/>
      <c r="B991" s="133" t="str">
        <f>'Công trình'!B296</f>
        <v>AF.11212</v>
      </c>
      <c r="C991" s="34"/>
      <c r="D991" s="133" t="str">
        <f>'Công trình'!C296</f>
        <v>Bê tông móng rộng &lt;=250cm đá 1x2, vữa BT mác 150</v>
      </c>
      <c r="E991" s="168"/>
      <c r="F991" s="20">
        <v>1</v>
      </c>
      <c r="G991" s="45">
        <f>'Hao phí vật tư'!K2224</f>
        <v>9.8400000000000001E-2</v>
      </c>
      <c r="H991" s="166"/>
      <c r="I991" s="166"/>
      <c r="J991" s="166"/>
      <c r="K991" s="166"/>
      <c r="L991" s="156">
        <f>ROUND(G991*K962,2)</f>
        <v>0</v>
      </c>
      <c r="M991" s="156">
        <f>ROUND(G991*J962,2)</f>
        <v>19210.73</v>
      </c>
    </row>
    <row r="992" spans="1:13" ht="30" hidden="1" x14ac:dyDescent="0.25">
      <c r="A992" s="168"/>
      <c r="B992" s="133" t="str">
        <f>'Công trình'!B297</f>
        <v>AB.11412</v>
      </c>
      <c r="C992" s="34"/>
      <c r="D992" s="133" t="str">
        <f>'Công trình'!C297</f>
        <v>Đào móng cột trụ, hố kiểm tra, rộng &lt;=1m,sâu &lt;=1m, đất cấp II</v>
      </c>
      <c r="E992" s="168"/>
      <c r="F992" s="20">
        <v>1</v>
      </c>
      <c r="G992" s="45">
        <f>'Hao phí vật tư'!K2230</f>
        <v>0.23799999999999999</v>
      </c>
      <c r="H992" s="166"/>
      <c r="I992" s="166"/>
      <c r="J992" s="166"/>
      <c r="K992" s="166"/>
      <c r="L992" s="156">
        <f>ROUND(G992*K962,2)</f>
        <v>0</v>
      </c>
      <c r="M992" s="156">
        <f>ROUND(G992*J962,2)</f>
        <v>46464.98</v>
      </c>
    </row>
    <row r="993" spans="1:13" ht="30" hidden="1" x14ac:dyDescent="0.25">
      <c r="A993" s="168"/>
      <c r="B993" s="133" t="str">
        <f>'Công trình'!B300</f>
        <v>AG.11113</v>
      </c>
      <c r="C993" s="34"/>
      <c r="D993" s="133" t="str">
        <f>'Công trình'!C300</f>
        <v>Sản xuất bê tông cọc, cột đúc sẵn đá 1x2, vữa BT mác 200</v>
      </c>
      <c r="E993" s="168"/>
      <c r="F993" s="20">
        <v>1</v>
      </c>
      <c r="G993" s="45">
        <f>'Hao phí vật tư'!K2246</f>
        <v>1.647</v>
      </c>
      <c r="H993" s="166"/>
      <c r="I993" s="166"/>
      <c r="J993" s="166"/>
      <c r="K993" s="166"/>
      <c r="L993" s="156">
        <f>ROUND(G993*K962,2)</f>
        <v>0</v>
      </c>
      <c r="M993" s="156">
        <f>ROUND(G993*J962,2)</f>
        <v>321545.46000000002</v>
      </c>
    </row>
    <row r="994" spans="1:13" ht="30" hidden="1" x14ac:dyDescent="0.25">
      <c r="A994" s="168"/>
      <c r="B994" s="133" t="str">
        <f>'Công trình'!B301</f>
        <v>AF.11212</v>
      </c>
      <c r="C994" s="34"/>
      <c r="D994" s="133" t="str">
        <f>'Công trình'!C301</f>
        <v>Bê tông móng rộng &lt;=250cm đá 1x2, vữa BT mác 150</v>
      </c>
      <c r="E994" s="168"/>
      <c r="F994" s="20">
        <v>1</v>
      </c>
      <c r="G994" s="45">
        <f>'Hao phí vật tư'!K2259</f>
        <v>2.3616000000000001</v>
      </c>
      <c r="H994" s="166"/>
      <c r="I994" s="166"/>
      <c r="J994" s="166"/>
      <c r="K994" s="166"/>
      <c r="L994" s="156">
        <f>ROUND(G994*K962,2)</f>
        <v>0</v>
      </c>
      <c r="M994" s="156">
        <f>ROUND(G994*J962,2)</f>
        <v>461057.53</v>
      </c>
    </row>
    <row r="995" spans="1:13" ht="30" hidden="1" x14ac:dyDescent="0.25">
      <c r="A995" s="168"/>
      <c r="B995" s="133" t="str">
        <f>'Công trình'!B306</f>
        <v>AB.11312</v>
      </c>
      <c r="C995" s="34"/>
      <c r="D995" s="133" t="str">
        <f>'Công trình'!C306</f>
        <v>Đào móng băng, rộng &lt;=3m, sâu &lt;=1m, đất cấp II</v>
      </c>
      <c r="E995" s="168"/>
      <c r="F995" s="20">
        <v>1</v>
      </c>
      <c r="G995" s="45">
        <f>'Hao phí vật tư'!K2295</f>
        <v>1.1808000000000001</v>
      </c>
      <c r="H995" s="166"/>
      <c r="I995" s="166"/>
      <c r="J995" s="166"/>
      <c r="K995" s="166"/>
      <c r="L995" s="156">
        <f>ROUND(G995*K962,2)</f>
        <v>0</v>
      </c>
      <c r="M995" s="156">
        <f>ROUND(G995*J962,2)</f>
        <v>230528.76</v>
      </c>
    </row>
    <row r="996" spans="1:13" ht="30" hidden="1" x14ac:dyDescent="0.25">
      <c r="A996" s="168"/>
      <c r="B996" s="133" t="str">
        <f>'Công trình'!B7</f>
        <v>AF.11224</v>
      </c>
      <c r="C996" s="34"/>
      <c r="D996" s="133" t="str">
        <f>'Công trình'!C7</f>
        <v>Bê tông móng rộng &gt;250cm đá 1x2, vữa BT mác 250</v>
      </c>
      <c r="E996" s="168"/>
      <c r="F996" s="20">
        <v>1</v>
      </c>
      <c r="G996" s="45">
        <f>'Hao phí vật tư'!K18</f>
        <v>323.74979999999999</v>
      </c>
      <c r="H996" s="166"/>
      <c r="I996" s="166"/>
      <c r="J996" s="166"/>
      <c r="K996" s="166"/>
      <c r="L996" s="156">
        <f>ROUND(G996*K962,2)</f>
        <v>0</v>
      </c>
      <c r="M996" s="156">
        <f>ROUND(G996*J962,2)</f>
        <v>63205997.200000003</v>
      </c>
    </row>
    <row r="997" spans="1:13" hidden="1" x14ac:dyDescent="0.25">
      <c r="A997" s="168"/>
      <c r="B997" s="133" t="str">
        <f>'Công trình'!B175</f>
        <v>AF.11225</v>
      </c>
      <c r="C997" s="34"/>
      <c r="D997" s="133" t="str">
        <f>'Công trình'!C175</f>
        <v>Bê tông bản dẫn đá 1x2, vữa BT mác 300</v>
      </c>
      <c r="E997" s="168"/>
      <c r="F997" s="20">
        <v>1</v>
      </c>
      <c r="G997" s="45">
        <f>'Hao phí vật tư'!K1321</f>
        <v>35.46</v>
      </c>
      <c r="H997" s="166"/>
      <c r="I997" s="166"/>
      <c r="J997" s="166"/>
      <c r="K997" s="166"/>
      <c r="L997" s="156">
        <f>ROUND(G997*K962,2)</f>
        <v>0</v>
      </c>
      <c r="M997" s="156">
        <f>ROUND(G997*J962,2)</f>
        <v>6922891.2599999998</v>
      </c>
    </row>
    <row r="998" spans="1:13" hidden="1" x14ac:dyDescent="0.25">
      <c r="A998" s="168"/>
      <c r="B998" s="133" t="str">
        <f>'Công trình'!B9</f>
        <v>AF.11333</v>
      </c>
      <c r="C998" s="34"/>
      <c r="D998" s="133" t="str">
        <f>'Công trình'!C9</f>
        <v>Bê tông bịt đáy đá 4x6, vữa BT mác 200</v>
      </c>
      <c r="E998" s="168"/>
      <c r="F998" s="20">
        <v>1</v>
      </c>
      <c r="G998" s="45">
        <f>'Hao phí vật tư'!K46</f>
        <v>410.8</v>
      </c>
      <c r="H998" s="166"/>
      <c r="I998" s="166"/>
      <c r="J998" s="166"/>
      <c r="K998" s="166"/>
      <c r="L998" s="156">
        <f>ROUND(G998*K962,2)</f>
        <v>0</v>
      </c>
      <c r="M998" s="156">
        <f>ROUND(G998*J962,2)</f>
        <v>80200894.799999997</v>
      </c>
    </row>
    <row r="999" spans="1:13" ht="30" hidden="1" x14ac:dyDescent="0.25">
      <c r="A999" s="168"/>
      <c r="B999" s="133" t="str">
        <f>'Công trình'!B245</f>
        <v>AB.64112</v>
      </c>
      <c r="C999" s="34"/>
      <c r="D999" s="133" t="str">
        <f>'Công trình'!C245</f>
        <v>Đắp nền đường bằng máy đầm 9T, độ chặt K=0,90</v>
      </c>
      <c r="E999" s="168"/>
      <c r="F999" s="20">
        <v>1</v>
      </c>
      <c r="G999" s="45">
        <f>'Hao phí vật tư'!K1855</f>
        <v>29.505199999999999</v>
      </c>
      <c r="H999" s="166"/>
      <c r="I999" s="166"/>
      <c r="J999" s="166"/>
      <c r="K999" s="166"/>
      <c r="L999" s="156">
        <f>ROUND(G999*K962,2)</f>
        <v>0</v>
      </c>
      <c r="M999" s="156">
        <f>ROUND(G999*J962,2)</f>
        <v>5760329.7000000002</v>
      </c>
    </row>
    <row r="1000" spans="1:13" ht="30" hidden="1" x14ac:dyDescent="0.25">
      <c r="A1000" s="168"/>
      <c r="B1000" s="133" t="str">
        <f>'Công trình'!B10</f>
        <v>AF.11121</v>
      </c>
      <c r="C1000" s="34"/>
      <c r="D1000" s="133" t="str">
        <f>'Công trình'!C10</f>
        <v>Bê tông lót móng rộng &gt;250cm đá 4x6, vữa BT mác 100</v>
      </c>
      <c r="E1000" s="168"/>
      <c r="F1000" s="20">
        <v>1</v>
      </c>
      <c r="G1000" s="45">
        <f>'Hao phí vật tư'!K57</f>
        <v>64.427999999999997</v>
      </c>
      <c r="H1000" s="166"/>
      <c r="I1000" s="166"/>
      <c r="J1000" s="166"/>
      <c r="K1000" s="166"/>
      <c r="L1000" s="156">
        <f>ROUND(G1000*K962,2)</f>
        <v>0</v>
      </c>
      <c r="M1000" s="156">
        <f>ROUND(G1000*J962,2)</f>
        <v>12578342.869999999</v>
      </c>
    </row>
    <row r="1001" spans="1:13" x14ac:dyDescent="0.25">
      <c r="A1001" s="168">
        <v>2</v>
      </c>
      <c r="B1001" s="84" t="s">
        <v>323</v>
      </c>
      <c r="C1001" s="34">
        <v>546</v>
      </c>
      <c r="D1001" s="144" t="s">
        <v>115</v>
      </c>
      <c r="E1001" s="168" t="s">
        <v>450</v>
      </c>
      <c r="F1001" s="34"/>
      <c r="G1001" s="60">
        <f>SUM(G1002:G1058)</f>
        <v>4416.8483999999999</v>
      </c>
      <c r="H1001" s="166">
        <v>212856</v>
      </c>
      <c r="I1001" s="166">
        <v>212856</v>
      </c>
      <c r="J1001" s="166">
        <f>'Nhân công'!M45</f>
        <v>212856</v>
      </c>
      <c r="K1001" s="166">
        <f>J1001-H1001</f>
        <v>0</v>
      </c>
      <c r="L1001" s="166">
        <f>ROUND(G1001*K1001,0)</f>
        <v>0</v>
      </c>
      <c r="M1001" s="166">
        <f>ROUND(G1001*J1001,0)</f>
        <v>940152683</v>
      </c>
    </row>
    <row r="1002" spans="1:13" ht="30" hidden="1" x14ac:dyDescent="0.25">
      <c r="A1002" s="168"/>
      <c r="B1002" s="133" t="str">
        <f>'Công trình'!B11</f>
        <v>AF.61120</v>
      </c>
      <c r="C1002" s="34"/>
      <c r="D1002" s="133" t="str">
        <f>'Công trình'!C11</f>
        <v>Sản xuất, lắp dựng cốt thép móng đường kính &lt;=18mm</v>
      </c>
      <c r="E1002" s="168"/>
      <c r="F1002" s="20">
        <v>1</v>
      </c>
      <c r="G1002" s="45">
        <f>'Hao phí vật tư'!K67</f>
        <v>75.442800000000005</v>
      </c>
      <c r="H1002" s="166"/>
      <c r="I1002" s="166"/>
      <c r="J1002" s="166"/>
      <c r="K1002" s="166"/>
      <c r="L1002" s="156">
        <f>ROUND(G1002*K1001,2)</f>
        <v>0</v>
      </c>
      <c r="M1002" s="156">
        <f>ROUND(G1002*J1001,2)</f>
        <v>16058452.640000001</v>
      </c>
    </row>
    <row r="1003" spans="1:13" ht="30" hidden="1" x14ac:dyDescent="0.25">
      <c r="A1003" s="168"/>
      <c r="B1003" s="133" t="str">
        <f>'Công trình'!B12</f>
        <v>AF.61130</v>
      </c>
      <c r="C1003" s="34"/>
      <c r="D1003" s="133" t="str">
        <f>'Công trình'!C12</f>
        <v>Sản xuất, lắp dựng cốt thép móng đường kính &gt;18mm</v>
      </c>
      <c r="E1003" s="168"/>
      <c r="F1003" s="20">
        <v>1</v>
      </c>
      <c r="G1003" s="45">
        <f>'Hao phí vật tư'!K77</f>
        <v>16.670000000000002</v>
      </c>
      <c r="H1003" s="166"/>
      <c r="I1003" s="166"/>
      <c r="J1003" s="166"/>
      <c r="K1003" s="166"/>
      <c r="L1003" s="156">
        <f>ROUND(G1003*K1001,2)</f>
        <v>0</v>
      </c>
      <c r="M1003" s="156">
        <f>ROUND(G1003*J1001,2)</f>
        <v>3548309.52</v>
      </c>
    </row>
    <row r="1004" spans="1:13" ht="30" hidden="1" x14ac:dyDescent="0.25">
      <c r="A1004" s="168"/>
      <c r="B1004" s="133" t="str">
        <f>'Công trình'!B13</f>
        <v>AF.61321</v>
      </c>
      <c r="C1004" s="34"/>
      <c r="D1004" s="133" t="str">
        <f>'Công trình'!C13</f>
        <v>Sản xuất, lắp dựng cốt thép tường đường kính &lt;=18mm, chiều cao &lt;=4m</v>
      </c>
      <c r="E1004" s="168"/>
      <c r="F1004" s="20">
        <v>1</v>
      </c>
      <c r="G1004" s="45">
        <f>'Hao phí vật tư'!K87</f>
        <v>85.175700000000006</v>
      </c>
      <c r="H1004" s="166"/>
      <c r="I1004" s="166"/>
      <c r="J1004" s="166"/>
      <c r="K1004" s="166"/>
      <c r="L1004" s="156">
        <f>ROUND(G1004*K1001,2)</f>
        <v>0</v>
      </c>
      <c r="M1004" s="156">
        <f>ROUND(G1004*J1001,2)</f>
        <v>18130158.800000001</v>
      </c>
    </row>
    <row r="1005" spans="1:13" ht="30" hidden="1" x14ac:dyDescent="0.25">
      <c r="A1005" s="168"/>
      <c r="B1005" s="133" t="str">
        <f>'Công trình'!B14</f>
        <v>AF.61331</v>
      </c>
      <c r="C1005" s="34"/>
      <c r="D1005" s="133" t="str">
        <f>'Công trình'!C14</f>
        <v>Sản xuất, lắp dựng cốt thép tường đường kính &gt;18mm, chiều cao &lt;=4m</v>
      </c>
      <c r="E1005" s="168"/>
      <c r="F1005" s="20">
        <v>1</v>
      </c>
      <c r="G1005" s="45">
        <f>'Hao phí vật tư'!K97</f>
        <v>26.863199999999999</v>
      </c>
      <c r="H1005" s="166"/>
      <c r="I1005" s="166"/>
      <c r="J1005" s="166"/>
      <c r="K1005" s="166"/>
      <c r="L1005" s="156">
        <f>ROUND(G1005*K1001,2)</f>
        <v>0</v>
      </c>
      <c r="M1005" s="156">
        <f>ROUND(G1005*J1001,2)</f>
        <v>5717993.2999999998</v>
      </c>
    </row>
    <row r="1006" spans="1:13" ht="30" hidden="1" x14ac:dyDescent="0.25">
      <c r="A1006" s="168"/>
      <c r="B1006" s="133" t="str">
        <f>'Công trình'!B18</f>
        <v>AF.12314</v>
      </c>
      <c r="C1006" s="34"/>
      <c r="D1006" s="133" t="str">
        <f>'Công trình'!C18</f>
        <v>Bê tông xà dầm, giằng nhà đá 1x2, vữa BT mác 250</v>
      </c>
      <c r="E1006" s="168"/>
      <c r="F1006" s="20">
        <v>1</v>
      </c>
      <c r="G1006" s="45">
        <f>'Hao phí vật tư'!K129</f>
        <v>230.7236</v>
      </c>
      <c r="H1006" s="166"/>
      <c r="I1006" s="166"/>
      <c r="J1006" s="166"/>
      <c r="K1006" s="166"/>
      <c r="L1006" s="156">
        <f>ROUND(G1006*K1001,2)</f>
        <v>0</v>
      </c>
      <c r="M1006" s="156">
        <f>ROUND(G1006*J1001,2)</f>
        <v>49110902.600000001</v>
      </c>
    </row>
    <row r="1007" spans="1:13" ht="30" hidden="1" x14ac:dyDescent="0.25">
      <c r="A1007" s="168"/>
      <c r="B1007" s="133" t="str">
        <f>'Công trình'!B20</f>
        <v>AF.61511</v>
      </c>
      <c r="C1007" s="34"/>
      <c r="D1007" s="133" t="str">
        <f>'Công trình'!C20</f>
        <v>Sản xuất, lắp dựng cốt thép xà dầm, giằng đường kính &lt;=10mm, chiều cao &lt;=4m</v>
      </c>
      <c r="E1007" s="168"/>
      <c r="F1007" s="20">
        <v>1</v>
      </c>
      <c r="G1007" s="45">
        <f>'Hao phí vật tư'!K152</f>
        <v>17.896100000000001</v>
      </c>
      <c r="H1007" s="166"/>
      <c r="I1007" s="166"/>
      <c r="J1007" s="166"/>
      <c r="K1007" s="166"/>
      <c r="L1007" s="156">
        <f>ROUND(G1007*K1001,2)</f>
        <v>0</v>
      </c>
      <c r="M1007" s="156">
        <f>ROUND(G1007*J1001,2)</f>
        <v>3809292.26</v>
      </c>
    </row>
    <row r="1008" spans="1:13" ht="30" hidden="1" x14ac:dyDescent="0.25">
      <c r="A1008" s="168"/>
      <c r="B1008" s="133" t="str">
        <f>'Công trình'!B22</f>
        <v>AF.61521</v>
      </c>
      <c r="C1008" s="34"/>
      <c r="D1008" s="133" t="str">
        <f>'Công trình'!C22</f>
        <v>Sản xuất, lắp dựng cốt thép xà dầm, giằng đường kính &lt;=18mm, chiều cao &lt;=4m</v>
      </c>
      <c r="E1008" s="168"/>
      <c r="F1008" s="20">
        <v>1</v>
      </c>
      <c r="G1008" s="45">
        <f>'Hao phí vật tư'!K161</f>
        <v>21.6844</v>
      </c>
      <c r="H1008" s="166"/>
      <c r="I1008" s="166"/>
      <c r="J1008" s="166"/>
      <c r="K1008" s="166"/>
      <c r="L1008" s="156">
        <f>ROUND(G1008*K1001,2)</f>
        <v>0</v>
      </c>
      <c r="M1008" s="156">
        <f>ROUND(G1008*J1001,2)</f>
        <v>4615654.6500000004</v>
      </c>
    </row>
    <row r="1009" spans="1:13" ht="30" hidden="1" x14ac:dyDescent="0.25">
      <c r="A1009" s="168"/>
      <c r="B1009" s="133" t="str">
        <f>'Công trình'!B30</f>
        <v>AF.12113</v>
      </c>
      <c r="C1009" s="34"/>
      <c r="D1009" s="133" t="str">
        <f>'Công trình'!C30</f>
        <v>Bê tông tường dày &lt;=45cm, chiều cao &lt;=4m đá 1x2, vữa BT mác 200</v>
      </c>
      <c r="E1009" s="168"/>
      <c r="F1009" s="20">
        <v>1</v>
      </c>
      <c r="G1009" s="45">
        <f>'Hao phí vật tư'!K210</f>
        <v>93.200800000000001</v>
      </c>
      <c r="H1009" s="166"/>
      <c r="I1009" s="166"/>
      <c r="J1009" s="166"/>
      <c r="K1009" s="166"/>
      <c r="L1009" s="156">
        <f>ROUND(G1009*K1001,2)</f>
        <v>0</v>
      </c>
      <c r="M1009" s="156">
        <f>ROUND(G1009*J1001,2)</f>
        <v>19838349.48</v>
      </c>
    </row>
    <row r="1010" spans="1:13" ht="30" hidden="1" x14ac:dyDescent="0.25">
      <c r="A1010" s="168"/>
      <c r="B1010" s="133" t="str">
        <f>'Công trình'!B32</f>
        <v>AF.61311</v>
      </c>
      <c r="C1010" s="34"/>
      <c r="D1010" s="133" t="str">
        <f>'Công trình'!C32</f>
        <v>Sản xuất, lắp dựng cốt thép tường đường kính &lt;=10mm, chiều cao &lt;=4m</v>
      </c>
      <c r="E1010" s="168"/>
      <c r="F1010" s="20">
        <v>1</v>
      </c>
      <c r="G1010" s="45">
        <f>'Hao phí vật tư'!K232</f>
        <v>11.929</v>
      </c>
      <c r="H1010" s="166"/>
      <c r="I1010" s="166"/>
      <c r="J1010" s="166"/>
      <c r="K1010" s="166"/>
      <c r="L1010" s="156">
        <f>ROUND(G1010*K1001,2)</f>
        <v>0</v>
      </c>
      <c r="M1010" s="156">
        <f>ROUND(G1010*J1001,2)</f>
        <v>2539159.2200000002</v>
      </c>
    </row>
    <row r="1011" spans="1:13" ht="30" hidden="1" x14ac:dyDescent="0.25">
      <c r="A1011" s="168"/>
      <c r="B1011" s="133" t="str">
        <f>'Công trình'!B33</f>
        <v>AF.61321</v>
      </c>
      <c r="C1011" s="34"/>
      <c r="D1011" s="133" t="str">
        <f>'Công trình'!C33</f>
        <v>Sản xuất, lắp dựng cốt thép tường đường kính &lt;=18mm, chiều cao &lt;=4m</v>
      </c>
      <c r="E1011" s="168"/>
      <c r="F1011" s="20">
        <v>1</v>
      </c>
      <c r="G1011" s="45">
        <f>'Hao phí vật tư'!K241</f>
        <v>9.4408999999999992</v>
      </c>
      <c r="H1011" s="166"/>
      <c r="I1011" s="166"/>
      <c r="J1011" s="166"/>
      <c r="K1011" s="166"/>
      <c r="L1011" s="156">
        <f>ROUND(G1011*K1001,2)</f>
        <v>0</v>
      </c>
      <c r="M1011" s="156">
        <f>ROUND(G1011*J1001,2)</f>
        <v>2009552.21</v>
      </c>
    </row>
    <row r="1012" spans="1:13" ht="30" hidden="1" x14ac:dyDescent="0.25">
      <c r="A1012" s="168"/>
      <c r="B1012" s="133" t="str">
        <f>'Công trình'!B45</f>
        <v>AK.84422</v>
      </c>
      <c r="C1012" s="34"/>
      <c r="D1012" s="133" t="str">
        <f>'Công trình'!C45</f>
        <v>Sơn dầm, trần, cột, tường 1 nước lót + 2 nước phủ bằng sơn ICI Dulux</v>
      </c>
      <c r="E1012" s="168"/>
      <c r="F1012" s="20">
        <v>1</v>
      </c>
      <c r="G1012" s="45">
        <f>'Hao phí vật tư'!K349</f>
        <v>0.26400000000000001</v>
      </c>
      <c r="H1012" s="166"/>
      <c r="I1012" s="166"/>
      <c r="J1012" s="166"/>
      <c r="K1012" s="166"/>
      <c r="L1012" s="156">
        <f>ROUND(G1012*K1001,2)</f>
        <v>0</v>
      </c>
      <c r="M1012" s="156">
        <f>ROUND(G1012*J1001,2)</f>
        <v>56193.98</v>
      </c>
    </row>
    <row r="1013" spans="1:13" ht="30" hidden="1" x14ac:dyDescent="0.25">
      <c r="A1013" s="168"/>
      <c r="B1013" s="133" t="str">
        <f>'Công trình'!B60</f>
        <v>AF.61511</v>
      </c>
      <c r="C1013" s="34"/>
      <c r="D1013" s="133" t="str">
        <f>'Công trình'!C60</f>
        <v>Sản xuất, lắp dựng cốt thép xà dầm, giằng đường kính &lt;=10mm, chiều cao &lt;=4m</v>
      </c>
      <c r="E1013" s="168"/>
      <c r="F1013" s="20">
        <v>1</v>
      </c>
      <c r="G1013" s="45">
        <f>'Hao phí vật tư'!K458</f>
        <v>6.8348000000000004</v>
      </c>
      <c r="H1013" s="166"/>
      <c r="I1013" s="166"/>
      <c r="J1013" s="166"/>
      <c r="K1013" s="166"/>
      <c r="L1013" s="156">
        <f>ROUND(G1013*K1001,2)</f>
        <v>0</v>
      </c>
      <c r="M1013" s="156">
        <f>ROUND(G1013*J1001,2)</f>
        <v>1454828.19</v>
      </c>
    </row>
    <row r="1014" spans="1:13" ht="30" hidden="1" x14ac:dyDescent="0.25">
      <c r="A1014" s="168"/>
      <c r="B1014" s="133" t="str">
        <f>'Công trình'!B61</f>
        <v>AF.61521</v>
      </c>
      <c r="C1014" s="34"/>
      <c r="D1014" s="133" t="str">
        <f>'Công trình'!C61</f>
        <v>Sản xuất, lắp dựng cốt thép xà dầm, giằng đường kính &lt;=18mm, chiều cao &lt;=4m</v>
      </c>
      <c r="E1014" s="168"/>
      <c r="F1014" s="20">
        <v>1</v>
      </c>
      <c r="G1014" s="45">
        <f>'Hao phí vật tư'!K467</f>
        <v>18.373200000000001</v>
      </c>
      <c r="H1014" s="166"/>
      <c r="I1014" s="166"/>
      <c r="J1014" s="166"/>
      <c r="K1014" s="166"/>
      <c r="L1014" s="156">
        <f>ROUND(G1014*K1001,2)</f>
        <v>0</v>
      </c>
      <c r="M1014" s="156">
        <f>ROUND(G1014*J1001,2)</f>
        <v>3910845.86</v>
      </c>
    </row>
    <row r="1015" spans="1:13" hidden="1" x14ac:dyDescent="0.25">
      <c r="A1015" s="168"/>
      <c r="B1015" s="133" t="str">
        <f>'Công trình'!B57</f>
        <v>AF.12313</v>
      </c>
      <c r="C1015" s="34"/>
      <c r="D1015" s="133" t="str">
        <f>'Công trình'!C57</f>
        <v>Bê tông xà dầm, giằng đá 1x2, vữa BT mác 200</v>
      </c>
      <c r="E1015" s="168"/>
      <c r="F1015" s="20">
        <v>1</v>
      </c>
      <c r="G1015" s="45">
        <f>'Hao phí vật tư'!K426</f>
        <v>124.13720000000001</v>
      </c>
      <c r="H1015" s="166"/>
      <c r="I1015" s="166"/>
      <c r="J1015" s="166"/>
      <c r="K1015" s="166"/>
      <c r="L1015" s="156">
        <f>ROUND(G1015*K1001,2)</f>
        <v>0</v>
      </c>
      <c r="M1015" s="156">
        <f>ROUND(G1015*J1001,2)</f>
        <v>26423347.84</v>
      </c>
    </row>
    <row r="1016" spans="1:13" hidden="1" x14ac:dyDescent="0.25">
      <c r="A1016" s="168"/>
      <c r="B1016" s="133" t="str">
        <f>'Công trình'!B65</f>
        <v>AF.82511</v>
      </c>
      <c r="C1016" s="34"/>
      <c r="D1016" s="133" t="str">
        <f>'Công trình'!C65</f>
        <v>Sản xuất, lắp dựng tháo dỡ ván khuôn lát mái</v>
      </c>
      <c r="E1016" s="168"/>
      <c r="F1016" s="20">
        <v>1</v>
      </c>
      <c r="G1016" s="45">
        <f>'Hao phí vật tư'!K503</f>
        <v>12.6981</v>
      </c>
      <c r="H1016" s="166"/>
      <c r="I1016" s="166"/>
      <c r="J1016" s="166"/>
      <c r="K1016" s="166"/>
      <c r="L1016" s="156">
        <f>ROUND(G1016*K1001,2)</f>
        <v>0</v>
      </c>
      <c r="M1016" s="156">
        <f>ROUND(G1016*J1001,2)</f>
        <v>2702866.77</v>
      </c>
    </row>
    <row r="1017" spans="1:13" ht="30" hidden="1" x14ac:dyDescent="0.25">
      <c r="A1017" s="168"/>
      <c r="B1017" s="133" t="str">
        <f>'Công trình'!B69</f>
        <v>AG.13111</v>
      </c>
      <c r="C1017" s="34"/>
      <c r="D1017" s="133" t="str">
        <f>'Công trình'!C69</f>
        <v>Sản xuất, lắp dựng cốt thép BT đúc sẵn cọc, đường kính &lt;=10mm</v>
      </c>
      <c r="E1017" s="168"/>
      <c r="F1017" s="20">
        <v>1</v>
      </c>
      <c r="G1017" s="45">
        <f>'Hao phí vật tư'!K522</f>
        <v>32.8277</v>
      </c>
      <c r="H1017" s="166"/>
      <c r="I1017" s="166"/>
      <c r="J1017" s="166"/>
      <c r="K1017" s="166"/>
      <c r="L1017" s="156">
        <f>ROUND(G1017*K1001,2)</f>
        <v>0</v>
      </c>
      <c r="M1017" s="156">
        <f>ROUND(G1017*J1001,2)</f>
        <v>6987572.9100000001</v>
      </c>
    </row>
    <row r="1018" spans="1:13" ht="30" hidden="1" x14ac:dyDescent="0.25">
      <c r="A1018" s="168"/>
      <c r="B1018" s="133" t="str">
        <f>'Công trình'!B70</f>
        <v>AG.13121</v>
      </c>
      <c r="C1018" s="34"/>
      <c r="D1018" s="133" t="str">
        <f>'Công trình'!C70</f>
        <v>Sản xuất, lắp dựng cốt thép BT đúc sẵn cọc, đường kính &lt;=18mm</v>
      </c>
      <c r="E1018" s="168"/>
      <c r="F1018" s="20">
        <v>1</v>
      </c>
      <c r="G1018" s="45">
        <f>'Hao phí vật tư'!K531</f>
        <v>3.286</v>
      </c>
      <c r="H1018" s="166"/>
      <c r="I1018" s="166"/>
      <c r="J1018" s="166"/>
      <c r="K1018" s="166"/>
      <c r="L1018" s="156">
        <f>ROUND(G1018*K1001,2)</f>
        <v>0</v>
      </c>
      <c r="M1018" s="156">
        <f>ROUND(G1018*J1001,2)</f>
        <v>699444.82</v>
      </c>
    </row>
    <row r="1019" spans="1:13" ht="30" hidden="1" x14ac:dyDescent="0.25">
      <c r="A1019" s="168"/>
      <c r="B1019" s="133" t="str">
        <f>'Công trình'!B71</f>
        <v>AG.13131</v>
      </c>
      <c r="C1019" s="34"/>
      <c r="D1019" s="133" t="str">
        <f>'Công trình'!C71</f>
        <v>Sản xuất, lắp dựng cốt thép BT đúc sẵn cọc, đường kính &gt;18mm</v>
      </c>
      <c r="E1019" s="168"/>
      <c r="F1019" s="20">
        <v>1</v>
      </c>
      <c r="G1019" s="45">
        <f>'Hao phí vật tư'!K541</f>
        <v>94.060199999999995</v>
      </c>
      <c r="H1019" s="166"/>
      <c r="I1019" s="166"/>
      <c r="J1019" s="166"/>
      <c r="K1019" s="166"/>
      <c r="L1019" s="156">
        <f>ROUND(G1019*K1001,2)</f>
        <v>0</v>
      </c>
      <c r="M1019" s="156">
        <f>ROUND(G1019*J1001,2)</f>
        <v>20021277.93</v>
      </c>
    </row>
    <row r="1020" spans="1:13" ht="30" hidden="1" x14ac:dyDescent="0.25">
      <c r="A1020" s="168"/>
      <c r="B1020" s="133" t="str">
        <f>'Công trình'!B80</f>
        <v>AG.13111</v>
      </c>
      <c r="C1020" s="34"/>
      <c r="D1020" s="133" t="str">
        <f>'Công trình'!C80</f>
        <v>Sản xuất, lắp dựng cốt thép BT đúc sẵn cọc, đường kính &lt;=10mm</v>
      </c>
      <c r="E1020" s="168"/>
      <c r="F1020" s="20">
        <v>1</v>
      </c>
      <c r="G1020" s="45">
        <f>'Hao phí vật tư'!K638</f>
        <v>16.857800000000001</v>
      </c>
      <c r="H1020" s="166"/>
      <c r="I1020" s="166"/>
      <c r="J1020" s="166"/>
      <c r="K1020" s="166"/>
      <c r="L1020" s="156">
        <f>ROUND(G1020*K1001,2)</f>
        <v>0</v>
      </c>
      <c r="M1020" s="156">
        <f>ROUND(G1020*J1001,2)</f>
        <v>3588283.88</v>
      </c>
    </row>
    <row r="1021" spans="1:13" ht="30" hidden="1" x14ac:dyDescent="0.25">
      <c r="A1021" s="168"/>
      <c r="B1021" s="133" t="str">
        <f>'Công trình'!B81</f>
        <v>AG.13121</v>
      </c>
      <c r="C1021" s="34"/>
      <c r="D1021" s="133" t="str">
        <f>'Công trình'!C81</f>
        <v>Sản xuất, lắp dựng cốt thép BT đúc sẵn cọc, đường kính &lt;=18mm</v>
      </c>
      <c r="E1021" s="168"/>
      <c r="F1021" s="20">
        <v>1</v>
      </c>
      <c r="G1021" s="45">
        <f>'Hao phí vật tư'!K647</f>
        <v>1.7877000000000001</v>
      </c>
      <c r="H1021" s="166"/>
      <c r="I1021" s="166"/>
      <c r="J1021" s="166"/>
      <c r="K1021" s="166"/>
      <c r="L1021" s="156">
        <f>ROUND(G1021*K1001,2)</f>
        <v>0</v>
      </c>
      <c r="M1021" s="156">
        <f>ROUND(G1021*J1001,2)</f>
        <v>380522.67</v>
      </c>
    </row>
    <row r="1022" spans="1:13" ht="30" hidden="1" x14ac:dyDescent="0.25">
      <c r="A1022" s="168"/>
      <c r="B1022" s="133" t="str">
        <f>'Công trình'!B82</f>
        <v>AG.13131</v>
      </c>
      <c r="C1022" s="34"/>
      <c r="D1022" s="133" t="str">
        <f>'Công trình'!C82</f>
        <v>Sản xuất, lắp dựng cốt thép BT đúc sẵn cọc, đường kính &gt;18mm</v>
      </c>
      <c r="E1022" s="168"/>
      <c r="F1022" s="20">
        <v>1</v>
      </c>
      <c r="G1022" s="45">
        <f>'Hao phí vật tư'!K657</f>
        <v>49.7254</v>
      </c>
      <c r="H1022" s="166"/>
      <c r="I1022" s="166"/>
      <c r="J1022" s="166"/>
      <c r="K1022" s="166"/>
      <c r="L1022" s="156">
        <f>ROUND(G1022*K1001,2)</f>
        <v>0</v>
      </c>
      <c r="M1022" s="156">
        <f>ROUND(G1022*J1001,2)</f>
        <v>10584349.74</v>
      </c>
    </row>
    <row r="1023" spans="1:13" ht="30" hidden="1" x14ac:dyDescent="0.25">
      <c r="A1023" s="168"/>
      <c r="B1023" s="133" t="str">
        <f>'Công trình'!B95</f>
        <v>KH.0102</v>
      </c>
      <c r="C1023" s="34"/>
      <c r="D1023" s="133" t="str">
        <f>'Công trình'!C95</f>
        <v>Đóng cừ dừa bằng máy đào (TT theo MHĐM KH.0102  định mức 1751)</v>
      </c>
      <c r="E1023" s="168"/>
      <c r="F1023" s="20">
        <v>1</v>
      </c>
      <c r="G1023" s="45">
        <f>'Hao phí vật tư'!K770</f>
        <v>10.295999999999999</v>
      </c>
      <c r="H1023" s="166"/>
      <c r="I1023" s="166"/>
      <c r="J1023" s="166"/>
      <c r="K1023" s="166"/>
      <c r="L1023" s="156">
        <f>ROUND(G1023*K1001,2)</f>
        <v>0</v>
      </c>
      <c r="M1023" s="156">
        <f>ROUND(G1023*J1001,2)</f>
        <v>2191565.38</v>
      </c>
    </row>
    <row r="1024" spans="1:13" ht="30" hidden="1" x14ac:dyDescent="0.25">
      <c r="A1024" s="168"/>
      <c r="B1024" s="133" t="str">
        <f>'Công trình'!B101</f>
        <v>AF.61110</v>
      </c>
      <c r="C1024" s="34"/>
      <c r="D1024" s="133" t="str">
        <f>'Công trình'!C101</f>
        <v>Sản xuất, lắp dựng cốt thép móng đường kính &lt;=10mm</v>
      </c>
      <c r="E1024" s="168"/>
      <c r="F1024" s="20">
        <v>1</v>
      </c>
      <c r="G1024" s="45">
        <f>'Hao phí vật tư'!K821</f>
        <v>1.1162000000000001</v>
      </c>
      <c r="H1024" s="166"/>
      <c r="I1024" s="166"/>
      <c r="J1024" s="166"/>
      <c r="K1024" s="166"/>
      <c r="L1024" s="156">
        <f>ROUND(G1024*K1001,2)</f>
        <v>0</v>
      </c>
      <c r="M1024" s="156">
        <f>ROUND(G1024*J1001,2)</f>
        <v>237589.87</v>
      </c>
    </row>
    <row r="1025" spans="1:13" hidden="1" x14ac:dyDescent="0.25">
      <c r="A1025" s="168"/>
      <c r="B1025" s="133" t="str">
        <f>'Công trình'!B147</f>
        <v>AI.11411</v>
      </c>
      <c r="C1025" s="34"/>
      <c r="D1025" s="133" t="str">
        <f>'Công trình'!C147</f>
        <v>Sản xuất thang sắt</v>
      </c>
      <c r="E1025" s="168"/>
      <c r="F1025" s="20">
        <v>1</v>
      </c>
      <c r="G1025" s="45">
        <f>'Hao phí vật tư'!K1119</f>
        <v>2.1945000000000001</v>
      </c>
      <c r="H1025" s="166"/>
      <c r="I1025" s="166"/>
      <c r="J1025" s="166"/>
      <c r="K1025" s="166"/>
      <c r="L1025" s="156">
        <f>ROUND(G1025*K1001,2)</f>
        <v>0</v>
      </c>
      <c r="M1025" s="156">
        <f>ROUND(G1025*J1001,2)</f>
        <v>467112.49</v>
      </c>
    </row>
    <row r="1026" spans="1:13" ht="30" hidden="1" x14ac:dyDescent="0.25">
      <c r="A1026" s="168"/>
      <c r="B1026" s="133" t="str">
        <f>'Công trình'!B151</f>
        <v>TT</v>
      </c>
      <c r="C1026" s="34"/>
      <c r="D1026" s="133" t="str">
        <f>'Công trình'!C151</f>
        <v>Làm tầng lọc đá dăm 1x2 (Tính theo QĐ65/2003/029)</v>
      </c>
      <c r="E1026" s="168"/>
      <c r="F1026" s="20">
        <v>1</v>
      </c>
      <c r="G1026" s="45">
        <f>'Hao phí vật tư'!K1151</f>
        <v>16.033899999999999</v>
      </c>
      <c r="H1026" s="166"/>
      <c r="I1026" s="166"/>
      <c r="J1026" s="166"/>
      <c r="K1026" s="166"/>
      <c r="L1026" s="156">
        <f>ROUND(G1026*K1001,2)</f>
        <v>0</v>
      </c>
      <c r="M1026" s="156">
        <f>ROUND(G1026*J1001,2)</f>
        <v>3412911.82</v>
      </c>
    </row>
    <row r="1027" spans="1:13" ht="30" hidden="1" x14ac:dyDescent="0.25">
      <c r="A1027" s="168"/>
      <c r="B1027" s="133" t="str">
        <f>'Công trình'!B183</f>
        <v>AF.61110</v>
      </c>
      <c r="C1027" s="34"/>
      <c r="D1027" s="133" t="str">
        <f>'Công trình'!C183</f>
        <v>Sản xuất, lắp dựng cốt thép bản dẫn đường kính &lt;=10mm</v>
      </c>
      <c r="E1027" s="168"/>
      <c r="F1027" s="20">
        <v>1</v>
      </c>
      <c r="G1027" s="45">
        <f>'Hao phí vật tư'!K1400</f>
        <v>0.15060000000000001</v>
      </c>
      <c r="H1027" s="166"/>
      <c r="I1027" s="166"/>
      <c r="J1027" s="166"/>
      <c r="K1027" s="166"/>
      <c r="L1027" s="156">
        <f>ROUND(G1027*K1001,2)</f>
        <v>0</v>
      </c>
      <c r="M1027" s="156">
        <f>ROUND(G1027*J1001,2)</f>
        <v>32056.11</v>
      </c>
    </row>
    <row r="1028" spans="1:13" ht="30" hidden="1" x14ac:dyDescent="0.25">
      <c r="A1028" s="168"/>
      <c r="B1028" s="133" t="str">
        <f>'Công trình'!B184</f>
        <v>AF.61120</v>
      </c>
      <c r="C1028" s="34"/>
      <c r="D1028" s="133" t="str">
        <f>'Công trình'!C184</f>
        <v>Sản xuất, lắp dựng cốt thép bản dẫn đường kính &lt;=18mm</v>
      </c>
      <c r="E1028" s="168"/>
      <c r="F1028" s="20">
        <v>1</v>
      </c>
      <c r="G1028" s="45">
        <f>'Hao phí vật tư'!K1409</f>
        <v>8.2957999999999998</v>
      </c>
      <c r="H1028" s="166"/>
      <c r="I1028" s="166"/>
      <c r="J1028" s="166"/>
      <c r="K1028" s="166"/>
      <c r="L1028" s="156">
        <f>ROUND(G1028*K1001,2)</f>
        <v>0</v>
      </c>
      <c r="M1028" s="156">
        <f>ROUND(G1028*J1001,2)</f>
        <v>1765810.8</v>
      </c>
    </row>
    <row r="1029" spans="1:13" hidden="1" x14ac:dyDescent="0.25">
      <c r="A1029" s="168"/>
      <c r="B1029" s="133" t="str">
        <f>'Công trình'!B196</f>
        <v>AF.14315</v>
      </c>
      <c r="C1029" s="34"/>
      <c r="D1029" s="133" t="str">
        <f>'Công trình'!C196</f>
        <v>Bê tông mặt cầu đá 1x2, vữa BT mác 300</v>
      </c>
      <c r="E1029" s="168"/>
      <c r="F1029" s="20">
        <v>1</v>
      </c>
      <c r="G1029" s="45">
        <f>'Hao phí vật tư'!K1503</f>
        <v>157.52799999999999</v>
      </c>
      <c r="H1029" s="166"/>
      <c r="I1029" s="166"/>
      <c r="J1029" s="166"/>
      <c r="K1029" s="166"/>
      <c r="L1029" s="156">
        <f>ROUND(G1029*K1001,2)</f>
        <v>0</v>
      </c>
      <c r="M1029" s="156">
        <f>ROUND(G1029*J1001,2)</f>
        <v>33530779.969999999</v>
      </c>
    </row>
    <row r="1030" spans="1:13" ht="30" hidden="1" x14ac:dyDescent="0.25">
      <c r="A1030" s="168"/>
      <c r="B1030" s="133" t="str">
        <f>'Công trình'!B202</f>
        <v>AF.61711</v>
      </c>
      <c r="C1030" s="34"/>
      <c r="D1030" s="133" t="str">
        <f>'Công trình'!C202</f>
        <v>Sản xuất, lắp dựng cốt thép mặt cầu đường kính &lt;=10mm, chiều cao &lt;=16m</v>
      </c>
      <c r="E1030" s="168"/>
      <c r="F1030" s="20">
        <v>1</v>
      </c>
      <c r="G1030" s="45">
        <f>'Hao phí vật tư'!K1568</f>
        <v>1.2523</v>
      </c>
      <c r="H1030" s="166"/>
      <c r="I1030" s="166"/>
      <c r="J1030" s="166"/>
      <c r="K1030" s="166"/>
      <c r="L1030" s="156">
        <f>ROUND(G1030*K1001,2)</f>
        <v>0</v>
      </c>
      <c r="M1030" s="156">
        <f>ROUND(G1030*J1001,2)</f>
        <v>266559.57</v>
      </c>
    </row>
    <row r="1031" spans="1:13" ht="30" hidden="1" x14ac:dyDescent="0.25">
      <c r="A1031" s="168"/>
      <c r="B1031" s="133" t="str">
        <f>'Công trình'!B204</f>
        <v>AF.61721</v>
      </c>
      <c r="C1031" s="34"/>
      <c r="D1031" s="133" t="str">
        <f>'Công trình'!C204</f>
        <v>Sản xuất, lắp dựng cốt thép mặt cầu đường kính &gt;10mm, chiều cao &lt;=16m</v>
      </c>
      <c r="E1031" s="168"/>
      <c r="F1031" s="20">
        <v>1</v>
      </c>
      <c r="G1031" s="45">
        <f>'Hao phí vật tư'!K1578</f>
        <v>112.71559999999999</v>
      </c>
      <c r="H1031" s="166"/>
      <c r="I1031" s="166"/>
      <c r="J1031" s="166"/>
      <c r="K1031" s="166"/>
      <c r="L1031" s="156">
        <f>ROUND(G1031*K1001,2)</f>
        <v>0</v>
      </c>
      <c r="M1031" s="156">
        <f>ROUND(G1031*J1001,2)</f>
        <v>23992191.75</v>
      </c>
    </row>
    <row r="1032" spans="1:13" ht="30" hidden="1" x14ac:dyDescent="0.25">
      <c r="A1032" s="168"/>
      <c r="B1032" s="133" t="str">
        <f>'Công trình'!B218</f>
        <v>AF.61120</v>
      </c>
      <c r="C1032" s="34"/>
      <c r="D1032" s="133" t="str">
        <f>'Công trình'!C218</f>
        <v>Sản xuất, lắp dựng cốt thép móng đường kính &lt;=18mm</v>
      </c>
      <c r="E1032" s="168"/>
      <c r="F1032" s="20">
        <v>1</v>
      </c>
      <c r="G1032" s="45">
        <f>'Hao phí vật tư'!K1649</f>
        <v>2.5929000000000002</v>
      </c>
      <c r="H1032" s="166"/>
      <c r="I1032" s="166"/>
      <c r="J1032" s="166"/>
      <c r="K1032" s="166"/>
      <c r="L1032" s="156">
        <f>ROUND(G1032*K1001,2)</f>
        <v>0</v>
      </c>
      <c r="M1032" s="156">
        <f>ROUND(G1032*J1001,2)</f>
        <v>551914.31999999995</v>
      </c>
    </row>
    <row r="1033" spans="1:13" hidden="1" x14ac:dyDescent="0.25">
      <c r="A1033" s="168"/>
      <c r="B1033" s="133" t="str">
        <f>'Công trình'!B220</f>
        <v>AF.61110</v>
      </c>
      <c r="C1033" s="34"/>
      <c r="D1033" s="133" t="str">
        <f>'Công trình'!C220</f>
        <v>Sản xuất, lắp dựng cốt thép đường kính &lt;=10mm</v>
      </c>
      <c r="E1033" s="168"/>
      <c r="F1033" s="20">
        <v>1</v>
      </c>
      <c r="G1033" s="45">
        <f>'Hao phí vật tư'!K1658</f>
        <v>0.16980000000000001</v>
      </c>
      <c r="H1033" s="166"/>
      <c r="I1033" s="166"/>
      <c r="J1033" s="166"/>
      <c r="K1033" s="166"/>
      <c r="L1033" s="156">
        <f>ROUND(G1033*K1001,2)</f>
        <v>0</v>
      </c>
      <c r="M1033" s="156">
        <f>ROUND(G1033*J1001,2)</f>
        <v>36142.949999999997</v>
      </c>
    </row>
    <row r="1034" spans="1:13" hidden="1" x14ac:dyDescent="0.25">
      <c r="A1034" s="168"/>
      <c r="B1034" s="133" t="str">
        <f>'Công trình'!B221</f>
        <v>AF.61120</v>
      </c>
      <c r="C1034" s="34"/>
      <c r="D1034" s="133" t="str">
        <f>'Công trình'!C221</f>
        <v>Sản xuất, lắp dựng cốt thép đường kính &lt;=18mm</v>
      </c>
      <c r="E1034" s="168"/>
      <c r="F1034" s="20">
        <v>1</v>
      </c>
      <c r="G1034" s="45">
        <f>'Hao phí vật tư'!K1667</f>
        <v>14.7835</v>
      </c>
      <c r="H1034" s="166"/>
      <c r="I1034" s="166"/>
      <c r="J1034" s="166"/>
      <c r="K1034" s="166"/>
      <c r="L1034" s="156">
        <f>ROUND(G1034*K1001,2)</f>
        <v>0</v>
      </c>
      <c r="M1034" s="156">
        <f>ROUND(G1034*J1001,2)</f>
        <v>3146756.68</v>
      </c>
    </row>
    <row r="1035" spans="1:13" ht="30" hidden="1" x14ac:dyDescent="0.25">
      <c r="A1035" s="168"/>
      <c r="B1035" s="133" t="str">
        <f>'Công trình'!B226</f>
        <v>AG.13111</v>
      </c>
      <c r="C1035" s="34"/>
      <c r="D1035" s="133" t="str">
        <f>'Công trình'!C226</f>
        <v>Sản xuất, lắp dựng cốt thép BT đúc sẵn cọc, đường kính &lt;=10mm</v>
      </c>
      <c r="E1035" s="168"/>
      <c r="F1035" s="20">
        <v>1</v>
      </c>
      <c r="G1035" s="45">
        <f>'Hao phí vật tư'!K1698</f>
        <v>34.845500000000001</v>
      </c>
      <c r="H1035" s="166"/>
      <c r="I1035" s="166"/>
      <c r="J1035" s="166"/>
      <c r="K1035" s="166"/>
      <c r="L1035" s="156">
        <f>ROUND(G1035*K1001,2)</f>
        <v>0</v>
      </c>
      <c r="M1035" s="156">
        <f>ROUND(G1035*J1001,2)</f>
        <v>7417073.75</v>
      </c>
    </row>
    <row r="1036" spans="1:13" ht="30" hidden="1" x14ac:dyDescent="0.25">
      <c r="A1036" s="168"/>
      <c r="B1036" s="133" t="str">
        <f>'Công trình'!B227</f>
        <v>AG.13121</v>
      </c>
      <c r="C1036" s="34"/>
      <c r="D1036" s="133" t="str">
        <f>'Công trình'!C227</f>
        <v>Sản xuất, lắp dựng cốt thép BT đúc sẵn cọc, đường kính &lt;=18mm</v>
      </c>
      <c r="E1036" s="168"/>
      <c r="F1036" s="20">
        <v>1</v>
      </c>
      <c r="G1036" s="45">
        <f>'Hao phí vật tư'!K1707</f>
        <v>3.3523999999999998</v>
      </c>
      <c r="H1036" s="166"/>
      <c r="I1036" s="166"/>
      <c r="J1036" s="166"/>
      <c r="K1036" s="166"/>
      <c r="L1036" s="156">
        <f>ROUND(G1036*K1001,2)</f>
        <v>0</v>
      </c>
      <c r="M1036" s="156">
        <f>ROUND(G1036*J1001,2)</f>
        <v>713578.45</v>
      </c>
    </row>
    <row r="1037" spans="1:13" ht="30" hidden="1" x14ac:dyDescent="0.25">
      <c r="A1037" s="168"/>
      <c r="B1037" s="133" t="str">
        <f>'Công trình'!B228</f>
        <v>AG.13131</v>
      </c>
      <c r="C1037" s="34"/>
      <c r="D1037" s="133" t="str">
        <f>'Công trình'!C228</f>
        <v>Sản xuất, lắp dựng cốt thép BT đúc sẵn cọc, đường kính &gt;18mm</v>
      </c>
      <c r="E1037" s="168"/>
      <c r="F1037" s="20">
        <v>1</v>
      </c>
      <c r="G1037" s="45">
        <f>'Hao phí vật tư'!K1717</f>
        <v>99.705399999999997</v>
      </c>
      <c r="H1037" s="166"/>
      <c r="I1037" s="166"/>
      <c r="J1037" s="166"/>
      <c r="K1037" s="166"/>
      <c r="L1037" s="156">
        <f>ROUND(G1037*K1001,2)</f>
        <v>0</v>
      </c>
      <c r="M1037" s="156">
        <f>ROUND(G1037*J1001,2)</f>
        <v>21222892.620000001</v>
      </c>
    </row>
    <row r="1038" spans="1:13" ht="30" hidden="1" x14ac:dyDescent="0.25">
      <c r="A1038" s="168"/>
      <c r="B1038" s="133" t="str">
        <f>'Công trình'!B247</f>
        <v>AF.12313</v>
      </c>
      <c r="C1038" s="34"/>
      <c r="D1038" s="133" t="str">
        <f>'Công trình'!C247</f>
        <v>Bê tông dầm chặn chân, đá 1x2, vữa BT mác 200</v>
      </c>
      <c r="E1038" s="168"/>
      <c r="F1038" s="20">
        <v>1</v>
      </c>
      <c r="G1038" s="45">
        <f>'Hao phí vật tư'!K1871</f>
        <v>63.510399999999997</v>
      </c>
      <c r="H1038" s="166"/>
      <c r="I1038" s="166"/>
      <c r="J1038" s="166"/>
      <c r="K1038" s="166"/>
      <c r="L1038" s="156">
        <f>ROUND(G1038*K1001,2)</f>
        <v>0</v>
      </c>
      <c r="M1038" s="156">
        <f>ROUND(G1038*J1001,2)</f>
        <v>13518569.699999999</v>
      </c>
    </row>
    <row r="1039" spans="1:13" ht="30" hidden="1" x14ac:dyDescent="0.25">
      <c r="A1039" s="168"/>
      <c r="B1039" s="133" t="str">
        <f>'Công trình'!B255</f>
        <v>AF.14325</v>
      </c>
      <c r="C1039" s="34"/>
      <c r="D1039" s="133" t="str">
        <f>'Công trình'!C255</f>
        <v>Bê tông lan can, gờ chắn đá 1x2, vữa BT mác 300</v>
      </c>
      <c r="E1039" s="168"/>
      <c r="F1039" s="20">
        <v>1</v>
      </c>
      <c r="G1039" s="45">
        <f>'Hao phí vật tư'!K1942</f>
        <v>96.435000000000002</v>
      </c>
      <c r="H1039" s="166"/>
      <c r="I1039" s="166"/>
      <c r="J1039" s="166"/>
      <c r="K1039" s="166"/>
      <c r="L1039" s="156">
        <f>ROUND(G1039*K1001,2)</f>
        <v>0</v>
      </c>
      <c r="M1039" s="156">
        <f>ROUND(G1039*J1001,2)</f>
        <v>20526768.359999999</v>
      </c>
    </row>
    <row r="1040" spans="1:13" hidden="1" x14ac:dyDescent="0.25">
      <c r="A1040" s="168"/>
      <c r="B1040" s="133" t="str">
        <f>'Công trình'!B257</f>
        <v>AF.61110</v>
      </c>
      <c r="C1040" s="34"/>
      <c r="D1040" s="133" t="str">
        <f>'Công trình'!C257</f>
        <v>Sản xuất, lắp dựng cốt thép đường kính &lt;=10mm</v>
      </c>
      <c r="E1040" s="168"/>
      <c r="F1040" s="20">
        <v>1</v>
      </c>
      <c r="G1040" s="45">
        <f>'Hao phí vật tư'!K1964</f>
        <v>18.8886</v>
      </c>
      <c r="H1040" s="166"/>
      <c r="I1040" s="166"/>
      <c r="J1040" s="166"/>
      <c r="K1040" s="166"/>
      <c r="L1040" s="156">
        <f>ROUND(G1040*K1001,2)</f>
        <v>0</v>
      </c>
      <c r="M1040" s="156">
        <f>ROUND(G1040*J1001,2)</f>
        <v>4020551.84</v>
      </c>
    </row>
    <row r="1041" spans="1:13" hidden="1" x14ac:dyDescent="0.25">
      <c r="A1041" s="168"/>
      <c r="B1041" s="133" t="str">
        <f>'Công trình'!B258</f>
        <v>AF.61120</v>
      </c>
      <c r="C1041" s="34"/>
      <c r="D1041" s="133" t="str">
        <f>'Công trình'!C258</f>
        <v>Sản xuất, lắp dựng cốt thép đường kính &lt;=18mm</v>
      </c>
      <c r="E1041" s="168"/>
      <c r="F1041" s="20">
        <v>1</v>
      </c>
      <c r="G1041" s="45">
        <f>'Hao phí vật tư'!K1973</f>
        <v>5.3091999999999997</v>
      </c>
      <c r="H1041" s="166"/>
      <c r="I1041" s="166"/>
      <c r="J1041" s="166"/>
      <c r="K1041" s="166"/>
      <c r="L1041" s="156">
        <f>ROUND(G1041*K1001,2)</f>
        <v>0</v>
      </c>
      <c r="M1041" s="156">
        <f>ROUND(G1041*J1001,2)</f>
        <v>1130095.08</v>
      </c>
    </row>
    <row r="1042" spans="1:13" hidden="1" x14ac:dyDescent="0.25">
      <c r="A1042" s="168"/>
      <c r="B1042" s="133" t="str">
        <f>'Công trình'!B283</f>
        <v>AK.90122</v>
      </c>
      <c r="C1042" s="34"/>
      <c r="D1042" s="133" t="str">
        <f>'Công trình'!C283</f>
        <v>Sơn trắng đỏ</v>
      </c>
      <c r="E1042" s="168"/>
      <c r="F1042" s="20">
        <v>1</v>
      </c>
      <c r="G1042" s="45">
        <f>'Hao phí vật tư'!K2119</f>
        <v>4.9215999999999998</v>
      </c>
      <c r="H1042" s="166"/>
      <c r="I1042" s="166"/>
      <c r="J1042" s="166"/>
      <c r="K1042" s="166"/>
      <c r="L1042" s="156">
        <f>ROUND(G1042*K1001,2)</f>
        <v>0</v>
      </c>
      <c r="M1042" s="156">
        <f>ROUND(G1042*J1001,2)</f>
        <v>1047592.09</v>
      </c>
    </row>
    <row r="1043" spans="1:13" hidden="1" x14ac:dyDescent="0.25">
      <c r="A1043" s="168"/>
      <c r="B1043" s="133" t="str">
        <f>'Công trình'!B292</f>
        <v>AK.90122</v>
      </c>
      <c r="C1043" s="34"/>
      <c r="D1043" s="133" t="str">
        <f>'Công trình'!C292</f>
        <v>Sơn trắng đỏ</v>
      </c>
      <c r="E1043" s="168"/>
      <c r="F1043" s="20">
        <v>1</v>
      </c>
      <c r="G1043" s="45">
        <f>'Hao phí vật tư'!K2197</f>
        <v>4.9215999999999998</v>
      </c>
      <c r="H1043" s="166"/>
      <c r="I1043" s="166"/>
      <c r="J1043" s="166"/>
      <c r="K1043" s="166"/>
      <c r="L1043" s="156">
        <f>ROUND(G1043*K1001,2)</f>
        <v>0</v>
      </c>
      <c r="M1043" s="156">
        <f>ROUND(G1043*J1001,2)</f>
        <v>1047592.09</v>
      </c>
    </row>
    <row r="1044" spans="1:13" ht="30" hidden="1" x14ac:dyDescent="0.25">
      <c r="A1044" s="168"/>
      <c r="B1044" s="133" t="str">
        <f>'Công trình'!B302</f>
        <v>AF.61110</v>
      </c>
      <c r="C1044" s="34"/>
      <c r="D1044" s="133" t="str">
        <f>'Công trình'!C302</f>
        <v>Sản xuất, lắp dựng cốt thép móng đường kính &lt;=10mm</v>
      </c>
      <c r="E1044" s="168"/>
      <c r="F1044" s="20">
        <v>1</v>
      </c>
      <c r="G1044" s="45">
        <f>'Hao phí vật tư'!K2268</f>
        <v>1.3086</v>
      </c>
      <c r="H1044" s="166"/>
      <c r="I1044" s="166"/>
      <c r="J1044" s="166"/>
      <c r="K1044" s="166"/>
      <c r="L1044" s="156">
        <f>ROUND(G1044*K1001,2)</f>
        <v>0</v>
      </c>
      <c r="M1044" s="156">
        <f>ROUND(G1044*J1001,2)</f>
        <v>278543.35999999999</v>
      </c>
    </row>
    <row r="1045" spans="1:13" hidden="1" x14ac:dyDescent="0.25">
      <c r="A1045" s="168"/>
      <c r="B1045" s="133" t="str">
        <f>'Công trình'!B304</f>
        <v>AK.90122</v>
      </c>
      <c r="C1045" s="34"/>
      <c r="D1045" s="133" t="str">
        <f>'Công trình'!C304</f>
        <v>Sơn trắng đỏ</v>
      </c>
      <c r="E1045" s="168"/>
      <c r="F1045" s="20">
        <v>1</v>
      </c>
      <c r="G1045" s="45">
        <f>'Hao phí vật tư'!K2285</f>
        <v>3.96</v>
      </c>
      <c r="H1045" s="166"/>
      <c r="I1045" s="166"/>
      <c r="J1045" s="166"/>
      <c r="K1045" s="166"/>
      <c r="L1045" s="156">
        <f>ROUND(G1045*K1001,2)</f>
        <v>0</v>
      </c>
      <c r="M1045" s="156">
        <f>ROUND(G1045*J1001,2)</f>
        <v>842909.76</v>
      </c>
    </row>
    <row r="1046" spans="1:13" ht="30" hidden="1" x14ac:dyDescent="0.25">
      <c r="A1046" s="168"/>
      <c r="B1046" s="133" t="str">
        <f>'Công trình'!B8</f>
        <v>AF.12144</v>
      </c>
      <c r="C1046" s="34"/>
      <c r="D1046" s="133" t="str">
        <f>'Công trình'!C8</f>
        <v>Bê tông tường dày &gt;45cm, chiều cao &lt;=16m đá 1x2, vữa BT mác 250</v>
      </c>
      <c r="E1046" s="168"/>
      <c r="F1046" s="20">
        <v>1</v>
      </c>
      <c r="G1046" s="45">
        <f>'Hao phí vật tư'!K33</f>
        <v>634.64649999999995</v>
      </c>
      <c r="H1046" s="166"/>
      <c r="I1046" s="166"/>
      <c r="J1046" s="166"/>
      <c r="K1046" s="166"/>
      <c r="L1046" s="156">
        <f>ROUND(G1046*K1001,2)</f>
        <v>0</v>
      </c>
      <c r="M1046" s="156">
        <f>ROUND(G1046*J1001,2)</f>
        <v>135088315.40000001</v>
      </c>
    </row>
    <row r="1047" spans="1:13" hidden="1" x14ac:dyDescent="0.25">
      <c r="A1047" s="168"/>
      <c r="B1047" s="133" t="str">
        <f>'Công trình'!B47</f>
        <v>035.41</v>
      </c>
      <c r="C1047" s="34"/>
      <c r="D1047" s="133" t="str">
        <f>'Công trình'!C47</f>
        <v>Thả rọ thép đá hộc, loai rọ 2x1x0.5 trên cạn</v>
      </c>
      <c r="E1047" s="168"/>
      <c r="F1047" s="20">
        <v>1</v>
      </c>
      <c r="G1047" s="45">
        <f>'Hao phí vật tư'!K355</f>
        <v>323.7</v>
      </c>
      <c r="H1047" s="166"/>
      <c r="I1047" s="166"/>
      <c r="J1047" s="166"/>
      <c r="K1047" s="166"/>
      <c r="L1047" s="156">
        <f>ROUND(G1047*K1001,2)</f>
        <v>0</v>
      </c>
      <c r="M1047" s="156">
        <f>ROUND(G1047*J1001,2)</f>
        <v>68901487.200000003</v>
      </c>
    </row>
    <row r="1048" spans="1:13" hidden="1" x14ac:dyDescent="0.25">
      <c r="A1048" s="168"/>
      <c r="B1048" s="133" t="str">
        <f>'Công trình'!B48</f>
        <v>035.41</v>
      </c>
      <c r="C1048" s="34"/>
      <c r="D1048" s="133" t="str">
        <f>'Công trình'!C48</f>
        <v>Thả rọ thép đá hộc, loai rọ 2x1x0.3 trên cạn</v>
      </c>
      <c r="E1048" s="168"/>
      <c r="F1048" s="20">
        <v>1</v>
      </c>
      <c r="G1048" s="45">
        <f>'Hao phí vật tư'!K361</f>
        <v>960.98599999999999</v>
      </c>
      <c r="H1048" s="166"/>
      <c r="I1048" s="166"/>
      <c r="J1048" s="166"/>
      <c r="K1048" s="166"/>
      <c r="L1048" s="156">
        <f>ROUND(G1048*K1001,2)</f>
        <v>0</v>
      </c>
      <c r="M1048" s="156">
        <f>ROUND(G1048*J1001,2)</f>
        <v>204551636.02000001</v>
      </c>
    </row>
    <row r="1049" spans="1:13" hidden="1" x14ac:dyDescent="0.25">
      <c r="A1049" s="168"/>
      <c r="B1049" s="133" t="str">
        <f>'Công trình'!B170</f>
        <v>035.41</v>
      </c>
      <c r="C1049" s="34"/>
      <c r="D1049" s="133" t="str">
        <f>'Công trình'!C170</f>
        <v>Thả rọ thép đá hộc, loai rọ 2x1x0.5 trên cạn</v>
      </c>
      <c r="E1049" s="168"/>
      <c r="F1049" s="20">
        <v>1</v>
      </c>
      <c r="G1049" s="45">
        <f>'Hao phí vật tư'!K1292</f>
        <v>38.844000000000001</v>
      </c>
      <c r="H1049" s="166"/>
      <c r="I1049" s="166"/>
      <c r="J1049" s="166"/>
      <c r="K1049" s="166"/>
      <c r="L1049" s="156">
        <f>ROUND(G1049*K1001,2)</f>
        <v>0</v>
      </c>
      <c r="M1049" s="156">
        <f>ROUND(G1049*J1001,2)</f>
        <v>8268178.46</v>
      </c>
    </row>
    <row r="1050" spans="1:13" ht="30" hidden="1" x14ac:dyDescent="0.25">
      <c r="A1050" s="168"/>
      <c r="B1050" s="133" t="str">
        <f>'Công trình'!B230</f>
        <v>AG.32321</v>
      </c>
      <c r="C1050" s="34"/>
      <c r="D1050" s="133" t="str">
        <f>'Công trình'!C230</f>
        <v>Sản xuất, lắp dựng, tháo dỡ ván khuôn thép bê tông đúc sẵn cọc, cột</v>
      </c>
      <c r="E1050" s="168"/>
      <c r="F1050" s="20">
        <v>1</v>
      </c>
      <c r="G1050" s="45">
        <f>'Hao phí vật tư'!K1744</f>
        <v>115.8536</v>
      </c>
      <c r="H1050" s="166"/>
      <c r="I1050" s="166"/>
      <c r="J1050" s="166"/>
      <c r="K1050" s="166"/>
      <c r="L1050" s="156">
        <f>ROUND(G1050*K1001,2)</f>
        <v>0</v>
      </c>
      <c r="M1050" s="156">
        <f>ROUND(G1050*J1001,2)</f>
        <v>24660133.879999999</v>
      </c>
    </row>
    <row r="1051" spans="1:13" ht="30" hidden="1" x14ac:dyDescent="0.25">
      <c r="A1051" s="168"/>
      <c r="B1051" s="133" t="str">
        <f>'Công trình'!B56</f>
        <v>AG.32511</v>
      </c>
      <c r="C1051" s="34"/>
      <c r="D1051" s="133" t="str">
        <f>'Công trình'!C56</f>
        <v>Sản xuất, lắp dựng, tháo dỡ ván khuôn thép bê tông đúc sẵn tấm tự chèn</v>
      </c>
      <c r="E1051" s="168"/>
      <c r="F1051" s="20">
        <v>1</v>
      </c>
      <c r="G1051" s="45">
        <f>'Hao phí vật tư'!K414</f>
        <v>229.9059</v>
      </c>
      <c r="H1051" s="166"/>
      <c r="I1051" s="166"/>
      <c r="J1051" s="166"/>
      <c r="K1051" s="166"/>
      <c r="L1051" s="156">
        <f>ROUND(G1051*K1001,2)</f>
        <v>0</v>
      </c>
      <c r="M1051" s="156">
        <f>ROUND(G1051*J1001,2)</f>
        <v>48936850.25</v>
      </c>
    </row>
    <row r="1052" spans="1:13" ht="30" hidden="1" x14ac:dyDescent="0.25">
      <c r="A1052" s="168"/>
      <c r="B1052" s="133" t="str">
        <f>'Công trình'!B251</f>
        <v>AG.32511</v>
      </c>
      <c r="C1052" s="34"/>
      <c r="D1052" s="133" t="str">
        <f>'Công trình'!C251</f>
        <v>Sản xuất, lắp dựng, tháo dỡ ván khuôn thép bê tông đúc sẵn nắp đan, tấm chớp</v>
      </c>
      <c r="E1052" s="168"/>
      <c r="F1052" s="20">
        <v>1</v>
      </c>
      <c r="G1052" s="45">
        <f>'Hao phí vật tư'!K1916</f>
        <v>293.70600000000002</v>
      </c>
      <c r="H1052" s="166"/>
      <c r="I1052" s="166"/>
      <c r="J1052" s="166"/>
      <c r="K1052" s="166"/>
      <c r="L1052" s="156">
        <f>ROUND(G1052*K1001,2)</f>
        <v>0</v>
      </c>
      <c r="M1052" s="156">
        <f>ROUND(G1052*J1001,2)</f>
        <v>62517084.340000004</v>
      </c>
    </row>
    <row r="1053" spans="1:13" ht="30" hidden="1" x14ac:dyDescent="0.25">
      <c r="A1053" s="168"/>
      <c r="B1053" s="133" t="str">
        <f>'Công trình'!B73</f>
        <v>AG.32321</v>
      </c>
      <c r="C1053" s="34"/>
      <c r="D1053" s="133" t="str">
        <f>'Công trình'!C73</f>
        <v>Sản xuất, lắp dựng, tháo dỡ ván khuôn thép bê tông đúc sẵn cọc</v>
      </c>
      <c r="E1053" s="168"/>
      <c r="F1053" s="20">
        <v>1</v>
      </c>
      <c r="G1053" s="45">
        <f>'Hao phí vật tư'!K568</f>
        <v>107.081</v>
      </c>
      <c r="H1053" s="166"/>
      <c r="I1053" s="166"/>
      <c r="J1053" s="166"/>
      <c r="K1053" s="166"/>
      <c r="L1053" s="156">
        <f>ROUND(G1053*K1001,2)</f>
        <v>0</v>
      </c>
      <c r="M1053" s="156">
        <f>ROUND(G1053*J1001,2)</f>
        <v>22792833.34</v>
      </c>
    </row>
    <row r="1054" spans="1:13" ht="30" hidden="1" x14ac:dyDescent="0.25">
      <c r="A1054" s="168"/>
      <c r="B1054" s="133" t="str">
        <f>'Công trình'!B84</f>
        <v>AG.32321</v>
      </c>
      <c r="C1054" s="34"/>
      <c r="D1054" s="133" t="str">
        <f>'Công trình'!C84</f>
        <v>Sản xuất, lắp dựng, tháo dỡ ván khuôn thép bê tông đúc sẵn cọc</v>
      </c>
      <c r="E1054" s="168"/>
      <c r="F1054" s="20">
        <v>1</v>
      </c>
      <c r="G1054" s="45">
        <f>'Hao phí vật tư'!K684</f>
        <v>48.455199999999998</v>
      </c>
      <c r="H1054" s="166"/>
      <c r="I1054" s="166"/>
      <c r="J1054" s="166"/>
      <c r="K1054" s="166"/>
      <c r="L1054" s="156">
        <f>ROUND(G1054*K1001,2)</f>
        <v>0</v>
      </c>
      <c r="M1054" s="156">
        <f>ROUND(G1054*J1001,2)</f>
        <v>10313980.050000001</v>
      </c>
    </row>
    <row r="1055" spans="1:13" hidden="1" x14ac:dyDescent="0.25">
      <c r="A1055" s="168"/>
      <c r="B1055" s="133" t="str">
        <f>'Công trình'!B24</f>
        <v>AF.61130</v>
      </c>
      <c r="C1055" s="34"/>
      <c r="D1055" s="133" t="str">
        <f>'Công trình'!C24</f>
        <v>Neo dầm mang cống bằng thép D32 SUS304</v>
      </c>
      <c r="E1055" s="168"/>
      <c r="F1055" s="20">
        <v>1</v>
      </c>
      <c r="G1055" s="45">
        <f>'Hao phí vật tư'!K171</f>
        <v>3.9420999999999999</v>
      </c>
      <c r="H1055" s="166"/>
      <c r="I1055" s="166"/>
      <c r="J1055" s="166"/>
      <c r="K1055" s="166"/>
      <c r="L1055" s="156">
        <f>ROUND(G1055*K1001,2)</f>
        <v>0</v>
      </c>
      <c r="M1055" s="156">
        <f>ROUND(G1055*J1001,2)</f>
        <v>839099.64</v>
      </c>
    </row>
    <row r="1056" spans="1:13" hidden="1" x14ac:dyDescent="0.25">
      <c r="A1056" s="168"/>
      <c r="B1056" s="133" t="str">
        <f>'Công trình'!B34</f>
        <v>AF.12313</v>
      </c>
      <c r="C1056" s="34"/>
      <c r="D1056" s="133" t="str">
        <f>'Công trình'!C34</f>
        <v>Bê tông dầm, giằng đá 1x2, vữa BT mác 200</v>
      </c>
      <c r="E1056" s="168"/>
      <c r="F1056" s="20">
        <v>1</v>
      </c>
      <c r="G1056" s="45">
        <f>'Hao phí vật tư'!K253</f>
        <v>36.739199999999997</v>
      </c>
      <c r="H1056" s="166"/>
      <c r="I1056" s="166"/>
      <c r="J1056" s="166"/>
      <c r="K1056" s="166"/>
      <c r="L1056" s="156">
        <f>ROUND(G1056*K1001,2)</f>
        <v>0</v>
      </c>
      <c r="M1056" s="156">
        <f>ROUND(G1056*J1001,2)</f>
        <v>7820159.1600000001</v>
      </c>
    </row>
    <row r="1057" spans="1:13" ht="30" hidden="1" x14ac:dyDescent="0.25">
      <c r="A1057" s="168"/>
      <c r="B1057" s="133" t="str">
        <f>'Công trình'!B37</f>
        <v>AF.61521</v>
      </c>
      <c r="C1057" s="34"/>
      <c r="D1057" s="133" t="str">
        <f>'Công trình'!C37</f>
        <v>Sản xuất, lắp dựng cốt thép xà dầm, giằng đường kính &lt;=18mm, chiều cao &lt;=4m</v>
      </c>
      <c r="E1057" s="168"/>
      <c r="F1057" s="20">
        <v>1</v>
      </c>
      <c r="G1057" s="45">
        <f>'Hao phí vật tư'!K285</f>
        <v>2.7349000000000001</v>
      </c>
      <c r="H1057" s="166"/>
      <c r="I1057" s="166"/>
      <c r="J1057" s="166"/>
      <c r="K1057" s="166"/>
      <c r="L1057" s="156">
        <f>ROUND(G1057*K1001,2)</f>
        <v>0</v>
      </c>
      <c r="M1057" s="156">
        <f>ROUND(G1057*J1001,2)</f>
        <v>582139.87</v>
      </c>
    </row>
    <row r="1058" spans="1:13" ht="30" hidden="1" x14ac:dyDescent="0.25">
      <c r="A1058" s="168"/>
      <c r="B1058" s="133" t="str">
        <f>'Công trình'!B36</f>
        <v>AF.61511</v>
      </c>
      <c r="C1058" s="34"/>
      <c r="D1058" s="133" t="str">
        <f>'Công trình'!C36</f>
        <v>Sản xuất, lắp dựng cốt thép xà dầm, giằng đường kính &lt;=10mm, chiều cao &lt;=4m</v>
      </c>
      <c r="E1058" s="168"/>
      <c r="F1058" s="20">
        <v>1</v>
      </c>
      <c r="G1058" s="45">
        <f>'Hao phí vật tư'!K276</f>
        <v>6.0880000000000001</v>
      </c>
      <c r="H1058" s="166"/>
      <c r="I1058" s="166"/>
      <c r="J1058" s="166"/>
      <c r="K1058" s="166"/>
      <c r="L1058" s="156">
        <f>ROUND(G1058*K1001,2)</f>
        <v>0</v>
      </c>
      <c r="M1058" s="156">
        <f>ROUND(G1058*J1001,2)</f>
        <v>1295867.33</v>
      </c>
    </row>
    <row r="1059" spans="1:13" x14ac:dyDescent="0.25">
      <c r="A1059" s="168">
        <v>3</v>
      </c>
      <c r="B1059" s="84" t="s">
        <v>464</v>
      </c>
      <c r="C1059" s="34">
        <v>554</v>
      </c>
      <c r="D1059" s="144" t="s">
        <v>63</v>
      </c>
      <c r="E1059" s="168" t="s">
        <v>450</v>
      </c>
      <c r="F1059" s="34"/>
      <c r="G1059" s="60">
        <f>SUM(G1060:G1081)</f>
        <v>679.79959999999994</v>
      </c>
      <c r="H1059" s="166">
        <v>239519</v>
      </c>
      <c r="I1059" s="166">
        <v>239519</v>
      </c>
      <c r="J1059" s="166">
        <f>'Nhân công'!M103</f>
        <v>239519</v>
      </c>
      <c r="K1059" s="166">
        <f>J1059-H1059</f>
        <v>0</v>
      </c>
      <c r="L1059" s="166">
        <f>ROUND(G1059*K1059,0)</f>
        <v>0</v>
      </c>
      <c r="M1059" s="166">
        <f>ROUND(G1059*J1059,0)</f>
        <v>162824920</v>
      </c>
    </row>
    <row r="1060" spans="1:13" hidden="1" x14ac:dyDescent="0.25">
      <c r="A1060" s="168"/>
      <c r="B1060" s="133" t="str">
        <f>'Công trình'!B28</f>
        <v>AL.16122</v>
      </c>
      <c r="C1060" s="34"/>
      <c r="D1060" s="133" t="str">
        <f>'Công trình'!C28</f>
        <v>Rải vải địa kỹ thuật làm móng công trình</v>
      </c>
      <c r="E1060" s="168"/>
      <c r="F1060" s="20">
        <v>1</v>
      </c>
      <c r="G1060" s="45">
        <f>'Hao phí vật tư'!K198</f>
        <v>8.7479999999999993</v>
      </c>
      <c r="H1060" s="166"/>
      <c r="I1060" s="166"/>
      <c r="J1060" s="166"/>
      <c r="K1060" s="166"/>
      <c r="L1060" s="156">
        <f>ROUND(G1060*K1059,2)</f>
        <v>0</v>
      </c>
      <c r="M1060" s="156">
        <f>ROUND(G1060*J1059,2)</f>
        <v>2095312.21</v>
      </c>
    </row>
    <row r="1061" spans="1:13" ht="30" hidden="1" x14ac:dyDescent="0.25">
      <c r="A1061" s="168"/>
      <c r="B1061" s="133" t="str">
        <f>'Công trình'!B42</f>
        <v>AC.11121</v>
      </c>
      <c r="C1061" s="34"/>
      <c r="D1061" s="133" t="str">
        <f>'Công trình'!C42</f>
        <v>Đóng cọc tràm chiều dài cọc ngập đất &gt;2,5m đất cấp I</v>
      </c>
      <c r="E1061" s="168"/>
      <c r="F1061" s="20">
        <v>1</v>
      </c>
      <c r="G1061" s="45">
        <f>'Hao phí vật tư'!K318</f>
        <v>0.68310000000000004</v>
      </c>
      <c r="H1061" s="166"/>
      <c r="I1061" s="166"/>
      <c r="J1061" s="166"/>
      <c r="K1061" s="166"/>
      <c r="L1061" s="156">
        <f>ROUND(G1061*K1059,2)</f>
        <v>0</v>
      </c>
      <c r="M1061" s="156">
        <f>ROUND(G1061*J1059,2)</f>
        <v>163615.43</v>
      </c>
    </row>
    <row r="1062" spans="1:13" hidden="1" x14ac:dyDescent="0.25">
      <c r="A1062" s="168"/>
      <c r="B1062" s="133" t="str">
        <f>'Công trình'!B49</f>
        <v>AL.16122</v>
      </c>
      <c r="C1062" s="34"/>
      <c r="D1062" s="133" t="str">
        <f>'Công trình'!C49</f>
        <v>Rải vải địa kỹ thuật làm móng công trình</v>
      </c>
      <c r="E1062" s="168"/>
      <c r="F1062" s="20">
        <v>1</v>
      </c>
      <c r="G1062" s="45">
        <f>'Hao phí vật tư'!K367</f>
        <v>25.695</v>
      </c>
      <c r="H1062" s="166"/>
      <c r="I1062" s="166"/>
      <c r="J1062" s="166"/>
      <c r="K1062" s="166"/>
      <c r="L1062" s="156">
        <f>ROUND(G1062*K1059,2)</f>
        <v>0</v>
      </c>
      <c r="M1062" s="156">
        <f>ROUND(G1062*J1059,2)</f>
        <v>6154440.71</v>
      </c>
    </row>
    <row r="1063" spans="1:13" ht="30" hidden="1" x14ac:dyDescent="0.25">
      <c r="A1063" s="168"/>
      <c r="B1063" s="133" t="str">
        <f>'Công trình'!B50</f>
        <v>AC.11121</v>
      </c>
      <c r="C1063" s="34"/>
      <c r="D1063" s="133" t="str">
        <f>'Công trình'!C50</f>
        <v>Đóng cọc tràm chiều dài cọc ngập đất &gt;2,5m đất cấp I</v>
      </c>
      <c r="E1063" s="168"/>
      <c r="F1063" s="20">
        <v>1</v>
      </c>
      <c r="G1063" s="45">
        <f>'Hao phí vật tư'!K375</f>
        <v>338.47609999999997</v>
      </c>
      <c r="H1063" s="166"/>
      <c r="I1063" s="166"/>
      <c r="J1063" s="166"/>
      <c r="K1063" s="166"/>
      <c r="L1063" s="156">
        <f>ROUND(G1063*K1059,2)</f>
        <v>0</v>
      </c>
      <c r="M1063" s="156">
        <f>ROUND(G1063*J1059,2)</f>
        <v>81071457</v>
      </c>
    </row>
    <row r="1064" spans="1:13" hidden="1" x14ac:dyDescent="0.25">
      <c r="A1064" s="168"/>
      <c r="B1064" s="133" t="str">
        <f>'Công trình'!B53</f>
        <v>AL.16122</v>
      </c>
      <c r="C1064" s="34"/>
      <c r="D1064" s="133" t="str">
        <f>'Công trình'!C53</f>
        <v>Rải vải địa kỹ thuật làm móng công trình</v>
      </c>
      <c r="E1064" s="168"/>
      <c r="F1064" s="20">
        <v>1</v>
      </c>
      <c r="G1064" s="45">
        <f>'Hao phí vật tư'!K392</f>
        <v>8.2634000000000007</v>
      </c>
      <c r="H1064" s="166"/>
      <c r="I1064" s="166"/>
      <c r="J1064" s="166"/>
      <c r="K1064" s="166"/>
      <c r="L1064" s="156">
        <f>ROUND(G1064*K1059,2)</f>
        <v>0</v>
      </c>
      <c r="M1064" s="156">
        <f>ROUND(G1064*J1059,2)</f>
        <v>1979241.3</v>
      </c>
    </row>
    <row r="1065" spans="1:13" ht="30" hidden="1" x14ac:dyDescent="0.25">
      <c r="A1065" s="168"/>
      <c r="B1065" s="133" t="str">
        <f>'Công trình'!B96</f>
        <v>AC.11121</v>
      </c>
      <c r="C1065" s="34"/>
      <c r="D1065" s="133" t="str">
        <f>'Công trình'!C96</f>
        <v>Đóng cọc tràm chiều dài cọc ngập đất &gt;2,5m đất cấp I</v>
      </c>
      <c r="E1065" s="168"/>
      <c r="F1065" s="20">
        <v>1</v>
      </c>
      <c r="G1065" s="45">
        <f>'Hao phí vật tư'!K780</f>
        <v>54.648000000000003</v>
      </c>
      <c r="H1065" s="166"/>
      <c r="I1065" s="166"/>
      <c r="J1065" s="166"/>
      <c r="K1065" s="166"/>
      <c r="L1065" s="156">
        <f>ROUND(G1065*K1059,2)</f>
        <v>0</v>
      </c>
      <c r="M1065" s="156">
        <f>ROUND(G1065*J1059,2)</f>
        <v>13089234.310000001</v>
      </c>
    </row>
    <row r="1066" spans="1:13" hidden="1" x14ac:dyDescent="0.25">
      <c r="A1066" s="168"/>
      <c r="B1066" s="133" t="str">
        <f>'Công trình'!B97</f>
        <v>AL.16122</v>
      </c>
      <c r="C1066" s="34"/>
      <c r="D1066" s="133" t="str">
        <f>'Công trình'!C97</f>
        <v>Rải vải địa kỹ thuật làm móng công trình</v>
      </c>
      <c r="E1066" s="168"/>
      <c r="F1066" s="20">
        <v>1</v>
      </c>
      <c r="G1066" s="45">
        <f>'Hao phí vật tư'!K786</f>
        <v>5.3136000000000001</v>
      </c>
      <c r="H1066" s="166"/>
      <c r="I1066" s="166"/>
      <c r="J1066" s="166"/>
      <c r="K1066" s="166"/>
      <c r="L1066" s="156">
        <f>ROUND(G1066*K1059,2)</f>
        <v>0</v>
      </c>
      <c r="M1066" s="156">
        <f>ROUND(G1066*J1059,2)</f>
        <v>1272708.1599999999</v>
      </c>
    </row>
    <row r="1067" spans="1:13" ht="30" hidden="1" x14ac:dyDescent="0.25">
      <c r="A1067" s="168"/>
      <c r="B1067" s="133" t="str">
        <f>'Công trình'!B86</f>
        <v>AC.17111</v>
      </c>
      <c r="C1067" s="34"/>
      <c r="D1067" s="133" t="str">
        <f>'Công trình'!C86</f>
        <v>Đóng cọc BTCT 30x30 chiều dài &lt;=24m trên mặt nước bằng tàu đóng cọc búa 1,8T</v>
      </c>
      <c r="E1067" s="168"/>
      <c r="F1067" s="20">
        <v>1</v>
      </c>
      <c r="G1067" s="45">
        <f>'Hao phí vật tư'!K709</f>
        <v>17.654399999999999</v>
      </c>
      <c r="H1067" s="166"/>
      <c r="I1067" s="166"/>
      <c r="J1067" s="166"/>
      <c r="K1067" s="166"/>
      <c r="L1067" s="156">
        <f>ROUND(G1067*K1059,2)</f>
        <v>0</v>
      </c>
      <c r="M1067" s="156">
        <f>ROUND(G1067*J1059,2)</f>
        <v>4228564.2300000004</v>
      </c>
    </row>
    <row r="1068" spans="1:13" ht="30" hidden="1" x14ac:dyDescent="0.25">
      <c r="A1068" s="168"/>
      <c r="B1068" s="133" t="str">
        <f>'Công trình'!B75</f>
        <v>AC.17112</v>
      </c>
      <c r="C1068" s="34"/>
      <c r="D1068" s="133" t="str">
        <f>'Công trình'!C75</f>
        <v>Đóng cọc BTCT 35x35 chiều dài &lt;=24m trên mặt nước bằng tàu đóng cọc búa 1,8T</v>
      </c>
      <c r="E1068" s="168"/>
      <c r="F1068" s="20">
        <v>1</v>
      </c>
      <c r="G1068" s="45">
        <f>'Hao phí vật tư'!K593</f>
        <v>34.816000000000003</v>
      </c>
      <c r="H1068" s="166"/>
      <c r="I1068" s="166"/>
      <c r="J1068" s="166"/>
      <c r="K1068" s="166"/>
      <c r="L1068" s="156">
        <f>ROUND(G1068*K1059,2)</f>
        <v>0</v>
      </c>
      <c r="M1068" s="156">
        <f>ROUND(G1068*J1059,2)</f>
        <v>8339093.5</v>
      </c>
    </row>
    <row r="1069" spans="1:13" ht="30" hidden="1" x14ac:dyDescent="0.25">
      <c r="A1069" s="168"/>
      <c r="B1069" s="133" t="str">
        <f>'Công trình'!B107</f>
        <v>AC.17112</v>
      </c>
      <c r="C1069" s="34"/>
      <c r="D1069" s="133" t="str">
        <f>'Công trình'!C107</f>
        <v>Đóng cọc âm BTCT 35x35 chiều dài &lt;=24m trên mặt nước bằng tàu đóng cọc búa 1,8T</v>
      </c>
      <c r="E1069" s="168"/>
      <c r="F1069" s="20">
        <v>1</v>
      </c>
      <c r="G1069" s="45">
        <f>'Hao phí vật tư'!K856</f>
        <v>14.28</v>
      </c>
      <c r="H1069" s="166"/>
      <c r="I1069" s="166"/>
      <c r="J1069" s="166"/>
      <c r="K1069" s="166"/>
      <c r="L1069" s="156">
        <f>ROUND(G1069*K1059,2)</f>
        <v>0</v>
      </c>
      <c r="M1069" s="156">
        <f>ROUND(G1069*J1059,2)</f>
        <v>3420331.32</v>
      </c>
    </row>
    <row r="1070" spans="1:13" ht="30" hidden="1" x14ac:dyDescent="0.25">
      <c r="A1070" s="168"/>
      <c r="B1070" s="133" t="str">
        <f>'Công trình'!B149</f>
        <v>AC.11121</v>
      </c>
      <c r="C1070" s="34"/>
      <c r="D1070" s="133" t="str">
        <f>'Công trình'!C149</f>
        <v>Đóng cọc tràm chiều dài cọc ngập đất &gt;2,5m đất cấp I</v>
      </c>
      <c r="E1070" s="168"/>
      <c r="F1070" s="20">
        <v>1</v>
      </c>
      <c r="G1070" s="45">
        <f>'Hao phí vật tư'!K1140</f>
        <v>53.509500000000003</v>
      </c>
      <c r="H1070" s="166"/>
      <c r="I1070" s="166"/>
      <c r="J1070" s="166"/>
      <c r="K1070" s="166"/>
      <c r="L1070" s="156">
        <f>ROUND(G1070*K1059,2)</f>
        <v>0</v>
      </c>
      <c r="M1070" s="156">
        <f>ROUND(G1070*J1059,2)</f>
        <v>12816541.93</v>
      </c>
    </row>
    <row r="1071" spans="1:13" hidden="1" x14ac:dyDescent="0.25">
      <c r="A1071" s="168"/>
      <c r="B1071" s="133" t="str">
        <f>'Công trình'!B150</f>
        <v>AL.16122</v>
      </c>
      <c r="C1071" s="34"/>
      <c r="D1071" s="133" t="str">
        <f>'Công trình'!C150</f>
        <v>Rải vải địa kỹ thuật làm móng công trình</v>
      </c>
      <c r="E1071" s="168"/>
      <c r="F1071" s="20">
        <v>1</v>
      </c>
      <c r="G1071" s="45">
        <f>'Hao phí vật tư'!K1146</f>
        <v>0.79069999999999996</v>
      </c>
      <c r="H1071" s="166"/>
      <c r="I1071" s="166"/>
      <c r="J1071" s="166"/>
      <c r="K1071" s="166"/>
      <c r="L1071" s="156">
        <f>ROUND(G1071*K1059,2)</f>
        <v>0</v>
      </c>
      <c r="M1071" s="156">
        <f>ROUND(G1071*J1059,2)</f>
        <v>189387.67</v>
      </c>
    </row>
    <row r="1072" spans="1:13" hidden="1" x14ac:dyDescent="0.25">
      <c r="A1072" s="168"/>
      <c r="B1072" s="133" t="str">
        <f>'Công trình'!B222</f>
        <v>AL.16210</v>
      </c>
      <c r="C1072" s="34"/>
      <c r="D1072" s="133" t="str">
        <f>'Công trình'!C222</f>
        <v>Giấy dầu</v>
      </c>
      <c r="E1072" s="168"/>
      <c r="F1072" s="20">
        <v>1</v>
      </c>
      <c r="G1072" s="45">
        <f>'Hao phí vật tư'!K1676</f>
        <v>0.34360000000000002</v>
      </c>
      <c r="H1072" s="166"/>
      <c r="I1072" s="166"/>
      <c r="J1072" s="166"/>
      <c r="K1072" s="166"/>
      <c r="L1072" s="156">
        <f>ROUND(G1072*K1059,2)</f>
        <v>0</v>
      </c>
      <c r="M1072" s="156">
        <f>ROUND(G1072*J1059,2)</f>
        <v>82298.73</v>
      </c>
    </row>
    <row r="1073" spans="1:13" ht="30" hidden="1" x14ac:dyDescent="0.25">
      <c r="A1073" s="168"/>
      <c r="B1073" s="133" t="str">
        <f>'Công trình'!B232</f>
        <v>AC.14114</v>
      </c>
      <c r="C1073" s="34"/>
      <c r="D1073" s="133" t="str">
        <f>'Công trình'!C232</f>
        <v>Đóng cọc BTCT 35x35 chiều dài &lt;=24m trên mặt đất, trọng lượng đầu búa 1,8T, đất cấp I</v>
      </c>
      <c r="E1073" s="168"/>
      <c r="F1073" s="20">
        <v>1</v>
      </c>
      <c r="G1073" s="45">
        <f>'Hao phí vật tư'!K1769</f>
        <v>14.448</v>
      </c>
      <c r="H1073" s="166"/>
      <c r="I1073" s="166"/>
      <c r="J1073" s="166"/>
      <c r="K1073" s="166"/>
      <c r="L1073" s="156">
        <f>ROUND(G1073*K1059,2)</f>
        <v>0</v>
      </c>
      <c r="M1073" s="156">
        <f>ROUND(G1073*J1059,2)</f>
        <v>3460570.51</v>
      </c>
    </row>
    <row r="1074" spans="1:13" ht="45" hidden="1" x14ac:dyDescent="0.25">
      <c r="A1074" s="168"/>
      <c r="B1074" s="133" t="str">
        <f>'Công trình'!B233</f>
        <v>AC.14114</v>
      </c>
      <c r="C1074" s="34"/>
      <c r="D1074" s="133" t="str">
        <f>'Công trình'!C233</f>
        <v>Đóng cọc xiên BTCT 35x35 chiều dài &lt;=24m trên mặt đất, trọng lượng đầu búa 1,8T, đất cấp I (HS NC, MTC x 1,22)</v>
      </c>
      <c r="E1074" s="168"/>
      <c r="F1074" s="20">
        <v>1</v>
      </c>
      <c r="G1074" s="45">
        <f>'Hao phí vật tư'!K1778</f>
        <v>35.253100000000003</v>
      </c>
      <c r="H1074" s="166"/>
      <c r="I1074" s="166"/>
      <c r="J1074" s="166"/>
      <c r="K1074" s="166"/>
      <c r="L1074" s="156">
        <f>ROUND(G1074*K1059,2)</f>
        <v>0</v>
      </c>
      <c r="M1074" s="156">
        <f>ROUND(G1074*J1059,2)</f>
        <v>8443787.2599999998</v>
      </c>
    </row>
    <row r="1075" spans="1:13" ht="30" hidden="1" x14ac:dyDescent="0.25">
      <c r="A1075" s="168"/>
      <c r="B1075" s="133" t="str">
        <f>'Công trình'!B236</f>
        <v>AC.14114</v>
      </c>
      <c r="C1075" s="34"/>
      <c r="D1075" s="133" t="str">
        <f>'Công trình'!C236</f>
        <v>Đóng cọc âm chiều dài &lt;=24m trên mặt đất, trọng lượng đầu búa 1,8T, đất cấp I</v>
      </c>
      <c r="E1075" s="168"/>
      <c r="F1075" s="20">
        <v>1</v>
      </c>
      <c r="G1075" s="45">
        <f>'Hao phí vật tư'!K1807</f>
        <v>2.1671999999999998</v>
      </c>
      <c r="H1075" s="166"/>
      <c r="I1075" s="166"/>
      <c r="J1075" s="166"/>
      <c r="K1075" s="166"/>
      <c r="L1075" s="156">
        <f>ROUND(G1075*K1059,2)</f>
        <v>0</v>
      </c>
      <c r="M1075" s="156">
        <f>ROUND(G1075*J1059,2)</f>
        <v>519085.58</v>
      </c>
    </row>
    <row r="1076" spans="1:13" hidden="1" x14ac:dyDescent="0.25">
      <c r="A1076" s="168"/>
      <c r="B1076" s="133" t="str">
        <f>'Công trình'!B253</f>
        <v>AL.16122</v>
      </c>
      <c r="C1076" s="34"/>
      <c r="D1076" s="133" t="str">
        <f>'Công trình'!C253</f>
        <v>Rải vải địa kỹ thuật làm móng công trình</v>
      </c>
      <c r="E1076" s="168"/>
      <c r="F1076" s="20">
        <v>1</v>
      </c>
      <c r="G1076" s="45">
        <f>'Hao phí vật tư'!K1933</f>
        <v>21.470800000000001</v>
      </c>
      <c r="H1076" s="166"/>
      <c r="I1076" s="166"/>
      <c r="J1076" s="166"/>
      <c r="K1076" s="166"/>
      <c r="L1076" s="156">
        <f>ROUND(G1076*K1059,2)</f>
        <v>0</v>
      </c>
      <c r="M1076" s="156">
        <f>ROUND(G1076*J1059,2)</f>
        <v>5142664.55</v>
      </c>
    </row>
    <row r="1077" spans="1:13" ht="30" hidden="1" x14ac:dyDescent="0.25">
      <c r="A1077" s="168"/>
      <c r="B1077" s="133" t="str">
        <f>'Công trình'!B259</f>
        <v>BB.14309</v>
      </c>
      <c r="C1077" s="34"/>
      <c r="D1077" s="133" t="str">
        <f>'Công trình'!C259</f>
        <v>Lắp đặt ống thép tráng kẽm, đoạn ống dài 8m, đk=110mm</v>
      </c>
      <c r="E1077" s="168"/>
      <c r="F1077" s="20">
        <v>1</v>
      </c>
      <c r="G1077" s="45">
        <f>'Hao phí vật tư'!K1983</f>
        <v>6.5970000000000004</v>
      </c>
      <c r="H1077" s="166"/>
      <c r="I1077" s="166"/>
      <c r="J1077" s="166"/>
      <c r="K1077" s="166"/>
      <c r="L1077" s="156">
        <f>ROUND(G1077*K1059,2)</f>
        <v>0</v>
      </c>
      <c r="M1077" s="156">
        <f>ROUND(G1077*J1059,2)</f>
        <v>1580106.84</v>
      </c>
    </row>
    <row r="1078" spans="1:13" hidden="1" x14ac:dyDescent="0.25">
      <c r="A1078" s="168"/>
      <c r="B1078" s="133" t="str">
        <f>'Công trình'!B260</f>
        <v>BB.26119</v>
      </c>
      <c r="C1078" s="34"/>
      <c r="D1078" s="133" t="str">
        <f>'Công trình'!C260</f>
        <v>Cút nối 90 độ thép mạ kẽm</v>
      </c>
      <c r="E1078" s="168"/>
      <c r="F1078" s="20">
        <v>1</v>
      </c>
      <c r="G1078" s="45">
        <f>'Hao phí vật tư'!K1989</f>
        <v>4.4000000000000004</v>
      </c>
      <c r="H1078" s="166"/>
      <c r="I1078" s="166"/>
      <c r="J1078" s="166"/>
      <c r="K1078" s="166"/>
      <c r="L1078" s="156">
        <f>ROUND(G1078*K1059,2)</f>
        <v>0</v>
      </c>
      <c r="M1078" s="156">
        <f>ROUND(G1078*J1059,2)</f>
        <v>1053883.6000000001</v>
      </c>
    </row>
    <row r="1079" spans="1:13" hidden="1" x14ac:dyDescent="0.25">
      <c r="A1079" s="168"/>
      <c r="B1079" s="133" t="str">
        <f>'Công trình'!B268</f>
        <v>BB.14211</v>
      </c>
      <c r="C1079" s="34"/>
      <c r="D1079" s="133" t="str">
        <f>'Công trình'!C268</f>
        <v>Ống thép Þ120 dày 2 mm</v>
      </c>
      <c r="E1079" s="168"/>
      <c r="F1079" s="20">
        <v>1</v>
      </c>
      <c r="G1079" s="45">
        <f>'Hao phí vật tư'!K2047</f>
        <v>27.881699999999999</v>
      </c>
      <c r="H1079" s="166"/>
      <c r="I1079" s="166"/>
      <c r="J1079" s="166"/>
      <c r="K1079" s="166"/>
      <c r="L1079" s="156">
        <f>ROUND(G1079*K1059,2)</f>
        <v>0</v>
      </c>
      <c r="M1079" s="156">
        <f>ROUND(G1079*J1059,2)</f>
        <v>6678196.9000000004</v>
      </c>
    </row>
    <row r="1080" spans="1:13" ht="30" hidden="1" x14ac:dyDescent="0.25">
      <c r="A1080" s="168"/>
      <c r="B1080" s="133" t="str">
        <f>'Công trình'!B271</f>
        <v>AC.11121</v>
      </c>
      <c r="C1080" s="34"/>
      <c r="D1080" s="133" t="str">
        <f>'Công trình'!C271</f>
        <v>Đóng cọc tràm chiều dài cọc ngập đất &gt;2,5m đất cấp I</v>
      </c>
      <c r="E1080" s="168"/>
      <c r="F1080" s="20">
        <v>1</v>
      </c>
      <c r="G1080" s="45">
        <f>'Hao phí vật tư'!K2073</f>
        <v>3.036</v>
      </c>
      <c r="H1080" s="166"/>
      <c r="I1080" s="166"/>
      <c r="J1080" s="166"/>
      <c r="K1080" s="166"/>
      <c r="L1080" s="156">
        <f>ROUND(G1080*K1059,2)</f>
        <v>0</v>
      </c>
      <c r="M1080" s="156">
        <f>ROUND(G1080*J1059,2)</f>
        <v>727179.68</v>
      </c>
    </row>
    <row r="1081" spans="1:13" hidden="1" x14ac:dyDescent="0.25">
      <c r="A1081" s="168"/>
      <c r="B1081" s="133" t="str">
        <f>'Công trình'!B289</f>
        <v>BB.14306</v>
      </c>
      <c r="C1081" s="34"/>
      <c r="D1081" s="133" t="str">
        <f>'Công trình'!C289</f>
        <v>Ống thép D80mm, dày 2.9mm, mạ kẽm</v>
      </c>
      <c r="E1081" s="168"/>
      <c r="F1081" s="20">
        <v>1</v>
      </c>
      <c r="G1081" s="45">
        <f>'Hao phí vật tư'!K2166</f>
        <v>1.3244</v>
      </c>
      <c r="H1081" s="166"/>
      <c r="I1081" s="166"/>
      <c r="J1081" s="166"/>
      <c r="K1081" s="166"/>
      <c r="L1081" s="156">
        <f>ROUND(G1081*K1059,2)</f>
        <v>0</v>
      </c>
      <c r="M1081" s="156">
        <f>ROUND(G1081*J1059,2)</f>
        <v>317218.96000000002</v>
      </c>
    </row>
    <row r="1082" spans="1:13" x14ac:dyDescent="0.25">
      <c r="A1082" s="168">
        <v>4</v>
      </c>
      <c r="B1082" s="84" t="s">
        <v>601</v>
      </c>
      <c r="C1082" s="34">
        <v>559</v>
      </c>
      <c r="D1082" s="144" t="s">
        <v>1046</v>
      </c>
      <c r="E1082" s="168" t="s">
        <v>450</v>
      </c>
      <c r="F1082" s="34"/>
      <c r="G1082" s="60">
        <f>SUM(G1083:G1085)</f>
        <v>99.759999999999991</v>
      </c>
      <c r="H1082" s="166">
        <v>247112</v>
      </c>
      <c r="I1082" s="166">
        <v>247112</v>
      </c>
      <c r="J1082" s="166">
        <f>'Nhân công'!M126</f>
        <v>247112</v>
      </c>
      <c r="K1082" s="166">
        <f>J1082-H1082</f>
        <v>0</v>
      </c>
      <c r="L1082" s="166">
        <f>ROUND(G1082*K1082,0)</f>
        <v>0</v>
      </c>
      <c r="M1082" s="166">
        <f>ROUND(G1082*J1082,0)</f>
        <v>24651893</v>
      </c>
    </row>
    <row r="1083" spans="1:13" hidden="1" x14ac:dyDescent="0.25">
      <c r="A1083" s="168"/>
      <c r="B1083" s="133" t="str">
        <f>'Công trình'!B269</f>
        <v>AD.32411</v>
      </c>
      <c r="C1083" s="34"/>
      <c r="D1083" s="133" t="str">
        <f>'Công trình'!C269</f>
        <v>Biển báo (1.2 x 1.2)m</v>
      </c>
      <c r="E1083" s="168"/>
      <c r="F1083" s="20">
        <v>1</v>
      </c>
      <c r="G1083" s="45">
        <f>'Hao phí vật tư'!K2060</f>
        <v>93.16</v>
      </c>
      <c r="H1083" s="166"/>
      <c r="I1083" s="166"/>
      <c r="J1083" s="166"/>
      <c r="K1083" s="166"/>
      <c r="L1083" s="156">
        <f>ROUND(G1083*K1082,2)</f>
        <v>0</v>
      </c>
      <c r="M1083" s="156">
        <f>ROUND(G1083*J1082,2)</f>
        <v>23020953.920000002</v>
      </c>
    </row>
    <row r="1084" spans="1:13" ht="30" hidden="1" x14ac:dyDescent="0.25">
      <c r="A1084" s="168"/>
      <c r="B1084" s="133" t="str">
        <f>'Công trình'!B290</f>
        <v>AD.32421</v>
      </c>
      <c r="C1084" s="34"/>
      <c r="D1084" s="133" t="str">
        <f>'Công trình'!C290</f>
        <v>Biển báo bằng tôn hình tròn D70cm, dày 1.2mm, sơn phản quang (Biển 115)</v>
      </c>
      <c r="E1084" s="168"/>
      <c r="F1084" s="20">
        <v>1</v>
      </c>
      <c r="G1084" s="45">
        <f>'Hao phí vật tư'!K2176</f>
        <v>2.88</v>
      </c>
      <c r="H1084" s="166"/>
      <c r="I1084" s="166"/>
      <c r="J1084" s="166"/>
      <c r="K1084" s="166"/>
      <c r="L1084" s="156">
        <f>ROUND(G1084*K1082,2)</f>
        <v>0</v>
      </c>
      <c r="M1084" s="156">
        <f>ROUND(G1084*J1082,2)</f>
        <v>711682.56000000006</v>
      </c>
    </row>
    <row r="1085" spans="1:13" hidden="1" x14ac:dyDescent="0.25">
      <c r="A1085" s="168"/>
      <c r="B1085" s="133" t="str">
        <f>'Công trình'!B291</f>
        <v>AD.32441</v>
      </c>
      <c r="C1085" s="34"/>
      <c r="D1085" s="133" t="str">
        <f>'Công trình'!C291</f>
        <v>Biển hình chữ nhật (40x60) (biển 439)</v>
      </c>
      <c r="E1085" s="168"/>
      <c r="F1085" s="20">
        <v>1</v>
      </c>
      <c r="G1085" s="45">
        <f>'Hao phí vật tư'!K2188</f>
        <v>3.72</v>
      </c>
      <c r="H1085" s="166"/>
      <c r="I1085" s="166"/>
      <c r="J1085" s="166"/>
      <c r="K1085" s="166"/>
      <c r="L1085" s="156">
        <f>ROUND(G1085*K1082,2)</f>
        <v>0</v>
      </c>
      <c r="M1085" s="156">
        <f>ROUND(G1085*J1082,2)</f>
        <v>919256.64</v>
      </c>
    </row>
    <row r="1086" spans="1:13" x14ac:dyDescent="0.25">
      <c r="A1086" s="168">
        <v>5</v>
      </c>
      <c r="B1086" s="84" t="s">
        <v>221</v>
      </c>
      <c r="C1086" s="34">
        <v>550</v>
      </c>
      <c r="D1086" s="144" t="s">
        <v>934</v>
      </c>
      <c r="E1086" s="168" t="s">
        <v>450</v>
      </c>
      <c r="F1086" s="34"/>
      <c r="G1086" s="60">
        <f>SUM(G1087:G1138)</f>
        <v>6739.6307000000006</v>
      </c>
      <c r="H1086" s="166">
        <v>230481</v>
      </c>
      <c r="I1086" s="166">
        <v>230481</v>
      </c>
      <c r="J1086" s="166">
        <f>'Nhân công'!M130</f>
        <v>230481</v>
      </c>
      <c r="K1086" s="166">
        <f>J1086-H1086</f>
        <v>0</v>
      </c>
      <c r="L1086" s="166">
        <f>ROUND(G1086*K1086,0)</f>
        <v>0</v>
      </c>
      <c r="M1086" s="166">
        <f>ROUND(G1086*J1086,0)</f>
        <v>1553356823</v>
      </c>
    </row>
    <row r="1087" spans="1:13" ht="30" hidden="1" x14ac:dyDescent="0.25">
      <c r="A1087" s="168"/>
      <c r="B1087" s="133" t="str">
        <f>'Công trình'!B15</f>
        <v>AF.82511</v>
      </c>
      <c r="C1087" s="34"/>
      <c r="D1087" s="133" t="str">
        <f>'Công trình'!C15</f>
        <v>Sản xuất, lắp dựng, tháo dỡ ván khuôn thép, ván khuôn móng</v>
      </c>
      <c r="E1087" s="168"/>
      <c r="F1087" s="20">
        <v>1</v>
      </c>
      <c r="G1087" s="45">
        <f>'Hao phí vật tư'!K107</f>
        <v>5.2919999999999998</v>
      </c>
      <c r="H1087" s="166"/>
      <c r="I1087" s="166"/>
      <c r="J1087" s="166"/>
      <c r="K1087" s="166"/>
      <c r="L1087" s="156">
        <f>ROUND(G1087*K1086,2)</f>
        <v>0</v>
      </c>
      <c r="M1087" s="156">
        <f>ROUND(G1087*J1086,2)</f>
        <v>1219705.45</v>
      </c>
    </row>
    <row r="1088" spans="1:13" ht="30" hidden="1" x14ac:dyDescent="0.25">
      <c r="A1088" s="168"/>
      <c r="B1088" s="133" t="str">
        <f>'Công trình'!B16</f>
        <v>AF.82111</v>
      </c>
      <c r="C1088" s="34"/>
      <c r="D1088" s="133" t="str">
        <f>'Công trình'!C16</f>
        <v>Sản xuất, lắp dựng tháo dỡ ván khuôn thép tường, chiều cao &lt;=16m</v>
      </c>
      <c r="E1088" s="168"/>
      <c r="F1088" s="20">
        <v>1</v>
      </c>
      <c r="G1088" s="45">
        <f>'Hao phí vật tư'!K116</f>
        <v>137.01179999999999</v>
      </c>
      <c r="H1088" s="166"/>
      <c r="I1088" s="166"/>
      <c r="J1088" s="166"/>
      <c r="K1088" s="166"/>
      <c r="L1088" s="156">
        <f>ROUND(G1088*K1086,2)</f>
        <v>0</v>
      </c>
      <c r="M1088" s="156">
        <f>ROUND(G1088*J1086,2)</f>
        <v>31578616.68</v>
      </c>
    </row>
    <row r="1089" spans="1:13" ht="30" hidden="1" x14ac:dyDescent="0.25">
      <c r="A1089" s="168"/>
      <c r="B1089" s="133" t="str">
        <f>'Công trình'!B19</f>
        <v>AF.82111</v>
      </c>
      <c r="C1089" s="34"/>
      <c r="D1089" s="133" t="str">
        <f>'Công trình'!C19</f>
        <v>Sản xuất, lắp dựng tháo dỡ ván khuôn thép dầm, giằng, chiều cao &lt;=16m</v>
      </c>
      <c r="E1089" s="168"/>
      <c r="F1089" s="20">
        <v>1</v>
      </c>
      <c r="G1089" s="45">
        <f>'Hao phí vật tư'!K142</f>
        <v>124.75830000000001</v>
      </c>
      <c r="H1089" s="166"/>
      <c r="I1089" s="166"/>
      <c r="J1089" s="166"/>
      <c r="K1089" s="166"/>
      <c r="L1089" s="156">
        <f>ROUND(G1089*K1086,2)</f>
        <v>0</v>
      </c>
      <c r="M1089" s="156">
        <f>ROUND(G1089*J1086,2)</f>
        <v>28754417.739999998</v>
      </c>
    </row>
    <row r="1090" spans="1:13" ht="30" hidden="1" x14ac:dyDescent="0.25">
      <c r="A1090" s="168"/>
      <c r="B1090" s="133" t="str">
        <f>'Công trình'!B31</f>
        <v>AF.82111</v>
      </c>
      <c r="C1090" s="34"/>
      <c r="D1090" s="133" t="str">
        <f>'Công trình'!C31</f>
        <v>Sản xuất, lắp dựng tháo dỡ ván khuôn thép tường, chiều cao &lt;=16m</v>
      </c>
      <c r="E1090" s="168"/>
      <c r="F1090" s="20">
        <v>1</v>
      </c>
      <c r="G1090" s="45">
        <f>'Hao phí vật tư'!K222</f>
        <v>44.5426</v>
      </c>
      <c r="H1090" s="166"/>
      <c r="I1090" s="166"/>
      <c r="J1090" s="166"/>
      <c r="K1090" s="166"/>
      <c r="L1090" s="156">
        <f>ROUND(G1090*K1086,2)</f>
        <v>0</v>
      </c>
      <c r="M1090" s="156">
        <f>ROUND(G1090*J1086,2)</f>
        <v>10266222.99</v>
      </c>
    </row>
    <row r="1091" spans="1:13" ht="30" hidden="1" x14ac:dyDescent="0.25">
      <c r="A1091" s="168"/>
      <c r="B1091" s="133" t="str">
        <f>'Công trình'!B59</f>
        <v>AF.82111</v>
      </c>
      <c r="C1091" s="34"/>
      <c r="D1091" s="133" t="str">
        <f>'Công trình'!C59</f>
        <v>Sản xuất, lắp dựng tháo dỡ ván khuôn thép dầm, giằng, chiều cao &lt;=16m</v>
      </c>
      <c r="E1091" s="168"/>
      <c r="F1091" s="20">
        <v>1</v>
      </c>
      <c r="G1091" s="45">
        <f>'Hao phí vật tư'!K448</f>
        <v>88.250699999999995</v>
      </c>
      <c r="H1091" s="166"/>
      <c r="I1091" s="166"/>
      <c r="J1091" s="166"/>
      <c r="K1091" s="166"/>
      <c r="L1091" s="156">
        <f>ROUND(G1091*K1086,2)</f>
        <v>0</v>
      </c>
      <c r="M1091" s="156">
        <f>ROUND(G1091*J1086,2)</f>
        <v>20340109.59</v>
      </c>
    </row>
    <row r="1092" spans="1:13" hidden="1" x14ac:dyDescent="0.25">
      <c r="A1092" s="168"/>
      <c r="B1092" s="133" t="str">
        <f>'Công trình'!B58</f>
        <v>AK.41124</v>
      </c>
      <c r="C1092" s="34"/>
      <c r="D1092" s="133" t="str">
        <f>'Công trình'!C58</f>
        <v>Vữa lót M75 dày 3cm</v>
      </c>
      <c r="E1092" s="168"/>
      <c r="F1092" s="20">
        <v>1</v>
      </c>
      <c r="G1092" s="45">
        <f>'Hao phí vật tư'!K437</f>
        <v>9.2401</v>
      </c>
      <c r="H1092" s="166"/>
      <c r="I1092" s="166"/>
      <c r="J1092" s="166"/>
      <c r="K1092" s="166"/>
      <c r="L1092" s="156">
        <f>ROUND(G1092*K1086,2)</f>
        <v>0</v>
      </c>
      <c r="M1092" s="156">
        <f>ROUND(G1092*J1086,2)</f>
        <v>2129667.4900000002</v>
      </c>
    </row>
    <row r="1093" spans="1:13" hidden="1" x14ac:dyDescent="0.25">
      <c r="A1093" s="168"/>
      <c r="B1093" s="133" t="str">
        <f>'Công trình'!B64</f>
        <v>AK.41124</v>
      </c>
      <c r="C1093" s="34"/>
      <c r="D1093" s="133" t="str">
        <f>'Công trình'!C64</f>
        <v>Vữa lót M75 dày 3cm</v>
      </c>
      <c r="E1093" s="168"/>
      <c r="F1093" s="20">
        <v>1</v>
      </c>
      <c r="G1093" s="45">
        <f>'Hao phí vật tư'!K492</f>
        <v>143.98330000000001</v>
      </c>
      <c r="H1093" s="166"/>
      <c r="I1093" s="166"/>
      <c r="J1093" s="166"/>
      <c r="K1093" s="166"/>
      <c r="L1093" s="156">
        <f>ROUND(G1093*K1086,2)</f>
        <v>0</v>
      </c>
      <c r="M1093" s="156">
        <f>ROUND(G1093*J1086,2)</f>
        <v>33185414.969999999</v>
      </c>
    </row>
    <row r="1094" spans="1:13" hidden="1" x14ac:dyDescent="0.25">
      <c r="A1094" s="168"/>
      <c r="B1094" s="133" t="str">
        <f>'Công trình'!B109</f>
        <v>AI.11912</v>
      </c>
      <c r="C1094" s="34"/>
      <c r="D1094" s="133" t="str">
        <f>'Công trình'!C109</f>
        <v>Sản xuất hệ sàn đạo, sàn thao tác</v>
      </c>
      <c r="E1094" s="168"/>
      <c r="F1094" s="20">
        <v>1</v>
      </c>
      <c r="G1094" s="45">
        <f>'Hao phí vật tư'!K872</f>
        <v>57.117400000000004</v>
      </c>
      <c r="H1094" s="166"/>
      <c r="I1094" s="166"/>
      <c r="J1094" s="166"/>
      <c r="K1094" s="166"/>
      <c r="L1094" s="156">
        <f>ROUND(G1094*K1086,2)</f>
        <v>0</v>
      </c>
      <c r="M1094" s="156">
        <f>ROUND(G1094*J1086,2)</f>
        <v>13164475.470000001</v>
      </c>
    </row>
    <row r="1095" spans="1:13" hidden="1" x14ac:dyDescent="0.25">
      <c r="A1095" s="168"/>
      <c r="B1095" s="133" t="str">
        <f>'Công trình'!B104</f>
        <v>AI.11131</v>
      </c>
      <c r="C1095" s="34"/>
      <c r="D1095" s="133" t="str">
        <f>'Công trình'!C104</f>
        <v>Sản xuất cọc dẫn bằng thép hình</v>
      </c>
      <c r="E1095" s="168"/>
      <c r="F1095" s="20">
        <v>1</v>
      </c>
      <c r="G1095" s="45">
        <f>'Hao phí vật tư'!K836</f>
        <v>21.252500000000001</v>
      </c>
      <c r="H1095" s="166"/>
      <c r="I1095" s="166"/>
      <c r="J1095" s="166"/>
      <c r="K1095" s="166"/>
      <c r="L1095" s="156">
        <f>ROUND(G1095*K1086,2)</f>
        <v>0</v>
      </c>
      <c r="M1095" s="156">
        <f>ROUND(G1095*J1086,2)</f>
        <v>4898297.45</v>
      </c>
    </row>
    <row r="1096" spans="1:13" hidden="1" x14ac:dyDescent="0.25">
      <c r="A1096" s="168"/>
      <c r="B1096" s="133" t="str">
        <f>'Công trình'!B120</f>
        <v>AI.11912</v>
      </c>
      <c r="C1096" s="34"/>
      <c r="D1096" s="133" t="str">
        <f>'Công trình'!C120</f>
        <v>Sản xuất hệ sàn đạo, sàn thao tác</v>
      </c>
      <c r="E1096" s="168"/>
      <c r="F1096" s="20">
        <v>1</v>
      </c>
      <c r="G1096" s="45">
        <f>'Hao phí vật tư'!K944</f>
        <v>117.6964</v>
      </c>
      <c r="H1096" s="166"/>
      <c r="I1096" s="166"/>
      <c r="J1096" s="166"/>
      <c r="K1096" s="166"/>
      <c r="L1096" s="156">
        <f>ROUND(G1096*K1086,2)</f>
        <v>0</v>
      </c>
      <c r="M1096" s="156">
        <f>ROUND(G1096*J1086,2)</f>
        <v>27126783.969999999</v>
      </c>
    </row>
    <row r="1097" spans="1:13" ht="30" hidden="1" x14ac:dyDescent="0.25">
      <c r="A1097" s="168"/>
      <c r="B1097" s="133" t="str">
        <f>'Công trình'!B112</f>
        <v>AI.63311</v>
      </c>
      <c r="C1097" s="34"/>
      <c r="D1097" s="133" t="str">
        <f>'Công trình'!C112</f>
        <v>Lắp dựng kết cấu thép hệ khung dàn, sàn đạo trên cạn</v>
      </c>
      <c r="E1097" s="168"/>
      <c r="F1097" s="20">
        <v>1</v>
      </c>
      <c r="G1097" s="45">
        <f>'Hao phí vật tư'!K892</f>
        <v>119.9945</v>
      </c>
      <c r="H1097" s="166"/>
      <c r="I1097" s="166"/>
      <c r="J1097" s="166"/>
      <c r="K1097" s="166"/>
      <c r="L1097" s="156">
        <f>ROUND(G1097*K1086,2)</f>
        <v>0</v>
      </c>
      <c r="M1097" s="156">
        <f>ROUND(G1097*J1086,2)</f>
        <v>27656452.350000001</v>
      </c>
    </row>
    <row r="1098" spans="1:13" ht="30" hidden="1" x14ac:dyDescent="0.25">
      <c r="A1098" s="168"/>
      <c r="B1098" s="133" t="str">
        <f>'Công trình'!B113</f>
        <v>AI.63311</v>
      </c>
      <c r="C1098" s="34"/>
      <c r="D1098" s="133" t="str">
        <f>'Công trình'!C113</f>
        <v>Tháo dỡ kết cấu thép hệ khung dàn, sàn đạo trên cạn (60% Đg)</v>
      </c>
      <c r="E1098" s="168"/>
      <c r="F1098" s="20">
        <v>1</v>
      </c>
      <c r="G1098" s="45">
        <f>'Hao phí vật tư'!K903</f>
        <v>71.996700000000004</v>
      </c>
      <c r="H1098" s="166"/>
      <c r="I1098" s="166"/>
      <c r="J1098" s="166"/>
      <c r="K1098" s="166"/>
      <c r="L1098" s="156">
        <f>ROUND(G1098*K1086,2)</f>
        <v>0</v>
      </c>
      <c r="M1098" s="156">
        <f>ROUND(G1098*J1086,2)</f>
        <v>16593871.41</v>
      </c>
    </row>
    <row r="1099" spans="1:13" ht="30" hidden="1" x14ac:dyDescent="0.25">
      <c r="A1099" s="168"/>
      <c r="B1099" s="133" t="str">
        <f>'Công trình'!B123</f>
        <v>AI.63311</v>
      </c>
      <c r="C1099" s="34"/>
      <c r="D1099" s="133" t="str">
        <f>'Công trình'!C123</f>
        <v>Lắp dựng kết cấu thép hệ khung dàn, sàn đạo trên cạn</v>
      </c>
      <c r="E1099" s="168"/>
      <c r="F1099" s="20">
        <v>1</v>
      </c>
      <c r="G1099" s="45">
        <f>'Hao phí vật tư'!K964</f>
        <v>49.452300000000001</v>
      </c>
      <c r="H1099" s="166"/>
      <c r="I1099" s="166"/>
      <c r="J1099" s="166"/>
      <c r="K1099" s="166"/>
      <c r="L1099" s="156">
        <f>ROUND(G1099*K1086,2)</f>
        <v>0</v>
      </c>
      <c r="M1099" s="156">
        <f>ROUND(G1099*J1086,2)</f>
        <v>11397815.560000001</v>
      </c>
    </row>
    <row r="1100" spans="1:13" ht="30" hidden="1" x14ac:dyDescent="0.25">
      <c r="A1100" s="168"/>
      <c r="B1100" s="133" t="str">
        <f>'Công trình'!B124</f>
        <v>AI.63311</v>
      </c>
      <c r="C1100" s="34"/>
      <c r="D1100" s="133" t="str">
        <f>'Công trình'!C124</f>
        <v>Tháo dỡ kết cấu thép hệ khung dàn, sàn đạo trên cạn (60% Đg)</v>
      </c>
      <c r="E1100" s="168"/>
      <c r="F1100" s="20">
        <v>1</v>
      </c>
      <c r="G1100" s="45">
        <f>'Hao phí vật tư'!K975</f>
        <v>29.671399999999998</v>
      </c>
      <c r="H1100" s="166"/>
      <c r="I1100" s="166"/>
      <c r="J1100" s="166"/>
      <c r="K1100" s="166"/>
      <c r="L1100" s="156">
        <f>ROUND(G1100*K1086,2)</f>
        <v>0</v>
      </c>
      <c r="M1100" s="156">
        <f>ROUND(G1100*J1086,2)</f>
        <v>6838693.9400000004</v>
      </c>
    </row>
    <row r="1101" spans="1:13" hidden="1" x14ac:dyDescent="0.25">
      <c r="A1101" s="168"/>
      <c r="B1101" s="133" t="str">
        <f>'Công trình'!B136</f>
        <v>AI.11912</v>
      </c>
      <c r="C1101" s="34"/>
      <c r="D1101" s="133" t="str">
        <f>'Công trình'!C136</f>
        <v>Sản xuất hệ sàn đạo, sàn thao tác</v>
      </c>
      <c r="E1101" s="168"/>
      <c r="F1101" s="20">
        <v>1</v>
      </c>
      <c r="G1101" s="45">
        <f>'Hao phí vật tư'!K1045</f>
        <v>1863.6609000000001</v>
      </c>
      <c r="H1101" s="166"/>
      <c r="I1101" s="166"/>
      <c r="J1101" s="166"/>
      <c r="K1101" s="166"/>
      <c r="L1101" s="156">
        <f>ROUND(G1101*K1086,2)</f>
        <v>0</v>
      </c>
      <c r="M1101" s="156">
        <f>ROUND(G1101*J1086,2)</f>
        <v>429538427.88999999</v>
      </c>
    </row>
    <row r="1102" spans="1:13" ht="30" hidden="1" x14ac:dyDescent="0.25">
      <c r="A1102" s="168"/>
      <c r="B1102" s="133" t="str">
        <f>'Công trình'!B139</f>
        <v>AI.63311</v>
      </c>
      <c r="C1102" s="34"/>
      <c r="D1102" s="133" t="str">
        <f>'Công trình'!C139</f>
        <v>Lắp dựng kết cấu thép hệ khung dàn, sàn đạo trên cạn</v>
      </c>
      <c r="E1102" s="168"/>
      <c r="F1102" s="20">
        <v>1</v>
      </c>
      <c r="G1102" s="45">
        <f>'Hao phí vật tư'!K1065</f>
        <v>783.05079999999998</v>
      </c>
      <c r="H1102" s="166"/>
      <c r="I1102" s="166"/>
      <c r="J1102" s="166"/>
      <c r="K1102" s="166"/>
      <c r="L1102" s="156">
        <f>ROUND(G1102*K1086,2)</f>
        <v>0</v>
      </c>
      <c r="M1102" s="156">
        <f>ROUND(G1102*J1086,2)</f>
        <v>180478331.43000001</v>
      </c>
    </row>
    <row r="1103" spans="1:13" ht="30" hidden="1" x14ac:dyDescent="0.25">
      <c r="A1103" s="168"/>
      <c r="B1103" s="133" t="str">
        <f>'Công trình'!B140</f>
        <v>AI.63311</v>
      </c>
      <c r="C1103" s="34"/>
      <c r="D1103" s="133" t="str">
        <f>'Công trình'!C140</f>
        <v>Tháo dỡ kết cấu thép hệ khung dàn, sàn đạo trên cạn (60% Đg)</v>
      </c>
      <c r="E1103" s="168"/>
      <c r="F1103" s="20">
        <v>1</v>
      </c>
      <c r="G1103" s="45">
        <f>'Hao phí vật tư'!K1076</f>
        <v>469.83049999999997</v>
      </c>
      <c r="H1103" s="166"/>
      <c r="I1103" s="166"/>
      <c r="J1103" s="166"/>
      <c r="K1103" s="166"/>
      <c r="L1103" s="156">
        <f>ROUND(G1103*K1086,2)</f>
        <v>0</v>
      </c>
      <c r="M1103" s="156">
        <f>ROUND(G1103*J1086,2)</f>
        <v>108287003.47</v>
      </c>
    </row>
    <row r="1104" spans="1:13" ht="45" hidden="1" x14ac:dyDescent="0.25">
      <c r="A1104" s="168"/>
      <c r="B1104" s="133" t="str">
        <f>'Công trình'!B153</f>
        <v>AB.81144</v>
      </c>
      <c r="C1104" s="34"/>
      <c r="D1104" s="133" t="str">
        <f>'Công trình'!C153</f>
        <v>Nạo vét đất pha cát từ 15-20%, đất bùn lỏng ở kênh mương bằng máy đào gầu dây 0,65m3, chiều cao đổ đất &gt;3</v>
      </c>
      <c r="E1104" s="168"/>
      <c r="F1104" s="20">
        <v>1</v>
      </c>
      <c r="G1104" s="45">
        <f>'Hao phí vật tư'!K1160</f>
        <v>86.426900000000003</v>
      </c>
      <c r="H1104" s="166"/>
      <c r="I1104" s="166"/>
      <c r="J1104" s="166"/>
      <c r="K1104" s="166"/>
      <c r="L1104" s="156">
        <f>ROUND(G1104*K1086,2)</f>
        <v>0</v>
      </c>
      <c r="M1104" s="156">
        <f>ROUND(G1104*J1086,2)</f>
        <v>19919758.34</v>
      </c>
    </row>
    <row r="1105" spans="1:13" ht="30" hidden="1" x14ac:dyDescent="0.25">
      <c r="A1105" s="168"/>
      <c r="B1105" s="133" t="str">
        <f>'Công trình'!B155</f>
        <v>AB.65120</v>
      </c>
      <c r="C1105" s="34"/>
      <c r="D1105" s="133" t="str">
        <f>'Công trình'!C155</f>
        <v>Đắp đất công trình bằng đầm cóc, độ chặt K=0,90</v>
      </c>
      <c r="E1105" s="168"/>
      <c r="F1105" s="20">
        <v>1</v>
      </c>
      <c r="G1105" s="45">
        <f>'Hao phí vật tư'!K1182</f>
        <v>133.30369999999999</v>
      </c>
      <c r="H1105" s="166"/>
      <c r="I1105" s="166"/>
      <c r="J1105" s="166"/>
      <c r="K1105" s="166"/>
      <c r="L1105" s="156">
        <f>ROUND(G1105*K1086,2)</f>
        <v>0</v>
      </c>
      <c r="M1105" s="156">
        <f>ROUND(G1105*J1086,2)</f>
        <v>30723970.079999998</v>
      </c>
    </row>
    <row r="1106" spans="1:13" ht="30" hidden="1" x14ac:dyDescent="0.25">
      <c r="A1106" s="168"/>
      <c r="B1106" s="133" t="str">
        <f>'Công trình'!B160</f>
        <v>AI.63311</v>
      </c>
      <c r="C1106" s="34"/>
      <c r="D1106" s="133" t="str">
        <f>'Công trình'!C160</f>
        <v>Lắp dựng kết cấu thép hệ khung dàn, sàn đạo trên cạn</v>
      </c>
      <c r="E1106" s="168"/>
      <c r="F1106" s="20">
        <v>1</v>
      </c>
      <c r="G1106" s="45">
        <f>'Hao phí vật tư'!K1214</f>
        <v>381.75659999999999</v>
      </c>
      <c r="H1106" s="166"/>
      <c r="I1106" s="166"/>
      <c r="J1106" s="166"/>
      <c r="K1106" s="166"/>
      <c r="L1106" s="156">
        <f>ROUND(G1106*K1086,2)</f>
        <v>0</v>
      </c>
      <c r="M1106" s="156">
        <f>ROUND(G1106*J1086,2)</f>
        <v>87987642.920000002</v>
      </c>
    </row>
    <row r="1107" spans="1:13" ht="30" hidden="1" x14ac:dyDescent="0.25">
      <c r="A1107" s="168"/>
      <c r="B1107" s="133" t="str">
        <f>'Công trình'!B161</f>
        <v>AI.63311</v>
      </c>
      <c r="C1107" s="34"/>
      <c r="D1107" s="133" t="str">
        <f>'Công trình'!C161</f>
        <v>Tháo dỡ kết cấu thép hệ khung dàn, sàn đạo trên cạn (60% Đg)</v>
      </c>
      <c r="E1107" s="168"/>
      <c r="F1107" s="20">
        <v>1</v>
      </c>
      <c r="G1107" s="45">
        <f>'Hao phí vật tư'!K1225</f>
        <v>229.0539</v>
      </c>
      <c r="H1107" s="166"/>
      <c r="I1107" s="166"/>
      <c r="J1107" s="166"/>
      <c r="K1107" s="166"/>
      <c r="L1107" s="156">
        <f>ROUND(G1107*K1086,2)</f>
        <v>0</v>
      </c>
      <c r="M1107" s="156">
        <f>ROUND(G1107*J1086,2)</f>
        <v>52792571.93</v>
      </c>
    </row>
    <row r="1108" spans="1:13" hidden="1" x14ac:dyDescent="0.25">
      <c r="A1108" s="168"/>
      <c r="B1108" s="133" t="str">
        <f>'Công trình'!B157</f>
        <v>AI.11912</v>
      </c>
      <c r="C1108" s="34"/>
      <c r="D1108" s="133" t="str">
        <f>'Công trình'!C157</f>
        <v>Sản xuất cầu công tác</v>
      </c>
      <c r="E1108" s="168"/>
      <c r="F1108" s="20">
        <v>1</v>
      </c>
      <c r="G1108" s="45">
        <f>'Hao phí vật tư'!K1194</f>
        <v>908.5806</v>
      </c>
      <c r="H1108" s="166"/>
      <c r="I1108" s="166"/>
      <c r="J1108" s="166"/>
      <c r="K1108" s="166"/>
      <c r="L1108" s="156">
        <f>ROUND(G1108*K1086,2)</f>
        <v>0</v>
      </c>
      <c r="M1108" s="156">
        <f>ROUND(G1108*J1086,2)</f>
        <v>209410565.27000001</v>
      </c>
    </row>
    <row r="1109" spans="1:13" ht="30" hidden="1" x14ac:dyDescent="0.25">
      <c r="A1109" s="168"/>
      <c r="B1109" s="133" t="str">
        <f>'Công trình'!B168</f>
        <v>AG.32211</v>
      </c>
      <c r="C1109" s="34"/>
      <c r="D1109" s="133" t="str">
        <f>'Công trình'!C168</f>
        <v>Sản xuất, lắp dựng tháo dỡ ván khuôn kim loại các loại cấu kiện khác</v>
      </c>
      <c r="E1109" s="168"/>
      <c r="F1109" s="20">
        <v>1</v>
      </c>
      <c r="G1109" s="45">
        <f>'Hao phí vật tư'!K1275</f>
        <v>10.074299999999999</v>
      </c>
      <c r="H1109" s="166"/>
      <c r="I1109" s="166"/>
      <c r="J1109" s="166"/>
      <c r="K1109" s="166"/>
      <c r="L1109" s="156">
        <f>ROUND(G1109*K1086,2)</f>
        <v>0</v>
      </c>
      <c r="M1109" s="156">
        <f>ROUND(G1109*J1086,2)</f>
        <v>2321934.7400000002</v>
      </c>
    </row>
    <row r="1110" spans="1:13" ht="30" hidden="1" x14ac:dyDescent="0.25">
      <c r="A1110" s="168"/>
      <c r="B1110" s="133" t="str">
        <f>'Công trình'!B174</f>
        <v>AF.14115</v>
      </c>
      <c r="C1110" s="34"/>
      <c r="D1110" s="133" t="str">
        <f>'Công trình'!C174</f>
        <v>Bê tông móng, mố trụ cầu trên cạn đá 1x2, vữa BT mác 300</v>
      </c>
      <c r="E1110" s="168"/>
      <c r="F1110" s="20">
        <v>1</v>
      </c>
      <c r="G1110" s="45">
        <f>'Hao phí vật tư'!K1304</f>
        <v>286.54770000000002</v>
      </c>
      <c r="H1110" s="166"/>
      <c r="I1110" s="166"/>
      <c r="J1110" s="166"/>
      <c r="K1110" s="166"/>
      <c r="L1110" s="156">
        <f>ROUND(G1110*K1086,2)</f>
        <v>0</v>
      </c>
      <c r="M1110" s="156">
        <f>ROUND(G1110*J1086,2)</f>
        <v>66043800.439999998</v>
      </c>
    </row>
    <row r="1111" spans="1:13" hidden="1" x14ac:dyDescent="0.25">
      <c r="A1111" s="168"/>
      <c r="B1111" s="133" t="str">
        <f>'Công trình'!B176</f>
        <v>AK.41125</v>
      </c>
      <c r="C1111" s="34"/>
      <c r="D1111" s="133" t="str">
        <f>'Công trình'!C176</f>
        <v>Vữa xi măng M100 độ dốc 10%</v>
      </c>
      <c r="E1111" s="168"/>
      <c r="F1111" s="20">
        <v>1</v>
      </c>
      <c r="G1111" s="45">
        <f>'Hao phí vật tư'!K1331</f>
        <v>0.49859999999999999</v>
      </c>
      <c r="H1111" s="166"/>
      <c r="I1111" s="166"/>
      <c r="J1111" s="166"/>
      <c r="K1111" s="166"/>
      <c r="L1111" s="156">
        <f>ROUND(G1111*K1086,2)</f>
        <v>0</v>
      </c>
      <c r="M1111" s="156">
        <f>ROUND(G1111*J1086,2)</f>
        <v>114917.83</v>
      </c>
    </row>
    <row r="1112" spans="1:13" ht="30" hidden="1" x14ac:dyDescent="0.25">
      <c r="A1112" s="168"/>
      <c r="B1112" s="133" t="str">
        <f>'Công trình'!B181</f>
        <v>AF.65120</v>
      </c>
      <c r="C1112" s="34"/>
      <c r="D1112" s="133" t="str">
        <f>'Công trình'!C181</f>
        <v>Sản xuất, lắp dựng cốt thép móng, mố, trụ, mũ mố, mũ trụ cầu trên cạn đường kính &lt;=18mm</v>
      </c>
      <c r="E1112" s="168"/>
      <c r="F1112" s="20">
        <v>1</v>
      </c>
      <c r="G1112" s="45">
        <f>'Hao phí vật tư'!K1379</f>
        <v>50.173299999999998</v>
      </c>
      <c r="H1112" s="166"/>
      <c r="I1112" s="166"/>
      <c r="J1112" s="166"/>
      <c r="K1112" s="166"/>
      <c r="L1112" s="156">
        <f>ROUND(G1112*K1086,2)</f>
        <v>0</v>
      </c>
      <c r="M1112" s="156">
        <f>ROUND(G1112*J1086,2)</f>
        <v>11563992.359999999</v>
      </c>
    </row>
    <row r="1113" spans="1:13" ht="30" hidden="1" x14ac:dyDescent="0.25">
      <c r="A1113" s="168"/>
      <c r="B1113" s="133" t="str">
        <f>'Công trình'!B182</f>
        <v>AF.65130</v>
      </c>
      <c r="C1113" s="34"/>
      <c r="D1113" s="133" t="str">
        <f>'Công trình'!C182</f>
        <v>Sản xuất, lắp dựng cốt thép móng, mố, trụ, mũ mố, mũ trụ cầu trên cạn đường kính &gt;18mm</v>
      </c>
      <c r="E1113" s="168"/>
      <c r="F1113" s="20">
        <v>1</v>
      </c>
      <c r="G1113" s="45">
        <f>'Hao phí vật tư'!K1390</f>
        <v>46.268599999999999</v>
      </c>
      <c r="H1113" s="166"/>
      <c r="I1113" s="166"/>
      <c r="J1113" s="166"/>
      <c r="K1113" s="166"/>
      <c r="L1113" s="156">
        <f>ROUND(G1113*K1086,2)</f>
        <v>0</v>
      </c>
      <c r="M1113" s="156">
        <f>ROUND(G1113*J1086,2)</f>
        <v>10664033.199999999</v>
      </c>
    </row>
    <row r="1114" spans="1:13" ht="30" hidden="1" x14ac:dyDescent="0.25">
      <c r="A1114" s="168"/>
      <c r="B1114" s="133" t="str">
        <f>'Công trình'!B186</f>
        <v>AF.14115</v>
      </c>
      <c r="C1114" s="34"/>
      <c r="D1114" s="133" t="str">
        <f>'Công trình'!C186</f>
        <v>Bê tông móng, mố trụ cầu trên cạn đá 1x2, vữa BT mác 300</v>
      </c>
      <c r="E1114" s="168"/>
      <c r="F1114" s="20">
        <v>1</v>
      </c>
      <c r="G1114" s="45">
        <f>'Hao phí vật tư'!K1421</f>
        <v>10.2432</v>
      </c>
      <c r="H1114" s="166"/>
      <c r="I1114" s="166"/>
      <c r="J1114" s="166"/>
      <c r="K1114" s="166"/>
      <c r="L1114" s="156">
        <f>ROUND(G1114*K1086,2)</f>
        <v>0</v>
      </c>
      <c r="M1114" s="156">
        <f>ROUND(G1114*J1086,2)</f>
        <v>2360862.98</v>
      </c>
    </row>
    <row r="1115" spans="1:13" hidden="1" x14ac:dyDescent="0.25">
      <c r="A1115" s="168"/>
      <c r="B1115" s="133" t="str">
        <f>'Công trình'!B187</f>
        <v>AK.41125</v>
      </c>
      <c r="C1115" s="34"/>
      <c r="D1115" s="133" t="str">
        <f>'Công trình'!C187</f>
        <v>Vữa xi măng dày 3cm, vữa XM mác 100</v>
      </c>
      <c r="E1115" s="168"/>
      <c r="F1115" s="20">
        <v>1</v>
      </c>
      <c r="G1115" s="45">
        <f>'Hao phí vật tư'!K1433</f>
        <v>0.1018</v>
      </c>
      <c r="H1115" s="166"/>
      <c r="I1115" s="166"/>
      <c r="J1115" s="166"/>
      <c r="K1115" s="166"/>
      <c r="L1115" s="156">
        <f>ROUND(G1115*K1086,2)</f>
        <v>0</v>
      </c>
      <c r="M1115" s="156">
        <f>ROUND(G1115*J1086,2)</f>
        <v>23462.97</v>
      </c>
    </row>
    <row r="1116" spans="1:13" ht="30" hidden="1" x14ac:dyDescent="0.25">
      <c r="A1116" s="168"/>
      <c r="B1116" s="133" t="str">
        <f>'Công trình'!B190</f>
        <v>AF.65120</v>
      </c>
      <c r="C1116" s="34"/>
      <c r="D1116" s="133" t="str">
        <f>'Công trình'!C190</f>
        <v>Sản xuất, lắp dựng cốt thép móng, mố, trụ, mũ mố, mũ trụ cầu trên cạn đường kính &lt;=18mm</v>
      </c>
      <c r="E1116" s="168"/>
      <c r="F1116" s="20">
        <v>1</v>
      </c>
      <c r="G1116" s="45">
        <f>'Hao phí vật tư'!K1463</f>
        <v>5.7991000000000001</v>
      </c>
      <c r="H1116" s="166"/>
      <c r="I1116" s="166"/>
      <c r="J1116" s="166"/>
      <c r="K1116" s="166"/>
      <c r="L1116" s="156">
        <f>ROUND(G1116*K1086,2)</f>
        <v>0</v>
      </c>
      <c r="M1116" s="156">
        <f>ROUND(G1116*J1086,2)</f>
        <v>1336582.3700000001</v>
      </c>
    </row>
    <row r="1117" spans="1:13" ht="30" hidden="1" x14ac:dyDescent="0.25">
      <c r="A1117" s="168"/>
      <c r="B1117" s="133" t="str">
        <f>'Công trình'!B191</f>
        <v>AF.65130</v>
      </c>
      <c r="C1117" s="34"/>
      <c r="D1117" s="133" t="str">
        <f>'Công trình'!C191</f>
        <v>Sản xuất, lắp dựng cốt thép móng, mố, trụ, mũ mố, mũ trụ cầu trên cạn đường kính &gt;18mm</v>
      </c>
      <c r="E1117" s="168"/>
      <c r="F1117" s="20">
        <v>1</v>
      </c>
      <c r="G1117" s="45">
        <f>'Hao phí vật tư'!K1474</f>
        <v>18.4373</v>
      </c>
      <c r="H1117" s="166"/>
      <c r="I1117" s="166"/>
      <c r="J1117" s="166"/>
      <c r="K1117" s="166"/>
      <c r="L1117" s="156">
        <f>ROUND(G1117*K1086,2)</f>
        <v>0</v>
      </c>
      <c r="M1117" s="156">
        <f>ROUND(G1117*J1086,2)</f>
        <v>4249447.34</v>
      </c>
    </row>
    <row r="1118" spans="1:13" hidden="1" x14ac:dyDescent="0.25">
      <c r="A1118" s="168"/>
      <c r="B1118" s="133" t="str">
        <f>'Công trình'!B197</f>
        <v>AF.15225</v>
      </c>
      <c r="C1118" s="34"/>
      <c r="D1118" s="133" t="str">
        <f>'Công trình'!C197</f>
        <v>Bê tông dầm cầu đá 1x2, vữa BT mác 300</v>
      </c>
      <c r="E1118" s="168"/>
      <c r="F1118" s="20">
        <v>1</v>
      </c>
      <c r="G1118" s="45">
        <f>'Hao phí vật tư'!K1516</f>
        <v>7.6135999999999999</v>
      </c>
      <c r="H1118" s="166"/>
      <c r="I1118" s="166"/>
      <c r="J1118" s="166"/>
      <c r="K1118" s="166"/>
      <c r="L1118" s="156">
        <f>ROUND(G1118*K1086,2)</f>
        <v>0</v>
      </c>
      <c r="M1118" s="156">
        <f>ROUND(G1118*J1086,2)</f>
        <v>1754790.14</v>
      </c>
    </row>
    <row r="1119" spans="1:13" ht="30" hidden="1" x14ac:dyDescent="0.25">
      <c r="A1119" s="168"/>
      <c r="B1119" s="133" t="str">
        <f>'Công trình'!B200</f>
        <v>AF.82111</v>
      </c>
      <c r="C1119" s="34"/>
      <c r="D1119" s="133" t="str">
        <f>'Công trình'!C200</f>
        <v>Sản xuất, lắp dựng tháo dỡ ván khuôn thép, cây chống gỗ dầm ngang, chiều cao &lt;=16m</v>
      </c>
      <c r="E1119" s="168"/>
      <c r="F1119" s="20">
        <v>1</v>
      </c>
      <c r="G1119" s="45">
        <f>'Hao phí vật tư'!K1545</f>
        <v>14.814399999999999</v>
      </c>
      <c r="H1119" s="166"/>
      <c r="I1119" s="166"/>
      <c r="J1119" s="166"/>
      <c r="K1119" s="166"/>
      <c r="L1119" s="156">
        <f>ROUND(G1119*K1086,2)</f>
        <v>0</v>
      </c>
      <c r="M1119" s="156">
        <f>ROUND(G1119*J1086,2)</f>
        <v>3414437.73</v>
      </c>
    </row>
    <row r="1120" spans="1:13" ht="30" hidden="1" x14ac:dyDescent="0.25">
      <c r="A1120" s="168"/>
      <c r="B1120" s="133" t="str">
        <f>'Công trình'!B206</f>
        <v>AF.65410</v>
      </c>
      <c r="C1120" s="34"/>
      <c r="D1120" s="133" t="str">
        <f>'Công trình'!C206</f>
        <v>Công tác sản xuất lắp dựng cốt thép bê tông tại chỗ, cốt thép dầm cầu trên cạn, D ≤10mm</v>
      </c>
      <c r="E1120" s="168"/>
      <c r="F1120" s="20">
        <v>1</v>
      </c>
      <c r="G1120" s="45">
        <f>'Hao phí vật tư'!K1589</f>
        <v>5.6036999999999999</v>
      </c>
      <c r="H1120" s="166"/>
      <c r="I1120" s="166"/>
      <c r="J1120" s="166"/>
      <c r="K1120" s="166"/>
      <c r="L1120" s="156">
        <f>ROUND(G1120*K1086,2)</f>
        <v>0</v>
      </c>
      <c r="M1120" s="156">
        <f>ROUND(G1120*J1086,2)</f>
        <v>1291546.3799999999</v>
      </c>
    </row>
    <row r="1121" spans="1:13" ht="30" hidden="1" x14ac:dyDescent="0.25">
      <c r="A1121" s="168"/>
      <c r="B1121" s="133" t="str">
        <f>'Công trình'!B208</f>
        <v>AF.65420</v>
      </c>
      <c r="C1121" s="34"/>
      <c r="D1121" s="133" t="str">
        <f>'Công trình'!C208</f>
        <v>Công tác sản xuất lắp dựng cốt thép bê tông tại chỗ, cốt thép dầm cầu trên cạn, D ≤18mm</v>
      </c>
      <c r="E1121" s="168"/>
      <c r="F1121" s="20">
        <v>1</v>
      </c>
      <c r="G1121" s="45">
        <f>'Hao phí vật tư'!K1599</f>
        <v>1.7153</v>
      </c>
      <c r="H1121" s="166"/>
      <c r="I1121" s="166"/>
      <c r="J1121" s="166"/>
      <c r="K1121" s="166"/>
      <c r="L1121" s="156">
        <f>ROUND(G1121*K1086,2)</f>
        <v>0</v>
      </c>
      <c r="M1121" s="156">
        <f>ROUND(G1121*J1086,2)</f>
        <v>395344.06</v>
      </c>
    </row>
    <row r="1122" spans="1:13" ht="30" hidden="1" x14ac:dyDescent="0.25">
      <c r="A1122" s="168"/>
      <c r="B1122" s="133" t="str">
        <f>'Công trình'!B210</f>
        <v>AF.65430</v>
      </c>
      <c r="C1122" s="34"/>
      <c r="D1122" s="133" t="str">
        <f>'Công trình'!C210</f>
        <v>Công tác sản xuất lắp dựng cốt thép bê tông tại chỗ, cốt thép dầm cầu trên cạn, D &gt;18mm</v>
      </c>
      <c r="E1122" s="168"/>
      <c r="F1122" s="20">
        <v>1</v>
      </c>
      <c r="G1122" s="45">
        <f>'Hao phí vật tư'!K1610</f>
        <v>2.4885999999999999</v>
      </c>
      <c r="H1122" s="166"/>
      <c r="I1122" s="166"/>
      <c r="J1122" s="166"/>
      <c r="K1122" s="166"/>
      <c r="L1122" s="156">
        <f>ROUND(G1122*K1086,2)</f>
        <v>0</v>
      </c>
      <c r="M1122" s="156">
        <f>ROUND(G1122*J1086,2)</f>
        <v>573575.02</v>
      </c>
    </row>
    <row r="1123" spans="1:13" ht="30" hidden="1" x14ac:dyDescent="0.25">
      <c r="A1123" s="168"/>
      <c r="B1123" s="133" t="str">
        <f>'Công trình'!B239</f>
        <v>AB.65120</v>
      </c>
      <c r="C1123" s="34"/>
      <c r="D1123" s="133" t="str">
        <f>'Công trình'!C239</f>
        <v>Đắp đất công trình bằng đầm cóc, độ chặt K=0,90</v>
      </c>
      <c r="E1123" s="168"/>
      <c r="F1123" s="20">
        <v>1</v>
      </c>
      <c r="G1123" s="45">
        <f>'Hao phí vật tư'!K1818</f>
        <v>14.307499999999999</v>
      </c>
      <c r="H1123" s="166"/>
      <c r="I1123" s="166"/>
      <c r="J1123" s="166"/>
      <c r="K1123" s="166"/>
      <c r="L1123" s="156">
        <f>ROUND(G1123*K1086,2)</f>
        <v>0</v>
      </c>
      <c r="M1123" s="156">
        <f>ROUND(G1123*J1086,2)</f>
        <v>3297606.91</v>
      </c>
    </row>
    <row r="1124" spans="1:13" hidden="1" x14ac:dyDescent="0.25">
      <c r="A1124" s="168"/>
      <c r="B1124" s="133" t="str">
        <f>'Công trình'!B248</f>
        <v>AK.41124</v>
      </c>
      <c r="C1124" s="34"/>
      <c r="D1124" s="133" t="str">
        <f>'Công trình'!C248</f>
        <v>Vữa lót M75-3cm</v>
      </c>
      <c r="E1124" s="168"/>
      <c r="F1124" s="20">
        <v>1</v>
      </c>
      <c r="G1124" s="45">
        <f>'Hao phí vật tư'!K1882</f>
        <v>7.5641999999999996</v>
      </c>
      <c r="H1124" s="166"/>
      <c r="I1124" s="166"/>
      <c r="J1124" s="166"/>
      <c r="K1124" s="166"/>
      <c r="L1124" s="156">
        <f>ROUND(G1124*K1086,2)</f>
        <v>0</v>
      </c>
      <c r="M1124" s="156">
        <f>ROUND(G1124*J1086,2)</f>
        <v>1743404.38</v>
      </c>
    </row>
    <row r="1125" spans="1:13" ht="30" hidden="1" x14ac:dyDescent="0.25">
      <c r="A1125" s="168"/>
      <c r="B1125" s="133" t="str">
        <f>'Công trình'!B249</f>
        <v>AF.82111</v>
      </c>
      <c r="C1125" s="34"/>
      <c r="D1125" s="133" t="str">
        <f>'Công trình'!C249</f>
        <v>Sản xuất, lắp dựng tháo dỡ ván khuôn thép, cây chống gỗ dầm, giằng, chiều cao &lt;=16m</v>
      </c>
      <c r="E1125" s="168"/>
      <c r="F1125" s="20">
        <v>1</v>
      </c>
      <c r="G1125" s="45">
        <f>'Hao phí vật tư'!K1893</f>
        <v>27.316600000000001</v>
      </c>
      <c r="H1125" s="166"/>
      <c r="I1125" s="166"/>
      <c r="J1125" s="166"/>
      <c r="K1125" s="166"/>
      <c r="L1125" s="156">
        <f>ROUND(G1125*K1086,2)</f>
        <v>0</v>
      </c>
      <c r="M1125" s="156">
        <f>ROUND(G1125*J1086,2)</f>
        <v>6295957.2800000003</v>
      </c>
    </row>
    <row r="1126" spans="1:13" ht="30" hidden="1" x14ac:dyDescent="0.25">
      <c r="A1126" s="168"/>
      <c r="B1126" s="133" t="str">
        <f>'Công trình'!B256</f>
        <v>AF.82111</v>
      </c>
      <c r="C1126" s="34"/>
      <c r="D1126" s="133" t="str">
        <f>'Công trình'!C256</f>
        <v>Sản xuất, lắp dựng tháo dỡ ván khuôn thép lan can</v>
      </c>
      <c r="E1126" s="168"/>
      <c r="F1126" s="20">
        <v>1</v>
      </c>
      <c r="G1126" s="45">
        <f>'Hao phí vật tư'!K1954</f>
        <v>58.560699999999997</v>
      </c>
      <c r="H1126" s="166"/>
      <c r="I1126" s="166"/>
      <c r="J1126" s="166"/>
      <c r="K1126" s="166"/>
      <c r="L1126" s="156">
        <f>ROUND(G1126*K1086,2)</f>
        <v>0</v>
      </c>
      <c r="M1126" s="156">
        <f>ROUND(G1126*J1086,2)</f>
        <v>13497128.699999999</v>
      </c>
    </row>
    <row r="1127" spans="1:13" hidden="1" x14ac:dyDescent="0.25">
      <c r="A1127" s="168"/>
      <c r="B1127" s="133" t="str">
        <f>'Công trình'!B263</f>
        <v>AI.63211</v>
      </c>
      <c r="C1127" s="34"/>
      <c r="D1127" s="133" t="str">
        <f>'Công trình'!C263</f>
        <v>Lắp dựng lan can sắt, vữa XM mác 75</v>
      </c>
      <c r="E1127" s="168"/>
      <c r="F1127" s="20">
        <v>1</v>
      </c>
      <c r="G1127" s="45">
        <f>'Hao phí vật tư'!K2014</f>
        <v>42.12</v>
      </c>
      <c r="H1127" s="166"/>
      <c r="I1127" s="166"/>
      <c r="J1127" s="166"/>
      <c r="K1127" s="166"/>
      <c r="L1127" s="156">
        <f>ROUND(G1127*K1086,2)</f>
        <v>0</v>
      </c>
      <c r="M1127" s="156">
        <f>ROUND(G1127*J1086,2)</f>
        <v>9707859.7200000007</v>
      </c>
    </row>
    <row r="1128" spans="1:13" hidden="1" x14ac:dyDescent="0.25">
      <c r="A1128" s="168"/>
      <c r="B1128" s="133" t="str">
        <f>'Công trình'!B286</f>
        <v>AK.41124</v>
      </c>
      <c r="C1128" s="34"/>
      <c r="D1128" s="133" t="str">
        <f>'Công trình'!C286</f>
        <v>Vữa lót M75 dày 3cm</v>
      </c>
      <c r="E1128" s="168"/>
      <c r="F1128" s="20">
        <v>1</v>
      </c>
      <c r="G1128" s="45">
        <f>'Hao phí vật tư'!K2150</f>
        <v>1.202</v>
      </c>
      <c r="H1128" s="166"/>
      <c r="I1128" s="166"/>
      <c r="J1128" s="166"/>
      <c r="K1128" s="166"/>
      <c r="L1128" s="156">
        <f>ROUND(G1128*K1086,2)</f>
        <v>0</v>
      </c>
      <c r="M1128" s="156">
        <f>ROUND(G1128*J1086,2)</f>
        <v>277038.15999999997</v>
      </c>
    </row>
    <row r="1129" spans="1:13" hidden="1" x14ac:dyDescent="0.25">
      <c r="A1129" s="168"/>
      <c r="B1129" s="133" t="str">
        <f>'Công trình'!B287</f>
        <v>AF.82511</v>
      </c>
      <c r="C1129" s="34"/>
      <c r="D1129" s="133" t="str">
        <f>'Công trình'!C287</f>
        <v>Ván khuôn móng</v>
      </c>
      <c r="E1129" s="168"/>
      <c r="F1129" s="20">
        <v>1</v>
      </c>
      <c r="G1129" s="45">
        <f>'Hao phí vật tư'!K2159</f>
        <v>7.6832000000000003</v>
      </c>
      <c r="H1129" s="166"/>
      <c r="I1129" s="166"/>
      <c r="J1129" s="166"/>
      <c r="K1129" s="166"/>
      <c r="L1129" s="156">
        <f>ROUND(G1129*K1086,2)</f>
        <v>0</v>
      </c>
      <c r="M1129" s="156">
        <f>ROUND(G1129*J1086,2)</f>
        <v>1770831.62</v>
      </c>
    </row>
    <row r="1130" spans="1:13" hidden="1" x14ac:dyDescent="0.25">
      <c r="A1130" s="168"/>
      <c r="B1130" s="133" t="str">
        <f>'Công trình'!B265</f>
        <v>AK.41115</v>
      </c>
      <c r="C1130" s="34"/>
      <c r="D1130" s="133" t="str">
        <f>'Công trình'!C265</f>
        <v>Vữa xi măng M100</v>
      </c>
      <c r="E1130" s="168"/>
      <c r="F1130" s="20">
        <v>1</v>
      </c>
      <c r="G1130" s="45">
        <f>'Hao phí vật tư'!K2026</f>
        <v>1.0880000000000001</v>
      </c>
      <c r="H1130" s="166"/>
      <c r="I1130" s="166"/>
      <c r="J1130" s="166"/>
      <c r="K1130" s="166"/>
      <c r="L1130" s="156">
        <f>ROUND(G1130*K1086,2)</f>
        <v>0</v>
      </c>
      <c r="M1130" s="156">
        <f>ROUND(G1130*J1086,2)</f>
        <v>250763.33</v>
      </c>
    </row>
    <row r="1131" spans="1:13" hidden="1" x14ac:dyDescent="0.25">
      <c r="A1131" s="168"/>
      <c r="B1131" s="133" t="str">
        <f>'Công trình'!B298</f>
        <v>AF.82511</v>
      </c>
      <c r="C1131" s="34"/>
      <c r="D1131" s="133" t="str">
        <f>'Công trình'!C298</f>
        <v>Ván khuôn móng</v>
      </c>
      <c r="E1131" s="168"/>
      <c r="F1131" s="20">
        <v>1</v>
      </c>
      <c r="G1131" s="45">
        <f>'Hao phí vật tư'!K2237</f>
        <v>0.2205</v>
      </c>
      <c r="H1131" s="166"/>
      <c r="I1131" s="166"/>
      <c r="J1131" s="166"/>
      <c r="K1131" s="166"/>
      <c r="L1131" s="156">
        <f>ROUND(G1131*K1086,2)</f>
        <v>0</v>
      </c>
      <c r="M1131" s="156">
        <f>ROUND(G1131*J1086,2)</f>
        <v>50821.06</v>
      </c>
    </row>
    <row r="1132" spans="1:13" ht="45" hidden="1" x14ac:dyDescent="0.25">
      <c r="A1132" s="168"/>
      <c r="B1132" s="133" t="str">
        <f>'Công trình'!B305</f>
        <v>AF.82511</v>
      </c>
      <c r="C1132" s="34"/>
      <c r="D1132" s="133" t="str">
        <f>'Công trình'!C305</f>
        <v>Sản xuất, lắp dựng, tháo dỡ ván khuôn cho bê tông đổ tại chổ, ván khuôn thép, ván khuôn móng</v>
      </c>
      <c r="E1132" s="168"/>
      <c r="F1132" s="20">
        <v>1</v>
      </c>
      <c r="G1132" s="45">
        <f>'Hao phí vật tư'!K2292</f>
        <v>4.0425000000000004</v>
      </c>
      <c r="H1132" s="166"/>
      <c r="I1132" s="166"/>
      <c r="J1132" s="166"/>
      <c r="K1132" s="166"/>
      <c r="L1132" s="156">
        <f>ROUND(G1132*K1086,2)</f>
        <v>0</v>
      </c>
      <c r="M1132" s="156">
        <f>ROUND(G1132*J1086,2)</f>
        <v>931719.44</v>
      </c>
    </row>
    <row r="1133" spans="1:13" ht="30" hidden="1" x14ac:dyDescent="0.25">
      <c r="A1133" s="168"/>
      <c r="B1133" s="133" t="str">
        <f>'Công trình'!B179</f>
        <v>AF.87211</v>
      </c>
      <c r="C1133" s="34"/>
      <c r="D1133" s="133" t="str">
        <f>'Công trình'!C179</f>
        <v>Sản xuất, lắp dựng, tháo dỡ ván khuôn mố, trụ cầu trên cạn</v>
      </c>
      <c r="E1133" s="168"/>
      <c r="F1133" s="20">
        <v>1</v>
      </c>
      <c r="G1133" s="45">
        <f>'Hao phí vật tư'!K1360</f>
        <v>51.573300000000003</v>
      </c>
      <c r="H1133" s="166"/>
      <c r="I1133" s="166"/>
      <c r="J1133" s="166"/>
      <c r="K1133" s="166"/>
      <c r="L1133" s="156">
        <f>ROUND(G1133*K1086,2)</f>
        <v>0</v>
      </c>
      <c r="M1133" s="156">
        <f>ROUND(G1133*J1086,2)</f>
        <v>11886665.76</v>
      </c>
    </row>
    <row r="1134" spans="1:13" ht="30" hidden="1" x14ac:dyDescent="0.25">
      <c r="A1134" s="168"/>
      <c r="B1134" s="133" t="str">
        <f>'Công trình'!B189</f>
        <v>AF.87211</v>
      </c>
      <c r="C1134" s="34"/>
      <c r="D1134" s="133" t="str">
        <f>'Công trình'!C189</f>
        <v>Sản xuất, lắp dựng, tháo dỡ ván khuôn mố, trụ cầu trên cạn</v>
      </c>
      <c r="E1134" s="168"/>
      <c r="F1134" s="20">
        <v>1</v>
      </c>
      <c r="G1134" s="45">
        <f>'Hao phí vật tư'!K1451</f>
        <v>14.776899999999999</v>
      </c>
      <c r="H1134" s="166"/>
      <c r="I1134" s="166"/>
      <c r="J1134" s="166"/>
      <c r="K1134" s="166"/>
      <c r="L1134" s="156">
        <f>ROUND(G1134*K1086,2)</f>
        <v>0</v>
      </c>
      <c r="M1134" s="156">
        <f>ROUND(G1134*J1086,2)</f>
        <v>3405794.69</v>
      </c>
    </row>
    <row r="1135" spans="1:13" ht="30" hidden="1" x14ac:dyDescent="0.25">
      <c r="A1135" s="168"/>
      <c r="B1135" s="133" t="str">
        <f>'Công trình'!B201</f>
        <v>AF.82311</v>
      </c>
      <c r="C1135" s="34"/>
      <c r="D1135" s="133" t="str">
        <f>'Công trình'!C201</f>
        <v>Sản xuất, lắp dựng tháo dỡ ván khuôn thép, cây chống gỗ mặt cầu, chiều cao &lt;=16m</v>
      </c>
      <c r="E1135" s="168"/>
      <c r="F1135" s="20">
        <v>1</v>
      </c>
      <c r="G1135" s="45">
        <f>'Hao phí vật tư'!K1558</f>
        <v>82.134</v>
      </c>
      <c r="H1135" s="166"/>
      <c r="I1135" s="166"/>
      <c r="J1135" s="166"/>
      <c r="K1135" s="166"/>
      <c r="L1135" s="156">
        <f>ROUND(G1135*K1086,2)</f>
        <v>0</v>
      </c>
      <c r="M1135" s="156">
        <f>ROUND(G1135*J1086,2)</f>
        <v>18930326.449999999</v>
      </c>
    </row>
    <row r="1136" spans="1:13" hidden="1" x14ac:dyDescent="0.25">
      <c r="A1136" s="168"/>
      <c r="B1136" s="133" t="str">
        <f>'Công trình'!B198</f>
        <v>TT</v>
      </c>
      <c r="C1136" s="34"/>
      <c r="D1136" s="133" t="str">
        <f>'Công trình'!C198</f>
        <v>Vữa xi măng dày 7cm, vữa XM mác 400</v>
      </c>
      <c r="E1136" s="168"/>
      <c r="F1136" s="20">
        <v>1</v>
      </c>
      <c r="G1136" s="45">
        <f>'Hao phí vật tư'!K1531</f>
        <v>66.171300000000002</v>
      </c>
      <c r="H1136" s="166"/>
      <c r="I1136" s="166"/>
      <c r="J1136" s="166"/>
      <c r="K1136" s="166"/>
      <c r="L1136" s="156">
        <f>ROUND(G1136*K1086,2)</f>
        <v>0</v>
      </c>
      <c r="M1136" s="156">
        <f>ROUND(G1136*J1086,2)</f>
        <v>15251227.4</v>
      </c>
    </row>
    <row r="1137" spans="1:13" ht="45" hidden="1" x14ac:dyDescent="0.25">
      <c r="A1137" s="168"/>
      <c r="B1137" s="133" t="str">
        <f>'Công trình'!B180</f>
        <v>AF.82511</v>
      </c>
      <c r="C1137" s="34"/>
      <c r="D1137" s="133" t="str">
        <f>'Công trình'!C180</f>
        <v>Sản xuất, lắp dựng, tháo dỡ ván khuôn cho bê tông đổ tại chổ, ván khuôn thép, ván khuôn bản dẫn</v>
      </c>
      <c r="E1137" s="168"/>
      <c r="F1137" s="20">
        <v>1</v>
      </c>
      <c r="G1137" s="45">
        <f>'Hao phí vật tư'!K1372</f>
        <v>2.3029999999999999</v>
      </c>
      <c r="H1137" s="166"/>
      <c r="I1137" s="166"/>
      <c r="J1137" s="166"/>
      <c r="K1137" s="166"/>
      <c r="L1137" s="156">
        <f>ROUND(G1137*K1086,2)</f>
        <v>0</v>
      </c>
      <c r="M1137" s="156">
        <f>ROUND(G1137*J1086,2)</f>
        <v>530797.74</v>
      </c>
    </row>
    <row r="1138" spans="1:13" ht="45" hidden="1" x14ac:dyDescent="0.25">
      <c r="A1138" s="168"/>
      <c r="B1138" s="133" t="str">
        <f>'Công trình'!B35</f>
        <v>AF.82111</v>
      </c>
      <c r="C1138" s="34"/>
      <c r="D1138" s="133" t="str">
        <f>'Công trình'!C35</f>
        <v>Sản xuất, lắp dựng tháo dỡ ván khuôn thép, cây chống gỗ tường, cột vuông (chữ nhật), xà dầm, giằng, chiều cao &lt;=16m</v>
      </c>
      <c r="E1138" s="168"/>
      <c r="F1138" s="20">
        <v>1</v>
      </c>
      <c r="G1138" s="45">
        <f>'Hao phí vật tư'!K266</f>
        <v>22.2636</v>
      </c>
      <c r="H1138" s="166"/>
      <c r="I1138" s="166"/>
      <c r="J1138" s="166"/>
      <c r="K1138" s="166"/>
      <c r="L1138" s="156">
        <f>ROUND(G1138*K1086,2)</f>
        <v>0</v>
      </c>
      <c r="M1138" s="156">
        <f>ROUND(G1138*J1086,2)</f>
        <v>5131336.79</v>
      </c>
    </row>
    <row r="1139" spans="1:13" x14ac:dyDescent="0.25">
      <c r="A1139" s="168">
        <v>6</v>
      </c>
      <c r="B1139" s="84" t="s">
        <v>221</v>
      </c>
      <c r="C1139" s="34">
        <v>551</v>
      </c>
      <c r="D1139" s="144" t="s">
        <v>934</v>
      </c>
      <c r="E1139" s="168" t="s">
        <v>668</v>
      </c>
      <c r="F1139" s="34"/>
      <c r="G1139" s="60">
        <f>SUM(G1140:G1140)</f>
        <v>6.2720000000000002</v>
      </c>
      <c r="H1139" s="166">
        <v>230481</v>
      </c>
      <c r="I1139" s="166">
        <v>230481</v>
      </c>
      <c r="J1139" s="166">
        <f>'Nhân công'!M183</f>
        <v>230481</v>
      </c>
      <c r="K1139" s="166">
        <f>J1139-H1139</f>
        <v>0</v>
      </c>
      <c r="L1139" s="166">
        <f>ROUND(G1139*K1139,0)</f>
        <v>0</v>
      </c>
      <c r="M1139" s="166">
        <f>ROUND(G1139*J1139,0)</f>
        <v>1445577</v>
      </c>
    </row>
    <row r="1140" spans="1:13" ht="30" hidden="1" x14ac:dyDescent="0.25">
      <c r="A1140" s="168"/>
      <c r="B1140" s="133" t="str">
        <f>'Công trình'!B273</f>
        <v>TH.01.05.20</v>
      </c>
      <c r="C1140" s="34"/>
      <c r="D1140" s="133" t="str">
        <f>'Công trình'!C273</f>
        <v>Đèn tín hiệu thông thuyền</v>
      </c>
      <c r="E1140" s="168"/>
      <c r="F1140" s="20">
        <v>1</v>
      </c>
      <c r="G1140" s="45">
        <f>'Hao phí vật tư'!K2081</f>
        <v>6.2720000000000002</v>
      </c>
      <c r="H1140" s="166"/>
      <c r="I1140" s="166"/>
      <c r="J1140" s="166"/>
      <c r="K1140" s="166"/>
      <c r="L1140" s="156">
        <f>ROUND(G1140*K1139,2)</f>
        <v>0</v>
      </c>
      <c r="M1140" s="156">
        <f>ROUND(G1140*J1139,2)</f>
        <v>1445576.83</v>
      </c>
    </row>
    <row r="1141" spans="1:13" x14ac:dyDescent="0.25">
      <c r="A1141" s="168">
        <v>7</v>
      </c>
      <c r="B1141" s="84" t="s">
        <v>237</v>
      </c>
      <c r="C1141" s="34">
        <v>555</v>
      </c>
      <c r="D1141" s="144" t="s">
        <v>904</v>
      </c>
      <c r="E1141" s="168" t="s">
        <v>450</v>
      </c>
      <c r="F1141" s="34"/>
      <c r="G1141" s="60">
        <f>SUM(G1142:G1174)</f>
        <v>2932.2982999999999</v>
      </c>
      <c r="H1141" s="166">
        <v>258500</v>
      </c>
      <c r="I1141" s="166">
        <v>258500</v>
      </c>
      <c r="J1141" s="166">
        <f>'Nhân công'!M185</f>
        <v>258500</v>
      </c>
      <c r="K1141" s="166">
        <f>J1141-H1141</f>
        <v>0</v>
      </c>
      <c r="L1141" s="166">
        <f>ROUND(G1141*K1141,0)</f>
        <v>0</v>
      </c>
      <c r="M1141" s="166">
        <f>ROUND(G1141*J1141,0)</f>
        <v>757999111</v>
      </c>
    </row>
    <row r="1142" spans="1:13" ht="45" hidden="1" x14ac:dyDescent="0.25">
      <c r="A1142" s="168"/>
      <c r="B1142" s="133" t="str">
        <f>'Công trình'!B26</f>
        <v>AC.12412</v>
      </c>
      <c r="C1142" s="34"/>
      <c r="D1142" s="133" t="str">
        <f>'Công trình'!C26</f>
        <v>Đóng cọc cừ máng bê tông dự ứng lực trên cạn bằng búa rung kết hợp tách mũi nước áp lực SW600A, chiều cao máng cọc 60-84cm, L=18M</v>
      </c>
      <c r="E1142" s="168"/>
      <c r="F1142" s="20">
        <v>1</v>
      </c>
      <c r="G1142" s="45">
        <f>'Hao phí vật tư'!K187</f>
        <v>199.26</v>
      </c>
      <c r="H1142" s="166"/>
      <c r="I1142" s="166"/>
      <c r="J1142" s="166"/>
      <c r="K1142" s="166"/>
      <c r="L1142" s="156">
        <f>ROUND(G1142*K1141,2)</f>
        <v>0</v>
      </c>
      <c r="M1142" s="156">
        <f>ROUND(G1142*J1141,2)</f>
        <v>51508710</v>
      </c>
    </row>
    <row r="1143" spans="1:13" ht="30" hidden="1" x14ac:dyDescent="0.25">
      <c r="A1143" s="168"/>
      <c r="B1143" s="133" t="str">
        <f>'Công trình'!B55</f>
        <v>AG.42111</v>
      </c>
      <c r="C1143" s="34"/>
      <c r="D1143" s="133" t="str">
        <f>'Công trình'!C55</f>
        <v>Lắp các loại cấu kiện BT đúc sẵn bằng thủ công trọng lượng &lt;=50kg, vữa XM mác 100</v>
      </c>
      <c r="E1143" s="168"/>
      <c r="F1143" s="20">
        <v>1</v>
      </c>
      <c r="G1143" s="45">
        <f>'Hao phí vật tư'!K406</f>
        <v>724.55489999999998</v>
      </c>
      <c r="H1143" s="166"/>
      <c r="I1143" s="166"/>
      <c r="J1143" s="166"/>
      <c r="K1143" s="166"/>
      <c r="L1143" s="156">
        <f>ROUND(G1143*K1141,2)</f>
        <v>0</v>
      </c>
      <c r="M1143" s="156">
        <f>ROUND(G1143*J1141,2)</f>
        <v>187297441.65000001</v>
      </c>
    </row>
    <row r="1144" spans="1:13" hidden="1" x14ac:dyDescent="0.25">
      <c r="A1144" s="168"/>
      <c r="B1144" s="133" t="str">
        <f>'Công trình'!B76</f>
        <v>AC.29341</v>
      </c>
      <c r="C1144" s="34"/>
      <c r="D1144" s="133" t="str">
        <f>'Công trình'!C76</f>
        <v>Nối cọc BTCT 35x35cm</v>
      </c>
      <c r="E1144" s="168"/>
      <c r="F1144" s="20">
        <v>1</v>
      </c>
      <c r="G1144" s="45">
        <f>'Hao phí vật tư'!K606</f>
        <v>25.92</v>
      </c>
      <c r="H1144" s="166"/>
      <c r="I1144" s="166"/>
      <c r="J1144" s="166"/>
      <c r="K1144" s="166"/>
      <c r="L1144" s="156">
        <f>ROUND(G1144*K1141,2)</f>
        <v>0</v>
      </c>
      <c r="M1144" s="156">
        <f>ROUND(G1144*J1141,2)</f>
        <v>6700320</v>
      </c>
    </row>
    <row r="1145" spans="1:13" hidden="1" x14ac:dyDescent="0.25">
      <c r="A1145" s="168"/>
      <c r="B1145" s="133" t="str">
        <f>'Công trình'!B77</f>
        <v>AA.22310</v>
      </c>
      <c r="C1145" s="34"/>
      <c r="D1145" s="133" t="str">
        <f>'Công trình'!C77</f>
        <v>Đập đầu cọc trên cạn</v>
      </c>
      <c r="E1145" s="168"/>
      <c r="F1145" s="20">
        <v>1</v>
      </c>
      <c r="G1145" s="45">
        <f>'Hao phí vật tư'!K614</f>
        <v>1.4112</v>
      </c>
      <c r="H1145" s="166"/>
      <c r="I1145" s="166"/>
      <c r="J1145" s="166"/>
      <c r="K1145" s="166"/>
      <c r="L1145" s="156">
        <f>ROUND(G1145*K1141,2)</f>
        <v>0</v>
      </c>
      <c r="M1145" s="156">
        <f>ROUND(G1145*J1141,2)</f>
        <v>364795.2</v>
      </c>
    </row>
    <row r="1146" spans="1:13" hidden="1" x14ac:dyDescent="0.25">
      <c r="A1146" s="168"/>
      <c r="B1146" s="133" t="str">
        <f>'Công trình'!B88</f>
        <v>AA.22310</v>
      </c>
      <c r="C1146" s="34"/>
      <c r="D1146" s="133" t="str">
        <f>'Công trình'!C88</f>
        <v>Đập đầu cọc trên cạn</v>
      </c>
      <c r="E1146" s="168"/>
      <c r="F1146" s="20">
        <v>1</v>
      </c>
      <c r="G1146" s="45">
        <f>'Hao phí vật tư'!K730</f>
        <v>0.41760000000000003</v>
      </c>
      <c r="H1146" s="166"/>
      <c r="I1146" s="166"/>
      <c r="J1146" s="166"/>
      <c r="K1146" s="166"/>
      <c r="L1146" s="156">
        <f>ROUND(G1146*K1141,2)</f>
        <v>0</v>
      </c>
      <c r="M1146" s="156">
        <f>ROUND(G1146*J1141,2)</f>
        <v>107949.6</v>
      </c>
    </row>
    <row r="1147" spans="1:13" hidden="1" x14ac:dyDescent="0.25">
      <c r="A1147" s="168"/>
      <c r="B1147" s="133" t="str">
        <f>'Công trình'!B87</f>
        <v>AC.29331</v>
      </c>
      <c r="C1147" s="34"/>
      <c r="D1147" s="133" t="str">
        <f>'Công trình'!C87</f>
        <v>Nối cọc BTCT 30x30cm</v>
      </c>
      <c r="E1147" s="168"/>
      <c r="F1147" s="20">
        <v>1</v>
      </c>
      <c r="G1147" s="45">
        <f>'Hao phí vật tư'!K722</f>
        <v>6.16</v>
      </c>
      <c r="H1147" s="166"/>
      <c r="I1147" s="166"/>
      <c r="J1147" s="166"/>
      <c r="K1147" s="166"/>
      <c r="L1147" s="156">
        <f>ROUND(G1147*K1141,2)</f>
        <v>0</v>
      </c>
      <c r="M1147" s="156">
        <f>ROUND(G1147*J1141,2)</f>
        <v>1592360</v>
      </c>
    </row>
    <row r="1148" spans="1:13" hidden="1" x14ac:dyDescent="0.25">
      <c r="A1148" s="168"/>
      <c r="B1148" s="133" t="str">
        <f>'Công trình'!B98</f>
        <v>AD.11212</v>
      </c>
      <c r="C1148" s="34"/>
      <c r="D1148" s="133" t="str">
        <f>'Công trình'!C98</f>
        <v>Cấp phối đá 0x4</v>
      </c>
      <c r="E1148" s="168"/>
      <c r="F1148" s="20">
        <v>1</v>
      </c>
      <c r="G1148" s="45">
        <f>'Hao phí vật tư'!K791</f>
        <v>2.34</v>
      </c>
      <c r="H1148" s="166"/>
      <c r="I1148" s="166"/>
      <c r="J1148" s="166"/>
      <c r="K1148" s="166"/>
      <c r="L1148" s="156">
        <f>ROUND(G1148*K1141,2)</f>
        <v>0</v>
      </c>
      <c r="M1148" s="156">
        <f>ROUND(G1148*J1141,2)</f>
        <v>604890</v>
      </c>
    </row>
    <row r="1149" spans="1:13" ht="30" hidden="1" x14ac:dyDescent="0.25">
      <c r="A1149" s="168"/>
      <c r="B1149" s="133" t="str">
        <f>'Công trình'!B114</f>
        <v>AC.22522</v>
      </c>
      <c r="C1149" s="34"/>
      <c r="D1149" s="133" t="str">
        <f>'Công trình'!C114</f>
        <v>Đóng cọc thép hình H300 trên mặt đất, chiều dài cọc &gt;10m, đất cấp II, phần ngập đất</v>
      </c>
      <c r="E1149" s="168"/>
      <c r="F1149" s="20">
        <v>1</v>
      </c>
      <c r="G1149" s="45">
        <f>'Hao phí vật tư'!K912</f>
        <v>12.768000000000001</v>
      </c>
      <c r="H1149" s="166"/>
      <c r="I1149" s="166"/>
      <c r="J1149" s="166"/>
      <c r="K1149" s="166"/>
      <c r="L1149" s="156">
        <f>ROUND(G1149*K1141,2)</f>
        <v>0</v>
      </c>
      <c r="M1149" s="156">
        <f>ROUND(G1149*J1141,2)</f>
        <v>3300528</v>
      </c>
    </row>
    <row r="1150" spans="1:13" ht="45" hidden="1" x14ac:dyDescent="0.25">
      <c r="A1150" s="168"/>
      <c r="B1150" s="133" t="str">
        <f>'Công trình'!B115</f>
        <v>AC.22522</v>
      </c>
      <c r="C1150" s="34"/>
      <c r="D1150" s="133" t="str">
        <f>'Công trình'!C115</f>
        <v>Đóng cọc thép hình H300 trên mặt đất, chiều dài cọc &gt;10m, đất cấp II, phần không ngập đất (NC, MTC * 0,75)</v>
      </c>
      <c r="E1150" s="168"/>
      <c r="F1150" s="20">
        <v>1</v>
      </c>
      <c r="G1150" s="45">
        <f>'Hao phí vật tư'!K921</f>
        <v>5.2110000000000003</v>
      </c>
      <c r="H1150" s="166"/>
      <c r="I1150" s="166"/>
      <c r="J1150" s="166"/>
      <c r="K1150" s="166"/>
      <c r="L1150" s="156">
        <f>ROUND(G1150*K1141,2)</f>
        <v>0</v>
      </c>
      <c r="M1150" s="156">
        <f>ROUND(G1150*J1141,2)</f>
        <v>1347043.5</v>
      </c>
    </row>
    <row r="1151" spans="1:13" ht="30" hidden="1" x14ac:dyDescent="0.25">
      <c r="A1151" s="168"/>
      <c r="B1151" s="133" t="str">
        <f>'Công trình'!B125</f>
        <v>AC.22522</v>
      </c>
      <c r="C1151" s="34"/>
      <c r="D1151" s="133" t="str">
        <f>'Công trình'!C125</f>
        <v>Đóng cọc thép hình H300 trên mặt đất, chiều dài cọc &gt;10m, đất cấp II, phần ngập đất</v>
      </c>
      <c r="E1151" s="168"/>
      <c r="F1151" s="20">
        <v>1</v>
      </c>
      <c r="G1151" s="45">
        <f>'Hao phí vật tư'!K984</f>
        <v>2.2848000000000002</v>
      </c>
      <c r="H1151" s="166"/>
      <c r="I1151" s="166"/>
      <c r="J1151" s="166"/>
      <c r="K1151" s="166"/>
      <c r="L1151" s="156">
        <f>ROUND(G1151*K1141,2)</f>
        <v>0</v>
      </c>
      <c r="M1151" s="156">
        <f>ROUND(G1151*J1141,2)</f>
        <v>590620.80000000005</v>
      </c>
    </row>
    <row r="1152" spans="1:13" ht="45" hidden="1" x14ac:dyDescent="0.25">
      <c r="A1152" s="168"/>
      <c r="B1152" s="133" t="str">
        <f>'Công trình'!B126</f>
        <v>AC.22522</v>
      </c>
      <c r="C1152" s="34"/>
      <c r="D1152" s="133" t="str">
        <f>'Công trình'!C126</f>
        <v>Đóng cọc thép hình H300 trên mặt đất, chiều dài cọc &gt;10m, đất cấp II, phần không ngập đất (NC, MTC * 0,75)</v>
      </c>
      <c r="E1152" s="168"/>
      <c r="F1152" s="20">
        <v>1</v>
      </c>
      <c r="G1152" s="45">
        <f>'Hao phí vật tư'!K993</f>
        <v>0.81059999999999999</v>
      </c>
      <c r="H1152" s="166"/>
      <c r="I1152" s="166"/>
      <c r="J1152" s="166"/>
      <c r="K1152" s="166"/>
      <c r="L1152" s="156">
        <f>ROUND(G1152*K1141,2)</f>
        <v>0</v>
      </c>
      <c r="M1152" s="156">
        <f>ROUND(G1152*J1141,2)</f>
        <v>209540.1</v>
      </c>
    </row>
    <row r="1153" spans="1:13" ht="30" hidden="1" x14ac:dyDescent="0.25">
      <c r="A1153" s="168"/>
      <c r="B1153" s="133" t="str">
        <f>'Công trình'!B131</f>
        <v>AC.22112</v>
      </c>
      <c r="C1153" s="34"/>
      <c r="D1153" s="133" t="str">
        <f>'Công trình'!C131</f>
        <v>Đóng cừ Larsen IV trên mặt đất chiều dài cọc &lt;=12m đất cấp II, ngập đất 15,5m</v>
      </c>
      <c r="E1153" s="168"/>
      <c r="F1153" s="20">
        <v>1</v>
      </c>
      <c r="G1153" s="45">
        <f>'Hao phí vật tư'!K1012</f>
        <v>291.51900000000001</v>
      </c>
      <c r="H1153" s="166"/>
      <c r="I1153" s="166"/>
      <c r="J1153" s="166"/>
      <c r="K1153" s="166"/>
      <c r="L1153" s="156">
        <f>ROUND(G1153*K1141,2)</f>
        <v>0</v>
      </c>
      <c r="M1153" s="156">
        <f>ROUND(G1153*J1141,2)</f>
        <v>75357661.5</v>
      </c>
    </row>
    <row r="1154" spans="1:13" ht="45" hidden="1" x14ac:dyDescent="0.25">
      <c r="A1154" s="168"/>
      <c r="B1154" s="133" t="str">
        <f>'Công trình'!B132</f>
        <v>AC.22112</v>
      </c>
      <c r="C1154" s="34"/>
      <c r="D1154" s="133" t="str">
        <f>'Công trình'!C132</f>
        <v>Đóng cừ Larsen IV trên mặt đất chiều dài cọc &lt;=12m đất cấp II, không ngập đất (NC, MTC * 0,75)</v>
      </c>
      <c r="E1154" s="168"/>
      <c r="F1154" s="20">
        <v>1</v>
      </c>
      <c r="G1154" s="45">
        <f>'Hao phí vật tư'!K1021</f>
        <v>72.879800000000003</v>
      </c>
      <c r="H1154" s="166"/>
      <c r="I1154" s="166"/>
      <c r="J1154" s="166"/>
      <c r="K1154" s="166"/>
      <c r="L1154" s="156">
        <f>ROUND(G1154*K1141,2)</f>
        <v>0</v>
      </c>
      <c r="M1154" s="156">
        <f>ROUND(G1154*J1141,2)</f>
        <v>18839428.300000001</v>
      </c>
    </row>
    <row r="1155" spans="1:13" ht="30" hidden="1" x14ac:dyDescent="0.25">
      <c r="A1155" s="168"/>
      <c r="B1155" s="133" t="str">
        <f>'Công trình'!B142</f>
        <v>AC.22522</v>
      </c>
      <c r="C1155" s="34"/>
      <c r="D1155" s="133" t="str">
        <f>'Công trình'!C142</f>
        <v>Đóng cọc thép hình H300 trên mặt đất, chiều dài cọc &gt;10m, đất cấp II, phần ngập đất</v>
      </c>
      <c r="E1155" s="168"/>
      <c r="F1155" s="20">
        <v>1</v>
      </c>
      <c r="G1155" s="45">
        <f>'Hao phí vật tư'!K1088</f>
        <v>18.143999999999998</v>
      </c>
      <c r="H1155" s="166"/>
      <c r="I1155" s="166"/>
      <c r="J1155" s="166"/>
      <c r="K1155" s="166"/>
      <c r="L1155" s="156">
        <f>ROUND(G1155*K1141,2)</f>
        <v>0</v>
      </c>
      <c r="M1155" s="156">
        <f>ROUND(G1155*J1141,2)</f>
        <v>4690224</v>
      </c>
    </row>
    <row r="1156" spans="1:13" ht="45" hidden="1" x14ac:dyDescent="0.25">
      <c r="A1156" s="168"/>
      <c r="B1156" s="133" t="str">
        <f>'Công trình'!B143</f>
        <v>AC.22522</v>
      </c>
      <c r="C1156" s="34"/>
      <c r="D1156" s="133" t="str">
        <f>'Công trình'!C143</f>
        <v>Đóng cọc thép hình H300 trên mặt đất, chiều dài cọc &gt;10m, đất cấp II, phần không ngập đất (NC, MTC * 0,75)</v>
      </c>
      <c r="E1156" s="168"/>
      <c r="F1156" s="20">
        <v>1</v>
      </c>
      <c r="G1156" s="45">
        <f>'Hao phí vật tư'!K1097</f>
        <v>5.2110000000000003</v>
      </c>
      <c r="H1156" s="166"/>
      <c r="I1156" s="166"/>
      <c r="J1156" s="166"/>
      <c r="K1156" s="166"/>
      <c r="L1156" s="156">
        <f>ROUND(G1156*K1141,2)</f>
        <v>0</v>
      </c>
      <c r="M1156" s="156">
        <f>ROUND(G1156*J1141,2)</f>
        <v>1347043.5</v>
      </c>
    </row>
    <row r="1157" spans="1:13" ht="30" hidden="1" x14ac:dyDescent="0.25">
      <c r="A1157" s="168"/>
      <c r="B1157" s="133" t="str">
        <f>'Công trình'!B146</f>
        <v>AC.23110</v>
      </c>
      <c r="C1157" s="34"/>
      <c r="D1157" s="133" t="str">
        <f>'Công trình'!C146</f>
        <v>Nhổ cọc thép hình làm tường chắn đất, sàn thao tác trên cạn</v>
      </c>
      <c r="E1157" s="168"/>
      <c r="F1157" s="20">
        <v>1</v>
      </c>
      <c r="G1157" s="45">
        <f>'Hao phí vật tư'!K1107</f>
        <v>9.5760000000000005</v>
      </c>
      <c r="H1157" s="166"/>
      <c r="I1157" s="166"/>
      <c r="J1157" s="166"/>
      <c r="K1157" s="166"/>
      <c r="L1157" s="156">
        <f>ROUND(G1157*K1141,2)</f>
        <v>0</v>
      </c>
      <c r="M1157" s="156">
        <f>ROUND(G1157*J1141,2)</f>
        <v>2475396</v>
      </c>
    </row>
    <row r="1158" spans="1:13" ht="30" hidden="1" x14ac:dyDescent="0.25">
      <c r="A1158" s="168"/>
      <c r="B1158" s="133" t="str">
        <f>'Công trình'!B118</f>
        <v>AC.23110</v>
      </c>
      <c r="C1158" s="34"/>
      <c r="D1158" s="133" t="str">
        <f>'Công trình'!C118</f>
        <v>Nhổ cọc thép hình làm tường chắn đất, sàn thao tác trên cạn</v>
      </c>
      <c r="E1158" s="168"/>
      <c r="F1158" s="20">
        <v>1</v>
      </c>
      <c r="G1158" s="45">
        <f>'Hao phí vật tư'!K931</f>
        <v>7.4480000000000004</v>
      </c>
      <c r="H1158" s="166"/>
      <c r="I1158" s="166"/>
      <c r="J1158" s="166"/>
      <c r="K1158" s="166"/>
      <c r="L1158" s="156">
        <f>ROUND(G1158*K1141,2)</f>
        <v>0</v>
      </c>
      <c r="M1158" s="156">
        <f>ROUND(G1158*J1141,2)</f>
        <v>1925308</v>
      </c>
    </row>
    <row r="1159" spans="1:13" ht="30" hidden="1" x14ac:dyDescent="0.25">
      <c r="A1159" s="168"/>
      <c r="B1159" s="133" t="str">
        <f>'Công trình'!B129</f>
        <v>AC.23110</v>
      </c>
      <c r="C1159" s="34"/>
      <c r="D1159" s="133" t="str">
        <f>'Công trình'!C129</f>
        <v>Nhổ cọc thép hình làm tường chắn đất, sàn thao tác trên cạn</v>
      </c>
      <c r="E1159" s="168"/>
      <c r="F1159" s="20">
        <v>1</v>
      </c>
      <c r="G1159" s="45">
        <f>'Hao phí vật tư'!K1003</f>
        <v>1.2767999999999999</v>
      </c>
      <c r="H1159" s="166"/>
      <c r="I1159" s="166"/>
      <c r="J1159" s="166"/>
      <c r="K1159" s="166"/>
      <c r="L1159" s="156">
        <f>ROUND(G1159*K1141,2)</f>
        <v>0</v>
      </c>
      <c r="M1159" s="156">
        <f>ROUND(G1159*J1141,2)</f>
        <v>330052.8</v>
      </c>
    </row>
    <row r="1160" spans="1:13" ht="45" hidden="1" x14ac:dyDescent="0.25">
      <c r="A1160" s="168"/>
      <c r="B1160" s="133" t="str">
        <f>'Công trình'!B162</f>
        <v>AC.22522</v>
      </c>
      <c r="C1160" s="34"/>
      <c r="D1160" s="133" t="str">
        <f>'Công trình'!C162</f>
        <v>Đóng cọc thép hình I350x150, dài 14m đóng ngập đất 11m trên mặt đất, đất cấp II, phần ngập đất</v>
      </c>
      <c r="E1160" s="168"/>
      <c r="F1160" s="20">
        <v>1</v>
      </c>
      <c r="G1160" s="45">
        <f>'Hao phí vật tư'!K1234</f>
        <v>20.697600000000001</v>
      </c>
      <c r="H1160" s="166"/>
      <c r="I1160" s="166"/>
      <c r="J1160" s="166"/>
      <c r="K1160" s="166"/>
      <c r="L1160" s="156">
        <f>ROUND(G1160*K1141,2)</f>
        <v>0</v>
      </c>
      <c r="M1160" s="156">
        <f>ROUND(G1160*J1141,2)</f>
        <v>5350329.5999999996</v>
      </c>
    </row>
    <row r="1161" spans="1:13" ht="45" hidden="1" x14ac:dyDescent="0.25">
      <c r="A1161" s="168"/>
      <c r="B1161" s="133" t="str">
        <f>'Công trình'!B163</f>
        <v>AC.22522</v>
      </c>
      <c r="C1161" s="34"/>
      <c r="D1161" s="133" t="str">
        <f>'Công trình'!C163</f>
        <v>Đóng cọc thép hình I350x150, dài 14m đóng không ngập đất 3m, đất cấp II, phần không ngập đất (NC, MTC * 0,75)</v>
      </c>
      <c r="E1161" s="168"/>
      <c r="F1161" s="20">
        <v>1</v>
      </c>
      <c r="G1161" s="45">
        <f>'Hao phí vật tư'!K1243</f>
        <v>4.8635999999999999</v>
      </c>
      <c r="H1161" s="166"/>
      <c r="I1161" s="166"/>
      <c r="J1161" s="166"/>
      <c r="K1161" s="166"/>
      <c r="L1161" s="156">
        <f>ROUND(G1161*K1141,2)</f>
        <v>0</v>
      </c>
      <c r="M1161" s="156">
        <f>ROUND(G1161*J1141,2)</f>
        <v>1257240.6000000001</v>
      </c>
    </row>
    <row r="1162" spans="1:13" ht="30" hidden="1" x14ac:dyDescent="0.25">
      <c r="A1162" s="168"/>
      <c r="B1162" s="133" t="str">
        <f>'Công trình'!B166</f>
        <v>AC.23110</v>
      </c>
      <c r="C1162" s="34"/>
      <c r="D1162" s="133" t="str">
        <f>'Công trình'!C166</f>
        <v>Nhổ cọc thép hình làm tường chắn đất, sàn thao tác trên cạn</v>
      </c>
      <c r="E1162" s="168"/>
      <c r="F1162" s="20">
        <v>1</v>
      </c>
      <c r="G1162" s="45">
        <f>'Hao phí vật tư'!K1253</f>
        <v>10.427199999999999</v>
      </c>
      <c r="H1162" s="166"/>
      <c r="I1162" s="166"/>
      <c r="J1162" s="166"/>
      <c r="K1162" s="166"/>
      <c r="L1162" s="156">
        <f>ROUND(G1162*K1141,2)</f>
        <v>0</v>
      </c>
      <c r="M1162" s="156">
        <f>ROUND(G1162*J1141,2)</f>
        <v>2695431.2</v>
      </c>
    </row>
    <row r="1163" spans="1:13" ht="30" hidden="1" x14ac:dyDescent="0.25">
      <c r="A1163" s="168"/>
      <c r="B1163" s="133" t="str">
        <f>'Công trình'!B169</f>
        <v>AG.42141</v>
      </c>
      <c r="C1163" s="34"/>
      <c r="D1163" s="133" t="str">
        <f>'Công trình'!C169</f>
        <v>Lắp các loại cấu kiện BT đúc sẵn bằng thủ công trọng lượng &gt;250kg, vữa XM mác 100</v>
      </c>
      <c r="E1163" s="168"/>
      <c r="F1163" s="20">
        <v>1</v>
      </c>
      <c r="G1163" s="45">
        <f>'Hao phí vật tư'!K1286</f>
        <v>51.85</v>
      </c>
      <c r="H1163" s="166"/>
      <c r="I1163" s="166"/>
      <c r="J1163" s="166"/>
      <c r="K1163" s="166"/>
      <c r="L1163" s="156">
        <f>ROUND(G1163*K1141,2)</f>
        <v>0</v>
      </c>
      <c r="M1163" s="156">
        <f>ROUND(G1163*J1141,2)</f>
        <v>13403225</v>
      </c>
    </row>
    <row r="1164" spans="1:13" hidden="1" x14ac:dyDescent="0.25">
      <c r="A1164" s="168"/>
      <c r="B1164" s="133" t="str">
        <f>'Công trình'!B213</f>
        <v>AL.25121</v>
      </c>
      <c r="C1164" s="34"/>
      <c r="D1164" s="133" t="str">
        <f>'Công trình'!C213</f>
        <v>Lắp đặt khe co giãn dầm liên tục</v>
      </c>
      <c r="E1164" s="168"/>
      <c r="F1164" s="20">
        <v>1</v>
      </c>
      <c r="G1164" s="45">
        <f>'Hao phí vật tư'!K1620</f>
        <v>14.4</v>
      </c>
      <c r="H1164" s="166"/>
      <c r="I1164" s="166"/>
      <c r="J1164" s="166"/>
      <c r="K1164" s="166"/>
      <c r="L1164" s="156">
        <f>ROUND(G1164*K1141,2)</f>
        <v>0</v>
      </c>
      <c r="M1164" s="156">
        <f>ROUND(G1164*J1141,2)</f>
        <v>3722400</v>
      </c>
    </row>
    <row r="1165" spans="1:13" hidden="1" x14ac:dyDescent="0.25">
      <c r="A1165" s="168"/>
      <c r="B1165" s="133" t="str">
        <f>'Công trình'!B235</f>
        <v>AA.22310</v>
      </c>
      <c r="C1165" s="34"/>
      <c r="D1165" s="133" t="str">
        <f>'Công trình'!C235</f>
        <v>Đập đầu cọc trên cạn</v>
      </c>
      <c r="E1165" s="168"/>
      <c r="F1165" s="20">
        <v>1</v>
      </c>
      <c r="G1165" s="45">
        <f>'Hao phí vật tư'!K1796</f>
        <v>1.0584</v>
      </c>
      <c r="H1165" s="166"/>
      <c r="I1165" s="166"/>
      <c r="J1165" s="166"/>
      <c r="K1165" s="166"/>
      <c r="L1165" s="156">
        <f>ROUND(G1165*K1141,2)</f>
        <v>0</v>
      </c>
      <c r="M1165" s="156">
        <f>ROUND(G1165*J1141,2)</f>
        <v>273596.40000000002</v>
      </c>
    </row>
    <row r="1166" spans="1:13" hidden="1" x14ac:dyDescent="0.25">
      <c r="A1166" s="168"/>
      <c r="B1166" s="133" t="str">
        <f>'Công trình'!B234</f>
        <v>AC.29341</v>
      </c>
      <c r="C1166" s="34"/>
      <c r="D1166" s="133" t="str">
        <f>'Công trình'!C234</f>
        <v>Nối cọc BTCT 35x35cm</v>
      </c>
      <c r="E1166" s="168"/>
      <c r="F1166" s="20">
        <v>1</v>
      </c>
      <c r="G1166" s="45">
        <f>'Hao phí vật tư'!K1788</f>
        <v>24.3</v>
      </c>
      <c r="H1166" s="166"/>
      <c r="I1166" s="166"/>
      <c r="J1166" s="166"/>
      <c r="K1166" s="166"/>
      <c r="L1166" s="156">
        <f>ROUND(G1166*K1141,2)</f>
        <v>0</v>
      </c>
      <c r="M1166" s="156">
        <f>ROUND(G1166*J1141,2)</f>
        <v>6281550</v>
      </c>
    </row>
    <row r="1167" spans="1:13" ht="30" hidden="1" x14ac:dyDescent="0.25">
      <c r="A1167" s="168"/>
      <c r="B1167" s="133" t="str">
        <f>'Công trình'!B241</f>
        <v>AD.11222</v>
      </c>
      <c r="C1167" s="34"/>
      <c r="D1167" s="133" t="str">
        <f>'Công trình'!C241</f>
        <v>Làm móng lớp trên cấp phối đá dăm, đường làm mới</v>
      </c>
      <c r="E1167" s="168"/>
      <c r="F1167" s="20">
        <v>1</v>
      </c>
      <c r="G1167" s="45">
        <f>'Hao phí vật tư'!K1825</f>
        <v>4.7098000000000004</v>
      </c>
      <c r="H1167" s="166"/>
      <c r="I1167" s="166"/>
      <c r="J1167" s="166"/>
      <c r="K1167" s="166"/>
      <c r="L1167" s="156">
        <f>ROUND(G1167*K1141,2)</f>
        <v>0</v>
      </c>
      <c r="M1167" s="156">
        <f>ROUND(G1167*J1141,2)</f>
        <v>1217483.3</v>
      </c>
    </row>
    <row r="1168" spans="1:13" hidden="1" x14ac:dyDescent="0.25">
      <c r="A1168" s="168"/>
      <c r="B1168" s="133" t="str">
        <f>'Công trình'!B275</f>
        <v>AD.34130</v>
      </c>
      <c r="C1168" s="34"/>
      <c r="D1168" s="133" t="str">
        <f>'Công trình'!C275</f>
        <v>Lắp đặt dải phân cách bằng tôn lượn sóng</v>
      </c>
      <c r="E1168" s="168"/>
      <c r="F1168" s="20">
        <v>1</v>
      </c>
      <c r="G1168" s="45">
        <f>'Hao phí vật tư'!K2091</f>
        <v>5.07</v>
      </c>
      <c r="H1168" s="166"/>
      <c r="I1168" s="166"/>
      <c r="J1168" s="166"/>
      <c r="K1168" s="166"/>
      <c r="L1168" s="156">
        <f>ROUND(G1168*K1141,2)</f>
        <v>0</v>
      </c>
      <c r="M1168" s="156">
        <f>ROUND(G1168*J1141,2)</f>
        <v>1310595</v>
      </c>
    </row>
    <row r="1169" spans="1:13" ht="30" hidden="1" x14ac:dyDescent="0.25">
      <c r="A1169" s="168"/>
      <c r="B1169" s="133" t="str">
        <f>'Công trình'!B252</f>
        <v>AG.42111</v>
      </c>
      <c r="C1169" s="34"/>
      <c r="D1169" s="133" t="str">
        <f>'Công trình'!C252</f>
        <v>Lắp các loại cấu kiện BT đúc sẵn bằng thủ công trọng lượng &lt;=50kg, vữa XM mác 100</v>
      </c>
      <c r="E1169" s="168"/>
      <c r="F1169" s="20">
        <v>1</v>
      </c>
      <c r="G1169" s="45">
        <f>'Hao phí vật tư'!K1927</f>
        <v>1045.2</v>
      </c>
      <c r="H1169" s="166"/>
      <c r="I1169" s="166"/>
      <c r="J1169" s="166"/>
      <c r="K1169" s="166"/>
      <c r="L1169" s="156">
        <f>ROUND(G1169*K1141,2)</f>
        <v>0</v>
      </c>
      <c r="M1169" s="156">
        <f>ROUND(G1169*J1141,2)</f>
        <v>270184200</v>
      </c>
    </row>
    <row r="1170" spans="1:13" ht="30" hidden="1" x14ac:dyDescent="0.25">
      <c r="A1170" s="168"/>
      <c r="B1170" s="133" t="str">
        <f>'Công trình'!B303</f>
        <v>AG.42111</v>
      </c>
      <c r="C1170" s="34"/>
      <c r="D1170" s="133" t="str">
        <f>'Công trình'!C303</f>
        <v>Lắp các loại cấu kiện BT đúc sẵn bằng thủ công trọng lượng &lt;=50kg, vữa XM mác 100</v>
      </c>
      <c r="E1170" s="168"/>
      <c r="F1170" s="20">
        <v>1</v>
      </c>
      <c r="G1170" s="45">
        <f>'Hao phí vật tư'!K2278</f>
        <v>6</v>
      </c>
      <c r="H1170" s="166"/>
      <c r="I1170" s="166"/>
      <c r="J1170" s="166"/>
      <c r="K1170" s="166"/>
      <c r="L1170" s="156">
        <f>ROUND(G1170*K1141,2)</f>
        <v>0</v>
      </c>
      <c r="M1170" s="156">
        <f>ROUND(G1170*J1141,2)</f>
        <v>1551000</v>
      </c>
    </row>
    <row r="1171" spans="1:13" hidden="1" x14ac:dyDescent="0.25">
      <c r="A1171" s="168"/>
      <c r="B1171" s="133" t="str">
        <f>'Công trình'!B178</f>
        <v>AL.25112</v>
      </c>
      <c r="C1171" s="34"/>
      <c r="D1171" s="133" t="str">
        <f>'Công trình'!C178</f>
        <v>Gối cao su (56x20.3x5)cm</v>
      </c>
      <c r="E1171" s="168"/>
      <c r="F1171" s="20">
        <v>1</v>
      </c>
      <c r="G1171" s="45">
        <f>'Hao phí vật tư'!K1350</f>
        <v>42</v>
      </c>
      <c r="H1171" s="166"/>
      <c r="I1171" s="166"/>
      <c r="J1171" s="166"/>
      <c r="K1171" s="166"/>
      <c r="L1171" s="156">
        <f>ROUND(G1171*K1141,2)</f>
        <v>0</v>
      </c>
      <c r="M1171" s="156">
        <f>ROUND(G1171*J1141,2)</f>
        <v>10857000</v>
      </c>
    </row>
    <row r="1172" spans="1:13" hidden="1" x14ac:dyDescent="0.25">
      <c r="A1172" s="168"/>
      <c r="B1172" s="133" t="str">
        <f>'Công trình'!B188</f>
        <v>AL.25112</v>
      </c>
      <c r="C1172" s="34"/>
      <c r="D1172" s="133" t="str">
        <f>'Công trình'!C188</f>
        <v>Gối cao su (56x20.3x5)cm</v>
      </c>
      <c r="E1172" s="168"/>
      <c r="F1172" s="20">
        <v>1</v>
      </c>
      <c r="G1172" s="45">
        <f>'Hao phí vật tư'!K1441</f>
        <v>84</v>
      </c>
      <c r="H1172" s="166"/>
      <c r="I1172" s="166"/>
      <c r="J1172" s="166"/>
      <c r="K1172" s="166"/>
      <c r="L1172" s="156">
        <f>ROUND(G1172*K1141,2)</f>
        <v>0</v>
      </c>
      <c r="M1172" s="156">
        <f>ROUND(G1172*J1141,2)</f>
        <v>21714000</v>
      </c>
    </row>
    <row r="1173" spans="1:13" hidden="1" x14ac:dyDescent="0.25">
      <c r="A1173" s="168"/>
      <c r="B1173" s="133" t="str">
        <f>'Công trình'!B93</f>
        <v>AD.11212</v>
      </c>
      <c r="C1173" s="34"/>
      <c r="D1173" s="133" t="str">
        <f>'Công trình'!C93</f>
        <v>Cấp phối đá 0x4</v>
      </c>
      <c r="E1173" s="168"/>
      <c r="F1173" s="20">
        <v>1</v>
      </c>
      <c r="G1173" s="45">
        <f>'Hao phí vật tư'!K757</f>
        <v>2.73</v>
      </c>
      <c r="H1173" s="166"/>
      <c r="I1173" s="166"/>
      <c r="J1173" s="166"/>
      <c r="K1173" s="166"/>
      <c r="L1173" s="156">
        <f>ROUND(G1173*K1141,2)</f>
        <v>0</v>
      </c>
      <c r="M1173" s="156">
        <f>ROUND(G1173*J1141,2)</f>
        <v>705705</v>
      </c>
    </row>
    <row r="1174" spans="1:13" ht="30" hidden="1" x14ac:dyDescent="0.25">
      <c r="A1174" s="168"/>
      <c r="B1174" s="133" t="str">
        <f>'Công trình'!B135</f>
        <v>AC.23210</v>
      </c>
      <c r="C1174" s="34"/>
      <c r="D1174" s="133" t="str">
        <f>'Công trình'!C135</f>
        <v>Nhổ cọc cừ Larsen 3, larsen 4 trên cạn bằng búa rung, cần cẩu 25T</v>
      </c>
      <c r="E1174" s="168"/>
      <c r="F1174" s="20">
        <v>1</v>
      </c>
      <c r="G1174" s="45">
        <f>'Hao phí vật tư'!K1031</f>
        <v>227.79900000000001</v>
      </c>
      <c r="H1174" s="166"/>
      <c r="I1174" s="166"/>
      <c r="J1174" s="166"/>
      <c r="K1174" s="166"/>
      <c r="L1174" s="156">
        <f>ROUND(G1174*K1141,2)</f>
        <v>0</v>
      </c>
      <c r="M1174" s="156">
        <f>ROUND(G1174*J1141,2)</f>
        <v>58886041.5</v>
      </c>
    </row>
    <row r="1175" spans="1:13" x14ac:dyDescent="0.25">
      <c r="A1175" s="168">
        <v>8</v>
      </c>
      <c r="B1175" s="84" t="s">
        <v>181</v>
      </c>
      <c r="C1175" s="34">
        <v>552</v>
      </c>
      <c r="D1175" s="144" t="s">
        <v>789</v>
      </c>
      <c r="E1175" s="168" t="s">
        <v>450</v>
      </c>
      <c r="F1175" s="34"/>
      <c r="G1175" s="60">
        <f>SUM(G1176:G1176)</f>
        <v>314.94420000000002</v>
      </c>
      <c r="H1175" s="166">
        <v>242954</v>
      </c>
      <c r="I1175" s="166">
        <v>242954</v>
      </c>
      <c r="J1175" s="166">
        <f>'Nhân công'!M219</f>
        <v>242954</v>
      </c>
      <c r="K1175" s="166">
        <f>J1175-H1175</f>
        <v>0</v>
      </c>
      <c r="L1175" s="166">
        <f>ROUND(G1175*K1175,0)</f>
        <v>0</v>
      </c>
      <c r="M1175" s="166">
        <f>ROUND(G1175*J1175,0)</f>
        <v>76516953</v>
      </c>
    </row>
    <row r="1176" spans="1:13" hidden="1" x14ac:dyDescent="0.25">
      <c r="A1176" s="168"/>
      <c r="B1176" s="133" t="str">
        <f>'Công trình'!B262</f>
        <v>AI.21152</v>
      </c>
      <c r="C1176" s="34"/>
      <c r="D1176" s="133" t="str">
        <f>'Công trình'!C262</f>
        <v>Sản xuất kết cấu thép lan can cầu đường bộ</v>
      </c>
      <c r="E1176" s="168"/>
      <c r="F1176" s="20">
        <v>1</v>
      </c>
      <c r="G1176" s="45">
        <f>'Hao phí vật tư'!K2000</f>
        <v>314.94420000000002</v>
      </c>
      <c r="H1176" s="166"/>
      <c r="I1176" s="166"/>
      <c r="J1176" s="166"/>
      <c r="K1176" s="166"/>
      <c r="L1176" s="156">
        <f>ROUND(G1176*K1175,2)</f>
        <v>0</v>
      </c>
      <c r="M1176" s="156">
        <f>ROUND(G1176*J1175,2)</f>
        <v>76516953.170000002</v>
      </c>
    </row>
    <row r="1177" spans="1:13" x14ac:dyDescent="0.25">
      <c r="A1177" s="168">
        <v>9</v>
      </c>
      <c r="B1177" s="84" t="s">
        <v>126</v>
      </c>
      <c r="C1177" s="34">
        <v>553</v>
      </c>
      <c r="D1177" s="144" t="s">
        <v>549</v>
      </c>
      <c r="E1177" s="168" t="s">
        <v>450</v>
      </c>
      <c r="F1177" s="34"/>
      <c r="G1177" s="60">
        <f>SUM(G1178:G1192)</f>
        <v>2276.4526000000001</v>
      </c>
      <c r="H1177" s="166">
        <v>251269</v>
      </c>
      <c r="I1177" s="166">
        <v>251269</v>
      </c>
      <c r="J1177" s="166">
        <f>'Nhân công'!M221</f>
        <v>251269</v>
      </c>
      <c r="K1177" s="166">
        <f>J1177-H1177</f>
        <v>0</v>
      </c>
      <c r="L1177" s="166">
        <f>ROUND(G1177*K1177,0)</f>
        <v>0</v>
      </c>
      <c r="M1177" s="166">
        <f>ROUND(G1177*J1177,0)</f>
        <v>572001968</v>
      </c>
    </row>
    <row r="1178" spans="1:13" ht="30" hidden="1" x14ac:dyDescent="0.25">
      <c r="A1178" s="168"/>
      <c r="B1178" s="133" t="str">
        <f>'Công trình'!B39</f>
        <v>AI.13111</v>
      </c>
      <c r="C1178" s="34"/>
      <c r="D1178" s="133" t="str">
        <f>'Công trình'!C39</f>
        <v>Sản xuất cấu kiện thép đặt sẵn trong bê tông, khối lượng &lt;=10kg/cấu kiện</v>
      </c>
      <c r="E1178" s="168"/>
      <c r="F1178" s="20">
        <v>1</v>
      </c>
      <c r="G1178" s="45">
        <f>'Hao phí vật tư'!K299</f>
        <v>0.36299999999999999</v>
      </c>
      <c r="H1178" s="166"/>
      <c r="I1178" s="166"/>
      <c r="J1178" s="166"/>
      <c r="K1178" s="166"/>
      <c r="L1178" s="156">
        <f>ROUND(G1178*K1177,2)</f>
        <v>0</v>
      </c>
      <c r="M1178" s="156">
        <f>ROUND(G1178*J1177,2)</f>
        <v>91210.65</v>
      </c>
    </row>
    <row r="1179" spans="1:13" ht="30" hidden="1" x14ac:dyDescent="0.25">
      <c r="A1179" s="168"/>
      <c r="B1179" s="133" t="str">
        <f>'Công trình'!B72</f>
        <v>AI.13111</v>
      </c>
      <c r="C1179" s="34"/>
      <c r="D1179" s="133" t="str">
        <f>'Công trình'!C72</f>
        <v>Sản xuất cấu kiện thép đặt sẵn trong bê tông, khối lượng &lt;=10kg/cấu kiện</v>
      </c>
      <c r="E1179" s="168"/>
      <c r="F1179" s="20">
        <v>1</v>
      </c>
      <c r="G1179" s="45">
        <f>'Hao phí vật tư'!K555</f>
        <v>37.859499999999997</v>
      </c>
      <c r="H1179" s="166"/>
      <c r="I1179" s="166"/>
      <c r="J1179" s="166"/>
      <c r="K1179" s="166"/>
      <c r="L1179" s="156">
        <f>ROUND(G1179*K1177,2)</f>
        <v>0</v>
      </c>
      <c r="M1179" s="156">
        <f>ROUND(G1179*J1177,2)</f>
        <v>9512918.7100000009</v>
      </c>
    </row>
    <row r="1180" spans="1:13" hidden="1" x14ac:dyDescent="0.25">
      <c r="A1180" s="168"/>
      <c r="B1180" s="133" t="str">
        <f>'Công trình'!B74</f>
        <v>AI.52211</v>
      </c>
      <c r="C1180" s="34"/>
      <c r="D1180" s="133" t="str">
        <f>'Công trình'!C74</f>
        <v>Sản xuất kết cấu thép hộp nối cọc</v>
      </c>
      <c r="E1180" s="168"/>
      <c r="F1180" s="20">
        <v>1</v>
      </c>
      <c r="G1180" s="45">
        <f>'Hao phí vật tư'!K582</f>
        <v>68.876499999999993</v>
      </c>
      <c r="H1180" s="166"/>
      <c r="I1180" s="166"/>
      <c r="J1180" s="166"/>
      <c r="K1180" s="166"/>
      <c r="L1180" s="156">
        <f>ROUND(G1180*K1177,2)</f>
        <v>0</v>
      </c>
      <c r="M1180" s="156">
        <f>ROUND(G1180*J1177,2)</f>
        <v>17306529.280000001</v>
      </c>
    </row>
    <row r="1181" spans="1:13" ht="30" hidden="1" x14ac:dyDescent="0.25">
      <c r="A1181" s="168"/>
      <c r="B1181" s="133" t="str">
        <f>'Công trình'!B83</f>
        <v>AI.13111</v>
      </c>
      <c r="C1181" s="34"/>
      <c r="D1181" s="133" t="str">
        <f>'Công trình'!C83</f>
        <v>Sản xuất cấu kiện thép đặt sẵn trong bê tông, khối lượng &lt;=10kg/cấu kiện</v>
      </c>
      <c r="E1181" s="168"/>
      <c r="F1181" s="20">
        <v>1</v>
      </c>
      <c r="G1181" s="45">
        <f>'Hao phí vật tư'!K671</f>
        <v>17.879300000000001</v>
      </c>
      <c r="H1181" s="166"/>
      <c r="I1181" s="166"/>
      <c r="J1181" s="166"/>
      <c r="K1181" s="166"/>
      <c r="L1181" s="156">
        <f>ROUND(G1181*K1177,2)</f>
        <v>0</v>
      </c>
      <c r="M1181" s="156">
        <f>ROUND(G1181*J1177,2)</f>
        <v>4492513.83</v>
      </c>
    </row>
    <row r="1182" spans="1:13" hidden="1" x14ac:dyDescent="0.25">
      <c r="A1182" s="168"/>
      <c r="B1182" s="133" t="str">
        <f>'Công trình'!B85</f>
        <v>AI.52211</v>
      </c>
      <c r="C1182" s="34"/>
      <c r="D1182" s="133" t="str">
        <f>'Công trình'!C85</f>
        <v>Sản xuất kết cấu thép hộp nối cọc</v>
      </c>
      <c r="E1182" s="168"/>
      <c r="F1182" s="20">
        <v>1</v>
      </c>
      <c r="G1182" s="45">
        <f>'Hao phí vật tư'!K698</f>
        <v>29.9574</v>
      </c>
      <c r="H1182" s="166"/>
      <c r="I1182" s="166"/>
      <c r="J1182" s="166"/>
      <c r="K1182" s="166"/>
      <c r="L1182" s="156">
        <f>ROUND(G1182*K1177,2)</f>
        <v>0</v>
      </c>
      <c r="M1182" s="156">
        <f>ROUND(G1182*J1177,2)</f>
        <v>7527365.9400000004</v>
      </c>
    </row>
    <row r="1183" spans="1:13" ht="30" hidden="1" x14ac:dyDescent="0.25">
      <c r="A1183" s="168"/>
      <c r="B1183" s="133" t="str">
        <f>'Công trình'!B229</f>
        <v>AI.13111</v>
      </c>
      <c r="C1183" s="34"/>
      <c r="D1183" s="133" t="str">
        <f>'Công trình'!C229</f>
        <v>Sản xuất cấu kiện thép đặt sẵn trong bê tông, khối lượng &lt;=10kg/cấu kiện</v>
      </c>
      <c r="E1183" s="168"/>
      <c r="F1183" s="20">
        <v>1</v>
      </c>
      <c r="G1183" s="45">
        <f>'Hao phí vật tư'!K1731</f>
        <v>34.5929</v>
      </c>
      <c r="H1183" s="166"/>
      <c r="I1183" s="166"/>
      <c r="J1183" s="166"/>
      <c r="K1183" s="166"/>
      <c r="L1183" s="156">
        <f>ROUND(G1183*K1177,2)</f>
        <v>0</v>
      </c>
      <c r="M1183" s="156">
        <f>ROUND(G1183*J1177,2)</f>
        <v>8692123.3900000006</v>
      </c>
    </row>
    <row r="1184" spans="1:13" hidden="1" x14ac:dyDescent="0.25">
      <c r="A1184" s="168"/>
      <c r="B1184" s="133" t="str">
        <f>'Công trình'!B231</f>
        <v>AI.52211</v>
      </c>
      <c r="C1184" s="34"/>
      <c r="D1184" s="133" t="str">
        <f>'Công trình'!C231</f>
        <v>Thép hình hộp nối cọc</v>
      </c>
      <c r="E1184" s="168"/>
      <c r="F1184" s="20">
        <v>1</v>
      </c>
      <c r="G1184" s="45">
        <f>'Hao phí vật tư'!K1758</f>
        <v>64.572199999999995</v>
      </c>
      <c r="H1184" s="166"/>
      <c r="I1184" s="166"/>
      <c r="J1184" s="166"/>
      <c r="K1184" s="166"/>
      <c r="L1184" s="156">
        <f>ROUND(G1184*K1177,2)</f>
        <v>0</v>
      </c>
      <c r="M1184" s="156">
        <f>ROUND(G1184*J1177,2)</f>
        <v>16224992.119999999</v>
      </c>
    </row>
    <row r="1185" spans="1:13" ht="45" hidden="1" x14ac:dyDescent="0.25">
      <c r="A1185" s="168"/>
      <c r="B1185" s="133" t="str">
        <f>'Công trình'!B193</f>
        <v>TT</v>
      </c>
      <c r="C1185" s="34"/>
      <c r="D1185" s="133" t="str">
        <f>'Công trình'!C193</f>
        <v xml:space="preserve">Lắp dựng dầm cầu I DƯL bản  (TT theo MHĐM ĐQ.30010 Quyết định số 2204/QĐ-BGTVT ngày 29/07/2013) </v>
      </c>
      <c r="E1185" s="168"/>
      <c r="F1185" s="20">
        <v>1</v>
      </c>
      <c r="G1185" s="45">
        <f>'Hao phí vật tư'!K1484</f>
        <v>33.840000000000003</v>
      </c>
      <c r="H1185" s="166"/>
      <c r="I1185" s="166"/>
      <c r="J1185" s="166"/>
      <c r="K1185" s="166"/>
      <c r="L1185" s="156">
        <f>ROUND(G1185*K1177,2)</f>
        <v>0</v>
      </c>
      <c r="M1185" s="156">
        <f>ROUND(G1185*J1177,2)</f>
        <v>8502942.9600000009</v>
      </c>
    </row>
    <row r="1186" spans="1:13" hidden="1" x14ac:dyDescent="0.25">
      <c r="A1186" s="168"/>
      <c r="B1186" s="133" t="str">
        <f>'Công trình'!B322</f>
        <v>AI.65411</v>
      </c>
      <c r="C1186" s="34"/>
      <c r="D1186" s="133" t="str">
        <f>'Công trình'!C322</f>
        <v>Lắp đặt kết cấu thép khe van, khe phai</v>
      </c>
      <c r="E1186" s="168"/>
      <c r="F1186" s="20">
        <v>1</v>
      </c>
      <c r="G1186" s="45">
        <f>'Hao phí vật tư'!K2413</f>
        <v>58.341500000000003</v>
      </c>
      <c r="H1186" s="166"/>
      <c r="I1186" s="166"/>
      <c r="J1186" s="166"/>
      <c r="K1186" s="166"/>
      <c r="L1186" s="156">
        <f>ROUND(G1186*K1177,2)</f>
        <v>0</v>
      </c>
      <c r="M1186" s="156">
        <f>ROUND(G1186*J1177,2)</f>
        <v>14659410.359999999</v>
      </c>
    </row>
    <row r="1187" spans="1:13" hidden="1" x14ac:dyDescent="0.25">
      <c r="A1187" s="168"/>
      <c r="B1187" s="133" t="str">
        <f>'Công trình'!B316</f>
        <v>AI.52211</v>
      </c>
      <c r="C1187" s="34"/>
      <c r="D1187" s="133" t="str">
        <f>'Công trình'!C316</f>
        <v>Sản xuất kết cấu thép khe phai - thép CT3</v>
      </c>
      <c r="E1187" s="168"/>
      <c r="F1187" s="20">
        <v>1</v>
      </c>
      <c r="G1187" s="45">
        <f>'Hao phí vật tư'!K2314</f>
        <v>17.463000000000001</v>
      </c>
      <c r="H1187" s="166"/>
      <c r="I1187" s="166"/>
      <c r="J1187" s="166"/>
      <c r="K1187" s="166"/>
      <c r="L1187" s="156">
        <f>ROUND(G1187*K1177,2)</f>
        <v>0</v>
      </c>
      <c r="M1187" s="156">
        <f>ROUND(G1187*J1177,2)</f>
        <v>4387910.55</v>
      </c>
    </row>
    <row r="1188" spans="1:13" hidden="1" x14ac:dyDescent="0.25">
      <c r="A1188" s="168"/>
      <c r="B1188" s="133" t="str">
        <f>'Công trình'!B317</f>
        <v>AI.52211</v>
      </c>
      <c r="C1188" s="34"/>
      <c r="D1188" s="133" t="str">
        <f>'Công trình'!C317</f>
        <v>Sản xuất kết cấu thép khe phai - thép SUS304</v>
      </c>
      <c r="E1188" s="168"/>
      <c r="F1188" s="20">
        <v>1</v>
      </c>
      <c r="G1188" s="45">
        <f>'Hao phí vật tư'!K2329</f>
        <v>23.869700000000002</v>
      </c>
      <c r="H1188" s="166"/>
      <c r="I1188" s="166"/>
      <c r="J1188" s="166"/>
      <c r="K1188" s="166"/>
      <c r="L1188" s="156">
        <f>ROUND(G1188*K1177,2)</f>
        <v>0</v>
      </c>
      <c r="M1188" s="156">
        <f>ROUND(G1188*J1177,2)</f>
        <v>5997715.6500000004</v>
      </c>
    </row>
    <row r="1189" spans="1:13" hidden="1" x14ac:dyDescent="0.25">
      <c r="A1189" s="168"/>
      <c r="B1189" s="133" t="str">
        <f>'Công trình'!B318</f>
        <v>AI.52211</v>
      </c>
      <c r="C1189" s="34"/>
      <c r="D1189" s="133" t="str">
        <f>'Công trình'!C318</f>
        <v>Sản xuất kết cấu thép khe cửa - thép CT3</v>
      </c>
      <c r="E1189" s="168"/>
      <c r="F1189" s="20">
        <v>1</v>
      </c>
      <c r="G1189" s="45">
        <f>'Hao phí vật tư'!K2345</f>
        <v>17.656500000000001</v>
      </c>
      <c r="H1189" s="166"/>
      <c r="I1189" s="166"/>
      <c r="J1189" s="166"/>
      <c r="K1189" s="166"/>
      <c r="L1189" s="156">
        <f>ROUND(G1189*K1177,2)</f>
        <v>0</v>
      </c>
      <c r="M1189" s="156">
        <f>ROUND(G1189*J1177,2)</f>
        <v>4436531.0999999996</v>
      </c>
    </row>
    <row r="1190" spans="1:13" hidden="1" x14ac:dyDescent="0.25">
      <c r="A1190" s="168"/>
      <c r="B1190" s="133" t="str">
        <f>'Công trình'!B319</f>
        <v>AI.52211</v>
      </c>
      <c r="C1190" s="34"/>
      <c r="D1190" s="133" t="str">
        <f>'Công trình'!C319</f>
        <v>Sản xuất kết cấu thép khe cửa- thép SUS304</v>
      </c>
      <c r="E1190" s="168"/>
      <c r="F1190" s="20">
        <v>1</v>
      </c>
      <c r="G1190" s="45">
        <f>'Hao phí vật tư'!K2360</f>
        <v>28.189699999999998</v>
      </c>
      <c r="H1190" s="166"/>
      <c r="I1190" s="166"/>
      <c r="J1190" s="166"/>
      <c r="K1190" s="166"/>
      <c r="L1190" s="156">
        <f>ROUND(G1190*K1177,2)</f>
        <v>0</v>
      </c>
      <c r="M1190" s="156">
        <f>ROUND(G1190*J1177,2)</f>
        <v>7083197.7300000004</v>
      </c>
    </row>
    <row r="1191" spans="1:13" ht="30" hidden="1" x14ac:dyDescent="0.25">
      <c r="A1191" s="168"/>
      <c r="B1191" s="133" t="str">
        <f>'Công trình'!B320</f>
        <v>CV.0102</v>
      </c>
      <c r="C1191" s="34"/>
      <c r="D1191" s="133" t="str">
        <f>'Công trình'!C320</f>
        <v>Sản xuất cửa van bằng thép không gỉ, chiều rộng cống (B) &lt;= 8m</v>
      </c>
      <c r="E1191" s="168"/>
      <c r="F1191" s="20">
        <v>1</v>
      </c>
      <c r="G1191" s="45">
        <f>'Hao phí vật tư'!K2374</f>
        <v>1567.1110000000001</v>
      </c>
      <c r="H1191" s="166"/>
      <c r="I1191" s="166"/>
      <c r="J1191" s="166"/>
      <c r="K1191" s="166"/>
      <c r="L1191" s="156">
        <f>ROUND(G1191*K1177,2)</f>
        <v>0</v>
      </c>
      <c r="M1191" s="156">
        <f>ROUND(G1191*J1177,2)</f>
        <v>393766413.86000001</v>
      </c>
    </row>
    <row r="1192" spans="1:13" ht="30" hidden="1" x14ac:dyDescent="0.25">
      <c r="A1192" s="168"/>
      <c r="B1192" s="133" t="str">
        <f>'Công trình'!B321</f>
        <v>CV.0202</v>
      </c>
      <c r="C1192" s="34"/>
      <c r="D1192" s="133" t="str">
        <f>'Công trình'!C321</f>
        <v>Lắp đặt cửa van bằng thép không gỉ, chiều rộng cống (B) &lt;= 8m</v>
      </c>
      <c r="E1192" s="168"/>
      <c r="F1192" s="20">
        <v>1</v>
      </c>
      <c r="G1192" s="45">
        <f>'Hao phí vật tư'!K2395</f>
        <v>275.88040000000001</v>
      </c>
      <c r="H1192" s="166"/>
      <c r="I1192" s="166"/>
      <c r="J1192" s="166"/>
      <c r="K1192" s="166"/>
      <c r="L1192" s="156">
        <f>ROUND(G1192*K1177,2)</f>
        <v>0</v>
      </c>
      <c r="M1192" s="156">
        <f>ROUND(G1192*J1177,2)</f>
        <v>69320192.230000004</v>
      </c>
    </row>
    <row r="1193" spans="1:13" x14ac:dyDescent="0.25">
      <c r="A1193" s="168">
        <v>10</v>
      </c>
      <c r="B1193" s="84" t="s">
        <v>192</v>
      </c>
      <c r="C1193" s="34">
        <v>556</v>
      </c>
      <c r="D1193" s="144" t="s">
        <v>491</v>
      </c>
      <c r="E1193" s="168" t="s">
        <v>450</v>
      </c>
      <c r="F1193" s="34"/>
      <c r="G1193" s="60">
        <f>SUM(G1194:G1194)</f>
        <v>144.001</v>
      </c>
      <c r="H1193" s="166">
        <v>281548</v>
      </c>
      <c r="I1193" s="166">
        <v>281548</v>
      </c>
      <c r="J1193" s="166">
        <f>'Nhân công'!M230</f>
        <v>281548</v>
      </c>
      <c r="K1193" s="166">
        <f>J1193-H1193</f>
        <v>0</v>
      </c>
      <c r="L1193" s="166">
        <f>ROUND(G1193*K1193,0)</f>
        <v>0</v>
      </c>
      <c r="M1193" s="166">
        <f>ROUND(G1193*J1193,0)</f>
        <v>40543194</v>
      </c>
    </row>
    <row r="1194" spans="1:13" ht="30" hidden="1" x14ac:dyDescent="0.25">
      <c r="A1194" s="168"/>
      <c r="B1194" s="133" t="str">
        <f>'Công trình'!B154</f>
        <v>AB.36120</v>
      </c>
      <c r="C1194" s="34"/>
      <c r="D1194" s="133" t="str">
        <f>'Công trình'!C154</f>
        <v>Xói hút bùn trong khung vây phòng nước, các trụ dưới nước</v>
      </c>
      <c r="E1194" s="168"/>
      <c r="F1194" s="20">
        <v>1</v>
      </c>
      <c r="G1194" s="45">
        <f>'Hao phí vật tư'!K1171</f>
        <v>144.001</v>
      </c>
      <c r="H1194" s="166"/>
      <c r="I1194" s="166"/>
      <c r="J1194" s="166"/>
      <c r="K1194" s="166"/>
      <c r="L1194" s="156">
        <f>ROUND(G1194*K1193,2)</f>
        <v>0</v>
      </c>
      <c r="M1194" s="156">
        <f>ROUND(G1194*J1193,2)</f>
        <v>40543193.549999997</v>
      </c>
    </row>
    <row r="1195" spans="1:13" x14ac:dyDescent="0.25">
      <c r="A1195" s="168"/>
      <c r="B1195" s="144"/>
      <c r="C1195" s="34"/>
      <c r="D1195" s="62" t="s">
        <v>906</v>
      </c>
      <c r="E1195" s="168"/>
      <c r="F1195" s="34"/>
      <c r="G1195" s="60"/>
      <c r="H1195" s="166"/>
      <c r="I1195" s="166"/>
      <c r="J1195" s="166"/>
      <c r="K1195" s="166"/>
      <c r="L1195" s="85">
        <f>ROUND(SUMIF(C962:C1194,"&gt;0",L962:L1194),0)</f>
        <v>0</v>
      </c>
      <c r="M1195" s="85">
        <f>ROUND(SUMIF(C962:C1194,"&gt;0",M962:M1194),0)</f>
        <v>4637933996</v>
      </c>
    </row>
    <row r="1196" spans="1:13" x14ac:dyDescent="0.25">
      <c r="A1196" s="168"/>
      <c r="B1196" s="144"/>
      <c r="C1196" s="34"/>
      <c r="D1196" s="62" t="s">
        <v>378</v>
      </c>
      <c r="E1196" s="168"/>
      <c r="F1196" s="34"/>
      <c r="G1196" s="60"/>
      <c r="H1196" s="166"/>
      <c r="I1196" s="166"/>
      <c r="J1196" s="166"/>
      <c r="K1196" s="166"/>
      <c r="L1196" s="166"/>
      <c r="M1196" s="166"/>
    </row>
    <row r="1197" spans="1:13" x14ac:dyDescent="0.25">
      <c r="A1197" s="168">
        <v>1</v>
      </c>
      <c r="B1197" s="84" t="s">
        <v>684</v>
      </c>
      <c r="C1197" s="34">
        <v>714</v>
      </c>
      <c r="D1197" s="144" t="s">
        <v>1100</v>
      </c>
      <c r="E1197" s="168" t="s">
        <v>76</v>
      </c>
      <c r="F1197" s="34"/>
      <c r="G1197" s="60">
        <f>SUM(G1198:G1276)</f>
        <v>1532.2191000000003</v>
      </c>
      <c r="H1197" s="166">
        <v>338020</v>
      </c>
      <c r="I1197" s="166">
        <v>338020</v>
      </c>
      <c r="J1197" s="166">
        <f>'Máy thi công'!N6</f>
        <v>338020</v>
      </c>
      <c r="K1197" s="166">
        <f>J1197-H1197</f>
        <v>0</v>
      </c>
      <c r="L1197" s="166">
        <f>ROUND(G1197*K1197,0)</f>
        <v>0</v>
      </c>
      <c r="M1197" s="166">
        <f>ROUND(G1197*J1197,0)</f>
        <v>517920700</v>
      </c>
    </row>
    <row r="1198" spans="1:13" ht="30" hidden="1" x14ac:dyDescent="0.25">
      <c r="A1198" s="168"/>
      <c r="B1198" s="133" t="str">
        <f>'Công trình'!B11</f>
        <v>AF.61120</v>
      </c>
      <c r="C1198" s="34"/>
      <c r="D1198" s="133" t="str">
        <f>'Công trình'!C11</f>
        <v>Sản xuất, lắp dựng cốt thép móng đường kính &lt;=18mm</v>
      </c>
      <c r="E1198" s="168"/>
      <c r="F1198" s="20">
        <v>1</v>
      </c>
      <c r="G1198" s="45">
        <f>'Hao phí vật tư'!L70</f>
        <v>10.131399999999999</v>
      </c>
      <c r="H1198" s="166"/>
      <c r="I1198" s="166"/>
      <c r="J1198" s="166"/>
      <c r="K1198" s="166"/>
      <c r="L1198" s="156">
        <f>ROUND(G1198*K1197,2)</f>
        <v>0</v>
      </c>
      <c r="M1198" s="156">
        <f>ROUND(G1198*J1197,2)</f>
        <v>3424615.83</v>
      </c>
    </row>
    <row r="1199" spans="1:13" ht="30" hidden="1" x14ac:dyDescent="0.25">
      <c r="A1199" s="168"/>
      <c r="B1199" s="133" t="str">
        <f>'Công trình'!B12</f>
        <v>AF.61130</v>
      </c>
      <c r="C1199" s="34"/>
      <c r="D1199" s="133" t="str">
        <f>'Công trình'!C12</f>
        <v>Sản xuất, lắp dựng cốt thép móng đường kính &gt;18mm</v>
      </c>
      <c r="E1199" s="168"/>
      <c r="F1199" s="20">
        <v>1</v>
      </c>
      <c r="G1199" s="45">
        <f>'Hao phí vật tư'!L80</f>
        <v>3.3340000000000001</v>
      </c>
      <c r="H1199" s="166"/>
      <c r="I1199" s="166"/>
      <c r="J1199" s="166"/>
      <c r="K1199" s="166"/>
      <c r="L1199" s="156">
        <f>ROUND(G1199*K1197,2)</f>
        <v>0</v>
      </c>
      <c r="M1199" s="156">
        <f>ROUND(G1199*J1197,2)</f>
        <v>1126958.68</v>
      </c>
    </row>
    <row r="1200" spans="1:13" ht="30" hidden="1" x14ac:dyDescent="0.25">
      <c r="A1200" s="168"/>
      <c r="B1200" s="133" t="str">
        <f>'Công trình'!B13</f>
        <v>AF.61321</v>
      </c>
      <c r="C1200" s="34"/>
      <c r="D1200" s="133" t="str">
        <f>'Công trình'!C13</f>
        <v>Sản xuất, lắp dựng cốt thép tường đường kính &lt;=18mm, chiều cao &lt;=4m</v>
      </c>
      <c r="E1200" s="168"/>
      <c r="F1200" s="20">
        <v>1</v>
      </c>
      <c r="G1200" s="45">
        <f>'Hao phí vật tư'!L90</f>
        <v>8.5404</v>
      </c>
      <c r="H1200" s="166"/>
      <c r="I1200" s="166"/>
      <c r="J1200" s="166"/>
      <c r="K1200" s="166"/>
      <c r="L1200" s="156">
        <f>ROUND(G1200*K1197,2)</f>
        <v>0</v>
      </c>
      <c r="M1200" s="156">
        <f>ROUND(G1200*J1197,2)</f>
        <v>2886826.01</v>
      </c>
    </row>
    <row r="1201" spans="1:13" ht="30" hidden="1" x14ac:dyDescent="0.25">
      <c r="A1201" s="168"/>
      <c r="B1201" s="133" t="str">
        <f>'Công trình'!B14</f>
        <v>AF.61331</v>
      </c>
      <c r="C1201" s="34"/>
      <c r="D1201" s="133" t="str">
        <f>'Công trình'!C14</f>
        <v>Sản xuất, lắp dựng cốt thép tường đường kính &gt;18mm, chiều cao &lt;=4m</v>
      </c>
      <c r="E1201" s="168"/>
      <c r="F1201" s="20">
        <v>1</v>
      </c>
      <c r="G1201" s="45">
        <f>'Hao phí vật tư'!L100</f>
        <v>3.7490000000000001</v>
      </c>
      <c r="H1201" s="166"/>
      <c r="I1201" s="166"/>
      <c r="J1201" s="166"/>
      <c r="K1201" s="166"/>
      <c r="L1201" s="156">
        <f>ROUND(G1201*K1197,2)</f>
        <v>0</v>
      </c>
      <c r="M1201" s="156">
        <f>ROUND(G1201*J1197,2)</f>
        <v>1267236.98</v>
      </c>
    </row>
    <row r="1202" spans="1:13" ht="30" hidden="1" x14ac:dyDescent="0.25">
      <c r="A1202" s="168"/>
      <c r="B1202" s="133" t="str">
        <f>'Công trình'!B16</f>
        <v>AF.82111</v>
      </c>
      <c r="C1202" s="34"/>
      <c r="D1202" s="133" t="str">
        <f>'Công trình'!C16</f>
        <v>Sản xuất, lắp dựng tháo dỡ ván khuôn thép tường, chiều cao &lt;=16m</v>
      </c>
      <c r="E1202" s="168"/>
      <c r="F1202" s="20">
        <v>1</v>
      </c>
      <c r="G1202" s="45">
        <f>'Hao phí vật tư'!L119</f>
        <v>5.3688000000000002</v>
      </c>
      <c r="H1202" s="166"/>
      <c r="I1202" s="166"/>
      <c r="J1202" s="166"/>
      <c r="K1202" s="166"/>
      <c r="L1202" s="156">
        <f>ROUND(G1202*K1197,2)</f>
        <v>0</v>
      </c>
      <c r="M1202" s="156">
        <f>ROUND(G1202*J1197,2)</f>
        <v>1814761.78</v>
      </c>
    </row>
    <row r="1203" spans="1:13" ht="30" hidden="1" x14ac:dyDescent="0.25">
      <c r="A1203" s="168"/>
      <c r="B1203" s="133" t="str">
        <f>'Công trình'!B19</f>
        <v>AF.82111</v>
      </c>
      <c r="C1203" s="34"/>
      <c r="D1203" s="133" t="str">
        <f>'Công trình'!C19</f>
        <v>Sản xuất, lắp dựng tháo dỡ ván khuôn thép dầm, giằng, chiều cao &lt;=16m</v>
      </c>
      <c r="E1203" s="168"/>
      <c r="F1203" s="20">
        <v>1</v>
      </c>
      <c r="G1203" s="45">
        <f>'Hao phí vật tư'!L145</f>
        <v>4.8887</v>
      </c>
      <c r="H1203" s="166"/>
      <c r="I1203" s="166"/>
      <c r="J1203" s="166"/>
      <c r="K1203" s="166"/>
      <c r="L1203" s="156">
        <f>ROUND(G1203*K1197,2)</f>
        <v>0</v>
      </c>
      <c r="M1203" s="156">
        <f>ROUND(G1203*J1197,2)</f>
        <v>1652478.37</v>
      </c>
    </row>
    <row r="1204" spans="1:13" ht="30" hidden="1" x14ac:dyDescent="0.25">
      <c r="A1204" s="168"/>
      <c r="B1204" s="133" t="str">
        <f>'Công trình'!B22</f>
        <v>AF.61521</v>
      </c>
      <c r="C1204" s="34"/>
      <c r="D1204" s="133" t="str">
        <f>'Công trình'!C22</f>
        <v>Sản xuất, lắp dựng cốt thép xà dầm, giằng đường kính &lt;=18mm, chiều cao &lt;=4m</v>
      </c>
      <c r="E1204" s="168"/>
      <c r="F1204" s="20">
        <v>1</v>
      </c>
      <c r="G1204" s="45">
        <f>'Hao phí vật tư'!L164</f>
        <v>2.4470999999999998</v>
      </c>
      <c r="H1204" s="166"/>
      <c r="I1204" s="166"/>
      <c r="J1204" s="166"/>
      <c r="K1204" s="166"/>
      <c r="L1204" s="156">
        <f>ROUND(G1204*K1197,2)</f>
        <v>0</v>
      </c>
      <c r="M1204" s="156">
        <f>ROUND(G1204*J1197,2)</f>
        <v>827168.74</v>
      </c>
    </row>
    <row r="1205" spans="1:13" ht="30" hidden="1" x14ac:dyDescent="0.25">
      <c r="A1205" s="168"/>
      <c r="B1205" s="133" t="str">
        <f>'Công trình'!B31</f>
        <v>AF.82111</v>
      </c>
      <c r="C1205" s="34"/>
      <c r="D1205" s="133" t="str">
        <f>'Công trình'!C31</f>
        <v>Sản xuất, lắp dựng tháo dỡ ván khuôn thép tường, chiều cao &lt;=16m</v>
      </c>
      <c r="E1205" s="168"/>
      <c r="F1205" s="20">
        <v>1</v>
      </c>
      <c r="G1205" s="45">
        <f>'Hao phí vật tư'!L225</f>
        <v>1.7454000000000001</v>
      </c>
      <c r="H1205" s="166"/>
      <c r="I1205" s="166"/>
      <c r="J1205" s="166"/>
      <c r="K1205" s="166"/>
      <c r="L1205" s="156">
        <f>ROUND(G1205*K1197,2)</f>
        <v>0</v>
      </c>
      <c r="M1205" s="156">
        <f>ROUND(G1205*J1197,2)</f>
        <v>589980.11</v>
      </c>
    </row>
    <row r="1206" spans="1:13" ht="30" hidden="1" x14ac:dyDescent="0.25">
      <c r="A1206" s="168"/>
      <c r="B1206" s="133" t="str">
        <f>'Công trình'!B33</f>
        <v>AF.61321</v>
      </c>
      <c r="C1206" s="34"/>
      <c r="D1206" s="133" t="str">
        <f>'Công trình'!C33</f>
        <v>Sản xuất, lắp dựng cốt thép tường đường kính &lt;=18mm, chiều cao &lt;=4m</v>
      </c>
      <c r="E1206" s="168"/>
      <c r="F1206" s="20">
        <v>1</v>
      </c>
      <c r="G1206" s="45">
        <f>'Hao phí vật tư'!L244</f>
        <v>0.9466</v>
      </c>
      <c r="H1206" s="166"/>
      <c r="I1206" s="166"/>
      <c r="J1206" s="166"/>
      <c r="K1206" s="166"/>
      <c r="L1206" s="156">
        <f>ROUND(G1206*K1197,2)</f>
        <v>0</v>
      </c>
      <c r="M1206" s="156">
        <f>ROUND(G1206*J1197,2)</f>
        <v>319969.73</v>
      </c>
    </row>
    <row r="1207" spans="1:13" ht="30" hidden="1" x14ac:dyDescent="0.25">
      <c r="A1207" s="168"/>
      <c r="B1207" s="133" t="str">
        <f>'Công trình'!B39</f>
        <v>AI.13111</v>
      </c>
      <c r="C1207" s="34"/>
      <c r="D1207" s="133" t="str">
        <f>'Công trình'!C39</f>
        <v>Sản xuất cấu kiện thép đặt sẵn trong bê tông, khối lượng &lt;=10kg/cấu kiện</v>
      </c>
      <c r="E1207" s="168"/>
      <c r="F1207" s="20">
        <v>1</v>
      </c>
      <c r="G1207" s="45">
        <f>'Hao phí vật tư'!L302</f>
        <v>3.3599999999999998E-2</v>
      </c>
      <c r="H1207" s="166"/>
      <c r="I1207" s="166"/>
      <c r="J1207" s="166"/>
      <c r="K1207" s="166"/>
      <c r="L1207" s="156">
        <f>ROUND(G1207*K1197,2)</f>
        <v>0</v>
      </c>
      <c r="M1207" s="156">
        <f>ROUND(G1207*J1197,2)</f>
        <v>11357.47</v>
      </c>
    </row>
    <row r="1208" spans="1:13" ht="30" hidden="1" x14ac:dyDescent="0.25">
      <c r="A1208" s="168"/>
      <c r="B1208" s="133" t="str">
        <f>'Công trình'!B59</f>
        <v>AF.82111</v>
      </c>
      <c r="C1208" s="34"/>
      <c r="D1208" s="133" t="str">
        <f>'Công trình'!C59</f>
        <v>Sản xuất, lắp dựng tháo dỡ ván khuôn thép dầm, giằng, chiều cao &lt;=16m</v>
      </c>
      <c r="E1208" s="168"/>
      <c r="F1208" s="20">
        <v>1</v>
      </c>
      <c r="G1208" s="45">
        <f>'Hao phí vật tư'!L451</f>
        <v>3.4581</v>
      </c>
      <c r="H1208" s="166"/>
      <c r="I1208" s="166"/>
      <c r="J1208" s="166"/>
      <c r="K1208" s="166"/>
      <c r="L1208" s="156">
        <f>ROUND(G1208*K1197,2)</f>
        <v>0</v>
      </c>
      <c r="M1208" s="156">
        <f>ROUND(G1208*J1197,2)</f>
        <v>1168906.96</v>
      </c>
    </row>
    <row r="1209" spans="1:13" ht="30" hidden="1" x14ac:dyDescent="0.25">
      <c r="A1209" s="168"/>
      <c r="B1209" s="133" t="str">
        <f>'Công trình'!B61</f>
        <v>AF.61521</v>
      </c>
      <c r="C1209" s="34"/>
      <c r="D1209" s="133" t="str">
        <f>'Công trình'!C61</f>
        <v>Sản xuất, lắp dựng cốt thép xà dầm, giằng đường kính &lt;=18mm, chiều cao &lt;=4m</v>
      </c>
      <c r="E1209" s="168"/>
      <c r="F1209" s="20">
        <v>1</v>
      </c>
      <c r="G1209" s="45">
        <f>'Hao phí vật tư'!L470</f>
        <v>2.0733999999999999</v>
      </c>
      <c r="H1209" s="166"/>
      <c r="I1209" s="166"/>
      <c r="J1209" s="166"/>
      <c r="K1209" s="166"/>
      <c r="L1209" s="156">
        <f>ROUND(G1209*K1197,2)</f>
        <v>0</v>
      </c>
      <c r="M1209" s="156">
        <f>ROUND(G1209*J1197,2)</f>
        <v>700850.67</v>
      </c>
    </row>
    <row r="1210" spans="1:13" ht="30" hidden="1" x14ac:dyDescent="0.25">
      <c r="A1210" s="168"/>
      <c r="B1210" s="133" t="str">
        <f>'Công trình'!B70</f>
        <v>AG.13121</v>
      </c>
      <c r="C1210" s="34"/>
      <c r="D1210" s="133" t="str">
        <f>'Công trình'!C70</f>
        <v>Sản xuất, lắp dựng cốt thép BT đúc sẵn cọc, đường kính &lt;=18mm</v>
      </c>
      <c r="E1210" s="168"/>
      <c r="F1210" s="20">
        <v>1</v>
      </c>
      <c r="G1210" s="45">
        <f>'Hao phí vật tư'!L534</f>
        <v>0.47610000000000002</v>
      </c>
      <c r="H1210" s="166"/>
      <c r="I1210" s="166"/>
      <c r="J1210" s="166"/>
      <c r="K1210" s="166"/>
      <c r="L1210" s="156">
        <f>ROUND(G1210*K1197,2)</f>
        <v>0</v>
      </c>
      <c r="M1210" s="156">
        <f>ROUND(G1210*J1197,2)</f>
        <v>160931.32</v>
      </c>
    </row>
    <row r="1211" spans="1:13" ht="30" hidden="1" x14ac:dyDescent="0.25">
      <c r="A1211" s="168"/>
      <c r="B1211" s="133" t="str">
        <f>'Công trình'!B71</f>
        <v>AG.13131</v>
      </c>
      <c r="C1211" s="34"/>
      <c r="D1211" s="133" t="str">
        <f>'Công trình'!C71</f>
        <v>Sản xuất, lắp dựng cốt thép BT đúc sẵn cọc, đường kính &gt;18mm</v>
      </c>
      <c r="E1211" s="168"/>
      <c r="F1211" s="20">
        <v>1</v>
      </c>
      <c r="G1211" s="45">
        <f>'Hao phí vật tư'!L544</f>
        <v>13.726000000000001</v>
      </c>
      <c r="H1211" s="166"/>
      <c r="I1211" s="166"/>
      <c r="J1211" s="166"/>
      <c r="K1211" s="166"/>
      <c r="L1211" s="156">
        <f>ROUND(G1211*K1197,2)</f>
        <v>0</v>
      </c>
      <c r="M1211" s="156">
        <f>ROUND(G1211*J1197,2)</f>
        <v>4639662.5199999996</v>
      </c>
    </row>
    <row r="1212" spans="1:13" ht="30" hidden="1" x14ac:dyDescent="0.25">
      <c r="A1212" s="168"/>
      <c r="B1212" s="133" t="str">
        <f>'Công trình'!B72</f>
        <v>AI.13111</v>
      </c>
      <c r="C1212" s="34"/>
      <c r="D1212" s="133" t="str">
        <f>'Công trình'!C72</f>
        <v>Sản xuất cấu kiện thép đặt sẵn trong bê tông, khối lượng &lt;=10kg/cấu kiện</v>
      </c>
      <c r="E1212" s="168"/>
      <c r="F1212" s="20">
        <v>1</v>
      </c>
      <c r="G1212" s="45">
        <f>'Hao phí vật tư'!L558</f>
        <v>3.5038999999999998</v>
      </c>
      <c r="H1212" s="166"/>
      <c r="I1212" s="166"/>
      <c r="J1212" s="166"/>
      <c r="K1212" s="166"/>
      <c r="L1212" s="156">
        <f>ROUND(G1212*K1197,2)</f>
        <v>0</v>
      </c>
      <c r="M1212" s="156">
        <f>ROUND(G1212*J1197,2)</f>
        <v>1184388.28</v>
      </c>
    </row>
    <row r="1213" spans="1:13" hidden="1" x14ac:dyDescent="0.25">
      <c r="A1213" s="168"/>
      <c r="B1213" s="133" t="str">
        <f>'Công trình'!B76</f>
        <v>AC.29341</v>
      </c>
      <c r="C1213" s="34"/>
      <c r="D1213" s="133" t="str">
        <f>'Công trình'!C76</f>
        <v>Nối cọc BTCT 35x35cm</v>
      </c>
      <c r="E1213" s="168"/>
      <c r="F1213" s="20">
        <v>1</v>
      </c>
      <c r="G1213" s="45">
        <f>'Hao phí vật tư'!L608</f>
        <v>5.76</v>
      </c>
      <c r="H1213" s="166"/>
      <c r="I1213" s="166"/>
      <c r="J1213" s="166"/>
      <c r="K1213" s="166"/>
      <c r="L1213" s="156">
        <f>ROUND(G1213*K1197,2)</f>
        <v>0</v>
      </c>
      <c r="M1213" s="156">
        <f>ROUND(G1213*J1197,2)</f>
        <v>1946995.2</v>
      </c>
    </row>
    <row r="1214" spans="1:13" hidden="1" x14ac:dyDescent="0.25">
      <c r="A1214" s="168"/>
      <c r="B1214" s="133" t="str">
        <f>'Công trình'!B74</f>
        <v>AI.52211</v>
      </c>
      <c r="C1214" s="34"/>
      <c r="D1214" s="133" t="str">
        <f>'Công trình'!C74</f>
        <v>Sản xuất kết cấu thép hộp nối cọc</v>
      </c>
      <c r="E1214" s="168"/>
      <c r="F1214" s="20">
        <v>1</v>
      </c>
      <c r="G1214" s="45">
        <f>'Hao phí vật tư'!L585</f>
        <v>10.957000000000001</v>
      </c>
      <c r="H1214" s="166"/>
      <c r="I1214" s="166"/>
      <c r="J1214" s="166"/>
      <c r="K1214" s="166"/>
      <c r="L1214" s="156">
        <f>ROUND(G1214*K1197,2)</f>
        <v>0</v>
      </c>
      <c r="M1214" s="156">
        <f>ROUND(G1214*J1197,2)</f>
        <v>3703685.14</v>
      </c>
    </row>
    <row r="1215" spans="1:13" hidden="1" x14ac:dyDescent="0.25">
      <c r="A1215" s="168"/>
      <c r="B1215" s="133" t="str">
        <f>'Công trình'!B77</f>
        <v>AA.22310</v>
      </c>
      <c r="C1215" s="34"/>
      <c r="D1215" s="133" t="str">
        <f>'Công trình'!C77</f>
        <v>Đập đầu cọc trên cạn</v>
      </c>
      <c r="E1215" s="168"/>
      <c r="F1215" s="20">
        <v>1</v>
      </c>
      <c r="G1215" s="45">
        <f>'Hao phí vật tư'!L616</f>
        <v>0.45079999999999998</v>
      </c>
      <c r="H1215" s="166"/>
      <c r="I1215" s="166"/>
      <c r="J1215" s="166"/>
      <c r="K1215" s="166"/>
      <c r="L1215" s="156">
        <f>ROUND(G1215*K1197,2)</f>
        <v>0</v>
      </c>
      <c r="M1215" s="156">
        <f>ROUND(G1215*J1197,2)</f>
        <v>152379.42000000001</v>
      </c>
    </row>
    <row r="1216" spans="1:13" ht="30" hidden="1" x14ac:dyDescent="0.25">
      <c r="A1216" s="168"/>
      <c r="B1216" s="133" t="str">
        <f>'Công trình'!B81</f>
        <v>AG.13121</v>
      </c>
      <c r="C1216" s="34"/>
      <c r="D1216" s="133" t="str">
        <f>'Công trình'!C81</f>
        <v>Sản xuất, lắp dựng cốt thép BT đúc sẵn cọc, đường kính &lt;=18mm</v>
      </c>
      <c r="E1216" s="168"/>
      <c r="F1216" s="20">
        <v>1</v>
      </c>
      <c r="G1216" s="45">
        <f>'Hao phí vật tư'!L650</f>
        <v>0.25900000000000001</v>
      </c>
      <c r="H1216" s="166"/>
      <c r="I1216" s="166"/>
      <c r="J1216" s="166"/>
      <c r="K1216" s="166"/>
      <c r="L1216" s="156">
        <f>ROUND(G1216*K1197,2)</f>
        <v>0</v>
      </c>
      <c r="M1216" s="156">
        <f>ROUND(G1216*J1197,2)</f>
        <v>87547.18</v>
      </c>
    </row>
    <row r="1217" spans="1:13" ht="30" hidden="1" x14ac:dyDescent="0.25">
      <c r="A1217" s="168"/>
      <c r="B1217" s="133" t="str">
        <f>'Công trình'!B82</f>
        <v>AG.13131</v>
      </c>
      <c r="C1217" s="34"/>
      <c r="D1217" s="133" t="str">
        <f>'Công trình'!C82</f>
        <v>Sản xuất, lắp dựng cốt thép BT đúc sẵn cọc, đường kính &gt;18mm</v>
      </c>
      <c r="E1217" s="168"/>
      <c r="F1217" s="20">
        <v>1</v>
      </c>
      <c r="G1217" s="45">
        <f>'Hao phí vật tư'!L660</f>
        <v>7.2563000000000004</v>
      </c>
      <c r="H1217" s="166"/>
      <c r="I1217" s="166"/>
      <c r="J1217" s="166"/>
      <c r="K1217" s="166"/>
      <c r="L1217" s="156">
        <f>ROUND(G1217*K1197,2)</f>
        <v>0</v>
      </c>
      <c r="M1217" s="156">
        <f>ROUND(G1217*J1197,2)</f>
        <v>2452774.5299999998</v>
      </c>
    </row>
    <row r="1218" spans="1:13" ht="30" hidden="1" x14ac:dyDescent="0.25">
      <c r="A1218" s="168"/>
      <c r="B1218" s="133" t="str">
        <f>'Công trình'!B83</f>
        <v>AI.13111</v>
      </c>
      <c r="C1218" s="34"/>
      <c r="D1218" s="133" t="str">
        <f>'Công trình'!C83</f>
        <v>Sản xuất cấu kiện thép đặt sẵn trong bê tông, khối lượng &lt;=10kg/cấu kiện</v>
      </c>
      <c r="E1218" s="168"/>
      <c r="F1218" s="20">
        <v>1</v>
      </c>
      <c r="G1218" s="45">
        <f>'Hao phí vật tư'!L674</f>
        <v>1.6547000000000001</v>
      </c>
      <c r="H1218" s="166"/>
      <c r="I1218" s="166"/>
      <c r="J1218" s="166"/>
      <c r="K1218" s="166"/>
      <c r="L1218" s="156">
        <f>ROUND(G1218*K1197,2)</f>
        <v>0</v>
      </c>
      <c r="M1218" s="156">
        <f>ROUND(G1218*J1197,2)</f>
        <v>559321.68999999994</v>
      </c>
    </row>
    <row r="1219" spans="1:13" hidden="1" x14ac:dyDescent="0.25">
      <c r="A1219" s="168"/>
      <c r="B1219" s="133" t="str">
        <f>'Công trình'!B85</f>
        <v>AI.52211</v>
      </c>
      <c r="C1219" s="34"/>
      <c r="D1219" s="133" t="str">
        <f>'Công trình'!C85</f>
        <v>Sản xuất kết cấu thép hộp nối cọc</v>
      </c>
      <c r="E1219" s="168"/>
      <c r="F1219" s="20">
        <v>1</v>
      </c>
      <c r="G1219" s="45">
        <f>'Hao phí vật tư'!L701</f>
        <v>4.7656999999999998</v>
      </c>
      <c r="H1219" s="166"/>
      <c r="I1219" s="166"/>
      <c r="J1219" s="166"/>
      <c r="K1219" s="166"/>
      <c r="L1219" s="156">
        <f>ROUND(G1219*K1197,2)</f>
        <v>0</v>
      </c>
      <c r="M1219" s="156">
        <f>ROUND(G1219*J1197,2)</f>
        <v>1610901.91</v>
      </c>
    </row>
    <row r="1220" spans="1:13" hidden="1" x14ac:dyDescent="0.25">
      <c r="A1220" s="168"/>
      <c r="B1220" s="133" t="str">
        <f>'Công trình'!B88</f>
        <v>AA.22310</v>
      </c>
      <c r="C1220" s="34"/>
      <c r="D1220" s="133" t="str">
        <f>'Công trình'!C88</f>
        <v>Đập đầu cọc trên cạn</v>
      </c>
      <c r="E1220" s="168"/>
      <c r="F1220" s="20">
        <v>1</v>
      </c>
      <c r="G1220" s="45">
        <f>'Hao phí vật tư'!L732</f>
        <v>0.13339999999999999</v>
      </c>
      <c r="H1220" s="166"/>
      <c r="I1220" s="166"/>
      <c r="J1220" s="166"/>
      <c r="K1220" s="166"/>
      <c r="L1220" s="156">
        <f>ROUND(G1220*K1197,2)</f>
        <v>0</v>
      </c>
      <c r="M1220" s="156">
        <f>ROUND(G1220*J1197,2)</f>
        <v>45091.87</v>
      </c>
    </row>
    <row r="1221" spans="1:13" hidden="1" x14ac:dyDescent="0.25">
      <c r="A1221" s="168"/>
      <c r="B1221" s="133" t="str">
        <f>'Công trình'!B87</f>
        <v>AC.29331</v>
      </c>
      <c r="C1221" s="34"/>
      <c r="D1221" s="133" t="str">
        <f>'Công trình'!C87</f>
        <v>Nối cọc BTCT 30x30cm</v>
      </c>
      <c r="E1221" s="168"/>
      <c r="F1221" s="20">
        <v>1</v>
      </c>
      <c r="G1221" s="45">
        <f>'Hao phí vật tư'!L724</f>
        <v>1.2</v>
      </c>
      <c r="H1221" s="166"/>
      <c r="I1221" s="166"/>
      <c r="J1221" s="166"/>
      <c r="K1221" s="166"/>
      <c r="L1221" s="156">
        <f>ROUND(G1221*K1197,2)</f>
        <v>0</v>
      </c>
      <c r="M1221" s="156">
        <f>ROUND(G1221*J1197,2)</f>
        <v>405624</v>
      </c>
    </row>
    <row r="1222" spans="1:13" hidden="1" x14ac:dyDescent="0.25">
      <c r="A1222" s="168"/>
      <c r="B1222" s="133" t="str">
        <f>'Công trình'!B109</f>
        <v>AI.11912</v>
      </c>
      <c r="C1222" s="34"/>
      <c r="D1222" s="133" t="str">
        <f>'Công trình'!C109</f>
        <v>Sản xuất hệ sàn đạo, sàn thao tác</v>
      </c>
      <c r="E1222" s="168"/>
      <c r="F1222" s="20">
        <v>1</v>
      </c>
      <c r="G1222" s="45">
        <f>'Hao phí vật tư'!L876</f>
        <v>11.6205</v>
      </c>
      <c r="H1222" s="166"/>
      <c r="I1222" s="166"/>
      <c r="J1222" s="166"/>
      <c r="K1222" s="166"/>
      <c r="L1222" s="156">
        <f>ROUND(G1222*K1197,2)</f>
        <v>0</v>
      </c>
      <c r="M1222" s="156">
        <f>ROUND(G1222*J1197,2)</f>
        <v>3927961.41</v>
      </c>
    </row>
    <row r="1223" spans="1:13" hidden="1" x14ac:dyDescent="0.25">
      <c r="A1223" s="168"/>
      <c r="B1223" s="133" t="str">
        <f>'Công trình'!B104</f>
        <v>AI.11131</v>
      </c>
      <c r="C1223" s="34"/>
      <c r="D1223" s="133" t="str">
        <f>'Công trình'!C104</f>
        <v>Sản xuất cọc dẫn bằng thép hình</v>
      </c>
      <c r="E1223" s="168"/>
      <c r="F1223" s="20">
        <v>1</v>
      </c>
      <c r="G1223" s="45">
        <f>'Hao phí vật tư'!L840</f>
        <v>2.6844999999999999</v>
      </c>
      <c r="H1223" s="166"/>
      <c r="I1223" s="166"/>
      <c r="J1223" s="166"/>
      <c r="K1223" s="166"/>
      <c r="L1223" s="156">
        <f>ROUND(G1223*K1197,2)</f>
        <v>0</v>
      </c>
      <c r="M1223" s="156">
        <f>ROUND(G1223*J1197,2)</f>
        <v>907414.69</v>
      </c>
    </row>
    <row r="1224" spans="1:13" hidden="1" x14ac:dyDescent="0.25">
      <c r="A1224" s="168"/>
      <c r="B1224" s="133" t="str">
        <f>'Công trình'!B120</f>
        <v>AI.11912</v>
      </c>
      <c r="C1224" s="34"/>
      <c r="D1224" s="133" t="str">
        <f>'Công trình'!C120</f>
        <v>Sản xuất hệ sàn đạo, sàn thao tác</v>
      </c>
      <c r="E1224" s="168"/>
      <c r="F1224" s="20">
        <v>1</v>
      </c>
      <c r="G1224" s="45">
        <f>'Hao phí vật tư'!L948</f>
        <v>23.9453</v>
      </c>
      <c r="H1224" s="166"/>
      <c r="I1224" s="166"/>
      <c r="J1224" s="166"/>
      <c r="K1224" s="166"/>
      <c r="L1224" s="156">
        <f>ROUND(G1224*K1197,2)</f>
        <v>0</v>
      </c>
      <c r="M1224" s="156">
        <f>ROUND(G1224*J1197,2)</f>
        <v>8093990.3099999996</v>
      </c>
    </row>
    <row r="1225" spans="1:13" ht="30" hidden="1" x14ac:dyDescent="0.25">
      <c r="A1225" s="168"/>
      <c r="B1225" s="133" t="str">
        <f>'Công trình'!B112</f>
        <v>AI.63311</v>
      </c>
      <c r="C1225" s="34"/>
      <c r="D1225" s="133" t="str">
        <f>'Công trình'!C112</f>
        <v>Lắp dựng kết cấu thép hệ khung dàn, sàn đạo trên cạn</v>
      </c>
      <c r="E1225" s="168"/>
      <c r="F1225" s="20">
        <v>1</v>
      </c>
      <c r="G1225" s="45">
        <f>'Hao phí vật tư'!L894</f>
        <v>37.893000000000001</v>
      </c>
      <c r="H1225" s="166"/>
      <c r="I1225" s="166"/>
      <c r="J1225" s="166"/>
      <c r="K1225" s="166"/>
      <c r="L1225" s="156">
        <f>ROUND(G1225*K1197,2)</f>
        <v>0</v>
      </c>
      <c r="M1225" s="156">
        <f>ROUND(G1225*J1197,2)</f>
        <v>12808591.859999999</v>
      </c>
    </row>
    <row r="1226" spans="1:13" ht="30" hidden="1" x14ac:dyDescent="0.25">
      <c r="A1226" s="168"/>
      <c r="B1226" s="133" t="str">
        <f>'Công trình'!B113</f>
        <v>AI.63311</v>
      </c>
      <c r="C1226" s="34"/>
      <c r="D1226" s="133" t="str">
        <f>'Công trình'!C113</f>
        <v>Tháo dỡ kết cấu thép hệ khung dàn, sàn đạo trên cạn (60% Đg)</v>
      </c>
      <c r="E1226" s="168"/>
      <c r="F1226" s="20">
        <v>1</v>
      </c>
      <c r="G1226" s="45">
        <f>'Hao phí vật tư'!L905</f>
        <v>22.735800000000001</v>
      </c>
      <c r="H1226" s="166"/>
      <c r="I1226" s="166"/>
      <c r="J1226" s="166"/>
      <c r="K1226" s="166"/>
      <c r="L1226" s="156">
        <f>ROUND(G1226*K1197,2)</f>
        <v>0</v>
      </c>
      <c r="M1226" s="156">
        <f>ROUND(G1226*J1197,2)</f>
        <v>7685155.1200000001</v>
      </c>
    </row>
    <row r="1227" spans="1:13" ht="30" hidden="1" x14ac:dyDescent="0.25">
      <c r="A1227" s="168"/>
      <c r="B1227" s="133" t="str">
        <f>'Công trình'!B123</f>
        <v>AI.63311</v>
      </c>
      <c r="C1227" s="34"/>
      <c r="D1227" s="133" t="str">
        <f>'Công trình'!C123</f>
        <v>Lắp dựng kết cấu thép hệ khung dàn, sàn đạo trên cạn</v>
      </c>
      <c r="E1227" s="168"/>
      <c r="F1227" s="20">
        <v>1</v>
      </c>
      <c r="G1227" s="45">
        <f>'Hao phí vật tư'!L966</f>
        <v>15.6165</v>
      </c>
      <c r="H1227" s="166"/>
      <c r="I1227" s="166"/>
      <c r="J1227" s="166"/>
      <c r="K1227" s="166"/>
      <c r="L1227" s="156">
        <f>ROUND(G1227*K1197,2)</f>
        <v>0</v>
      </c>
      <c r="M1227" s="156">
        <f>ROUND(G1227*J1197,2)</f>
        <v>5278689.33</v>
      </c>
    </row>
    <row r="1228" spans="1:13" ht="30" hidden="1" x14ac:dyDescent="0.25">
      <c r="A1228" s="168"/>
      <c r="B1228" s="133" t="str">
        <f>'Công trình'!B124</f>
        <v>AI.63311</v>
      </c>
      <c r="C1228" s="34"/>
      <c r="D1228" s="133" t="str">
        <f>'Công trình'!C124</f>
        <v>Tháo dỡ kết cấu thép hệ khung dàn, sàn đạo trên cạn (60% Đg)</v>
      </c>
      <c r="E1228" s="168"/>
      <c r="F1228" s="20">
        <v>1</v>
      </c>
      <c r="G1228" s="45">
        <f>'Hao phí vật tư'!L977</f>
        <v>9.3698999999999995</v>
      </c>
      <c r="H1228" s="166"/>
      <c r="I1228" s="166"/>
      <c r="J1228" s="166"/>
      <c r="K1228" s="166"/>
      <c r="L1228" s="156">
        <f>ROUND(G1228*K1197,2)</f>
        <v>0</v>
      </c>
      <c r="M1228" s="156">
        <f>ROUND(G1228*J1197,2)</f>
        <v>3167213.6</v>
      </c>
    </row>
    <row r="1229" spans="1:13" hidden="1" x14ac:dyDescent="0.25">
      <c r="A1229" s="168"/>
      <c r="B1229" s="133" t="str">
        <f>'Công trình'!B136</f>
        <v>AI.11912</v>
      </c>
      <c r="C1229" s="34"/>
      <c r="D1229" s="133" t="str">
        <f>'Công trình'!C136</f>
        <v>Sản xuất hệ sàn đạo, sàn thao tác</v>
      </c>
      <c r="E1229" s="168"/>
      <c r="F1229" s="20">
        <v>1</v>
      </c>
      <c r="G1229" s="45">
        <f>'Hao phí vật tư'!L1049</f>
        <v>379.16140000000001</v>
      </c>
      <c r="H1229" s="166"/>
      <c r="I1229" s="166"/>
      <c r="J1229" s="166"/>
      <c r="K1229" s="166"/>
      <c r="L1229" s="156">
        <f>ROUND(G1229*K1197,2)</f>
        <v>0</v>
      </c>
      <c r="M1229" s="156">
        <f>ROUND(G1229*J1197,2)</f>
        <v>128164136.43000001</v>
      </c>
    </row>
    <row r="1230" spans="1:13" ht="30" hidden="1" x14ac:dyDescent="0.25">
      <c r="A1230" s="168"/>
      <c r="B1230" s="133" t="str">
        <f>'Công trình'!B139</f>
        <v>AI.63311</v>
      </c>
      <c r="C1230" s="34"/>
      <c r="D1230" s="133" t="str">
        <f>'Công trình'!C139</f>
        <v>Lắp dựng kết cấu thép hệ khung dàn, sàn đạo trên cạn</v>
      </c>
      <c r="E1230" s="168"/>
      <c r="F1230" s="20">
        <v>1</v>
      </c>
      <c r="G1230" s="45">
        <f>'Hao phí vật tư'!L1067</f>
        <v>247.2792</v>
      </c>
      <c r="H1230" s="166"/>
      <c r="I1230" s="166"/>
      <c r="J1230" s="166"/>
      <c r="K1230" s="166"/>
      <c r="L1230" s="156">
        <f>ROUND(G1230*K1197,2)</f>
        <v>0</v>
      </c>
      <c r="M1230" s="156">
        <f>ROUND(G1230*J1197,2)</f>
        <v>83585315.180000007</v>
      </c>
    </row>
    <row r="1231" spans="1:13" ht="30" hidden="1" x14ac:dyDescent="0.25">
      <c r="A1231" s="168"/>
      <c r="B1231" s="133" t="str">
        <f>'Công trình'!B140</f>
        <v>AI.63311</v>
      </c>
      <c r="C1231" s="34"/>
      <c r="D1231" s="133" t="str">
        <f>'Công trình'!C140</f>
        <v>Tháo dỡ kết cấu thép hệ khung dàn, sàn đạo trên cạn (60% Đg)</v>
      </c>
      <c r="E1231" s="168"/>
      <c r="F1231" s="20">
        <v>1</v>
      </c>
      <c r="G1231" s="45">
        <f>'Hao phí vật tư'!L1078</f>
        <v>148.36750000000001</v>
      </c>
      <c r="H1231" s="166"/>
      <c r="I1231" s="166"/>
      <c r="J1231" s="166"/>
      <c r="K1231" s="166"/>
      <c r="L1231" s="156">
        <f>ROUND(G1231*K1197,2)</f>
        <v>0</v>
      </c>
      <c r="M1231" s="156">
        <f>ROUND(G1231*J1197,2)</f>
        <v>50151182.350000001</v>
      </c>
    </row>
    <row r="1232" spans="1:13" hidden="1" x14ac:dyDescent="0.25">
      <c r="A1232" s="168"/>
      <c r="B1232" s="133" t="str">
        <f>'Công trình'!B147</f>
        <v>AI.11411</v>
      </c>
      <c r="C1232" s="34"/>
      <c r="D1232" s="133" t="str">
        <f>'Công trình'!C147</f>
        <v>Sản xuất thang sắt</v>
      </c>
      <c r="E1232" s="168"/>
      <c r="F1232" s="20">
        <v>1</v>
      </c>
      <c r="G1232" s="45">
        <f>'Hao phí vật tư'!L1122</f>
        <v>0.45569999999999999</v>
      </c>
      <c r="H1232" s="166"/>
      <c r="I1232" s="166"/>
      <c r="J1232" s="166"/>
      <c r="K1232" s="166"/>
      <c r="L1232" s="156">
        <f>ROUND(G1232*K1197,2)</f>
        <v>0</v>
      </c>
      <c r="M1232" s="156">
        <f>ROUND(G1232*J1197,2)</f>
        <v>154035.71</v>
      </c>
    </row>
    <row r="1233" spans="1:13" hidden="1" x14ac:dyDescent="0.25">
      <c r="A1233" s="168"/>
      <c r="B1233" s="133" t="str">
        <f>'Công trình'!B148</f>
        <v>AI.61171</v>
      </c>
      <c r="C1233" s="34"/>
      <c r="D1233" s="133" t="str">
        <f>'Công trình'!C148</f>
        <v>Lắp sàn thang sắt</v>
      </c>
      <c r="E1233" s="168"/>
      <c r="F1233" s="20">
        <v>1</v>
      </c>
      <c r="G1233" s="45">
        <f>'Hao phí vật tư'!L1131</f>
        <v>0.2223</v>
      </c>
      <c r="H1233" s="166"/>
      <c r="I1233" s="166"/>
      <c r="J1233" s="166"/>
      <c r="K1233" s="166"/>
      <c r="L1233" s="156">
        <f>ROUND(G1233*K1197,2)</f>
        <v>0</v>
      </c>
      <c r="M1233" s="156">
        <f>ROUND(G1233*J1197,2)</f>
        <v>75141.850000000006</v>
      </c>
    </row>
    <row r="1234" spans="1:13" ht="30" hidden="1" x14ac:dyDescent="0.25">
      <c r="A1234" s="168"/>
      <c r="B1234" s="133" t="str">
        <f>'Công trình'!B160</f>
        <v>AI.63311</v>
      </c>
      <c r="C1234" s="34"/>
      <c r="D1234" s="133" t="str">
        <f>'Công trình'!C160</f>
        <v>Lắp dựng kết cấu thép hệ khung dàn, sàn đạo trên cạn</v>
      </c>
      <c r="E1234" s="168"/>
      <c r="F1234" s="20">
        <v>1</v>
      </c>
      <c r="G1234" s="45">
        <f>'Hao phí vật tư'!L1216</f>
        <v>120.5547</v>
      </c>
      <c r="H1234" s="166"/>
      <c r="I1234" s="166"/>
      <c r="J1234" s="166"/>
      <c r="K1234" s="166"/>
      <c r="L1234" s="156">
        <f>ROUND(G1234*K1197,2)</f>
        <v>0</v>
      </c>
      <c r="M1234" s="156">
        <f>ROUND(G1234*J1197,2)</f>
        <v>40749899.689999998</v>
      </c>
    </row>
    <row r="1235" spans="1:13" ht="30" hidden="1" x14ac:dyDescent="0.25">
      <c r="A1235" s="168"/>
      <c r="B1235" s="133" t="str">
        <f>'Công trình'!B161</f>
        <v>AI.63311</v>
      </c>
      <c r="C1235" s="34"/>
      <c r="D1235" s="133" t="str">
        <f>'Công trình'!C161</f>
        <v>Tháo dỡ kết cấu thép hệ khung dàn, sàn đạo trên cạn (60% Đg)</v>
      </c>
      <c r="E1235" s="168"/>
      <c r="F1235" s="20">
        <v>1</v>
      </c>
      <c r="G1235" s="45">
        <f>'Hao phí vật tư'!L1227</f>
        <v>72.332800000000006</v>
      </c>
      <c r="H1235" s="166"/>
      <c r="I1235" s="166"/>
      <c r="J1235" s="166"/>
      <c r="K1235" s="166"/>
      <c r="L1235" s="156">
        <f>ROUND(G1235*K1197,2)</f>
        <v>0</v>
      </c>
      <c r="M1235" s="156">
        <f>ROUND(G1235*J1197,2)</f>
        <v>24449933.059999999</v>
      </c>
    </row>
    <row r="1236" spans="1:13" hidden="1" x14ac:dyDescent="0.25">
      <c r="A1236" s="168"/>
      <c r="B1236" s="133" t="str">
        <f>'Công trình'!B157</f>
        <v>AI.11912</v>
      </c>
      <c r="C1236" s="34"/>
      <c r="D1236" s="133" t="str">
        <f>'Công trình'!C157</f>
        <v>Sản xuất cầu công tác</v>
      </c>
      <c r="E1236" s="168"/>
      <c r="F1236" s="20">
        <v>1</v>
      </c>
      <c r="G1236" s="45">
        <f>'Hao phí vật tư'!L1198</f>
        <v>184.85050000000001</v>
      </c>
      <c r="H1236" s="166"/>
      <c r="I1236" s="166"/>
      <c r="J1236" s="166"/>
      <c r="K1236" s="166"/>
      <c r="L1236" s="156">
        <f>ROUND(G1236*K1197,2)</f>
        <v>0</v>
      </c>
      <c r="M1236" s="156">
        <f>ROUND(G1236*J1197,2)</f>
        <v>62483166.009999998</v>
      </c>
    </row>
    <row r="1237" spans="1:13" ht="30" hidden="1" x14ac:dyDescent="0.25">
      <c r="A1237" s="168"/>
      <c r="B1237" s="133" t="str">
        <f>'Công trình'!B168</f>
        <v>AG.32211</v>
      </c>
      <c r="C1237" s="34"/>
      <c r="D1237" s="133" t="str">
        <f>'Công trình'!C168</f>
        <v>Sản xuất, lắp dựng tháo dỡ ván khuôn kim loại các loại cấu kiện khác</v>
      </c>
      <c r="E1237" s="168"/>
      <c r="F1237" s="20">
        <v>1</v>
      </c>
      <c r="G1237" s="45">
        <f>'Hao phí vật tư'!L1277</f>
        <v>0.21890000000000001</v>
      </c>
      <c r="H1237" s="166"/>
      <c r="I1237" s="166"/>
      <c r="J1237" s="166"/>
      <c r="K1237" s="166"/>
      <c r="L1237" s="156">
        <f>ROUND(G1237*K1197,2)</f>
        <v>0</v>
      </c>
      <c r="M1237" s="156">
        <f>ROUND(G1237*J1197,2)</f>
        <v>73992.58</v>
      </c>
    </row>
    <row r="1238" spans="1:13" ht="30" hidden="1" x14ac:dyDescent="0.25">
      <c r="A1238" s="168"/>
      <c r="B1238" s="133" t="str">
        <f>'Công trình'!B181</f>
        <v>AF.65120</v>
      </c>
      <c r="C1238" s="34"/>
      <c r="D1238" s="133" t="str">
        <f>'Công trình'!C181</f>
        <v>Sản xuất, lắp dựng cốt thép móng, mố, trụ, mũ mố, mũ trụ cầu trên cạn đường kính &lt;=18mm</v>
      </c>
      <c r="E1238" s="168"/>
      <c r="F1238" s="20">
        <v>1</v>
      </c>
      <c r="G1238" s="45">
        <f>'Hao phí vật tư'!L1383</f>
        <v>6.8495999999999997</v>
      </c>
      <c r="H1238" s="166"/>
      <c r="I1238" s="166"/>
      <c r="J1238" s="166"/>
      <c r="K1238" s="166"/>
      <c r="L1238" s="156">
        <f>ROUND(G1238*K1197,2)</f>
        <v>0</v>
      </c>
      <c r="M1238" s="156">
        <f>ROUND(G1238*J1197,2)</f>
        <v>2315301.79</v>
      </c>
    </row>
    <row r="1239" spans="1:13" ht="30" hidden="1" x14ac:dyDescent="0.25">
      <c r="A1239" s="168"/>
      <c r="B1239" s="133" t="str">
        <f>'Công trình'!B182</f>
        <v>AF.65130</v>
      </c>
      <c r="C1239" s="34"/>
      <c r="D1239" s="133" t="str">
        <f>'Công trình'!C182</f>
        <v>Sản xuất, lắp dựng cốt thép móng, mố, trụ, mũ mố, mũ trụ cầu trên cạn đường kính &gt;18mm</v>
      </c>
      <c r="E1239" s="168"/>
      <c r="F1239" s="20">
        <v>1</v>
      </c>
      <c r="G1239" s="45">
        <f>'Hao phí vật tư'!L1394</f>
        <v>8.2096999999999998</v>
      </c>
      <c r="H1239" s="166"/>
      <c r="I1239" s="166"/>
      <c r="J1239" s="166"/>
      <c r="K1239" s="166"/>
      <c r="L1239" s="156">
        <f>ROUND(G1239*K1197,2)</f>
        <v>0</v>
      </c>
      <c r="M1239" s="156">
        <f>ROUND(G1239*J1197,2)</f>
        <v>2775042.79</v>
      </c>
    </row>
    <row r="1240" spans="1:13" ht="30" hidden="1" x14ac:dyDescent="0.25">
      <c r="A1240" s="168"/>
      <c r="B1240" s="133" t="str">
        <f>'Công trình'!B184</f>
        <v>AF.61120</v>
      </c>
      <c r="C1240" s="34"/>
      <c r="D1240" s="133" t="str">
        <f>'Công trình'!C184</f>
        <v>Sản xuất, lắp dựng cốt thép bản dẫn đường kính &lt;=18mm</v>
      </c>
      <c r="E1240" s="168"/>
      <c r="F1240" s="20">
        <v>1</v>
      </c>
      <c r="G1240" s="45">
        <f>'Hao phí vật tư'!L1412</f>
        <v>1.1141000000000001</v>
      </c>
      <c r="H1240" s="166"/>
      <c r="I1240" s="166"/>
      <c r="J1240" s="166"/>
      <c r="K1240" s="166"/>
      <c r="L1240" s="156">
        <f>ROUND(G1240*K1197,2)</f>
        <v>0</v>
      </c>
      <c r="M1240" s="156">
        <f>ROUND(G1240*J1197,2)</f>
        <v>376588.08</v>
      </c>
    </row>
    <row r="1241" spans="1:13" ht="30" hidden="1" x14ac:dyDescent="0.25">
      <c r="A1241" s="168"/>
      <c r="B1241" s="133" t="str">
        <f>'Công trình'!B190</f>
        <v>AF.65120</v>
      </c>
      <c r="C1241" s="34"/>
      <c r="D1241" s="133" t="str">
        <f>'Công trình'!C190</f>
        <v>Sản xuất, lắp dựng cốt thép móng, mố, trụ, mũ mố, mũ trụ cầu trên cạn đường kính &lt;=18mm</v>
      </c>
      <c r="E1241" s="168"/>
      <c r="F1241" s="20">
        <v>1</v>
      </c>
      <c r="G1241" s="45">
        <f>'Hao phí vật tư'!L1467</f>
        <v>0.79169999999999996</v>
      </c>
      <c r="H1241" s="166"/>
      <c r="I1241" s="166"/>
      <c r="J1241" s="166"/>
      <c r="K1241" s="166"/>
      <c r="L1241" s="156">
        <f>ROUND(G1241*K1197,2)</f>
        <v>0</v>
      </c>
      <c r="M1241" s="156">
        <f>ROUND(G1241*J1197,2)</f>
        <v>267610.43</v>
      </c>
    </row>
    <row r="1242" spans="1:13" ht="30" hidden="1" x14ac:dyDescent="0.25">
      <c r="A1242" s="168"/>
      <c r="B1242" s="133" t="str">
        <f>'Công trình'!B191</f>
        <v>AF.65130</v>
      </c>
      <c r="C1242" s="34"/>
      <c r="D1242" s="133" t="str">
        <f>'Công trình'!C191</f>
        <v>Sản xuất, lắp dựng cốt thép móng, mố, trụ, mũ mố, mũ trụ cầu trên cạn đường kính &gt;18mm</v>
      </c>
      <c r="E1242" s="168"/>
      <c r="F1242" s="20">
        <v>1</v>
      </c>
      <c r="G1242" s="45">
        <f>'Hao phí vật tư'!L1478</f>
        <v>3.2713999999999999</v>
      </c>
      <c r="H1242" s="166"/>
      <c r="I1242" s="166"/>
      <c r="J1242" s="166"/>
      <c r="K1242" s="166"/>
      <c r="L1242" s="156">
        <f>ROUND(G1242*K1197,2)</f>
        <v>0</v>
      </c>
      <c r="M1242" s="156">
        <f>ROUND(G1242*J1197,2)</f>
        <v>1105798.6299999999</v>
      </c>
    </row>
    <row r="1243" spans="1:13" ht="30" hidden="1" x14ac:dyDescent="0.25">
      <c r="A1243" s="168"/>
      <c r="B1243" s="133" t="str">
        <f>'Công trình'!B200</f>
        <v>AF.82111</v>
      </c>
      <c r="C1243" s="34"/>
      <c r="D1243" s="133" t="str">
        <f>'Công trình'!C200</f>
        <v>Sản xuất, lắp dựng tháo dỡ ván khuôn thép, cây chống gỗ dầm ngang, chiều cao &lt;=16m</v>
      </c>
      <c r="E1243" s="168"/>
      <c r="F1243" s="20">
        <v>1</v>
      </c>
      <c r="G1243" s="45">
        <f>'Hao phí vật tư'!L1548</f>
        <v>0.58050000000000002</v>
      </c>
      <c r="H1243" s="166"/>
      <c r="I1243" s="166"/>
      <c r="J1243" s="166"/>
      <c r="K1243" s="166"/>
      <c r="L1243" s="156">
        <f>ROUND(G1243*K1197,2)</f>
        <v>0</v>
      </c>
      <c r="M1243" s="156">
        <f>ROUND(G1243*J1197,2)</f>
        <v>196220.61</v>
      </c>
    </row>
    <row r="1244" spans="1:13" ht="30" hidden="1" x14ac:dyDescent="0.25">
      <c r="A1244" s="168"/>
      <c r="B1244" s="133" t="str">
        <f>'Công trình'!B204</f>
        <v>AF.61721</v>
      </c>
      <c r="C1244" s="34"/>
      <c r="D1244" s="133" t="str">
        <f>'Công trình'!C204</f>
        <v>Sản xuất, lắp dựng cốt thép mặt cầu đường kính &gt;10mm, chiều cao &lt;=16m</v>
      </c>
      <c r="E1244" s="168"/>
      <c r="F1244" s="20">
        <v>1</v>
      </c>
      <c r="G1244" s="45">
        <f>'Hao phí vật tư'!L1581</f>
        <v>11.6022</v>
      </c>
      <c r="H1244" s="166"/>
      <c r="I1244" s="166"/>
      <c r="J1244" s="166"/>
      <c r="K1244" s="166"/>
      <c r="L1244" s="156">
        <f>ROUND(G1244*K1197,2)</f>
        <v>0</v>
      </c>
      <c r="M1244" s="156">
        <f>ROUND(G1244*J1197,2)</f>
        <v>3921775.64</v>
      </c>
    </row>
    <row r="1245" spans="1:13" ht="30" hidden="1" x14ac:dyDescent="0.25">
      <c r="A1245" s="168"/>
      <c r="B1245" s="133" t="str">
        <f>'Công trình'!B208</f>
        <v>AF.65420</v>
      </c>
      <c r="C1245" s="34"/>
      <c r="D1245" s="133" t="str">
        <f>'Công trình'!C208</f>
        <v>Công tác sản xuất lắp dựng cốt thép bê tông tại chỗ, cốt thép dầm cầu trên cạn, D ≤18mm</v>
      </c>
      <c r="E1245" s="168"/>
      <c r="F1245" s="20">
        <v>1</v>
      </c>
      <c r="G1245" s="45">
        <f>'Hao phí vật tư'!L1603</f>
        <v>0.19520000000000001</v>
      </c>
      <c r="H1245" s="166"/>
      <c r="I1245" s="166"/>
      <c r="J1245" s="166"/>
      <c r="K1245" s="166"/>
      <c r="L1245" s="156">
        <f>ROUND(G1245*K1197,2)</f>
        <v>0</v>
      </c>
      <c r="M1245" s="156">
        <f>ROUND(G1245*J1197,2)</f>
        <v>65981.5</v>
      </c>
    </row>
    <row r="1246" spans="1:13" ht="30" hidden="1" x14ac:dyDescent="0.25">
      <c r="A1246" s="168"/>
      <c r="B1246" s="133" t="str">
        <f>'Công trình'!B210</f>
        <v>AF.65430</v>
      </c>
      <c r="C1246" s="34"/>
      <c r="D1246" s="133" t="str">
        <f>'Công trình'!C210</f>
        <v>Công tác sản xuất lắp dựng cốt thép bê tông tại chỗ, cốt thép dầm cầu trên cạn, D &gt;18mm</v>
      </c>
      <c r="E1246" s="168"/>
      <c r="F1246" s="20">
        <v>1</v>
      </c>
      <c r="G1246" s="45">
        <f>'Hao phí vật tư'!L1614</f>
        <v>0.36799999999999999</v>
      </c>
      <c r="H1246" s="166"/>
      <c r="I1246" s="166"/>
      <c r="J1246" s="166"/>
      <c r="K1246" s="166"/>
      <c r="L1246" s="156">
        <f>ROUND(G1246*K1197,2)</f>
        <v>0</v>
      </c>
      <c r="M1246" s="156">
        <f>ROUND(G1246*J1197,2)</f>
        <v>124391.36</v>
      </c>
    </row>
    <row r="1247" spans="1:13" ht="30" hidden="1" x14ac:dyDescent="0.25">
      <c r="A1247" s="168"/>
      <c r="B1247" s="133" t="str">
        <f>'Công trình'!B218</f>
        <v>AF.61120</v>
      </c>
      <c r="C1247" s="34"/>
      <c r="D1247" s="133" t="str">
        <f>'Công trình'!C218</f>
        <v>Sản xuất, lắp dựng cốt thép móng đường kính &lt;=18mm</v>
      </c>
      <c r="E1247" s="168"/>
      <c r="F1247" s="20">
        <v>1</v>
      </c>
      <c r="G1247" s="45">
        <f>'Hao phí vật tư'!L1652</f>
        <v>0.34820000000000001</v>
      </c>
      <c r="H1247" s="166"/>
      <c r="I1247" s="166"/>
      <c r="J1247" s="166"/>
      <c r="K1247" s="166"/>
      <c r="L1247" s="156">
        <f>ROUND(G1247*K1197,2)</f>
        <v>0</v>
      </c>
      <c r="M1247" s="156">
        <f>ROUND(G1247*J1197,2)</f>
        <v>117698.56</v>
      </c>
    </row>
    <row r="1248" spans="1:13" hidden="1" x14ac:dyDescent="0.25">
      <c r="A1248" s="168"/>
      <c r="B1248" s="133" t="str">
        <f>'Công trình'!B221</f>
        <v>AF.61120</v>
      </c>
      <c r="C1248" s="34"/>
      <c r="D1248" s="133" t="str">
        <f>'Công trình'!C221</f>
        <v>Sản xuất, lắp dựng cốt thép đường kính &lt;=18mm</v>
      </c>
      <c r="E1248" s="168"/>
      <c r="F1248" s="20">
        <v>1</v>
      </c>
      <c r="G1248" s="45">
        <f>'Hao phí vật tư'!L1670</f>
        <v>1.9853000000000001</v>
      </c>
      <c r="H1248" s="166"/>
      <c r="I1248" s="166"/>
      <c r="J1248" s="166"/>
      <c r="K1248" s="166"/>
      <c r="L1248" s="156">
        <f>ROUND(G1248*K1197,2)</f>
        <v>0</v>
      </c>
      <c r="M1248" s="156">
        <f>ROUND(G1248*J1197,2)</f>
        <v>671071.11</v>
      </c>
    </row>
    <row r="1249" spans="1:13" ht="30" hidden="1" x14ac:dyDescent="0.25">
      <c r="A1249" s="168"/>
      <c r="B1249" s="133" t="str">
        <f>'Công trình'!B227</f>
        <v>AG.13121</v>
      </c>
      <c r="C1249" s="34"/>
      <c r="D1249" s="133" t="str">
        <f>'Công trình'!C227</f>
        <v>Sản xuất, lắp dựng cốt thép BT đúc sẵn cọc, đường kính &lt;=18mm</v>
      </c>
      <c r="E1249" s="168"/>
      <c r="F1249" s="20">
        <v>1</v>
      </c>
      <c r="G1249" s="45">
        <f>'Hao phí vật tư'!L1710</f>
        <v>0.48570000000000002</v>
      </c>
      <c r="H1249" s="166"/>
      <c r="I1249" s="166"/>
      <c r="J1249" s="166"/>
      <c r="K1249" s="166"/>
      <c r="L1249" s="156">
        <f>ROUND(G1249*K1197,2)</f>
        <v>0</v>
      </c>
      <c r="M1249" s="156">
        <f>ROUND(G1249*J1197,2)</f>
        <v>164176.31</v>
      </c>
    </row>
    <row r="1250" spans="1:13" ht="30" hidden="1" x14ac:dyDescent="0.25">
      <c r="A1250" s="168"/>
      <c r="B1250" s="133" t="str">
        <f>'Công trình'!B228</f>
        <v>AG.13131</v>
      </c>
      <c r="C1250" s="34"/>
      <c r="D1250" s="133" t="str">
        <f>'Công trình'!C228</f>
        <v>Sản xuất, lắp dựng cốt thép BT đúc sẵn cọc, đường kính &gt;18mm</v>
      </c>
      <c r="E1250" s="168"/>
      <c r="F1250" s="20">
        <v>1</v>
      </c>
      <c r="G1250" s="45">
        <f>'Hao phí vật tư'!L1720</f>
        <v>14.549799999999999</v>
      </c>
      <c r="H1250" s="166"/>
      <c r="I1250" s="166"/>
      <c r="J1250" s="166"/>
      <c r="K1250" s="166"/>
      <c r="L1250" s="156">
        <f>ROUND(G1250*K1197,2)</f>
        <v>0</v>
      </c>
      <c r="M1250" s="156">
        <f>ROUND(G1250*J1197,2)</f>
        <v>4918123.4000000004</v>
      </c>
    </row>
    <row r="1251" spans="1:13" ht="30" hidden="1" x14ac:dyDescent="0.25">
      <c r="A1251" s="168"/>
      <c r="B1251" s="133" t="str">
        <f>'Công trình'!B229</f>
        <v>AI.13111</v>
      </c>
      <c r="C1251" s="34"/>
      <c r="D1251" s="133" t="str">
        <f>'Công trình'!C229</f>
        <v>Sản xuất cấu kiện thép đặt sẵn trong bê tông, khối lượng &lt;=10kg/cấu kiện</v>
      </c>
      <c r="E1251" s="168"/>
      <c r="F1251" s="20">
        <v>1</v>
      </c>
      <c r="G1251" s="45">
        <f>'Hao phí vật tư'!L1734</f>
        <v>3.2016</v>
      </c>
      <c r="H1251" s="166"/>
      <c r="I1251" s="166"/>
      <c r="J1251" s="166"/>
      <c r="K1251" s="166"/>
      <c r="L1251" s="156">
        <f>ROUND(G1251*K1197,2)</f>
        <v>0</v>
      </c>
      <c r="M1251" s="156">
        <f>ROUND(G1251*J1197,2)</f>
        <v>1082204.83</v>
      </c>
    </row>
    <row r="1252" spans="1:13" hidden="1" x14ac:dyDescent="0.25">
      <c r="A1252" s="168"/>
      <c r="B1252" s="133" t="str">
        <f>'Công trình'!B231</f>
        <v>AI.52211</v>
      </c>
      <c r="C1252" s="34"/>
      <c r="D1252" s="133" t="str">
        <f>'Công trình'!C231</f>
        <v>Thép hình hộp nối cọc</v>
      </c>
      <c r="E1252" s="168"/>
      <c r="F1252" s="20">
        <v>1</v>
      </c>
      <c r="G1252" s="45">
        <f>'Hao phí vật tư'!L1761</f>
        <v>10.2723</v>
      </c>
      <c r="H1252" s="166"/>
      <c r="I1252" s="166"/>
      <c r="J1252" s="166"/>
      <c r="K1252" s="166"/>
      <c r="L1252" s="156">
        <f>ROUND(G1252*K1197,2)</f>
        <v>0</v>
      </c>
      <c r="M1252" s="156">
        <f>ROUND(G1252*J1197,2)</f>
        <v>3472242.85</v>
      </c>
    </row>
    <row r="1253" spans="1:13" hidden="1" x14ac:dyDescent="0.25">
      <c r="A1253" s="168"/>
      <c r="B1253" s="133" t="str">
        <f>'Công trình'!B235</f>
        <v>AA.22310</v>
      </c>
      <c r="C1253" s="34"/>
      <c r="D1253" s="133" t="str">
        <f>'Công trình'!C235</f>
        <v>Đập đầu cọc trên cạn</v>
      </c>
      <c r="E1253" s="168"/>
      <c r="F1253" s="20">
        <v>1</v>
      </c>
      <c r="G1253" s="45">
        <f>'Hao phí vật tư'!L1798</f>
        <v>0.33810000000000001</v>
      </c>
      <c r="H1253" s="166"/>
      <c r="I1253" s="166"/>
      <c r="J1253" s="166"/>
      <c r="K1253" s="166"/>
      <c r="L1253" s="156">
        <f>ROUND(G1253*K1197,2)</f>
        <v>0</v>
      </c>
      <c r="M1253" s="156">
        <f>ROUND(G1253*J1197,2)</f>
        <v>114284.56</v>
      </c>
    </row>
    <row r="1254" spans="1:13" hidden="1" x14ac:dyDescent="0.25">
      <c r="A1254" s="168"/>
      <c r="B1254" s="133" t="str">
        <f>'Công trình'!B234</f>
        <v>AC.29341</v>
      </c>
      <c r="C1254" s="34"/>
      <c r="D1254" s="133" t="str">
        <f>'Công trình'!C234</f>
        <v>Nối cọc BTCT 35x35cm</v>
      </c>
      <c r="E1254" s="168"/>
      <c r="F1254" s="20">
        <v>1</v>
      </c>
      <c r="G1254" s="45">
        <f>'Hao phí vật tư'!L1790</f>
        <v>5.4</v>
      </c>
      <c r="H1254" s="166"/>
      <c r="I1254" s="166"/>
      <c r="J1254" s="166"/>
      <c r="K1254" s="166"/>
      <c r="L1254" s="156">
        <f>ROUND(G1254*K1197,2)</f>
        <v>0</v>
      </c>
      <c r="M1254" s="156">
        <f>ROUND(G1254*J1197,2)</f>
        <v>1825308</v>
      </c>
    </row>
    <row r="1255" spans="1:13" ht="30" hidden="1" x14ac:dyDescent="0.25">
      <c r="A1255" s="168"/>
      <c r="B1255" s="133" t="str">
        <f>'Công trình'!B249</f>
        <v>AF.82111</v>
      </c>
      <c r="C1255" s="34"/>
      <c r="D1255" s="133" t="str">
        <f>'Công trình'!C249</f>
        <v>Sản xuất, lắp dựng tháo dỡ ván khuôn thép, cây chống gỗ dầm, giằng, chiều cao &lt;=16m</v>
      </c>
      <c r="E1255" s="168"/>
      <c r="F1255" s="20">
        <v>1</v>
      </c>
      <c r="G1255" s="45">
        <f>'Hao phí vật tư'!L1896</f>
        <v>1.0704</v>
      </c>
      <c r="H1255" s="166"/>
      <c r="I1255" s="166"/>
      <c r="J1255" s="166"/>
      <c r="K1255" s="166"/>
      <c r="L1255" s="156">
        <f>ROUND(G1255*K1197,2)</f>
        <v>0</v>
      </c>
      <c r="M1255" s="156">
        <f>ROUND(G1255*J1197,2)</f>
        <v>361816.61</v>
      </c>
    </row>
    <row r="1256" spans="1:13" ht="30" hidden="1" x14ac:dyDescent="0.25">
      <c r="A1256" s="168"/>
      <c r="B1256" s="133" t="str">
        <f>'Công trình'!B256</f>
        <v>AF.82111</v>
      </c>
      <c r="C1256" s="34"/>
      <c r="D1256" s="133" t="str">
        <f>'Công trình'!C256</f>
        <v>Sản xuất, lắp dựng tháo dỡ ván khuôn thép lan can</v>
      </c>
      <c r="E1256" s="168"/>
      <c r="F1256" s="20">
        <v>1</v>
      </c>
      <c r="G1256" s="45">
        <f>'Hao phí vật tư'!L1957</f>
        <v>2.2947000000000002</v>
      </c>
      <c r="H1256" s="166"/>
      <c r="I1256" s="166"/>
      <c r="J1256" s="166"/>
      <c r="K1256" s="166"/>
      <c r="L1256" s="156">
        <f>ROUND(G1256*K1197,2)</f>
        <v>0</v>
      </c>
      <c r="M1256" s="156">
        <f>ROUND(G1256*J1197,2)</f>
        <v>775654.49</v>
      </c>
    </row>
    <row r="1257" spans="1:13" hidden="1" x14ac:dyDescent="0.25">
      <c r="A1257" s="168"/>
      <c r="B1257" s="133" t="str">
        <f>'Công trình'!B258</f>
        <v>AF.61120</v>
      </c>
      <c r="C1257" s="34"/>
      <c r="D1257" s="133" t="str">
        <f>'Công trình'!C258</f>
        <v>Sản xuất, lắp dựng cốt thép đường kính &lt;=18mm</v>
      </c>
      <c r="E1257" s="168"/>
      <c r="F1257" s="20">
        <v>1</v>
      </c>
      <c r="G1257" s="45">
        <f>'Hao phí vật tư'!L1976</f>
        <v>0.71299999999999997</v>
      </c>
      <c r="H1257" s="166"/>
      <c r="I1257" s="166"/>
      <c r="J1257" s="166"/>
      <c r="K1257" s="166"/>
      <c r="L1257" s="156">
        <f>ROUND(G1257*K1197,2)</f>
        <v>0</v>
      </c>
      <c r="M1257" s="156">
        <f>ROUND(G1257*J1197,2)</f>
        <v>241008.26</v>
      </c>
    </row>
    <row r="1258" spans="1:13" hidden="1" x14ac:dyDescent="0.25">
      <c r="A1258" s="168"/>
      <c r="B1258" s="133" t="str">
        <f>'Công trình'!B263</f>
        <v>AI.63211</v>
      </c>
      <c r="C1258" s="34"/>
      <c r="D1258" s="133" t="str">
        <f>'Công trình'!C263</f>
        <v>Lắp dựng lan can sắt, vữa XM mác 75</v>
      </c>
      <c r="E1258" s="168"/>
      <c r="F1258" s="20">
        <v>1</v>
      </c>
      <c r="G1258" s="45">
        <f>'Hao phí vật tư'!L2016</f>
        <v>10.53</v>
      </c>
      <c r="H1258" s="166"/>
      <c r="I1258" s="166"/>
      <c r="J1258" s="166"/>
      <c r="K1258" s="166"/>
      <c r="L1258" s="156">
        <f>ROUND(G1258*K1197,2)</f>
        <v>0</v>
      </c>
      <c r="M1258" s="156">
        <f>ROUND(G1258*J1197,2)</f>
        <v>3559350.6</v>
      </c>
    </row>
    <row r="1259" spans="1:13" hidden="1" x14ac:dyDescent="0.25">
      <c r="A1259" s="168"/>
      <c r="B1259" s="133" t="str">
        <f>'Công trình'!B268</f>
        <v>BB.14211</v>
      </c>
      <c r="C1259" s="34"/>
      <c r="D1259" s="133" t="str">
        <f>'Công trình'!C268</f>
        <v>Ống thép Þ120 dày 2 mm</v>
      </c>
      <c r="E1259" s="168"/>
      <c r="F1259" s="20">
        <v>1</v>
      </c>
      <c r="G1259" s="45">
        <f>'Hao phí vật tư'!L2049</f>
        <v>0.39050000000000001</v>
      </c>
      <c r="H1259" s="166"/>
      <c r="I1259" s="166"/>
      <c r="J1259" s="166"/>
      <c r="K1259" s="166"/>
      <c r="L1259" s="156">
        <f>ROUND(G1259*K1197,2)</f>
        <v>0</v>
      </c>
      <c r="M1259" s="156">
        <f>ROUND(G1259*J1197,2)</f>
        <v>131996.81</v>
      </c>
    </row>
    <row r="1260" spans="1:13" ht="30" hidden="1" x14ac:dyDescent="0.25">
      <c r="A1260" s="168"/>
      <c r="B1260" s="133" t="str">
        <f>'Công trình'!B179</f>
        <v>AF.87211</v>
      </c>
      <c r="C1260" s="34"/>
      <c r="D1260" s="133" t="str">
        <f>'Công trình'!C179</f>
        <v>Sản xuất, lắp dựng, tháo dỡ ván khuôn mố, trụ cầu trên cạn</v>
      </c>
      <c r="E1260" s="168"/>
      <c r="F1260" s="20">
        <v>1</v>
      </c>
      <c r="G1260" s="45">
        <f>'Hao phí vật tư'!L1363</f>
        <v>6.9278000000000004</v>
      </c>
      <c r="H1260" s="166"/>
      <c r="I1260" s="166"/>
      <c r="J1260" s="166"/>
      <c r="K1260" s="166"/>
      <c r="L1260" s="156">
        <f>ROUND(G1260*K1197,2)</f>
        <v>0</v>
      </c>
      <c r="M1260" s="156">
        <f>ROUND(G1260*J1197,2)</f>
        <v>2341734.96</v>
      </c>
    </row>
    <row r="1261" spans="1:13" ht="30" hidden="1" x14ac:dyDescent="0.25">
      <c r="A1261" s="168"/>
      <c r="B1261" s="133" t="str">
        <f>'Công trình'!B189</f>
        <v>AF.87211</v>
      </c>
      <c r="C1261" s="34"/>
      <c r="D1261" s="133" t="str">
        <f>'Công trình'!C189</f>
        <v>Sản xuất, lắp dựng, tháo dỡ ván khuôn mố, trụ cầu trên cạn</v>
      </c>
      <c r="E1261" s="168"/>
      <c r="F1261" s="20">
        <v>1</v>
      </c>
      <c r="G1261" s="45">
        <f>'Hao phí vật tư'!L1454</f>
        <v>1.9850000000000001</v>
      </c>
      <c r="H1261" s="166"/>
      <c r="I1261" s="166"/>
      <c r="J1261" s="166"/>
      <c r="K1261" s="166"/>
      <c r="L1261" s="156">
        <f>ROUND(G1261*K1197,2)</f>
        <v>0</v>
      </c>
      <c r="M1261" s="156">
        <f>ROUND(G1261*J1197,2)</f>
        <v>670969.69999999995</v>
      </c>
    </row>
    <row r="1262" spans="1:13" ht="30" hidden="1" x14ac:dyDescent="0.25">
      <c r="A1262" s="168"/>
      <c r="B1262" s="133" t="str">
        <f>'Công trình'!B201</f>
        <v>AF.82311</v>
      </c>
      <c r="C1262" s="34"/>
      <c r="D1262" s="133" t="str">
        <f>'Công trình'!C201</f>
        <v>Sản xuất, lắp dựng tháo dỡ ván khuôn thép, cây chống gỗ mặt cầu, chiều cao &lt;=16m</v>
      </c>
      <c r="E1262" s="168"/>
      <c r="F1262" s="20">
        <v>1</v>
      </c>
      <c r="G1262" s="45">
        <f>'Hao phí vật tư'!L1561</f>
        <v>3.7907999999999999</v>
      </c>
      <c r="H1262" s="166"/>
      <c r="I1262" s="166"/>
      <c r="J1262" s="166"/>
      <c r="K1262" s="166"/>
      <c r="L1262" s="156">
        <f>ROUND(G1262*K1197,2)</f>
        <v>0</v>
      </c>
      <c r="M1262" s="156">
        <f>ROUND(G1262*J1197,2)</f>
        <v>1281366.22</v>
      </c>
    </row>
    <row r="1263" spans="1:13" ht="30" hidden="1" x14ac:dyDescent="0.25">
      <c r="A1263" s="168"/>
      <c r="B1263" s="133" t="str">
        <f>'Công trình'!B230</f>
        <v>AG.32321</v>
      </c>
      <c r="C1263" s="34"/>
      <c r="D1263" s="133" t="str">
        <f>'Công trình'!C230</f>
        <v>Sản xuất, lắp dựng, tháo dỡ ván khuôn thép bê tông đúc sẵn cọc, cột</v>
      </c>
      <c r="E1263" s="168"/>
      <c r="F1263" s="20">
        <v>1</v>
      </c>
      <c r="G1263" s="45">
        <f>'Hao phí vật tư'!L1746</f>
        <v>1.9726999999999999</v>
      </c>
      <c r="H1263" s="166"/>
      <c r="I1263" s="166"/>
      <c r="J1263" s="166"/>
      <c r="K1263" s="166"/>
      <c r="L1263" s="156">
        <f>ROUND(G1263*K1197,2)</f>
        <v>0</v>
      </c>
      <c r="M1263" s="156">
        <f>ROUND(G1263*J1197,2)</f>
        <v>666812.05000000005</v>
      </c>
    </row>
    <row r="1264" spans="1:13" ht="30" hidden="1" x14ac:dyDescent="0.25">
      <c r="A1264" s="168"/>
      <c r="B1264" s="133" t="str">
        <f>'Công trình'!B56</f>
        <v>AG.32511</v>
      </c>
      <c r="C1264" s="34"/>
      <c r="D1264" s="133" t="str">
        <f>'Công trình'!C56</f>
        <v>Sản xuất, lắp dựng, tháo dỡ ván khuôn thép bê tông đúc sẵn tấm tự chèn</v>
      </c>
      <c r="E1264" s="168"/>
      <c r="F1264" s="20">
        <v>1</v>
      </c>
      <c r="G1264" s="45">
        <f>'Hao phí vật tư'!L416</f>
        <v>4.2870999999999997</v>
      </c>
      <c r="H1264" s="166"/>
      <c r="I1264" s="166"/>
      <c r="J1264" s="166"/>
      <c r="K1264" s="166"/>
      <c r="L1264" s="156">
        <f>ROUND(G1264*K1197,2)</f>
        <v>0</v>
      </c>
      <c r="M1264" s="156">
        <f>ROUND(G1264*J1197,2)</f>
        <v>1449125.54</v>
      </c>
    </row>
    <row r="1265" spans="1:13" ht="30" hidden="1" x14ac:dyDescent="0.25">
      <c r="A1265" s="168"/>
      <c r="B1265" s="133" t="str">
        <f>'Công trình'!B251</f>
        <v>AG.32511</v>
      </c>
      <c r="C1265" s="34"/>
      <c r="D1265" s="133" t="str">
        <f>'Công trình'!C251</f>
        <v>Sản xuất, lắp dựng, tháo dỡ ván khuôn thép bê tông đúc sẵn nắp đan, tấm chớp</v>
      </c>
      <c r="E1265" s="168"/>
      <c r="F1265" s="20">
        <v>1</v>
      </c>
      <c r="G1265" s="45">
        <f>'Hao phí vật tư'!L1918</f>
        <v>5.4767000000000001</v>
      </c>
      <c r="H1265" s="166"/>
      <c r="I1265" s="166"/>
      <c r="J1265" s="166"/>
      <c r="K1265" s="166"/>
      <c r="L1265" s="156">
        <f>ROUND(G1265*K1197,2)</f>
        <v>0</v>
      </c>
      <c r="M1265" s="156">
        <f>ROUND(G1265*J1197,2)</f>
        <v>1851234.13</v>
      </c>
    </row>
    <row r="1266" spans="1:13" hidden="1" x14ac:dyDescent="0.25">
      <c r="A1266" s="168"/>
      <c r="B1266" s="133" t="str">
        <f>'Công trình'!B262</f>
        <v>AI.21152</v>
      </c>
      <c r="C1266" s="34"/>
      <c r="D1266" s="133" t="str">
        <f>'Công trình'!C262</f>
        <v>Sản xuất kết cấu thép lan can cầu đường bộ</v>
      </c>
      <c r="E1266" s="168"/>
      <c r="F1266" s="20">
        <v>1</v>
      </c>
      <c r="G1266" s="45">
        <f>'Hao phí vật tư'!L2002</f>
        <v>21.328099999999999</v>
      </c>
      <c r="H1266" s="166"/>
      <c r="I1266" s="166"/>
      <c r="J1266" s="166"/>
      <c r="K1266" s="166"/>
      <c r="L1266" s="156">
        <f>ROUND(G1266*K1197,2)</f>
        <v>0</v>
      </c>
      <c r="M1266" s="156">
        <f>ROUND(G1266*J1197,2)</f>
        <v>7209324.3600000003</v>
      </c>
    </row>
    <row r="1267" spans="1:13" ht="30" hidden="1" x14ac:dyDescent="0.25">
      <c r="A1267" s="168"/>
      <c r="B1267" s="133" t="str">
        <f>'Công trình'!B73</f>
        <v>AG.32321</v>
      </c>
      <c r="C1267" s="34"/>
      <c r="D1267" s="133" t="str">
        <f>'Công trình'!C73</f>
        <v>Sản xuất, lắp dựng, tháo dỡ ván khuôn thép bê tông đúc sẵn cọc</v>
      </c>
      <c r="E1267" s="168"/>
      <c r="F1267" s="20">
        <v>1</v>
      </c>
      <c r="G1267" s="45">
        <f>'Hao phí vật tư'!L570</f>
        <v>1.8233999999999999</v>
      </c>
      <c r="H1267" s="166"/>
      <c r="I1267" s="166"/>
      <c r="J1267" s="166"/>
      <c r="K1267" s="166"/>
      <c r="L1267" s="156">
        <f>ROUND(G1267*K1197,2)</f>
        <v>0</v>
      </c>
      <c r="M1267" s="156">
        <f>ROUND(G1267*J1197,2)</f>
        <v>616345.67000000004</v>
      </c>
    </row>
    <row r="1268" spans="1:13" ht="30" hidden="1" x14ac:dyDescent="0.25">
      <c r="A1268" s="168"/>
      <c r="B1268" s="133" t="str">
        <f>'Công trình'!B84</f>
        <v>AG.32321</v>
      </c>
      <c r="C1268" s="34"/>
      <c r="D1268" s="133" t="str">
        <f>'Công trình'!C84</f>
        <v>Sản xuất, lắp dựng, tháo dỡ ván khuôn thép bê tông đúc sẵn cọc</v>
      </c>
      <c r="E1268" s="168"/>
      <c r="F1268" s="20">
        <v>1</v>
      </c>
      <c r="G1268" s="45">
        <f>'Hao phí vật tư'!L686</f>
        <v>0.82509999999999994</v>
      </c>
      <c r="H1268" s="166"/>
      <c r="I1268" s="166"/>
      <c r="J1268" s="166"/>
      <c r="K1268" s="166"/>
      <c r="L1268" s="156">
        <f>ROUND(G1268*K1197,2)</f>
        <v>0</v>
      </c>
      <c r="M1268" s="156">
        <f>ROUND(G1268*J1197,2)</f>
        <v>278900.3</v>
      </c>
    </row>
    <row r="1269" spans="1:13" hidden="1" x14ac:dyDescent="0.25">
      <c r="A1269" s="168"/>
      <c r="B1269" s="133" t="str">
        <f>'Công trình'!B24</f>
        <v>AF.61130</v>
      </c>
      <c r="C1269" s="34"/>
      <c r="D1269" s="133" t="str">
        <f>'Công trình'!C24</f>
        <v>Neo dầm mang cống bằng thép D32 SUS304</v>
      </c>
      <c r="E1269" s="168"/>
      <c r="F1269" s="20">
        <v>1</v>
      </c>
      <c r="G1269" s="45">
        <f>'Hao phí vật tư'!L174</f>
        <v>0.78839999999999999</v>
      </c>
      <c r="H1269" s="166"/>
      <c r="I1269" s="166"/>
      <c r="J1269" s="166"/>
      <c r="K1269" s="166"/>
      <c r="L1269" s="156">
        <f>ROUND(G1269*K1197,2)</f>
        <v>0</v>
      </c>
      <c r="M1269" s="156">
        <f>ROUND(G1269*J1197,2)</f>
        <v>266494.96999999997</v>
      </c>
    </row>
    <row r="1270" spans="1:13" ht="45" hidden="1" x14ac:dyDescent="0.25">
      <c r="A1270" s="168"/>
      <c r="B1270" s="133" t="str">
        <f>'Công trình'!B35</f>
        <v>AF.82111</v>
      </c>
      <c r="C1270" s="34"/>
      <c r="D1270" s="133" t="str">
        <f>'Công trình'!C35</f>
        <v>Sản xuất, lắp dựng tháo dỡ ván khuôn thép, cây chống gỗ tường, cột vuông (chữ nhật), xà dầm, giằng, chiều cao &lt;=16m</v>
      </c>
      <c r="E1270" s="168"/>
      <c r="F1270" s="20">
        <v>1</v>
      </c>
      <c r="G1270" s="45">
        <f>'Hao phí vật tư'!L269</f>
        <v>0.87239999999999995</v>
      </c>
      <c r="H1270" s="166"/>
      <c r="I1270" s="166"/>
      <c r="J1270" s="166"/>
      <c r="K1270" s="166"/>
      <c r="L1270" s="156">
        <f>ROUND(G1270*K1197,2)</f>
        <v>0</v>
      </c>
      <c r="M1270" s="156">
        <f>ROUND(G1270*J1197,2)</f>
        <v>294888.65000000002</v>
      </c>
    </row>
    <row r="1271" spans="1:13" ht="30" hidden="1" x14ac:dyDescent="0.25">
      <c r="A1271" s="168"/>
      <c r="B1271" s="133" t="str">
        <f>'Công trình'!B37</f>
        <v>AF.61521</v>
      </c>
      <c r="C1271" s="34"/>
      <c r="D1271" s="133" t="str">
        <f>'Công trình'!C37</f>
        <v>Sản xuất, lắp dựng cốt thép xà dầm, giằng đường kính &lt;=18mm, chiều cao &lt;=4m</v>
      </c>
      <c r="E1271" s="168"/>
      <c r="F1271" s="20">
        <v>1</v>
      </c>
      <c r="G1271" s="45">
        <f>'Hao phí vật tư'!L288</f>
        <v>0.30859999999999999</v>
      </c>
      <c r="H1271" s="166"/>
      <c r="I1271" s="166"/>
      <c r="J1271" s="166"/>
      <c r="K1271" s="166"/>
      <c r="L1271" s="156">
        <f>ROUND(G1271*K1197,2)</f>
        <v>0</v>
      </c>
      <c r="M1271" s="156">
        <f>ROUND(G1271*J1197,2)</f>
        <v>104312.97</v>
      </c>
    </row>
    <row r="1272" spans="1:13" hidden="1" x14ac:dyDescent="0.25">
      <c r="A1272" s="168"/>
      <c r="B1272" s="133" t="str">
        <f>'Công trình'!B322</f>
        <v>AI.65411</v>
      </c>
      <c r="C1272" s="34"/>
      <c r="D1272" s="133" t="str">
        <f>'Công trình'!C322</f>
        <v>Lắp đặt kết cấu thép khe van, khe phai</v>
      </c>
      <c r="E1272" s="168"/>
      <c r="F1272" s="20">
        <v>1</v>
      </c>
      <c r="G1272" s="45">
        <f>'Hao phí vật tư'!L2417</f>
        <v>9.2346000000000004</v>
      </c>
      <c r="H1272" s="166"/>
      <c r="I1272" s="166"/>
      <c r="J1272" s="166"/>
      <c r="K1272" s="166"/>
      <c r="L1272" s="156">
        <f>ROUND(G1272*K1197,2)</f>
        <v>0</v>
      </c>
      <c r="M1272" s="156">
        <f>ROUND(G1272*J1197,2)</f>
        <v>3121479.49</v>
      </c>
    </row>
    <row r="1273" spans="1:13" hidden="1" x14ac:dyDescent="0.25">
      <c r="A1273" s="168"/>
      <c r="B1273" s="133" t="str">
        <f>'Công trình'!B316</f>
        <v>AI.52211</v>
      </c>
      <c r="C1273" s="34"/>
      <c r="D1273" s="133" t="str">
        <f>'Công trình'!C316</f>
        <v>Sản xuất kết cấu thép khe phai - thép CT3</v>
      </c>
      <c r="E1273" s="168"/>
      <c r="F1273" s="20">
        <v>1</v>
      </c>
      <c r="G1273" s="45">
        <f>'Hao phí vật tư'!L2317</f>
        <v>2.778</v>
      </c>
      <c r="H1273" s="166"/>
      <c r="I1273" s="166"/>
      <c r="J1273" s="166"/>
      <c r="K1273" s="166"/>
      <c r="L1273" s="156">
        <f>ROUND(G1273*K1197,2)</f>
        <v>0</v>
      </c>
      <c r="M1273" s="156">
        <f>ROUND(G1273*J1197,2)</f>
        <v>939019.56</v>
      </c>
    </row>
    <row r="1274" spans="1:13" hidden="1" x14ac:dyDescent="0.25">
      <c r="A1274" s="168"/>
      <c r="B1274" s="133" t="str">
        <f>'Công trình'!B317</f>
        <v>AI.52211</v>
      </c>
      <c r="C1274" s="34"/>
      <c r="D1274" s="133" t="str">
        <f>'Công trình'!C317</f>
        <v>Sản xuất kết cấu thép khe phai - thép SUS304</v>
      </c>
      <c r="E1274" s="168"/>
      <c r="F1274" s="20">
        <v>1</v>
      </c>
      <c r="G1274" s="45">
        <f>'Hao phí vật tư'!L2332</f>
        <v>3.7972000000000001</v>
      </c>
      <c r="H1274" s="166"/>
      <c r="I1274" s="166"/>
      <c r="J1274" s="166"/>
      <c r="K1274" s="166"/>
      <c r="L1274" s="156">
        <f>ROUND(G1274*K1197,2)</f>
        <v>0</v>
      </c>
      <c r="M1274" s="156">
        <f>ROUND(G1274*J1197,2)</f>
        <v>1283529.54</v>
      </c>
    </row>
    <row r="1275" spans="1:13" hidden="1" x14ac:dyDescent="0.25">
      <c r="A1275" s="168"/>
      <c r="B1275" s="133" t="str">
        <f>'Công trình'!B318</f>
        <v>AI.52211</v>
      </c>
      <c r="C1275" s="34"/>
      <c r="D1275" s="133" t="str">
        <f>'Công trình'!C318</f>
        <v>Sản xuất kết cấu thép khe cửa - thép CT3</v>
      </c>
      <c r="E1275" s="168"/>
      <c r="F1275" s="20">
        <v>1</v>
      </c>
      <c r="G1275" s="45">
        <f>'Hao phí vật tư'!L2348</f>
        <v>2.8088000000000002</v>
      </c>
      <c r="H1275" s="166"/>
      <c r="I1275" s="166"/>
      <c r="J1275" s="166"/>
      <c r="K1275" s="166"/>
      <c r="L1275" s="156">
        <f>ROUND(G1275*K1197,2)</f>
        <v>0</v>
      </c>
      <c r="M1275" s="156">
        <f>ROUND(G1275*J1197,2)</f>
        <v>949430.58</v>
      </c>
    </row>
    <row r="1276" spans="1:13" hidden="1" x14ac:dyDescent="0.25">
      <c r="A1276" s="168"/>
      <c r="B1276" s="133" t="str">
        <f>'Công trình'!B319</f>
        <v>AI.52211</v>
      </c>
      <c r="C1276" s="34"/>
      <c r="D1276" s="133" t="str">
        <f>'Công trình'!C319</f>
        <v>Sản xuất kết cấu thép khe cửa- thép SUS304</v>
      </c>
      <c r="E1276" s="168"/>
      <c r="F1276" s="20">
        <v>1</v>
      </c>
      <c r="G1276" s="45">
        <f>'Hao phí vật tư'!L2363</f>
        <v>4.4844999999999997</v>
      </c>
      <c r="H1276" s="166"/>
      <c r="I1276" s="166"/>
      <c r="J1276" s="166"/>
      <c r="K1276" s="166"/>
      <c r="L1276" s="156">
        <f>ROUND(G1276*K1197,2)</f>
        <v>0</v>
      </c>
      <c r="M1276" s="156">
        <f>ROUND(G1276*J1197,2)</f>
        <v>1515850.69</v>
      </c>
    </row>
    <row r="1277" spans="1:13" ht="30" x14ac:dyDescent="0.25">
      <c r="A1277" s="168">
        <v>2</v>
      </c>
      <c r="B1277" s="84" t="s">
        <v>638</v>
      </c>
      <c r="C1277" s="34">
        <v>715</v>
      </c>
      <c r="D1277" s="144" t="s">
        <v>1001</v>
      </c>
      <c r="E1277" s="168" t="s">
        <v>76</v>
      </c>
      <c r="F1277" s="34"/>
      <c r="G1277" s="60">
        <f>SUM(G1278:G1280)</f>
        <v>1.4035</v>
      </c>
      <c r="H1277" s="166">
        <v>250903</v>
      </c>
      <c r="I1277" s="166">
        <v>250903</v>
      </c>
      <c r="J1277" s="166">
        <f>'Máy thi công'!N81</f>
        <v>250903</v>
      </c>
      <c r="K1277" s="166">
        <f>J1277-H1277</f>
        <v>0</v>
      </c>
      <c r="L1277" s="166">
        <f>ROUND(G1277*K1277,0)</f>
        <v>0</v>
      </c>
      <c r="M1277" s="166">
        <f>ROUND(G1277*J1277,0)</f>
        <v>352142</v>
      </c>
    </row>
    <row r="1278" spans="1:13" hidden="1" x14ac:dyDescent="0.25">
      <c r="A1278" s="168"/>
      <c r="B1278" s="133" t="str">
        <f>'Công trình'!B77</f>
        <v>AA.22310</v>
      </c>
      <c r="C1278" s="34"/>
      <c r="D1278" s="133" t="str">
        <f>'Công trình'!C77</f>
        <v>Đập đầu cọc trên cạn</v>
      </c>
      <c r="E1278" s="168"/>
      <c r="F1278" s="20">
        <v>1</v>
      </c>
      <c r="G1278" s="45">
        <f>'Hao phí vật tư'!L618</f>
        <v>0.68600000000000005</v>
      </c>
      <c r="H1278" s="166"/>
      <c r="I1278" s="166"/>
      <c r="J1278" s="166"/>
      <c r="K1278" s="166"/>
      <c r="L1278" s="156">
        <f>ROUND(G1278*K1277,2)</f>
        <v>0</v>
      </c>
      <c r="M1278" s="156">
        <f>ROUND(G1278*J1277,2)</f>
        <v>172119.46</v>
      </c>
    </row>
    <row r="1279" spans="1:13" hidden="1" x14ac:dyDescent="0.25">
      <c r="A1279" s="168"/>
      <c r="B1279" s="133" t="str">
        <f>'Công trình'!B88</f>
        <v>AA.22310</v>
      </c>
      <c r="C1279" s="34"/>
      <c r="D1279" s="133" t="str">
        <f>'Công trình'!C88</f>
        <v>Đập đầu cọc trên cạn</v>
      </c>
      <c r="E1279" s="168"/>
      <c r="F1279" s="20">
        <v>1</v>
      </c>
      <c r="G1279" s="45">
        <f>'Hao phí vật tư'!L734</f>
        <v>0.20300000000000001</v>
      </c>
      <c r="H1279" s="166"/>
      <c r="I1279" s="166"/>
      <c r="J1279" s="166"/>
      <c r="K1279" s="166"/>
      <c r="L1279" s="156">
        <f>ROUND(G1279*K1277,2)</f>
        <v>0</v>
      </c>
      <c r="M1279" s="156">
        <f>ROUND(G1279*J1277,2)</f>
        <v>50933.31</v>
      </c>
    </row>
    <row r="1280" spans="1:13" hidden="1" x14ac:dyDescent="0.25">
      <c r="A1280" s="168"/>
      <c r="B1280" s="133" t="str">
        <f>'Công trình'!B235</f>
        <v>AA.22310</v>
      </c>
      <c r="C1280" s="34"/>
      <c r="D1280" s="133" t="str">
        <f>'Công trình'!C235</f>
        <v>Đập đầu cọc trên cạn</v>
      </c>
      <c r="E1280" s="168"/>
      <c r="F1280" s="20">
        <v>1</v>
      </c>
      <c r="G1280" s="45">
        <f>'Hao phí vật tư'!L1800</f>
        <v>0.51449999999999996</v>
      </c>
      <c r="H1280" s="166"/>
      <c r="I1280" s="166"/>
      <c r="J1280" s="166"/>
      <c r="K1280" s="166"/>
      <c r="L1280" s="156">
        <f>ROUND(G1280*K1277,2)</f>
        <v>0</v>
      </c>
      <c r="M1280" s="156">
        <f>ROUND(G1280*J1277,2)</f>
        <v>129089.59</v>
      </c>
    </row>
    <row r="1281" spans="1:13" ht="30" x14ac:dyDescent="0.25">
      <c r="A1281" s="168">
        <v>3</v>
      </c>
      <c r="B1281" s="84" t="s">
        <v>149</v>
      </c>
      <c r="C1281" s="34">
        <v>716</v>
      </c>
      <c r="D1281" s="144" t="s">
        <v>292</v>
      </c>
      <c r="E1281" s="168" t="s">
        <v>76</v>
      </c>
      <c r="F1281" s="34"/>
      <c r="G1281" s="60">
        <f>SUM(G1282:G1289)</f>
        <v>33.952800000000003</v>
      </c>
      <c r="H1281" s="166">
        <v>1569808</v>
      </c>
      <c r="I1281" s="166">
        <v>1569808</v>
      </c>
      <c r="J1281" s="166">
        <f>'Máy thi công'!N85</f>
        <v>1569808</v>
      </c>
      <c r="K1281" s="166">
        <f>J1281-H1281</f>
        <v>0</v>
      </c>
      <c r="L1281" s="166">
        <f>ROUND(G1281*K1281,0)</f>
        <v>0</v>
      </c>
      <c r="M1281" s="166">
        <f>ROUND(G1281*J1281,0)</f>
        <v>53299377</v>
      </c>
    </row>
    <row r="1282" spans="1:13" ht="30" hidden="1" x14ac:dyDescent="0.25">
      <c r="A1282" s="168"/>
      <c r="B1282" s="133" t="str">
        <f>'Công trình'!B114</f>
        <v>AC.22522</v>
      </c>
      <c r="C1282" s="34"/>
      <c r="D1282" s="133" t="str">
        <f>'Công trình'!C114</f>
        <v>Đóng cọc thép hình H300 trên mặt đất, chiều dài cọc &gt;10m, đất cấp II, phần ngập đất</v>
      </c>
      <c r="E1282" s="168"/>
      <c r="F1282" s="20">
        <v>1</v>
      </c>
      <c r="G1282" s="45">
        <f>'Hao phí vật tư'!L914</f>
        <v>6.3840000000000003</v>
      </c>
      <c r="H1282" s="166"/>
      <c r="I1282" s="166"/>
      <c r="J1282" s="166"/>
      <c r="K1282" s="166"/>
      <c r="L1282" s="156">
        <f>ROUND(G1282*K1281,2)</f>
        <v>0</v>
      </c>
      <c r="M1282" s="156">
        <f>ROUND(G1282*J1281,2)</f>
        <v>10021654.27</v>
      </c>
    </row>
    <row r="1283" spans="1:13" ht="45" hidden="1" x14ac:dyDescent="0.25">
      <c r="A1283" s="168"/>
      <c r="B1283" s="133" t="str">
        <f>'Công trình'!B115</f>
        <v>AC.22522</v>
      </c>
      <c r="C1283" s="34"/>
      <c r="D1283" s="133" t="str">
        <f>'Công trình'!C115</f>
        <v>Đóng cọc thép hình H300 trên mặt đất, chiều dài cọc &gt;10m, đất cấp II, phần không ngập đất (NC, MTC * 0,75)</v>
      </c>
      <c r="E1283" s="168"/>
      <c r="F1283" s="20">
        <v>1</v>
      </c>
      <c r="G1283" s="45">
        <f>'Hao phí vật tư'!L923</f>
        <v>2.2679999999999998</v>
      </c>
      <c r="H1283" s="166"/>
      <c r="I1283" s="166"/>
      <c r="J1283" s="166"/>
      <c r="K1283" s="166"/>
      <c r="L1283" s="156">
        <f>ROUND(G1283*K1281,2)</f>
        <v>0</v>
      </c>
      <c r="M1283" s="156">
        <f>ROUND(G1283*J1281,2)</f>
        <v>3560324.54</v>
      </c>
    </row>
    <row r="1284" spans="1:13" ht="30" hidden="1" x14ac:dyDescent="0.25">
      <c r="A1284" s="168"/>
      <c r="B1284" s="133" t="str">
        <f>'Công trình'!B125</f>
        <v>AC.22522</v>
      </c>
      <c r="C1284" s="34"/>
      <c r="D1284" s="133" t="str">
        <f>'Công trình'!C125</f>
        <v>Đóng cọc thép hình H300 trên mặt đất, chiều dài cọc &gt;10m, đất cấp II, phần ngập đất</v>
      </c>
      <c r="E1284" s="168"/>
      <c r="F1284" s="20">
        <v>1</v>
      </c>
      <c r="G1284" s="45">
        <f>'Hao phí vật tư'!L986</f>
        <v>1.1424000000000001</v>
      </c>
      <c r="H1284" s="166"/>
      <c r="I1284" s="166"/>
      <c r="J1284" s="166"/>
      <c r="K1284" s="166"/>
      <c r="L1284" s="156">
        <f>ROUND(G1284*K1281,2)</f>
        <v>0</v>
      </c>
      <c r="M1284" s="156">
        <f>ROUND(G1284*J1281,2)</f>
        <v>1793348.66</v>
      </c>
    </row>
    <row r="1285" spans="1:13" ht="45" hidden="1" x14ac:dyDescent="0.25">
      <c r="A1285" s="168"/>
      <c r="B1285" s="133" t="str">
        <f>'Công trình'!B126</f>
        <v>AC.22522</v>
      </c>
      <c r="C1285" s="34"/>
      <c r="D1285" s="133" t="str">
        <f>'Công trình'!C126</f>
        <v>Đóng cọc thép hình H300 trên mặt đất, chiều dài cọc &gt;10m, đất cấp II, phần không ngập đất (NC, MTC * 0,75)</v>
      </c>
      <c r="E1285" s="168"/>
      <c r="F1285" s="20">
        <v>1</v>
      </c>
      <c r="G1285" s="45">
        <f>'Hao phí vật tư'!L995</f>
        <v>0.3528</v>
      </c>
      <c r="H1285" s="166"/>
      <c r="I1285" s="166"/>
      <c r="J1285" s="166"/>
      <c r="K1285" s="166"/>
      <c r="L1285" s="156">
        <f>ROUND(G1285*K1281,2)</f>
        <v>0</v>
      </c>
      <c r="M1285" s="156">
        <f>ROUND(G1285*J1281,2)</f>
        <v>553828.26</v>
      </c>
    </row>
    <row r="1286" spans="1:13" ht="30" hidden="1" x14ac:dyDescent="0.25">
      <c r="A1286" s="168"/>
      <c r="B1286" s="133" t="str">
        <f>'Công trình'!B142</f>
        <v>AC.22522</v>
      </c>
      <c r="C1286" s="34"/>
      <c r="D1286" s="133" t="str">
        <f>'Công trình'!C142</f>
        <v>Đóng cọc thép hình H300 trên mặt đất, chiều dài cọc &gt;10m, đất cấp II, phần ngập đất</v>
      </c>
      <c r="E1286" s="168"/>
      <c r="F1286" s="20">
        <v>1</v>
      </c>
      <c r="G1286" s="45">
        <f>'Hao phí vật tư'!L1090</f>
        <v>9.0719999999999992</v>
      </c>
      <c r="H1286" s="166"/>
      <c r="I1286" s="166"/>
      <c r="J1286" s="166"/>
      <c r="K1286" s="166"/>
      <c r="L1286" s="156">
        <f>ROUND(G1286*K1281,2)</f>
        <v>0</v>
      </c>
      <c r="M1286" s="156">
        <f>ROUND(G1286*J1281,2)</f>
        <v>14241298.18</v>
      </c>
    </row>
    <row r="1287" spans="1:13" ht="45" hidden="1" x14ac:dyDescent="0.25">
      <c r="A1287" s="168"/>
      <c r="B1287" s="133" t="str">
        <f>'Công trình'!B143</f>
        <v>AC.22522</v>
      </c>
      <c r="C1287" s="34"/>
      <c r="D1287" s="133" t="str">
        <f>'Công trình'!C143</f>
        <v>Đóng cọc thép hình H300 trên mặt đất, chiều dài cọc &gt;10m, đất cấp II, phần không ngập đất (NC, MTC * 0,75)</v>
      </c>
      <c r="E1287" s="168"/>
      <c r="F1287" s="20">
        <v>1</v>
      </c>
      <c r="G1287" s="45">
        <f>'Hao phí vật tư'!L1099</f>
        <v>2.2679999999999998</v>
      </c>
      <c r="H1287" s="166"/>
      <c r="I1287" s="166"/>
      <c r="J1287" s="166"/>
      <c r="K1287" s="166"/>
      <c r="L1287" s="156">
        <f>ROUND(G1287*K1281,2)</f>
        <v>0</v>
      </c>
      <c r="M1287" s="156">
        <f>ROUND(G1287*J1281,2)</f>
        <v>3560324.54</v>
      </c>
    </row>
    <row r="1288" spans="1:13" ht="45" hidden="1" x14ac:dyDescent="0.25">
      <c r="A1288" s="168"/>
      <c r="B1288" s="133" t="str">
        <f>'Công trình'!B162</f>
        <v>AC.22522</v>
      </c>
      <c r="C1288" s="34"/>
      <c r="D1288" s="133" t="str">
        <f>'Công trình'!C162</f>
        <v>Đóng cọc thép hình I350x150, dài 14m đóng ngập đất 11m trên mặt đất, đất cấp II, phần ngập đất</v>
      </c>
      <c r="E1288" s="168"/>
      <c r="F1288" s="20">
        <v>1</v>
      </c>
      <c r="G1288" s="45">
        <f>'Hao phí vật tư'!L1236</f>
        <v>10.348800000000001</v>
      </c>
      <c r="H1288" s="166"/>
      <c r="I1288" s="166"/>
      <c r="J1288" s="166"/>
      <c r="K1288" s="166"/>
      <c r="L1288" s="156">
        <f>ROUND(G1288*K1281,2)</f>
        <v>0</v>
      </c>
      <c r="M1288" s="156">
        <f>ROUND(G1288*J1281,2)</f>
        <v>16245629.029999999</v>
      </c>
    </row>
    <row r="1289" spans="1:13" ht="45" hidden="1" x14ac:dyDescent="0.25">
      <c r="A1289" s="168"/>
      <c r="B1289" s="133" t="str">
        <f>'Công trình'!B163</f>
        <v>AC.22522</v>
      </c>
      <c r="C1289" s="34"/>
      <c r="D1289" s="133" t="str">
        <f>'Công trình'!C163</f>
        <v>Đóng cọc thép hình I350x150, dài 14m đóng không ngập đất 3m, đất cấp II, phần không ngập đất (NC, MTC * 0,75)</v>
      </c>
      <c r="E1289" s="168"/>
      <c r="F1289" s="20">
        <v>1</v>
      </c>
      <c r="G1289" s="45">
        <f>'Hao phí vật tư'!L1245</f>
        <v>2.1168</v>
      </c>
      <c r="H1289" s="166"/>
      <c r="I1289" s="166"/>
      <c r="J1289" s="166"/>
      <c r="K1289" s="166"/>
      <c r="L1289" s="156">
        <f>ROUND(G1289*K1281,2)</f>
        <v>0</v>
      </c>
      <c r="M1289" s="156">
        <f>ROUND(G1289*J1281,2)</f>
        <v>3322969.57</v>
      </c>
    </row>
    <row r="1290" spans="1:13" ht="30" x14ac:dyDescent="0.25">
      <c r="A1290" s="168">
        <v>4</v>
      </c>
      <c r="B1290" s="84" t="s">
        <v>93</v>
      </c>
      <c r="C1290" s="34">
        <v>717</v>
      </c>
      <c r="D1290" s="144" t="s">
        <v>469</v>
      </c>
      <c r="E1290" s="168" t="s">
        <v>76</v>
      </c>
      <c r="F1290" s="34"/>
      <c r="G1290" s="60">
        <f>SUM(G1291:G1293)</f>
        <v>25.934200000000001</v>
      </c>
      <c r="H1290" s="166">
        <v>1968708</v>
      </c>
      <c r="I1290" s="166">
        <v>1968708</v>
      </c>
      <c r="J1290" s="166">
        <f>'Máy thi công'!N94</f>
        <v>1968708</v>
      </c>
      <c r="K1290" s="166">
        <f>J1290-H1290</f>
        <v>0</v>
      </c>
      <c r="L1290" s="166">
        <f>ROUND(G1290*K1290,0)</f>
        <v>0</v>
      </c>
      <c r="M1290" s="166">
        <f>ROUND(G1290*J1290,0)</f>
        <v>51056867</v>
      </c>
    </row>
    <row r="1291" spans="1:13" ht="30" hidden="1" x14ac:dyDescent="0.25">
      <c r="A1291" s="168"/>
      <c r="B1291" s="133" t="str">
        <f>'Công trình'!B232</f>
        <v>AC.14114</v>
      </c>
      <c r="C1291" s="34"/>
      <c r="D1291" s="133" t="str">
        <f>'Công trình'!C232</f>
        <v>Đóng cọc BTCT 35x35 chiều dài &lt;=24m trên mặt đất, trọng lượng đầu búa 1,8T, đất cấp I</v>
      </c>
      <c r="E1291" s="168"/>
      <c r="F1291" s="20">
        <v>1</v>
      </c>
      <c r="G1291" s="45">
        <f>'Hao phí vật tư'!L1771</f>
        <v>7.2240000000000002</v>
      </c>
      <c r="H1291" s="166"/>
      <c r="I1291" s="166"/>
      <c r="J1291" s="166"/>
      <c r="K1291" s="166"/>
      <c r="L1291" s="156">
        <f>ROUND(G1291*K1290,2)</f>
        <v>0</v>
      </c>
      <c r="M1291" s="156">
        <f>ROUND(G1291*J1290,2)</f>
        <v>14221946.59</v>
      </c>
    </row>
    <row r="1292" spans="1:13" ht="45" hidden="1" x14ac:dyDescent="0.25">
      <c r="A1292" s="168"/>
      <c r="B1292" s="133" t="str">
        <f>'Công trình'!B233</f>
        <v>AC.14114</v>
      </c>
      <c r="C1292" s="34"/>
      <c r="D1292" s="133" t="str">
        <f>'Công trình'!C233</f>
        <v>Đóng cọc xiên BTCT 35x35 chiều dài &lt;=24m trên mặt đất, trọng lượng đầu búa 1,8T, đất cấp I (HS NC, MTC x 1,22)</v>
      </c>
      <c r="E1292" s="168"/>
      <c r="F1292" s="20">
        <v>1</v>
      </c>
      <c r="G1292" s="45">
        <f>'Hao phí vật tư'!L1780</f>
        <v>17.6266</v>
      </c>
      <c r="H1292" s="166"/>
      <c r="I1292" s="166"/>
      <c r="J1292" s="166"/>
      <c r="K1292" s="166"/>
      <c r="L1292" s="156">
        <f>ROUND(G1292*K1290,2)</f>
        <v>0</v>
      </c>
      <c r="M1292" s="156">
        <f>ROUND(G1292*J1290,2)</f>
        <v>34701628.43</v>
      </c>
    </row>
    <row r="1293" spans="1:13" ht="30" hidden="1" x14ac:dyDescent="0.25">
      <c r="A1293" s="168"/>
      <c r="B1293" s="133" t="str">
        <f>'Công trình'!B236</f>
        <v>AC.14114</v>
      </c>
      <c r="C1293" s="34"/>
      <c r="D1293" s="133" t="str">
        <f>'Công trình'!C236</f>
        <v>Đóng cọc âm chiều dài &lt;=24m trên mặt đất, trọng lượng đầu búa 1,8T, đất cấp I</v>
      </c>
      <c r="E1293" s="168"/>
      <c r="F1293" s="20">
        <v>1</v>
      </c>
      <c r="G1293" s="45">
        <f>'Hao phí vật tư'!L1809</f>
        <v>1.0835999999999999</v>
      </c>
      <c r="H1293" s="166"/>
      <c r="I1293" s="166"/>
      <c r="J1293" s="166"/>
      <c r="K1293" s="166"/>
      <c r="L1293" s="156">
        <f>ROUND(G1293*K1290,2)</f>
        <v>0</v>
      </c>
      <c r="M1293" s="156">
        <f>ROUND(G1293*J1290,2)</f>
        <v>2133291.9900000002</v>
      </c>
    </row>
    <row r="1294" spans="1:13" ht="30" x14ac:dyDescent="0.25">
      <c r="A1294" s="168">
        <v>5</v>
      </c>
      <c r="B1294" s="84" t="s">
        <v>397</v>
      </c>
      <c r="C1294" s="34">
        <v>719</v>
      </c>
      <c r="D1294" s="144" t="s">
        <v>884</v>
      </c>
      <c r="E1294" s="168" t="s">
        <v>76</v>
      </c>
      <c r="F1294" s="34"/>
      <c r="G1294" s="60">
        <f>SUM(G1295:G1296)</f>
        <v>122.16319999999999</v>
      </c>
      <c r="H1294" s="166">
        <v>2959884</v>
      </c>
      <c r="I1294" s="166">
        <v>2959884</v>
      </c>
      <c r="J1294" s="166">
        <f>'Máy thi công'!N98</f>
        <v>2959884</v>
      </c>
      <c r="K1294" s="166">
        <f>J1294-H1294</f>
        <v>0</v>
      </c>
      <c r="L1294" s="166">
        <f>ROUND(G1294*K1294,0)</f>
        <v>0</v>
      </c>
      <c r="M1294" s="166">
        <f>ROUND(G1294*J1294,0)</f>
        <v>361588901</v>
      </c>
    </row>
    <row r="1295" spans="1:13" ht="30" hidden="1" x14ac:dyDescent="0.25">
      <c r="A1295" s="168"/>
      <c r="B1295" s="133" t="str">
        <f>'Công trình'!B131</f>
        <v>AC.22112</v>
      </c>
      <c r="C1295" s="34"/>
      <c r="D1295" s="133" t="str">
        <f>'Công trình'!C131</f>
        <v>Đóng cừ Larsen IV trên mặt đất chiều dài cọc &lt;=12m đất cấp II, ngập đất 15,5m</v>
      </c>
      <c r="E1295" s="168"/>
      <c r="F1295" s="20">
        <v>1</v>
      </c>
      <c r="G1295" s="45">
        <f>'Hao phí vật tư'!L1014</f>
        <v>97.730599999999995</v>
      </c>
      <c r="H1295" s="166"/>
      <c r="I1295" s="166"/>
      <c r="J1295" s="166"/>
      <c r="K1295" s="166"/>
      <c r="L1295" s="156">
        <f>ROUND(G1295*K1294,2)</f>
        <v>0</v>
      </c>
      <c r="M1295" s="156">
        <f>ROUND(G1295*J1294,2)</f>
        <v>289271239.25</v>
      </c>
    </row>
    <row r="1296" spans="1:13" ht="45" hidden="1" x14ac:dyDescent="0.25">
      <c r="A1296" s="168"/>
      <c r="B1296" s="133" t="str">
        <f>'Công trình'!B132</f>
        <v>AC.22112</v>
      </c>
      <c r="C1296" s="34"/>
      <c r="D1296" s="133" t="str">
        <f>'Công trình'!C132</f>
        <v>Đóng cừ Larsen IV trên mặt đất chiều dài cọc &lt;=12m đất cấp II, không ngập đất (NC, MTC * 0,75)</v>
      </c>
      <c r="E1296" s="168"/>
      <c r="F1296" s="20">
        <v>1</v>
      </c>
      <c r="G1296" s="45">
        <f>'Hao phí vật tư'!L1023</f>
        <v>24.432600000000001</v>
      </c>
      <c r="H1296" s="166"/>
      <c r="I1296" s="166"/>
      <c r="J1296" s="166"/>
      <c r="K1296" s="166"/>
      <c r="L1296" s="156">
        <f>ROUND(G1296*K1294,2)</f>
        <v>0</v>
      </c>
      <c r="M1296" s="156">
        <f>ROUND(G1296*J1294,2)</f>
        <v>72317661.819999993</v>
      </c>
    </row>
    <row r="1297" spans="1:13" ht="30" x14ac:dyDescent="0.25">
      <c r="A1297" s="168">
        <v>6</v>
      </c>
      <c r="B1297" s="84" t="s">
        <v>1016</v>
      </c>
      <c r="C1297" s="34">
        <v>722</v>
      </c>
      <c r="D1297" s="144" t="s">
        <v>182</v>
      </c>
      <c r="E1297" s="168" t="s">
        <v>76</v>
      </c>
      <c r="F1297" s="34"/>
      <c r="G1297" s="60">
        <f>SUM(G1298:G1300)</f>
        <v>23.82</v>
      </c>
      <c r="H1297" s="166">
        <v>5164778</v>
      </c>
      <c r="I1297" s="166">
        <v>5164778</v>
      </c>
      <c r="J1297" s="166">
        <f>'Máy thi công'!N101</f>
        <v>5164778</v>
      </c>
      <c r="K1297" s="166">
        <f>J1297-H1297</f>
        <v>0</v>
      </c>
      <c r="L1297" s="166">
        <f>ROUND(G1297*K1297,0)</f>
        <v>0</v>
      </c>
      <c r="M1297" s="166">
        <f>ROUND(G1297*J1297,0)</f>
        <v>123025012</v>
      </c>
    </row>
    <row r="1298" spans="1:13" ht="30" hidden="1" x14ac:dyDescent="0.25">
      <c r="A1298" s="168"/>
      <c r="B1298" s="133" t="str">
        <f>'Công trình'!B86</f>
        <v>AC.17111</v>
      </c>
      <c r="C1298" s="34"/>
      <c r="D1298" s="133" t="str">
        <f>'Công trình'!C86</f>
        <v>Đóng cọc BTCT 30x30 chiều dài &lt;=24m trên mặt nước bằng tàu đóng cọc búa 1,8T</v>
      </c>
      <c r="E1298" s="168"/>
      <c r="F1298" s="20">
        <v>1</v>
      </c>
      <c r="G1298" s="45">
        <f>'Hao phí vật tư'!L713</f>
        <v>6.2784000000000004</v>
      </c>
      <c r="H1298" s="166"/>
      <c r="I1298" s="166"/>
      <c r="J1298" s="166"/>
      <c r="K1298" s="166"/>
      <c r="L1298" s="156">
        <f>ROUND(G1298*K1297,2)</f>
        <v>0</v>
      </c>
      <c r="M1298" s="156">
        <f>ROUND(G1298*J1297,2)</f>
        <v>32426542.199999999</v>
      </c>
    </row>
    <row r="1299" spans="1:13" ht="30" hidden="1" x14ac:dyDescent="0.25">
      <c r="A1299" s="168"/>
      <c r="B1299" s="133" t="str">
        <f>'Công trình'!B75</f>
        <v>AC.17112</v>
      </c>
      <c r="C1299" s="34"/>
      <c r="D1299" s="133" t="str">
        <f>'Công trình'!C75</f>
        <v>Đóng cọc BTCT 35x35 chiều dài &lt;=24m trên mặt nước bằng tàu đóng cọc búa 1,8T</v>
      </c>
      <c r="E1299" s="168"/>
      <c r="F1299" s="20">
        <v>1</v>
      </c>
      <c r="G1299" s="45">
        <f>'Hao phí vật tư'!L597</f>
        <v>12.441599999999999</v>
      </c>
      <c r="H1299" s="166"/>
      <c r="I1299" s="166"/>
      <c r="J1299" s="166"/>
      <c r="K1299" s="166"/>
      <c r="L1299" s="156">
        <f>ROUND(G1299*K1297,2)</f>
        <v>0</v>
      </c>
      <c r="M1299" s="156">
        <f>ROUND(G1299*J1297,2)</f>
        <v>64258101.960000001</v>
      </c>
    </row>
    <row r="1300" spans="1:13" ht="30" hidden="1" x14ac:dyDescent="0.25">
      <c r="A1300" s="168"/>
      <c r="B1300" s="133" t="str">
        <f>'Công trình'!B107</f>
        <v>AC.17112</v>
      </c>
      <c r="C1300" s="34"/>
      <c r="D1300" s="133" t="str">
        <f>'Công trình'!C107</f>
        <v>Đóng cọc âm BTCT 35x35 chiều dài &lt;=24m trên mặt nước bằng tàu đóng cọc búa 1,8T</v>
      </c>
      <c r="E1300" s="168"/>
      <c r="F1300" s="20">
        <v>1</v>
      </c>
      <c r="G1300" s="45">
        <f>'Hao phí vật tư'!L860</f>
        <v>5.0999999999999996</v>
      </c>
      <c r="H1300" s="166"/>
      <c r="I1300" s="166"/>
      <c r="J1300" s="166"/>
      <c r="K1300" s="166"/>
      <c r="L1300" s="156">
        <f>ROUND(G1300*K1297,2)</f>
        <v>0</v>
      </c>
      <c r="M1300" s="156">
        <f>ROUND(G1300*J1297,2)</f>
        <v>26340367.800000001</v>
      </c>
    </row>
    <row r="1301" spans="1:13" x14ac:dyDescent="0.25">
      <c r="A1301" s="168">
        <v>7</v>
      </c>
      <c r="B1301" s="84" t="s">
        <v>749</v>
      </c>
      <c r="C1301" s="34">
        <v>720</v>
      </c>
      <c r="D1301" s="144" t="s">
        <v>526</v>
      </c>
      <c r="E1301" s="168" t="s">
        <v>76</v>
      </c>
      <c r="F1301" s="34"/>
      <c r="G1301" s="60">
        <f>SUM(G1302:G1302)</f>
        <v>71.047799999999995</v>
      </c>
      <c r="H1301" s="166">
        <v>1283977</v>
      </c>
      <c r="I1301" s="166">
        <v>1283977</v>
      </c>
      <c r="J1301" s="166">
        <f>'Máy thi công'!N105</f>
        <v>1283977</v>
      </c>
      <c r="K1301" s="166">
        <f>J1301-H1301</f>
        <v>0</v>
      </c>
      <c r="L1301" s="166">
        <f>ROUND(G1301*K1301,0)</f>
        <v>0</v>
      </c>
      <c r="M1301" s="166">
        <f>ROUND(G1301*J1301,0)</f>
        <v>91223741</v>
      </c>
    </row>
    <row r="1302" spans="1:13" ht="30" hidden="1" x14ac:dyDescent="0.25">
      <c r="A1302" s="168"/>
      <c r="B1302" s="133" t="str">
        <f>'Công trình'!B135</f>
        <v>AC.23210</v>
      </c>
      <c r="C1302" s="34"/>
      <c r="D1302" s="133" t="str">
        <f>'Công trình'!C135</f>
        <v>Nhổ cọc cừ Larsen 3, larsen 4 trên cạn bằng búa rung, cần cẩu 25T</v>
      </c>
      <c r="E1302" s="168"/>
      <c r="F1302" s="20">
        <v>1</v>
      </c>
      <c r="G1302" s="45">
        <f>'Hao phí vật tư'!L1034</f>
        <v>71.047799999999995</v>
      </c>
      <c r="H1302" s="166"/>
      <c r="I1302" s="166"/>
      <c r="J1302" s="166"/>
      <c r="K1302" s="166"/>
      <c r="L1302" s="156">
        <f>ROUND(G1302*K1301,2)</f>
        <v>0</v>
      </c>
      <c r="M1302" s="156">
        <f>ROUND(G1302*J1301,2)</f>
        <v>91223741.099999994</v>
      </c>
    </row>
    <row r="1303" spans="1:13" x14ac:dyDescent="0.25">
      <c r="A1303" s="168">
        <v>8</v>
      </c>
      <c r="B1303" s="84" t="s">
        <v>694</v>
      </c>
      <c r="C1303" s="34">
        <v>721</v>
      </c>
      <c r="D1303" s="144" t="s">
        <v>1013</v>
      </c>
      <c r="E1303" s="168" t="s">
        <v>76</v>
      </c>
      <c r="F1303" s="34"/>
      <c r="G1303" s="60">
        <f>SUM(G1304:G1304)</f>
        <v>47.142000000000003</v>
      </c>
      <c r="H1303" s="166">
        <v>729251</v>
      </c>
      <c r="I1303" s="166">
        <v>729251</v>
      </c>
      <c r="J1303" s="166">
        <f>'Máy thi công'!N107</f>
        <v>729251</v>
      </c>
      <c r="K1303" s="166">
        <f>J1303-H1303</f>
        <v>0</v>
      </c>
      <c r="L1303" s="166">
        <f>ROUND(G1303*K1303,0)</f>
        <v>0</v>
      </c>
      <c r="M1303" s="166">
        <f>ROUND(G1303*J1303,0)</f>
        <v>34378351</v>
      </c>
    </row>
    <row r="1304" spans="1:13" ht="45" hidden="1" x14ac:dyDescent="0.25">
      <c r="A1304" s="168"/>
      <c r="B1304" s="133" t="str">
        <f>'Công trình'!B26</f>
        <v>AC.12412</v>
      </c>
      <c r="C1304" s="34"/>
      <c r="D1304" s="133" t="str">
        <f>'Công trình'!C26</f>
        <v>Đóng cọc cừ máng bê tông dự ứng lực trên cạn bằng búa rung kết hợp tách mũi nước áp lực SW600A, chiều cao máng cọc 60-84cm, L=18M</v>
      </c>
      <c r="E1304" s="168"/>
      <c r="F1304" s="20">
        <v>1</v>
      </c>
      <c r="G1304" s="45">
        <f>'Hao phí vật tư'!L190</f>
        <v>47.142000000000003</v>
      </c>
      <c r="H1304" s="166"/>
      <c r="I1304" s="166"/>
      <c r="J1304" s="166"/>
      <c r="K1304" s="166"/>
      <c r="L1304" s="156">
        <f>ROUND(G1304*K1303,2)</f>
        <v>0</v>
      </c>
      <c r="M1304" s="156">
        <f>ROUND(G1304*J1303,2)</f>
        <v>34378350.640000001</v>
      </c>
    </row>
    <row r="1305" spans="1:13" x14ac:dyDescent="0.25">
      <c r="A1305" s="168">
        <v>9</v>
      </c>
      <c r="B1305" s="84" t="s">
        <v>765</v>
      </c>
      <c r="C1305" s="34">
        <v>723</v>
      </c>
      <c r="D1305" s="144" t="s">
        <v>650</v>
      </c>
      <c r="E1305" s="168" t="s">
        <v>76</v>
      </c>
      <c r="F1305" s="34"/>
      <c r="G1305" s="60">
        <f>SUM(G1306:G1306)</f>
        <v>0.2717</v>
      </c>
      <c r="H1305" s="166">
        <v>1549525</v>
      </c>
      <c r="I1305" s="166">
        <v>1549525</v>
      </c>
      <c r="J1305" s="166">
        <f>'Máy thi công'!N109</f>
        <v>1549525</v>
      </c>
      <c r="K1305" s="166">
        <f>J1305-H1305</f>
        <v>0</v>
      </c>
      <c r="L1305" s="166">
        <f>ROUND(G1305*K1305,0)</f>
        <v>0</v>
      </c>
      <c r="M1305" s="166">
        <f>ROUND(G1305*J1305,0)</f>
        <v>421006</v>
      </c>
    </row>
    <row r="1306" spans="1:13" ht="30" hidden="1" x14ac:dyDescent="0.25">
      <c r="A1306" s="168"/>
      <c r="B1306" s="133" t="str">
        <f>'Công trình'!B154</f>
        <v>AB.36120</v>
      </c>
      <c r="C1306" s="34"/>
      <c r="D1306" s="133" t="str">
        <f>'Công trình'!C154</f>
        <v>Xói hút bùn trong khung vây phòng nước, các trụ dưới nước</v>
      </c>
      <c r="E1306" s="168"/>
      <c r="F1306" s="20">
        <v>1</v>
      </c>
      <c r="G1306" s="45">
        <f>'Hao phí vật tư'!L1175</f>
        <v>0.2717</v>
      </c>
      <c r="H1306" s="166"/>
      <c r="I1306" s="166"/>
      <c r="J1306" s="166"/>
      <c r="K1306" s="166"/>
      <c r="L1306" s="156">
        <f>ROUND(G1306*K1305,2)</f>
        <v>0</v>
      </c>
      <c r="M1306" s="156">
        <f>ROUND(G1306*J1305,2)</f>
        <v>421005.94</v>
      </c>
    </row>
    <row r="1307" spans="1:13" x14ac:dyDescent="0.25">
      <c r="A1307" s="168">
        <v>10</v>
      </c>
      <c r="B1307" s="84" t="s">
        <v>379</v>
      </c>
      <c r="C1307" s="34">
        <v>840</v>
      </c>
      <c r="D1307" s="144" t="s">
        <v>28</v>
      </c>
      <c r="E1307" s="168" t="s">
        <v>76</v>
      </c>
      <c r="F1307" s="34"/>
      <c r="G1307" s="60">
        <f>SUM(G1308:G1308)</f>
        <v>6.0274000000000001</v>
      </c>
      <c r="H1307" s="166">
        <v>4899367</v>
      </c>
      <c r="I1307" s="166">
        <v>4899367</v>
      </c>
      <c r="J1307" s="166">
        <f>'Máy thi công'!N484</f>
        <v>4899367</v>
      </c>
      <c r="K1307" s="166">
        <f>J1307-H1307</f>
        <v>0</v>
      </c>
      <c r="L1307" s="166">
        <f>ROUND(G1307*K1307,0)</f>
        <v>0</v>
      </c>
      <c r="M1307" s="166">
        <f>ROUND(G1307*J1307,0)</f>
        <v>29530445</v>
      </c>
    </row>
    <row r="1308" spans="1:13" ht="30" hidden="1" x14ac:dyDescent="0.25">
      <c r="A1308" s="168"/>
      <c r="B1308" s="133" t="str">
        <f>'Công trình'!B321</f>
        <v>CV.0202</v>
      </c>
      <c r="C1308" s="34"/>
      <c r="D1308" s="133" t="str">
        <f>'Công trình'!C321</f>
        <v>Lắp đặt cửa van bằng thép không gỉ, chiều rộng cống (B) &lt;= 8m</v>
      </c>
      <c r="E1308" s="168"/>
      <c r="F1308" s="20">
        <v>1</v>
      </c>
      <c r="G1308" s="45">
        <f>'Hao phí vật tư'!L2400</f>
        <v>6.0274000000000001</v>
      </c>
      <c r="H1308" s="166"/>
      <c r="I1308" s="166"/>
      <c r="J1308" s="166"/>
      <c r="K1308" s="166"/>
      <c r="L1308" s="156">
        <f>ROUND(G1308*K1307,2)</f>
        <v>0</v>
      </c>
      <c r="M1308" s="156">
        <f>ROUND(G1308*J1307,2)</f>
        <v>29530444.66</v>
      </c>
    </row>
    <row r="1309" spans="1:13" x14ac:dyDescent="0.25">
      <c r="A1309" s="168">
        <v>11</v>
      </c>
      <c r="B1309" s="84" t="s">
        <v>1160</v>
      </c>
      <c r="C1309" s="34">
        <v>724</v>
      </c>
      <c r="D1309" s="144" t="s">
        <v>1125</v>
      </c>
      <c r="E1309" s="168" t="s">
        <v>76</v>
      </c>
      <c r="F1309" s="34"/>
      <c r="G1309" s="60">
        <f>SUM(G1310:G1310)</f>
        <v>17.660499999999999</v>
      </c>
      <c r="H1309" s="166">
        <v>6407835</v>
      </c>
      <c r="I1309" s="166">
        <v>6407835</v>
      </c>
      <c r="J1309" s="166">
        <f>'Máy thi công'!N111</f>
        <v>6407835</v>
      </c>
      <c r="K1309" s="166">
        <f>J1309-H1309</f>
        <v>0</v>
      </c>
      <c r="L1309" s="166">
        <f>ROUND(G1309*K1309,0)</f>
        <v>0</v>
      </c>
      <c r="M1309" s="166">
        <f>ROUND(G1309*J1309,0)</f>
        <v>113165570</v>
      </c>
    </row>
    <row r="1310" spans="1:13" ht="30" hidden="1" x14ac:dyDescent="0.25">
      <c r="A1310" s="168"/>
      <c r="B1310" s="133" t="str">
        <f>'Công trình'!B154</f>
        <v>AB.36120</v>
      </c>
      <c r="C1310" s="34"/>
      <c r="D1310" s="133" t="str">
        <f>'Công trình'!C154</f>
        <v>Xói hút bùn trong khung vây phòng nước, các trụ dưới nước</v>
      </c>
      <c r="E1310" s="168"/>
      <c r="F1310" s="20">
        <v>1</v>
      </c>
      <c r="G1310" s="45">
        <f>'Hao phí vật tư'!L1173</f>
        <v>17.660499999999999</v>
      </c>
      <c r="H1310" s="166"/>
      <c r="I1310" s="166"/>
      <c r="J1310" s="166"/>
      <c r="K1310" s="166"/>
      <c r="L1310" s="156">
        <f>ROUND(G1310*K1309,2)</f>
        <v>0</v>
      </c>
      <c r="M1310" s="156">
        <f>ROUND(G1310*J1309,2)</f>
        <v>113165570.02</v>
      </c>
    </row>
    <row r="1311" spans="1:13" x14ac:dyDescent="0.25">
      <c r="A1311" s="168">
        <v>12</v>
      </c>
      <c r="B1311" s="84" t="s">
        <v>1130</v>
      </c>
      <c r="C1311" s="34">
        <v>725</v>
      </c>
      <c r="D1311" s="144" t="s">
        <v>605</v>
      </c>
      <c r="E1311" s="168" t="s">
        <v>76</v>
      </c>
      <c r="F1311" s="34"/>
      <c r="G1311" s="60">
        <f>SUM(G1312:G1317)</f>
        <v>5.7507000000000001</v>
      </c>
      <c r="H1311" s="166">
        <v>1878687</v>
      </c>
      <c r="I1311" s="166">
        <v>1878687</v>
      </c>
      <c r="J1311" s="166">
        <f>'Máy thi công'!N113</f>
        <v>1878687</v>
      </c>
      <c r="K1311" s="166">
        <f>J1311-H1311</f>
        <v>0</v>
      </c>
      <c r="L1311" s="166">
        <f>ROUND(G1311*K1311,0)</f>
        <v>0</v>
      </c>
      <c r="M1311" s="166">
        <f>ROUND(G1311*J1311,0)</f>
        <v>10803765</v>
      </c>
    </row>
    <row r="1312" spans="1:13" hidden="1" x14ac:dyDescent="0.25">
      <c r="A1312" s="168"/>
      <c r="B1312" s="133" t="str">
        <f>'Công trình'!B77</f>
        <v>AA.22310</v>
      </c>
      <c r="C1312" s="34"/>
      <c r="D1312" s="133" t="str">
        <f>'Công trình'!C77</f>
        <v>Đập đầu cọc trên cạn</v>
      </c>
      <c r="E1312" s="168"/>
      <c r="F1312" s="20">
        <v>1</v>
      </c>
      <c r="G1312" s="45">
        <f>'Hao phí vật tư'!L617</f>
        <v>0.21759999999999999</v>
      </c>
      <c r="H1312" s="166"/>
      <c r="I1312" s="166"/>
      <c r="J1312" s="166"/>
      <c r="K1312" s="166"/>
      <c r="L1312" s="156">
        <f>ROUND(G1312*K1311,2)</f>
        <v>0</v>
      </c>
      <c r="M1312" s="156">
        <f>ROUND(G1312*J1311,2)</f>
        <v>408802.29</v>
      </c>
    </row>
    <row r="1313" spans="1:13" hidden="1" x14ac:dyDescent="0.25">
      <c r="A1313" s="168"/>
      <c r="B1313" s="133" t="str">
        <f>'Công trình'!B88</f>
        <v>AA.22310</v>
      </c>
      <c r="C1313" s="34"/>
      <c r="D1313" s="133" t="str">
        <f>'Công trình'!C88</f>
        <v>Đập đầu cọc trên cạn</v>
      </c>
      <c r="E1313" s="168"/>
      <c r="F1313" s="20">
        <v>1</v>
      </c>
      <c r="G1313" s="45">
        <f>'Hao phí vật tư'!L733</f>
        <v>6.4399999999999999E-2</v>
      </c>
      <c r="H1313" s="166"/>
      <c r="I1313" s="166"/>
      <c r="J1313" s="166"/>
      <c r="K1313" s="166"/>
      <c r="L1313" s="156">
        <f>ROUND(G1313*K1311,2)</f>
        <v>0</v>
      </c>
      <c r="M1313" s="156">
        <f>ROUND(G1313*J1311,2)</f>
        <v>120987.44</v>
      </c>
    </row>
    <row r="1314" spans="1:13" hidden="1" x14ac:dyDescent="0.25">
      <c r="A1314" s="168"/>
      <c r="B1314" s="133" t="str">
        <f>'Công trình'!B104</f>
        <v>AI.11131</v>
      </c>
      <c r="C1314" s="34"/>
      <c r="D1314" s="133" t="str">
        <f>'Công trình'!C104</f>
        <v>Sản xuất cọc dẫn bằng thép hình</v>
      </c>
      <c r="E1314" s="168"/>
      <c r="F1314" s="20">
        <v>1</v>
      </c>
      <c r="G1314" s="45">
        <f>'Hao phí vật tư'!L838</f>
        <v>0.71589999999999998</v>
      </c>
      <c r="H1314" s="166"/>
      <c r="I1314" s="166"/>
      <c r="J1314" s="166"/>
      <c r="K1314" s="166"/>
      <c r="L1314" s="156">
        <f>ROUND(G1314*K1311,2)</f>
        <v>0</v>
      </c>
      <c r="M1314" s="156">
        <f>ROUND(G1314*J1311,2)</f>
        <v>1344952.02</v>
      </c>
    </row>
    <row r="1315" spans="1:13" ht="30" hidden="1" x14ac:dyDescent="0.25">
      <c r="A1315" s="168"/>
      <c r="B1315" s="133" t="str">
        <f>'Công trình'!B174</f>
        <v>AF.14115</v>
      </c>
      <c r="C1315" s="34"/>
      <c r="D1315" s="133" t="str">
        <f>'Công trình'!C174</f>
        <v>Bê tông móng, mố trụ cầu trên cạn đá 1x2, vữa BT mác 300</v>
      </c>
      <c r="E1315" s="168"/>
      <c r="F1315" s="20">
        <v>1</v>
      </c>
      <c r="G1315" s="45">
        <f>'Hao phí vật tư'!L1306</f>
        <v>4.4311999999999996</v>
      </c>
      <c r="H1315" s="166"/>
      <c r="I1315" s="166"/>
      <c r="J1315" s="166"/>
      <c r="K1315" s="166"/>
      <c r="L1315" s="156">
        <f>ROUND(G1315*K1311,2)</f>
        <v>0</v>
      </c>
      <c r="M1315" s="156">
        <f>ROUND(G1315*J1311,2)</f>
        <v>8324837.8300000001</v>
      </c>
    </row>
    <row r="1316" spans="1:13" ht="30" hidden="1" x14ac:dyDescent="0.25">
      <c r="A1316" s="168"/>
      <c r="B1316" s="133" t="str">
        <f>'Công trình'!B186</f>
        <v>AF.14115</v>
      </c>
      <c r="C1316" s="34"/>
      <c r="D1316" s="133" t="str">
        <f>'Công trình'!C186</f>
        <v>Bê tông móng, mố trụ cầu trên cạn đá 1x2, vữa BT mác 300</v>
      </c>
      <c r="E1316" s="168"/>
      <c r="F1316" s="20">
        <v>1</v>
      </c>
      <c r="G1316" s="45">
        <f>'Hao phí vật tư'!L1423</f>
        <v>0.15840000000000001</v>
      </c>
      <c r="H1316" s="166"/>
      <c r="I1316" s="166"/>
      <c r="J1316" s="166"/>
      <c r="K1316" s="166"/>
      <c r="L1316" s="156">
        <f>ROUND(G1316*K1311,2)</f>
        <v>0</v>
      </c>
      <c r="M1316" s="156">
        <f>ROUND(G1316*J1311,2)</f>
        <v>297584.02</v>
      </c>
    </row>
    <row r="1317" spans="1:13" hidden="1" x14ac:dyDescent="0.25">
      <c r="A1317" s="168"/>
      <c r="B1317" s="133" t="str">
        <f>'Công trình'!B235</f>
        <v>AA.22310</v>
      </c>
      <c r="C1317" s="34"/>
      <c r="D1317" s="133" t="str">
        <f>'Công trình'!C235</f>
        <v>Đập đầu cọc trên cạn</v>
      </c>
      <c r="E1317" s="168"/>
      <c r="F1317" s="20">
        <v>1</v>
      </c>
      <c r="G1317" s="45">
        <f>'Hao phí vật tư'!L1799</f>
        <v>0.16320000000000001</v>
      </c>
      <c r="H1317" s="166"/>
      <c r="I1317" s="166"/>
      <c r="J1317" s="166"/>
      <c r="K1317" s="166"/>
      <c r="L1317" s="156">
        <f>ROUND(G1317*K1311,2)</f>
        <v>0</v>
      </c>
      <c r="M1317" s="156">
        <f>ROUND(G1317*J1311,2)</f>
        <v>306601.71999999997</v>
      </c>
    </row>
    <row r="1318" spans="1:13" x14ac:dyDescent="0.25">
      <c r="A1318" s="168">
        <v>13</v>
      </c>
      <c r="B1318" s="84" t="s">
        <v>1083</v>
      </c>
      <c r="C1318" s="34">
        <v>895</v>
      </c>
      <c r="D1318" s="144" t="s">
        <v>980</v>
      </c>
      <c r="E1318" s="168" t="s">
        <v>76</v>
      </c>
      <c r="F1318" s="34"/>
      <c r="G1318" s="60">
        <f>SUM(G1319:G1319)</f>
        <v>0.36670000000000003</v>
      </c>
      <c r="H1318" s="166">
        <v>2204647</v>
      </c>
      <c r="I1318" s="166">
        <v>2204647</v>
      </c>
      <c r="J1318" s="166">
        <f>'Máy thi công'!N486</f>
        <v>2204647</v>
      </c>
      <c r="K1318" s="166">
        <f>J1318-H1318</f>
        <v>0</v>
      </c>
      <c r="L1318" s="166">
        <f>ROUND(G1318*K1318,0)</f>
        <v>0</v>
      </c>
      <c r="M1318" s="166">
        <f>ROUND(G1318*J1318,0)</f>
        <v>808444</v>
      </c>
    </row>
    <row r="1319" spans="1:13" hidden="1" x14ac:dyDescent="0.25">
      <c r="A1319" s="168"/>
      <c r="B1319" s="133" t="str">
        <f>'Công trình'!B322</f>
        <v>AI.65411</v>
      </c>
      <c r="C1319" s="34"/>
      <c r="D1319" s="133" t="str">
        <f>'Công trình'!C322</f>
        <v>Lắp đặt kết cấu thép khe van, khe phai</v>
      </c>
      <c r="E1319" s="168"/>
      <c r="F1319" s="20">
        <v>1</v>
      </c>
      <c r="G1319" s="45">
        <f>'Hao phí vật tư'!L2416</f>
        <v>0.36670000000000003</v>
      </c>
      <c r="H1319" s="166"/>
      <c r="I1319" s="166"/>
      <c r="J1319" s="166"/>
      <c r="K1319" s="166"/>
      <c r="L1319" s="156">
        <f>ROUND(G1319*K1318,2)</f>
        <v>0</v>
      </c>
      <c r="M1319" s="156">
        <f>ROUND(G1319*J1318,2)</f>
        <v>808444.05</v>
      </c>
    </row>
    <row r="1320" spans="1:13" x14ac:dyDescent="0.25">
      <c r="A1320" s="168">
        <v>14</v>
      </c>
      <c r="B1320" s="84" t="s">
        <v>480</v>
      </c>
      <c r="C1320" s="34">
        <v>903</v>
      </c>
      <c r="D1320" s="144" t="s">
        <v>820</v>
      </c>
      <c r="E1320" s="168" t="s">
        <v>76</v>
      </c>
      <c r="F1320" s="34"/>
      <c r="G1320" s="60">
        <f>SUM(G1321:G1321)</f>
        <v>1.7221</v>
      </c>
      <c r="H1320" s="166">
        <v>1446674</v>
      </c>
      <c r="I1320" s="166">
        <v>1446674</v>
      </c>
      <c r="J1320" s="166">
        <f>'Máy thi công'!N488</f>
        <v>1446674</v>
      </c>
      <c r="K1320" s="166">
        <f>J1320-H1320</f>
        <v>0</v>
      </c>
      <c r="L1320" s="166">
        <f>ROUND(G1320*K1320,0)</f>
        <v>0</v>
      </c>
      <c r="M1320" s="166">
        <f>ROUND(G1320*J1320,0)</f>
        <v>2491317</v>
      </c>
    </row>
    <row r="1321" spans="1:13" ht="30" hidden="1" x14ac:dyDescent="0.25">
      <c r="A1321" s="168"/>
      <c r="B1321" s="133" t="str">
        <f>'Công trình'!B320</f>
        <v>CV.0102</v>
      </c>
      <c r="C1321" s="34"/>
      <c r="D1321" s="133" t="str">
        <f>'Công trình'!C320</f>
        <v>Sản xuất cửa van bằng thép không gỉ, chiều rộng cống (B) &lt;= 8m</v>
      </c>
      <c r="E1321" s="168"/>
      <c r="F1321" s="20">
        <v>1</v>
      </c>
      <c r="G1321" s="45">
        <f>'Hao phí vật tư'!L2379</f>
        <v>1.7221</v>
      </c>
      <c r="H1321" s="166"/>
      <c r="I1321" s="166"/>
      <c r="J1321" s="166"/>
      <c r="K1321" s="166"/>
      <c r="L1321" s="156">
        <f>ROUND(G1321*K1320,2)</f>
        <v>0</v>
      </c>
      <c r="M1321" s="156">
        <f>ROUND(G1321*J1320,2)</f>
        <v>2491317.2999999998</v>
      </c>
    </row>
    <row r="1322" spans="1:13" x14ac:dyDescent="0.25">
      <c r="A1322" s="168">
        <v>15</v>
      </c>
      <c r="B1322" s="84" t="s">
        <v>218</v>
      </c>
      <c r="C1322" s="34">
        <v>728</v>
      </c>
      <c r="D1322" s="144" t="s">
        <v>1073</v>
      </c>
      <c r="E1322" s="168" t="s">
        <v>76</v>
      </c>
      <c r="F1322" s="34"/>
      <c r="G1322" s="60">
        <f>SUM(G1323:G1336)</f>
        <v>63.218699999999998</v>
      </c>
      <c r="H1322" s="166">
        <v>2394521</v>
      </c>
      <c r="I1322" s="166">
        <v>2394521</v>
      </c>
      <c r="J1322" s="166">
        <f>'Máy thi công'!N120</f>
        <v>2394521</v>
      </c>
      <c r="K1322" s="166">
        <f>J1322-H1322</f>
        <v>0</v>
      </c>
      <c r="L1322" s="166">
        <f>ROUND(G1322*K1322,0)</f>
        <v>0</v>
      </c>
      <c r="M1322" s="166">
        <f>ROUND(G1322*J1322,0)</f>
        <v>151378505</v>
      </c>
    </row>
    <row r="1323" spans="1:13" ht="30" hidden="1" x14ac:dyDescent="0.25">
      <c r="A1323" s="168"/>
      <c r="B1323" s="133" t="str">
        <f>'Công trình'!B112</f>
        <v>AI.63311</v>
      </c>
      <c r="C1323" s="34"/>
      <c r="D1323" s="133" t="str">
        <f>'Công trình'!C112</f>
        <v>Lắp dựng kết cấu thép hệ khung dàn, sàn đạo trên cạn</v>
      </c>
      <c r="E1323" s="168"/>
      <c r="F1323" s="20">
        <v>1</v>
      </c>
      <c r="G1323" s="45">
        <f>'Hao phí vật tư'!L895</f>
        <v>3.4104000000000001</v>
      </c>
      <c r="H1323" s="166"/>
      <c r="I1323" s="166"/>
      <c r="J1323" s="166"/>
      <c r="K1323" s="166"/>
      <c r="L1323" s="156">
        <f>ROUND(G1323*K1322,2)</f>
        <v>0</v>
      </c>
      <c r="M1323" s="156">
        <f>ROUND(G1323*J1322,2)</f>
        <v>8166274.4199999999</v>
      </c>
    </row>
    <row r="1324" spans="1:13" ht="30" hidden="1" x14ac:dyDescent="0.25">
      <c r="A1324" s="168"/>
      <c r="B1324" s="133" t="str">
        <f>'Công trình'!B113</f>
        <v>AI.63311</v>
      </c>
      <c r="C1324" s="34"/>
      <c r="D1324" s="133" t="str">
        <f>'Công trình'!C113</f>
        <v>Tháo dỡ kết cấu thép hệ khung dàn, sàn đạo trên cạn (60% Đg)</v>
      </c>
      <c r="E1324" s="168"/>
      <c r="F1324" s="20">
        <v>1</v>
      </c>
      <c r="G1324" s="45">
        <f>'Hao phí vật tư'!L906</f>
        <v>2.0461999999999998</v>
      </c>
      <c r="H1324" s="166"/>
      <c r="I1324" s="166"/>
      <c r="J1324" s="166"/>
      <c r="K1324" s="166"/>
      <c r="L1324" s="156">
        <f>ROUND(G1324*K1322,2)</f>
        <v>0</v>
      </c>
      <c r="M1324" s="156">
        <f>ROUND(G1324*J1322,2)</f>
        <v>4899668.87</v>
      </c>
    </row>
    <row r="1325" spans="1:13" ht="30" hidden="1" x14ac:dyDescent="0.25">
      <c r="A1325" s="168"/>
      <c r="B1325" s="133" t="str">
        <f>'Công trình'!B123</f>
        <v>AI.63311</v>
      </c>
      <c r="C1325" s="34"/>
      <c r="D1325" s="133" t="str">
        <f>'Công trình'!C123</f>
        <v>Lắp dựng kết cấu thép hệ khung dàn, sàn đạo trên cạn</v>
      </c>
      <c r="E1325" s="168"/>
      <c r="F1325" s="20">
        <v>1</v>
      </c>
      <c r="G1325" s="45">
        <f>'Hao phí vật tư'!L967</f>
        <v>1.4055</v>
      </c>
      <c r="H1325" s="166"/>
      <c r="I1325" s="166"/>
      <c r="J1325" s="166"/>
      <c r="K1325" s="166"/>
      <c r="L1325" s="156">
        <f>ROUND(G1325*K1322,2)</f>
        <v>0</v>
      </c>
      <c r="M1325" s="156">
        <f>ROUND(G1325*J1322,2)</f>
        <v>3365499.27</v>
      </c>
    </row>
    <row r="1326" spans="1:13" ht="30" hidden="1" x14ac:dyDescent="0.25">
      <c r="A1326" s="168"/>
      <c r="B1326" s="133" t="str">
        <f>'Công trình'!B124</f>
        <v>AI.63311</v>
      </c>
      <c r="C1326" s="34"/>
      <c r="D1326" s="133" t="str">
        <f>'Công trình'!C124</f>
        <v>Tháo dỡ kết cấu thép hệ khung dàn, sàn đạo trên cạn (60% Đg)</v>
      </c>
      <c r="E1326" s="168"/>
      <c r="F1326" s="20">
        <v>1</v>
      </c>
      <c r="G1326" s="45">
        <f>'Hao phí vật tư'!L978</f>
        <v>0.84330000000000005</v>
      </c>
      <c r="H1326" s="166"/>
      <c r="I1326" s="166"/>
      <c r="J1326" s="166"/>
      <c r="K1326" s="166"/>
      <c r="L1326" s="156">
        <f>ROUND(G1326*K1322,2)</f>
        <v>0</v>
      </c>
      <c r="M1326" s="156">
        <f>ROUND(G1326*J1322,2)</f>
        <v>2019299.56</v>
      </c>
    </row>
    <row r="1327" spans="1:13" ht="30" hidden="1" x14ac:dyDescent="0.25">
      <c r="A1327" s="168"/>
      <c r="B1327" s="133" t="str">
        <f>'Công trình'!B139</f>
        <v>AI.63311</v>
      </c>
      <c r="C1327" s="34"/>
      <c r="D1327" s="133" t="str">
        <f>'Công trình'!C139</f>
        <v>Lắp dựng kết cấu thép hệ khung dàn, sàn đạo trên cạn</v>
      </c>
      <c r="E1327" s="168"/>
      <c r="F1327" s="20">
        <v>1</v>
      </c>
      <c r="G1327" s="45">
        <f>'Hao phí vật tư'!L1068</f>
        <v>22.255099999999999</v>
      </c>
      <c r="H1327" s="166"/>
      <c r="I1327" s="166"/>
      <c r="J1327" s="166"/>
      <c r="K1327" s="166"/>
      <c r="L1327" s="156">
        <f>ROUND(G1327*K1322,2)</f>
        <v>0</v>
      </c>
      <c r="M1327" s="156">
        <f>ROUND(G1327*J1322,2)</f>
        <v>53290304.310000002</v>
      </c>
    </row>
    <row r="1328" spans="1:13" ht="30" hidden="1" x14ac:dyDescent="0.25">
      <c r="A1328" s="168"/>
      <c r="B1328" s="133" t="str">
        <f>'Công trình'!B140</f>
        <v>AI.63311</v>
      </c>
      <c r="C1328" s="34"/>
      <c r="D1328" s="133" t="str">
        <f>'Công trình'!C140</f>
        <v>Tháo dỡ kết cấu thép hệ khung dàn, sàn đạo trên cạn (60% Đg)</v>
      </c>
      <c r="E1328" s="168"/>
      <c r="F1328" s="20">
        <v>1</v>
      </c>
      <c r="G1328" s="45">
        <f>'Hao phí vật tư'!L1079</f>
        <v>13.3531</v>
      </c>
      <c r="H1328" s="166"/>
      <c r="I1328" s="166"/>
      <c r="J1328" s="166"/>
      <c r="K1328" s="166"/>
      <c r="L1328" s="156">
        <f>ROUND(G1328*K1322,2)</f>
        <v>0</v>
      </c>
      <c r="M1328" s="156">
        <f>ROUND(G1328*J1322,2)</f>
        <v>31974278.370000001</v>
      </c>
    </row>
    <row r="1329" spans="1:13" ht="30" hidden="1" x14ac:dyDescent="0.25">
      <c r="A1329" s="168"/>
      <c r="B1329" s="133" t="str">
        <f>'Công trình'!B160</f>
        <v>AI.63311</v>
      </c>
      <c r="C1329" s="34"/>
      <c r="D1329" s="133" t="str">
        <f>'Công trình'!C160</f>
        <v>Lắp dựng kết cấu thép hệ khung dàn, sàn đạo trên cạn</v>
      </c>
      <c r="E1329" s="168"/>
      <c r="F1329" s="20">
        <v>1</v>
      </c>
      <c r="G1329" s="45">
        <f>'Hao phí vật tư'!L1217</f>
        <v>10.8499</v>
      </c>
      <c r="H1329" s="166"/>
      <c r="I1329" s="166"/>
      <c r="J1329" s="166"/>
      <c r="K1329" s="166"/>
      <c r="L1329" s="156">
        <f>ROUND(G1329*K1322,2)</f>
        <v>0</v>
      </c>
      <c r="M1329" s="156">
        <f>ROUND(G1329*J1322,2)</f>
        <v>25980313.399999999</v>
      </c>
    </row>
    <row r="1330" spans="1:13" ht="30" hidden="1" x14ac:dyDescent="0.25">
      <c r="A1330" s="168"/>
      <c r="B1330" s="133" t="str">
        <f>'Công trình'!B161</f>
        <v>AI.63311</v>
      </c>
      <c r="C1330" s="34"/>
      <c r="D1330" s="133" t="str">
        <f>'Công trình'!C161</f>
        <v>Tháo dỡ kết cấu thép hệ khung dàn, sàn đạo trên cạn (60% Đg)</v>
      </c>
      <c r="E1330" s="168"/>
      <c r="F1330" s="20">
        <v>1</v>
      </c>
      <c r="G1330" s="45">
        <f>'Hao phí vật tư'!L1228</f>
        <v>6.51</v>
      </c>
      <c r="H1330" s="166"/>
      <c r="I1330" s="166"/>
      <c r="J1330" s="166"/>
      <c r="K1330" s="166"/>
      <c r="L1330" s="156">
        <f>ROUND(G1330*K1322,2)</f>
        <v>0</v>
      </c>
      <c r="M1330" s="156">
        <f>ROUND(G1330*J1322,2)</f>
        <v>15588331.710000001</v>
      </c>
    </row>
    <row r="1331" spans="1:13" ht="30" hidden="1" x14ac:dyDescent="0.25">
      <c r="A1331" s="168"/>
      <c r="B1331" s="133" t="str">
        <f>'Công trình'!B181</f>
        <v>AF.65120</v>
      </c>
      <c r="C1331" s="34"/>
      <c r="D1331" s="133" t="str">
        <f>'Công trình'!C181</f>
        <v>Sản xuất, lắp dựng cốt thép móng, mố, trụ, mũ mố, mũ trụ cầu trên cạn đường kính &lt;=18mm</v>
      </c>
      <c r="E1331" s="168"/>
      <c r="F1331" s="20">
        <v>1</v>
      </c>
      <c r="G1331" s="45">
        <f>'Hao phí vật tư'!L1381</f>
        <v>0.38529999999999998</v>
      </c>
      <c r="H1331" s="166"/>
      <c r="I1331" s="166"/>
      <c r="J1331" s="166"/>
      <c r="K1331" s="166"/>
      <c r="L1331" s="156">
        <f>ROUND(G1331*K1322,2)</f>
        <v>0</v>
      </c>
      <c r="M1331" s="156">
        <f>ROUND(G1331*J1322,2)</f>
        <v>922608.94</v>
      </c>
    </row>
    <row r="1332" spans="1:13" ht="30" hidden="1" x14ac:dyDescent="0.25">
      <c r="A1332" s="168"/>
      <c r="B1332" s="133" t="str">
        <f>'Công trình'!B182</f>
        <v>AF.65130</v>
      </c>
      <c r="C1332" s="34"/>
      <c r="D1332" s="133" t="str">
        <f>'Công trình'!C182</f>
        <v>Sản xuất, lắp dựng cốt thép móng, mố, trụ, mũ mố, mũ trụ cầu trên cạn đường kính &gt;18mm</v>
      </c>
      <c r="E1332" s="168"/>
      <c r="F1332" s="20">
        <v>1</v>
      </c>
      <c r="G1332" s="45">
        <f>'Hao phí vật tư'!L1392</f>
        <v>0.37959999999999999</v>
      </c>
      <c r="H1332" s="166"/>
      <c r="I1332" s="166"/>
      <c r="J1332" s="166"/>
      <c r="K1332" s="166"/>
      <c r="L1332" s="156">
        <f>ROUND(G1332*K1322,2)</f>
        <v>0</v>
      </c>
      <c r="M1332" s="156">
        <f>ROUND(G1332*J1322,2)</f>
        <v>908960.17</v>
      </c>
    </row>
    <row r="1333" spans="1:13" ht="30" hidden="1" x14ac:dyDescent="0.25">
      <c r="A1333" s="168"/>
      <c r="B1333" s="133" t="str">
        <f>'Công trình'!B190</f>
        <v>AF.65120</v>
      </c>
      <c r="C1333" s="34"/>
      <c r="D1333" s="133" t="str">
        <f>'Công trình'!C190</f>
        <v>Sản xuất, lắp dựng cốt thép móng, mố, trụ, mũ mố, mũ trụ cầu trên cạn đường kính &lt;=18mm</v>
      </c>
      <c r="E1333" s="168"/>
      <c r="F1333" s="20">
        <v>1</v>
      </c>
      <c r="G1333" s="45">
        <f>'Hao phí vật tư'!L1465</f>
        <v>4.4499999999999998E-2</v>
      </c>
      <c r="H1333" s="166"/>
      <c r="I1333" s="166"/>
      <c r="J1333" s="166"/>
      <c r="K1333" s="166"/>
      <c r="L1333" s="156">
        <f>ROUND(G1333*K1322,2)</f>
        <v>0</v>
      </c>
      <c r="M1333" s="156">
        <f>ROUND(G1333*J1322,2)</f>
        <v>106556.18</v>
      </c>
    </row>
    <row r="1334" spans="1:13" ht="30" hidden="1" x14ac:dyDescent="0.25">
      <c r="A1334" s="168"/>
      <c r="B1334" s="133" t="str">
        <f>'Công trình'!B191</f>
        <v>AF.65130</v>
      </c>
      <c r="C1334" s="34"/>
      <c r="D1334" s="133" t="str">
        <f>'Công trình'!C191</f>
        <v>Sản xuất, lắp dựng cốt thép móng, mố, trụ, mũ mố, mũ trụ cầu trên cạn đường kính &gt;18mm</v>
      </c>
      <c r="E1334" s="168"/>
      <c r="F1334" s="20">
        <v>1</v>
      </c>
      <c r="G1334" s="45">
        <f>'Hao phí vật tư'!L1476</f>
        <v>0.15129999999999999</v>
      </c>
      <c r="H1334" s="166"/>
      <c r="I1334" s="166"/>
      <c r="J1334" s="166"/>
      <c r="K1334" s="166"/>
      <c r="L1334" s="156">
        <f>ROUND(G1334*K1322,2)</f>
        <v>0</v>
      </c>
      <c r="M1334" s="156">
        <f>ROUND(G1334*J1322,2)</f>
        <v>362291.03</v>
      </c>
    </row>
    <row r="1335" spans="1:13" ht="30" hidden="1" x14ac:dyDescent="0.25">
      <c r="A1335" s="168"/>
      <c r="B1335" s="133" t="str">
        <f>'Công trình'!B179</f>
        <v>AF.87211</v>
      </c>
      <c r="C1335" s="34"/>
      <c r="D1335" s="133" t="str">
        <f>'Công trình'!C179</f>
        <v>Sản xuất, lắp dựng, tháo dỡ ván khuôn mố, trụ cầu trên cạn</v>
      </c>
      <c r="E1335" s="168"/>
      <c r="F1335" s="20">
        <v>1</v>
      </c>
      <c r="G1335" s="45">
        <f>'Hao phí vật tư'!L1362</f>
        <v>1.2316</v>
      </c>
      <c r="H1335" s="166"/>
      <c r="I1335" s="166"/>
      <c r="J1335" s="166"/>
      <c r="K1335" s="166"/>
      <c r="L1335" s="156">
        <f>ROUND(G1335*K1322,2)</f>
        <v>0</v>
      </c>
      <c r="M1335" s="156">
        <f>ROUND(G1335*J1322,2)</f>
        <v>2949092.06</v>
      </c>
    </row>
    <row r="1336" spans="1:13" ht="30" hidden="1" x14ac:dyDescent="0.25">
      <c r="A1336" s="168"/>
      <c r="B1336" s="133" t="str">
        <f>'Công trình'!B189</f>
        <v>AF.87211</v>
      </c>
      <c r="C1336" s="34"/>
      <c r="D1336" s="133" t="str">
        <f>'Công trình'!C189</f>
        <v>Sản xuất, lắp dựng, tháo dỡ ván khuôn mố, trụ cầu trên cạn</v>
      </c>
      <c r="E1336" s="168"/>
      <c r="F1336" s="20">
        <v>1</v>
      </c>
      <c r="G1336" s="45">
        <f>'Hao phí vật tư'!L1453</f>
        <v>0.35289999999999999</v>
      </c>
      <c r="H1336" s="166"/>
      <c r="I1336" s="166"/>
      <c r="J1336" s="166"/>
      <c r="K1336" s="166"/>
      <c r="L1336" s="156">
        <f>ROUND(G1336*K1322,2)</f>
        <v>0</v>
      </c>
      <c r="M1336" s="156">
        <f>ROUND(G1336*J1322,2)</f>
        <v>845026.46</v>
      </c>
    </row>
    <row r="1337" spans="1:13" x14ac:dyDescent="0.25">
      <c r="A1337" s="168">
        <v>16</v>
      </c>
      <c r="B1337" s="84" t="s">
        <v>175</v>
      </c>
      <c r="C1337" s="34">
        <v>729</v>
      </c>
      <c r="D1337" s="144" t="s">
        <v>271</v>
      </c>
      <c r="E1337" s="168" t="s">
        <v>76</v>
      </c>
      <c r="F1337" s="34"/>
      <c r="G1337" s="60">
        <f>SUM(G1338:G1345)</f>
        <v>108.276</v>
      </c>
      <c r="H1337" s="166">
        <v>2839829</v>
      </c>
      <c r="I1337" s="166">
        <v>2839829</v>
      </c>
      <c r="J1337" s="166">
        <f>'Máy thi công'!N135</f>
        <v>2839829</v>
      </c>
      <c r="K1337" s="166">
        <f>J1337-H1337</f>
        <v>0</v>
      </c>
      <c r="L1337" s="166">
        <f>ROUND(G1337*K1337,0)</f>
        <v>0</v>
      </c>
      <c r="M1337" s="166">
        <f>ROUND(G1337*J1337,0)</f>
        <v>307485325</v>
      </c>
    </row>
    <row r="1338" spans="1:13" ht="30" hidden="1" x14ac:dyDescent="0.25">
      <c r="A1338" s="168"/>
      <c r="B1338" s="133" t="str">
        <f>'Công trình'!B86</f>
        <v>AC.17111</v>
      </c>
      <c r="C1338" s="34"/>
      <c r="D1338" s="133" t="str">
        <f>'Công trình'!C86</f>
        <v>Đóng cọc BTCT 30x30 chiều dài &lt;=24m trên mặt nước bằng tàu đóng cọc búa 1,8T</v>
      </c>
      <c r="E1338" s="168"/>
      <c r="F1338" s="20">
        <v>1</v>
      </c>
      <c r="G1338" s="45">
        <f>'Hao phí vật tư'!L714</f>
        <v>6.2784000000000004</v>
      </c>
      <c r="H1338" s="166"/>
      <c r="I1338" s="166"/>
      <c r="J1338" s="166"/>
      <c r="K1338" s="166"/>
      <c r="L1338" s="156">
        <f>ROUND(G1338*K1337,2)</f>
        <v>0</v>
      </c>
      <c r="M1338" s="156">
        <f>ROUND(G1338*J1337,2)</f>
        <v>17829582.390000001</v>
      </c>
    </row>
    <row r="1339" spans="1:13" ht="30" hidden="1" x14ac:dyDescent="0.25">
      <c r="A1339" s="168"/>
      <c r="B1339" s="133" t="str">
        <f>'Công trình'!B75</f>
        <v>AC.17112</v>
      </c>
      <c r="C1339" s="34"/>
      <c r="D1339" s="133" t="str">
        <f>'Công trình'!C75</f>
        <v>Đóng cọc BTCT 35x35 chiều dài &lt;=24m trên mặt nước bằng tàu đóng cọc búa 1,8T</v>
      </c>
      <c r="E1339" s="168"/>
      <c r="F1339" s="20">
        <v>1</v>
      </c>
      <c r="G1339" s="45">
        <f>'Hao phí vật tư'!L598</f>
        <v>12.441599999999999</v>
      </c>
      <c r="H1339" s="166"/>
      <c r="I1339" s="166"/>
      <c r="J1339" s="166"/>
      <c r="K1339" s="166"/>
      <c r="L1339" s="156">
        <f>ROUND(G1339*K1337,2)</f>
        <v>0</v>
      </c>
      <c r="M1339" s="156">
        <f>ROUND(G1339*J1337,2)</f>
        <v>35332016.490000002</v>
      </c>
    </row>
    <row r="1340" spans="1:13" ht="30" hidden="1" x14ac:dyDescent="0.25">
      <c r="A1340" s="168"/>
      <c r="B1340" s="133" t="str">
        <f>'Công trình'!B107</f>
        <v>AC.17112</v>
      </c>
      <c r="C1340" s="34"/>
      <c r="D1340" s="133" t="str">
        <f>'Công trình'!C107</f>
        <v>Đóng cọc âm BTCT 35x35 chiều dài &lt;=24m trên mặt nước bằng tàu đóng cọc búa 1,8T</v>
      </c>
      <c r="E1340" s="168"/>
      <c r="F1340" s="20">
        <v>1</v>
      </c>
      <c r="G1340" s="45">
        <f>'Hao phí vật tư'!L861</f>
        <v>5.0999999999999996</v>
      </c>
      <c r="H1340" s="166"/>
      <c r="I1340" s="166"/>
      <c r="J1340" s="166"/>
      <c r="K1340" s="166"/>
      <c r="L1340" s="156">
        <f>ROUND(G1340*K1337,2)</f>
        <v>0</v>
      </c>
      <c r="M1340" s="156">
        <f>ROUND(G1340*J1337,2)</f>
        <v>14483127.9</v>
      </c>
    </row>
    <row r="1341" spans="1:13" ht="30" hidden="1" x14ac:dyDescent="0.25">
      <c r="A1341" s="168"/>
      <c r="B1341" s="133" t="str">
        <f>'Công trình'!B146</f>
        <v>AC.23110</v>
      </c>
      <c r="C1341" s="34"/>
      <c r="D1341" s="133" t="str">
        <f>'Công trình'!C146</f>
        <v>Nhổ cọc thép hình làm tường chắn đất, sàn thao tác trên cạn</v>
      </c>
      <c r="E1341" s="168"/>
      <c r="F1341" s="20">
        <v>1</v>
      </c>
      <c r="G1341" s="45">
        <f>'Hao phí vật tư'!L1109</f>
        <v>4.7880000000000003</v>
      </c>
      <c r="H1341" s="166"/>
      <c r="I1341" s="166"/>
      <c r="J1341" s="166"/>
      <c r="K1341" s="166"/>
      <c r="L1341" s="156">
        <f>ROUND(G1341*K1337,2)</f>
        <v>0</v>
      </c>
      <c r="M1341" s="156">
        <f>ROUND(G1341*J1337,2)</f>
        <v>13597101.25</v>
      </c>
    </row>
    <row r="1342" spans="1:13" ht="30" hidden="1" x14ac:dyDescent="0.25">
      <c r="A1342" s="168"/>
      <c r="B1342" s="133" t="str">
        <f>'Công trình'!B118</f>
        <v>AC.23110</v>
      </c>
      <c r="C1342" s="34"/>
      <c r="D1342" s="133" t="str">
        <f>'Công trình'!C118</f>
        <v>Nhổ cọc thép hình làm tường chắn đất, sàn thao tác trên cạn</v>
      </c>
      <c r="E1342" s="168"/>
      <c r="F1342" s="20">
        <v>1</v>
      </c>
      <c r="G1342" s="45">
        <f>'Hao phí vật tư'!L933</f>
        <v>3.7240000000000002</v>
      </c>
      <c r="H1342" s="166"/>
      <c r="I1342" s="166"/>
      <c r="J1342" s="166"/>
      <c r="K1342" s="166"/>
      <c r="L1342" s="156">
        <f>ROUND(G1342*K1337,2)</f>
        <v>0</v>
      </c>
      <c r="M1342" s="156">
        <f>ROUND(G1342*J1337,2)</f>
        <v>10575523.199999999</v>
      </c>
    </row>
    <row r="1343" spans="1:13" ht="30" hidden="1" x14ac:dyDescent="0.25">
      <c r="A1343" s="168"/>
      <c r="B1343" s="133" t="str">
        <f>'Công trình'!B129</f>
        <v>AC.23110</v>
      </c>
      <c r="C1343" s="34"/>
      <c r="D1343" s="133" t="str">
        <f>'Công trình'!C129</f>
        <v>Nhổ cọc thép hình làm tường chắn đất, sàn thao tác trên cạn</v>
      </c>
      <c r="E1343" s="168"/>
      <c r="F1343" s="20">
        <v>1</v>
      </c>
      <c r="G1343" s="45">
        <f>'Hao phí vật tư'!L1005</f>
        <v>0.63839999999999997</v>
      </c>
      <c r="H1343" s="166"/>
      <c r="I1343" s="166"/>
      <c r="J1343" s="166"/>
      <c r="K1343" s="166"/>
      <c r="L1343" s="156">
        <f>ROUND(G1343*K1337,2)</f>
        <v>0</v>
      </c>
      <c r="M1343" s="156">
        <f>ROUND(G1343*J1337,2)</f>
        <v>1812946.83</v>
      </c>
    </row>
    <row r="1344" spans="1:13" ht="30" hidden="1" x14ac:dyDescent="0.25">
      <c r="A1344" s="168"/>
      <c r="B1344" s="133" t="str">
        <f>'Công trình'!B166</f>
        <v>AC.23110</v>
      </c>
      <c r="C1344" s="34"/>
      <c r="D1344" s="133" t="str">
        <f>'Công trình'!C166</f>
        <v>Nhổ cọc thép hình làm tường chắn đất, sàn thao tác trên cạn</v>
      </c>
      <c r="E1344" s="168"/>
      <c r="F1344" s="20">
        <v>1</v>
      </c>
      <c r="G1344" s="45">
        <f>'Hao phí vật tư'!L1255</f>
        <v>5.2135999999999996</v>
      </c>
      <c r="H1344" s="166"/>
      <c r="I1344" s="166"/>
      <c r="J1344" s="166"/>
      <c r="K1344" s="166"/>
      <c r="L1344" s="156">
        <f>ROUND(G1344*K1337,2)</f>
        <v>0</v>
      </c>
      <c r="M1344" s="156">
        <f>ROUND(G1344*J1337,2)</f>
        <v>14805732.470000001</v>
      </c>
    </row>
    <row r="1345" spans="1:13" ht="30" hidden="1" x14ac:dyDescent="0.25">
      <c r="A1345" s="168"/>
      <c r="B1345" s="133" t="str">
        <f>'Công trình'!B135</f>
        <v>AC.23210</v>
      </c>
      <c r="C1345" s="34"/>
      <c r="D1345" s="133" t="str">
        <f>'Công trình'!C135</f>
        <v>Nhổ cọc cừ Larsen 3, larsen 4 trên cạn bằng búa rung, cần cẩu 25T</v>
      </c>
      <c r="E1345" s="168"/>
      <c r="F1345" s="20">
        <v>1</v>
      </c>
      <c r="G1345" s="45">
        <f>'Hao phí vật tư'!L1033</f>
        <v>70.091999999999999</v>
      </c>
      <c r="H1345" s="166"/>
      <c r="I1345" s="166"/>
      <c r="J1345" s="166"/>
      <c r="K1345" s="166"/>
      <c r="L1345" s="156">
        <f>ROUND(G1345*K1337,2)</f>
        <v>0</v>
      </c>
      <c r="M1345" s="156">
        <f>ROUND(G1345*J1337,2)</f>
        <v>199049294.27000001</v>
      </c>
    </row>
    <row r="1346" spans="1:13" x14ac:dyDescent="0.25">
      <c r="A1346" s="168">
        <v>17</v>
      </c>
      <c r="B1346" s="84" t="s">
        <v>65</v>
      </c>
      <c r="C1346" s="34">
        <v>730</v>
      </c>
      <c r="D1346" s="144" t="s">
        <v>112</v>
      </c>
      <c r="E1346" s="168" t="s">
        <v>76</v>
      </c>
      <c r="F1346" s="34"/>
      <c r="G1346" s="60">
        <f>SUM(G1347:G1347)</f>
        <v>47.142000000000003</v>
      </c>
      <c r="H1346" s="166">
        <v>4288258</v>
      </c>
      <c r="I1346" s="166">
        <v>4288258</v>
      </c>
      <c r="J1346" s="166">
        <f>'Máy thi công'!N144</f>
        <v>4288258</v>
      </c>
      <c r="K1346" s="166">
        <f>J1346-H1346</f>
        <v>0</v>
      </c>
      <c r="L1346" s="166">
        <f>ROUND(G1346*K1346,0)</f>
        <v>0</v>
      </c>
      <c r="M1346" s="166">
        <f>ROUND(G1346*J1346,0)</f>
        <v>202157059</v>
      </c>
    </row>
    <row r="1347" spans="1:13" ht="45" hidden="1" x14ac:dyDescent="0.25">
      <c r="A1347" s="168"/>
      <c r="B1347" s="133" t="str">
        <f>'Công trình'!B26</f>
        <v>AC.12412</v>
      </c>
      <c r="C1347" s="34"/>
      <c r="D1347" s="133" t="str">
        <f>'Công trình'!C26</f>
        <v>Đóng cọc cừ máng bê tông dự ứng lực trên cạn bằng búa rung kết hợp tách mũi nước áp lực SW600A, chiều cao máng cọc 60-84cm, L=18M</v>
      </c>
      <c r="E1347" s="168"/>
      <c r="F1347" s="20">
        <v>1</v>
      </c>
      <c r="G1347" s="45">
        <f>'Hao phí vật tư'!L189</f>
        <v>47.142000000000003</v>
      </c>
      <c r="H1347" s="166"/>
      <c r="I1347" s="166"/>
      <c r="J1347" s="166"/>
      <c r="K1347" s="166"/>
      <c r="L1347" s="156">
        <f>ROUND(G1347*K1346,2)</f>
        <v>0</v>
      </c>
      <c r="M1347" s="156">
        <f>ROUND(G1347*J1346,2)</f>
        <v>202157058.63999999</v>
      </c>
    </row>
    <row r="1348" spans="1:13" x14ac:dyDescent="0.25">
      <c r="A1348" s="168">
        <v>18</v>
      </c>
      <c r="B1348" s="84" t="s">
        <v>23</v>
      </c>
      <c r="C1348" s="34">
        <v>731</v>
      </c>
      <c r="D1348" s="144" t="s">
        <v>374</v>
      </c>
      <c r="E1348" s="168" t="s">
        <v>76</v>
      </c>
      <c r="F1348" s="34"/>
      <c r="G1348" s="60">
        <f>SUM(G1349:G1349)</f>
        <v>4.5</v>
      </c>
      <c r="H1348" s="166">
        <v>5722978</v>
      </c>
      <c r="I1348" s="166">
        <v>5722978</v>
      </c>
      <c r="J1348" s="166">
        <f>'Máy thi công'!N146</f>
        <v>5722978</v>
      </c>
      <c r="K1348" s="166">
        <f>J1348-H1348</f>
        <v>0</v>
      </c>
      <c r="L1348" s="166">
        <f>ROUND(G1348*K1348,0)</f>
        <v>0</v>
      </c>
      <c r="M1348" s="166">
        <f>ROUND(G1348*J1348,0)</f>
        <v>25753401</v>
      </c>
    </row>
    <row r="1349" spans="1:13" ht="45" hidden="1" x14ac:dyDescent="0.25">
      <c r="A1349" s="168"/>
      <c r="B1349" s="133" t="str">
        <f>'Công trình'!B193</f>
        <v>TT</v>
      </c>
      <c r="C1349" s="34"/>
      <c r="D1349" s="133" t="str">
        <f>'Công trình'!C193</f>
        <v xml:space="preserve">Lắp dựng dầm cầu I DƯL bản  (TT theo MHĐM ĐQ.30010 Quyết định số 2204/QĐ-BGTVT ngày 29/07/2013) </v>
      </c>
      <c r="E1349" s="168"/>
      <c r="F1349" s="20">
        <v>1</v>
      </c>
      <c r="G1349" s="45">
        <f>'Hao phí vật tư'!L1486</f>
        <v>4.5</v>
      </c>
      <c r="H1349" s="166"/>
      <c r="I1349" s="166"/>
      <c r="J1349" s="166"/>
      <c r="K1349" s="166"/>
      <c r="L1349" s="156">
        <f>ROUND(G1349*K1348,2)</f>
        <v>0</v>
      </c>
      <c r="M1349" s="156">
        <f>ROUND(G1349*J1348,2)</f>
        <v>25753401</v>
      </c>
    </row>
    <row r="1350" spans="1:13" x14ac:dyDescent="0.25">
      <c r="A1350" s="168">
        <v>19</v>
      </c>
      <c r="B1350" s="84" t="s">
        <v>622</v>
      </c>
      <c r="C1350" s="34">
        <v>733</v>
      </c>
      <c r="D1350" s="144" t="s">
        <v>527</v>
      </c>
      <c r="E1350" s="168" t="s">
        <v>76</v>
      </c>
      <c r="F1350" s="34"/>
      <c r="G1350" s="60">
        <f>SUM(G1351:G1355)</f>
        <v>35.223700000000001</v>
      </c>
      <c r="H1350" s="166">
        <v>2160679</v>
      </c>
      <c r="I1350" s="166">
        <v>2160679</v>
      </c>
      <c r="J1350" s="166">
        <f>'Máy thi công'!N148</f>
        <v>2160679</v>
      </c>
      <c r="K1350" s="166">
        <f>J1350-H1350</f>
        <v>0</v>
      </c>
      <c r="L1350" s="166">
        <f>ROUND(G1350*K1350,0)</f>
        <v>0</v>
      </c>
      <c r="M1350" s="166">
        <f>ROUND(G1350*J1350,0)</f>
        <v>76107109</v>
      </c>
    </row>
    <row r="1351" spans="1:13" hidden="1" x14ac:dyDescent="0.25">
      <c r="A1351" s="168"/>
      <c r="B1351" s="133" t="str">
        <f>'Công trình'!B109</f>
        <v>AI.11912</v>
      </c>
      <c r="C1351" s="34"/>
      <c r="D1351" s="133" t="str">
        <f>'Công trình'!C109</f>
        <v>Sản xuất hệ sàn đạo, sàn thao tác</v>
      </c>
      <c r="E1351" s="168"/>
      <c r="F1351" s="20">
        <v>1</v>
      </c>
      <c r="G1351" s="45">
        <f>'Hao phí vật tư'!L874</f>
        <v>0.68210000000000004</v>
      </c>
      <c r="H1351" s="166"/>
      <c r="I1351" s="166"/>
      <c r="J1351" s="166"/>
      <c r="K1351" s="166"/>
      <c r="L1351" s="156">
        <f>ROUND(G1351*K1350,2)</f>
        <v>0</v>
      </c>
      <c r="M1351" s="156">
        <f>ROUND(G1351*J1350,2)</f>
        <v>1473799.15</v>
      </c>
    </row>
    <row r="1352" spans="1:13" hidden="1" x14ac:dyDescent="0.25">
      <c r="A1352" s="168"/>
      <c r="B1352" s="133" t="str">
        <f>'Công trình'!B120</f>
        <v>AI.11912</v>
      </c>
      <c r="C1352" s="34"/>
      <c r="D1352" s="133" t="str">
        <f>'Công trình'!C120</f>
        <v>Sản xuất hệ sàn đạo, sàn thao tác</v>
      </c>
      <c r="E1352" s="168"/>
      <c r="F1352" s="20">
        <v>1</v>
      </c>
      <c r="G1352" s="45">
        <f>'Hao phí vật tư'!L946</f>
        <v>1.4055</v>
      </c>
      <c r="H1352" s="166"/>
      <c r="I1352" s="166"/>
      <c r="J1352" s="166"/>
      <c r="K1352" s="166"/>
      <c r="L1352" s="156">
        <f>ROUND(G1352*K1350,2)</f>
        <v>0</v>
      </c>
      <c r="M1352" s="156">
        <f>ROUND(G1352*J1350,2)</f>
        <v>3036834.33</v>
      </c>
    </row>
    <row r="1353" spans="1:13" hidden="1" x14ac:dyDescent="0.25">
      <c r="A1353" s="168"/>
      <c r="B1353" s="133" t="str">
        <f>'Công trình'!B136</f>
        <v>AI.11912</v>
      </c>
      <c r="C1353" s="34"/>
      <c r="D1353" s="133" t="str">
        <f>'Công trình'!C136</f>
        <v>Sản xuất hệ sàn đạo, sàn thao tác</v>
      </c>
      <c r="E1353" s="168"/>
      <c r="F1353" s="20">
        <v>1</v>
      </c>
      <c r="G1353" s="45">
        <f>'Hao phí vật tư'!L1047</f>
        <v>22.255099999999999</v>
      </c>
      <c r="H1353" s="166"/>
      <c r="I1353" s="166"/>
      <c r="J1353" s="166"/>
      <c r="K1353" s="166"/>
      <c r="L1353" s="156">
        <f>ROUND(G1353*K1350,2)</f>
        <v>0</v>
      </c>
      <c r="M1353" s="156">
        <f>ROUND(G1353*J1350,2)</f>
        <v>48086127.210000001</v>
      </c>
    </row>
    <row r="1354" spans="1:13" hidden="1" x14ac:dyDescent="0.25">
      <c r="A1354" s="168"/>
      <c r="B1354" s="133" t="str">
        <f>'Công trình'!B148</f>
        <v>AI.61171</v>
      </c>
      <c r="C1354" s="34"/>
      <c r="D1354" s="133" t="str">
        <f>'Công trình'!C148</f>
        <v>Lắp sàn thang sắt</v>
      </c>
      <c r="E1354" s="168"/>
      <c r="F1354" s="20">
        <v>1</v>
      </c>
      <c r="G1354" s="45">
        <f>'Hao phí vật tư'!L1132</f>
        <v>3.1099999999999999E-2</v>
      </c>
      <c r="H1354" s="166"/>
      <c r="I1354" s="166"/>
      <c r="J1354" s="166"/>
      <c r="K1354" s="166"/>
      <c r="L1354" s="156">
        <f>ROUND(G1354*K1350,2)</f>
        <v>0</v>
      </c>
      <c r="M1354" s="156">
        <f>ROUND(G1354*J1350,2)</f>
        <v>67197.119999999995</v>
      </c>
    </row>
    <row r="1355" spans="1:13" hidden="1" x14ac:dyDescent="0.25">
      <c r="A1355" s="168"/>
      <c r="B1355" s="133" t="str">
        <f>'Công trình'!B157</f>
        <v>AI.11912</v>
      </c>
      <c r="C1355" s="34"/>
      <c r="D1355" s="133" t="str">
        <f>'Công trình'!C157</f>
        <v>Sản xuất cầu công tác</v>
      </c>
      <c r="E1355" s="168"/>
      <c r="F1355" s="20">
        <v>1</v>
      </c>
      <c r="G1355" s="45">
        <f>'Hao phí vật tư'!L1196</f>
        <v>10.8499</v>
      </c>
      <c r="H1355" s="166"/>
      <c r="I1355" s="166"/>
      <c r="J1355" s="166"/>
      <c r="K1355" s="166"/>
      <c r="L1355" s="156">
        <f>ROUND(G1355*K1350,2)</f>
        <v>0</v>
      </c>
      <c r="M1355" s="156">
        <f>ROUND(G1355*J1350,2)</f>
        <v>23443151.079999998</v>
      </c>
    </row>
    <row r="1356" spans="1:13" x14ac:dyDescent="0.25">
      <c r="A1356" s="168">
        <v>20</v>
      </c>
      <c r="B1356" s="84" t="s">
        <v>577</v>
      </c>
      <c r="C1356" s="34">
        <v>734</v>
      </c>
      <c r="D1356" s="144" t="s">
        <v>723</v>
      </c>
      <c r="E1356" s="168" t="s">
        <v>76</v>
      </c>
      <c r="F1356" s="34"/>
      <c r="G1356" s="60">
        <f>SUM(G1357:G1359)</f>
        <v>7.3599999999999999E-2</v>
      </c>
      <c r="H1356" s="166">
        <v>2433173</v>
      </c>
      <c r="I1356" s="166">
        <v>2433173</v>
      </c>
      <c r="J1356" s="166">
        <f>'Máy thi công'!N154</f>
        <v>2433173</v>
      </c>
      <c r="K1356" s="166">
        <f>J1356-H1356</f>
        <v>0</v>
      </c>
      <c r="L1356" s="166">
        <f>ROUND(G1356*K1356,0)</f>
        <v>0</v>
      </c>
      <c r="M1356" s="166">
        <f>ROUND(G1356*J1356,0)</f>
        <v>179082</v>
      </c>
    </row>
    <row r="1357" spans="1:13" ht="30" hidden="1" x14ac:dyDescent="0.25">
      <c r="A1357" s="168"/>
      <c r="B1357" s="133" t="str">
        <f>'Công trình'!B206</f>
        <v>AF.65410</v>
      </c>
      <c r="C1357" s="34"/>
      <c r="D1357" s="133" t="str">
        <f>'Công trình'!C206</f>
        <v>Công tác sản xuất lắp dựng cốt thép bê tông tại chỗ, cốt thép dầm cầu trên cạn, D ≤10mm</v>
      </c>
      <c r="E1357" s="168"/>
      <c r="F1357" s="20">
        <v>1</v>
      </c>
      <c r="G1357" s="45">
        <f>'Hao phí vật tư'!L1591</f>
        <v>0.04</v>
      </c>
      <c r="H1357" s="166"/>
      <c r="I1357" s="166"/>
      <c r="J1357" s="166"/>
      <c r="K1357" s="166"/>
      <c r="L1357" s="156">
        <f>ROUND(G1357*K1356,2)</f>
        <v>0</v>
      </c>
      <c r="M1357" s="156">
        <f>ROUND(G1357*J1356,2)</f>
        <v>97326.92</v>
      </c>
    </row>
    <row r="1358" spans="1:13" ht="30" hidden="1" x14ac:dyDescent="0.25">
      <c r="A1358" s="168"/>
      <c r="B1358" s="133" t="str">
        <f>'Công trình'!B208</f>
        <v>AF.65420</v>
      </c>
      <c r="C1358" s="34"/>
      <c r="D1358" s="133" t="str">
        <f>'Công trình'!C208</f>
        <v>Công tác sản xuất lắp dựng cốt thép bê tông tại chỗ, cốt thép dầm cầu trên cạn, D ≤18mm</v>
      </c>
      <c r="E1358" s="168"/>
      <c r="F1358" s="20">
        <v>1</v>
      </c>
      <c r="G1358" s="45">
        <f>'Hao phí vật tư'!L1601</f>
        <v>1.32E-2</v>
      </c>
      <c r="H1358" s="166"/>
      <c r="I1358" s="166"/>
      <c r="J1358" s="166"/>
      <c r="K1358" s="166"/>
      <c r="L1358" s="156">
        <f>ROUND(G1358*K1356,2)</f>
        <v>0</v>
      </c>
      <c r="M1358" s="156">
        <f>ROUND(G1358*J1356,2)</f>
        <v>32117.88</v>
      </c>
    </row>
    <row r="1359" spans="1:13" ht="30" hidden="1" x14ac:dyDescent="0.25">
      <c r="A1359" s="168"/>
      <c r="B1359" s="133" t="str">
        <f>'Công trình'!B210</f>
        <v>AF.65430</v>
      </c>
      <c r="C1359" s="34"/>
      <c r="D1359" s="133" t="str">
        <f>'Công trình'!C210</f>
        <v>Công tác sản xuất lắp dựng cốt thép bê tông tại chỗ, cốt thép dầm cầu trên cạn, D &gt;18mm</v>
      </c>
      <c r="E1359" s="168"/>
      <c r="F1359" s="20">
        <v>1</v>
      </c>
      <c r="G1359" s="45">
        <f>'Hao phí vật tư'!L1612</f>
        <v>2.0400000000000001E-2</v>
      </c>
      <c r="H1359" s="166"/>
      <c r="I1359" s="166"/>
      <c r="J1359" s="166"/>
      <c r="K1359" s="166"/>
      <c r="L1359" s="156">
        <f>ROUND(G1359*K1356,2)</f>
        <v>0</v>
      </c>
      <c r="M1359" s="156">
        <f>ROUND(G1359*J1356,2)</f>
        <v>49636.73</v>
      </c>
    </row>
    <row r="1360" spans="1:13" x14ac:dyDescent="0.25">
      <c r="A1360" s="168">
        <v>21</v>
      </c>
      <c r="B1360" s="84" t="s">
        <v>35</v>
      </c>
      <c r="C1360" s="34">
        <v>764</v>
      </c>
      <c r="D1360" s="144" t="s">
        <v>436</v>
      </c>
      <c r="E1360" s="168" t="s">
        <v>76</v>
      </c>
      <c r="F1360" s="34"/>
      <c r="G1360" s="60">
        <f>SUM(G1361:G1363)</f>
        <v>0.89159999999999995</v>
      </c>
      <c r="H1360" s="166">
        <v>1610120</v>
      </c>
      <c r="I1360" s="166">
        <v>1610120</v>
      </c>
      <c r="J1360" s="166">
        <f>'Máy thi công'!N158</f>
        <v>1610120</v>
      </c>
      <c r="K1360" s="166">
        <f>J1360-H1360</f>
        <v>0</v>
      </c>
      <c r="L1360" s="166">
        <f>ROUND(G1360*K1360,0)</f>
        <v>0</v>
      </c>
      <c r="M1360" s="166">
        <f>ROUND(G1360*J1360,0)</f>
        <v>1435583</v>
      </c>
    </row>
    <row r="1361" spans="1:13" hidden="1" x14ac:dyDescent="0.25">
      <c r="A1361" s="168"/>
      <c r="B1361" s="133" t="str">
        <f>'Công trình'!B98</f>
        <v>AD.11212</v>
      </c>
      <c r="C1361" s="34"/>
      <c r="D1361" s="133" t="str">
        <f>'Công trình'!C98</f>
        <v>Cấp phối đá 0x4</v>
      </c>
      <c r="E1361" s="168"/>
      <c r="F1361" s="20">
        <v>1</v>
      </c>
      <c r="G1361" s="45">
        <f>'Hao phí vật tư'!L795</f>
        <v>0.20399999999999999</v>
      </c>
      <c r="H1361" s="166"/>
      <c r="I1361" s="166"/>
      <c r="J1361" s="166"/>
      <c r="K1361" s="166"/>
      <c r="L1361" s="156">
        <f>ROUND(G1361*K1360,2)</f>
        <v>0</v>
      </c>
      <c r="M1361" s="156">
        <f>ROUND(G1361*J1360,2)</f>
        <v>328464.48</v>
      </c>
    </row>
    <row r="1362" spans="1:13" ht="30" hidden="1" x14ac:dyDescent="0.25">
      <c r="A1362" s="168"/>
      <c r="B1362" s="133" t="str">
        <f>'Công trình'!B241</f>
        <v>AD.11222</v>
      </c>
      <c r="C1362" s="34"/>
      <c r="D1362" s="133" t="str">
        <f>'Công trình'!C241</f>
        <v>Làm móng lớp trên cấp phối đá dăm, đường làm mới</v>
      </c>
      <c r="E1362" s="168"/>
      <c r="F1362" s="20">
        <v>1</v>
      </c>
      <c r="G1362" s="45">
        <f>'Hao phí vật tư'!L1831</f>
        <v>0.4496</v>
      </c>
      <c r="H1362" s="166"/>
      <c r="I1362" s="166"/>
      <c r="J1362" s="166"/>
      <c r="K1362" s="166"/>
      <c r="L1362" s="156">
        <f>ROUND(G1362*K1360,2)</f>
        <v>0</v>
      </c>
      <c r="M1362" s="156">
        <f>ROUND(G1362*J1360,2)</f>
        <v>723909.95</v>
      </c>
    </row>
    <row r="1363" spans="1:13" hidden="1" x14ac:dyDescent="0.25">
      <c r="A1363" s="168"/>
      <c r="B1363" s="133" t="str">
        <f>'Công trình'!B93</f>
        <v>AD.11212</v>
      </c>
      <c r="C1363" s="34"/>
      <c r="D1363" s="133" t="str">
        <f>'Công trình'!C93</f>
        <v>Cấp phối đá 0x4</v>
      </c>
      <c r="E1363" s="168"/>
      <c r="F1363" s="20">
        <v>1</v>
      </c>
      <c r="G1363" s="45">
        <f>'Hao phí vật tư'!L761</f>
        <v>0.23799999999999999</v>
      </c>
      <c r="H1363" s="166"/>
      <c r="I1363" s="166"/>
      <c r="J1363" s="166"/>
      <c r="K1363" s="166"/>
      <c r="L1363" s="156">
        <f>ROUND(G1363*K1360,2)</f>
        <v>0</v>
      </c>
      <c r="M1363" s="156">
        <f>ROUND(G1363*J1360,2)</f>
        <v>383208.56</v>
      </c>
    </row>
    <row r="1364" spans="1:13" x14ac:dyDescent="0.25">
      <c r="A1364" s="168">
        <v>22</v>
      </c>
      <c r="B1364" s="84" t="s">
        <v>385</v>
      </c>
      <c r="C1364" s="34">
        <v>765</v>
      </c>
      <c r="D1364" s="144" t="s">
        <v>1132</v>
      </c>
      <c r="E1364" s="168" t="s">
        <v>76</v>
      </c>
      <c r="F1364" s="34"/>
      <c r="G1364" s="60">
        <f>SUM(G1365:G1368)</f>
        <v>13.9679</v>
      </c>
      <c r="H1364" s="166">
        <v>1459416</v>
      </c>
      <c r="I1364" s="166">
        <v>1459416</v>
      </c>
      <c r="J1364" s="166">
        <f>'Máy thi công'!N162</f>
        <v>1459416</v>
      </c>
      <c r="K1364" s="166">
        <f>J1364-H1364</f>
        <v>0</v>
      </c>
      <c r="L1364" s="166">
        <f>ROUND(G1364*K1364,0)</f>
        <v>0</v>
      </c>
      <c r="M1364" s="166">
        <f>ROUND(G1364*J1364,0)</f>
        <v>20384977</v>
      </c>
    </row>
    <row r="1365" spans="1:13" ht="30" hidden="1" x14ac:dyDescent="0.25">
      <c r="A1365" s="168"/>
      <c r="B1365" s="133" t="str">
        <f>'Công trình'!B91</f>
        <v>AB.62111</v>
      </c>
      <c r="C1365" s="34"/>
      <c r="D1365" s="133" t="str">
        <f>'Công trình'!C91</f>
        <v>San đầm đất mặt bằng bằng máy đầm 9T, độ chặt K=0,85</v>
      </c>
      <c r="E1365" s="168"/>
      <c r="F1365" s="20">
        <v>1</v>
      </c>
      <c r="G1365" s="45">
        <f>'Hao phí vật tư'!L741</f>
        <v>1.8607</v>
      </c>
      <c r="H1365" s="166"/>
      <c r="I1365" s="166"/>
      <c r="J1365" s="166"/>
      <c r="K1365" s="166"/>
      <c r="L1365" s="156">
        <f>ROUND(G1365*K1364,2)</f>
        <v>0</v>
      </c>
      <c r="M1365" s="156">
        <f>ROUND(G1365*J1364,2)</f>
        <v>2715535.35</v>
      </c>
    </row>
    <row r="1366" spans="1:13" ht="30" hidden="1" x14ac:dyDescent="0.25">
      <c r="A1366" s="168"/>
      <c r="B1366" s="133" t="str">
        <f>'Công trình'!B100</f>
        <v>AB.66112</v>
      </c>
      <c r="C1366" s="34"/>
      <c r="D1366" s="133" t="str">
        <f>'Công trình'!C100</f>
        <v>Đắp cát công trình bằng máy đầm 9T, độ chặt K=0,90</v>
      </c>
      <c r="E1366" s="168"/>
      <c r="F1366" s="20">
        <v>1</v>
      </c>
      <c r="G1366" s="45">
        <f>'Hao phí vật tư'!L814</f>
        <v>1.0242</v>
      </c>
      <c r="H1366" s="166"/>
      <c r="I1366" s="166"/>
      <c r="J1366" s="166"/>
      <c r="K1366" s="166"/>
      <c r="L1366" s="156">
        <f>ROUND(G1366*K1364,2)</f>
        <v>0</v>
      </c>
      <c r="M1366" s="156">
        <f>ROUND(G1366*J1364,2)</f>
        <v>1494733.87</v>
      </c>
    </row>
    <row r="1367" spans="1:13" ht="30" hidden="1" x14ac:dyDescent="0.25">
      <c r="A1367" s="168"/>
      <c r="B1367" s="133" t="str">
        <f>'Công trình'!B242</f>
        <v>AB.66114</v>
      </c>
      <c r="C1367" s="34"/>
      <c r="D1367" s="133" t="str">
        <f>'Công trình'!C242</f>
        <v>Đắp cát công trình bằng máy đầm 9T, độ chặt K=0,98</v>
      </c>
      <c r="E1367" s="168"/>
      <c r="F1367" s="20">
        <v>1</v>
      </c>
      <c r="G1367" s="45">
        <f>'Hao phí vật tư'!L1840</f>
        <v>5.9958999999999998</v>
      </c>
      <c r="H1367" s="166"/>
      <c r="I1367" s="166"/>
      <c r="J1367" s="166"/>
      <c r="K1367" s="166"/>
      <c r="L1367" s="156">
        <f>ROUND(G1367*K1364,2)</f>
        <v>0</v>
      </c>
      <c r="M1367" s="156">
        <f>ROUND(G1367*J1364,2)</f>
        <v>8750512.3900000006</v>
      </c>
    </row>
    <row r="1368" spans="1:13" ht="30" hidden="1" x14ac:dyDescent="0.25">
      <c r="A1368" s="168"/>
      <c r="B1368" s="133" t="str">
        <f>'Công trình'!B245</f>
        <v>AB.64112</v>
      </c>
      <c r="C1368" s="34"/>
      <c r="D1368" s="133" t="str">
        <f>'Công trình'!C245</f>
        <v>Đắp nền đường bằng máy đầm 9T, độ chặt K=0,90</v>
      </c>
      <c r="E1368" s="168"/>
      <c r="F1368" s="20">
        <v>1</v>
      </c>
      <c r="G1368" s="45">
        <f>'Hao phí vật tư'!L1858</f>
        <v>5.0871000000000004</v>
      </c>
      <c r="H1368" s="166"/>
      <c r="I1368" s="166"/>
      <c r="J1368" s="166"/>
      <c r="K1368" s="166"/>
      <c r="L1368" s="156">
        <f>ROUND(G1368*K1364,2)</f>
        <v>0</v>
      </c>
      <c r="M1368" s="156">
        <f>ROUND(G1368*J1364,2)</f>
        <v>7424195.1299999999</v>
      </c>
    </row>
    <row r="1369" spans="1:13" x14ac:dyDescent="0.25">
      <c r="A1369" s="168">
        <v>23</v>
      </c>
      <c r="B1369" s="84" t="s">
        <v>336</v>
      </c>
      <c r="C1369" s="34">
        <v>766</v>
      </c>
      <c r="D1369" s="144" t="s">
        <v>297</v>
      </c>
      <c r="E1369" s="168" t="s">
        <v>76</v>
      </c>
      <c r="F1369" s="34"/>
      <c r="G1369" s="60">
        <f>SUM(G1370:G1372)</f>
        <v>0.49780000000000002</v>
      </c>
      <c r="H1369" s="166">
        <v>1121307</v>
      </c>
      <c r="I1369" s="166">
        <v>1121307</v>
      </c>
      <c r="J1369" s="166">
        <f>'Máy thi công'!N167</f>
        <v>1121307</v>
      </c>
      <c r="K1369" s="166">
        <f>J1369-H1369</f>
        <v>0</v>
      </c>
      <c r="L1369" s="166">
        <f>ROUND(G1369*K1369,0)</f>
        <v>0</v>
      </c>
      <c r="M1369" s="166">
        <f>ROUND(G1369*J1369,0)</f>
        <v>558187</v>
      </c>
    </row>
    <row r="1370" spans="1:13" hidden="1" x14ac:dyDescent="0.25">
      <c r="A1370" s="168"/>
      <c r="B1370" s="133" t="str">
        <f>'Công trình'!B98</f>
        <v>AD.11212</v>
      </c>
      <c r="C1370" s="34"/>
      <c r="D1370" s="133" t="str">
        <f>'Công trình'!C98</f>
        <v>Cấp phối đá 0x4</v>
      </c>
      <c r="E1370" s="168"/>
      <c r="F1370" s="20">
        <v>1</v>
      </c>
      <c r="G1370" s="45">
        <f>'Hao phí vật tư'!L793</f>
        <v>0.126</v>
      </c>
      <c r="H1370" s="166"/>
      <c r="I1370" s="166"/>
      <c r="J1370" s="166"/>
      <c r="K1370" s="166"/>
      <c r="L1370" s="156">
        <f>ROUND(G1370*K1369,2)</f>
        <v>0</v>
      </c>
      <c r="M1370" s="156">
        <f>ROUND(G1370*J1369,2)</f>
        <v>141284.68</v>
      </c>
    </row>
    <row r="1371" spans="1:13" ht="30" hidden="1" x14ac:dyDescent="0.25">
      <c r="A1371" s="168"/>
      <c r="B1371" s="133" t="str">
        <f>'Công trình'!B241</f>
        <v>AD.11222</v>
      </c>
      <c r="C1371" s="34"/>
      <c r="D1371" s="133" t="str">
        <f>'Công trình'!C241</f>
        <v>Làm móng lớp trên cấp phối đá dăm, đường làm mới</v>
      </c>
      <c r="E1371" s="168"/>
      <c r="F1371" s="20">
        <v>1</v>
      </c>
      <c r="G1371" s="45">
        <f>'Hao phí vật tư'!L1827</f>
        <v>0.2248</v>
      </c>
      <c r="H1371" s="166"/>
      <c r="I1371" s="166"/>
      <c r="J1371" s="166"/>
      <c r="K1371" s="166"/>
      <c r="L1371" s="156">
        <f>ROUND(G1371*K1369,2)</f>
        <v>0</v>
      </c>
      <c r="M1371" s="156">
        <f>ROUND(G1371*J1369,2)</f>
        <v>252069.81</v>
      </c>
    </row>
    <row r="1372" spans="1:13" hidden="1" x14ac:dyDescent="0.25">
      <c r="A1372" s="168"/>
      <c r="B1372" s="133" t="str">
        <f>'Công trình'!B93</f>
        <v>AD.11212</v>
      </c>
      <c r="C1372" s="34"/>
      <c r="D1372" s="133" t="str">
        <f>'Công trình'!C93</f>
        <v>Cấp phối đá 0x4</v>
      </c>
      <c r="E1372" s="168"/>
      <c r="F1372" s="20">
        <v>1</v>
      </c>
      <c r="G1372" s="45">
        <f>'Hao phí vật tư'!L759</f>
        <v>0.14699999999999999</v>
      </c>
      <c r="H1372" s="166"/>
      <c r="I1372" s="166"/>
      <c r="J1372" s="166"/>
      <c r="K1372" s="166"/>
      <c r="L1372" s="156">
        <f>ROUND(G1372*K1369,2)</f>
        <v>0</v>
      </c>
      <c r="M1372" s="156">
        <f>ROUND(G1372*J1369,2)</f>
        <v>164832.13</v>
      </c>
    </row>
    <row r="1373" spans="1:13" x14ac:dyDescent="0.25">
      <c r="A1373" s="168">
        <v>24</v>
      </c>
      <c r="B1373" s="84" t="s">
        <v>963</v>
      </c>
      <c r="C1373" s="34">
        <v>736</v>
      </c>
      <c r="D1373" s="144" t="s">
        <v>303</v>
      </c>
      <c r="E1373" s="168" t="s">
        <v>76</v>
      </c>
      <c r="F1373" s="34"/>
      <c r="G1373" s="60">
        <f>SUM(G1374:G1374)</f>
        <v>47.142000000000003</v>
      </c>
      <c r="H1373" s="166">
        <v>3781471</v>
      </c>
      <c r="I1373" s="166">
        <v>3781471</v>
      </c>
      <c r="J1373" s="166">
        <f>'Máy thi công'!N171</f>
        <v>3781471</v>
      </c>
      <c r="K1373" s="166">
        <f>J1373-H1373</f>
        <v>0</v>
      </c>
      <c r="L1373" s="166">
        <f>ROUND(G1373*K1373,0)</f>
        <v>0</v>
      </c>
      <c r="M1373" s="166">
        <f>ROUND(G1373*J1373,0)</f>
        <v>178266106</v>
      </c>
    </row>
    <row r="1374" spans="1:13" ht="45" hidden="1" x14ac:dyDescent="0.25">
      <c r="A1374" s="168"/>
      <c r="B1374" s="133" t="str">
        <f>'Công trình'!B26</f>
        <v>AC.12412</v>
      </c>
      <c r="C1374" s="34"/>
      <c r="D1374" s="133" t="str">
        <f>'Công trình'!C26</f>
        <v>Đóng cọc cừ máng bê tông dự ứng lực trên cạn bằng búa rung kết hợp tách mũi nước áp lực SW600A, chiều cao máng cọc 60-84cm, L=18M</v>
      </c>
      <c r="E1374" s="168"/>
      <c r="F1374" s="20">
        <v>1</v>
      </c>
      <c r="G1374" s="45">
        <f>'Hao phí vật tư'!L191</f>
        <v>47.142000000000003</v>
      </c>
      <c r="H1374" s="166"/>
      <c r="I1374" s="166"/>
      <c r="J1374" s="166"/>
      <c r="K1374" s="166"/>
      <c r="L1374" s="156">
        <f>ROUND(G1374*K1373,2)</f>
        <v>0</v>
      </c>
      <c r="M1374" s="156">
        <f>ROUND(G1374*J1373,2)</f>
        <v>178266105.88</v>
      </c>
    </row>
    <row r="1375" spans="1:13" x14ac:dyDescent="0.25">
      <c r="A1375" s="168">
        <v>25</v>
      </c>
      <c r="B1375" s="84" t="s">
        <v>168</v>
      </c>
      <c r="C1375" s="34">
        <v>561</v>
      </c>
      <c r="D1375" s="144" t="s">
        <v>698</v>
      </c>
      <c r="E1375" s="168" t="s">
        <v>76</v>
      </c>
      <c r="F1375" s="34"/>
      <c r="G1375" s="60">
        <f>SUM(G1376:G1376)</f>
        <v>17.660499999999999</v>
      </c>
      <c r="H1375" s="166">
        <v>1344336</v>
      </c>
      <c r="I1375" s="166">
        <v>1344336</v>
      </c>
      <c r="J1375" s="166">
        <f>'Máy thi công'!N173</f>
        <v>1344336</v>
      </c>
      <c r="K1375" s="166">
        <f>J1375-H1375</f>
        <v>0</v>
      </c>
      <c r="L1375" s="166">
        <f>ROUND(G1375*K1375,0)</f>
        <v>0</v>
      </c>
      <c r="M1375" s="166">
        <f>ROUND(G1375*J1375,0)</f>
        <v>23741646</v>
      </c>
    </row>
    <row r="1376" spans="1:13" ht="30" hidden="1" x14ac:dyDescent="0.25">
      <c r="A1376" s="168"/>
      <c r="B1376" s="133" t="str">
        <f>'Công trình'!B154</f>
        <v>AB.36120</v>
      </c>
      <c r="C1376" s="34"/>
      <c r="D1376" s="133" t="str">
        <f>'Công trình'!C154</f>
        <v>Xói hút bùn trong khung vây phòng nước, các trụ dưới nước</v>
      </c>
      <c r="E1376" s="168"/>
      <c r="F1376" s="20">
        <v>1</v>
      </c>
      <c r="G1376" s="45">
        <f>'Hao phí vật tư'!L1174</f>
        <v>17.660499999999999</v>
      </c>
      <c r="H1376" s="166"/>
      <c r="I1376" s="166"/>
      <c r="J1376" s="166"/>
      <c r="K1376" s="166"/>
      <c r="L1376" s="156">
        <f>ROUND(G1376*K1375,2)</f>
        <v>0</v>
      </c>
      <c r="M1376" s="156">
        <f>ROUND(G1376*J1375,2)</f>
        <v>23741645.93</v>
      </c>
    </row>
    <row r="1377" spans="1:13" x14ac:dyDescent="0.25">
      <c r="A1377" s="168">
        <v>26</v>
      </c>
      <c r="B1377" s="84" t="s">
        <v>1139</v>
      </c>
      <c r="C1377" s="34">
        <v>712</v>
      </c>
      <c r="D1377" s="144" t="s">
        <v>894</v>
      </c>
      <c r="E1377" s="168" t="s">
        <v>76</v>
      </c>
      <c r="F1377" s="34"/>
      <c r="G1377" s="60">
        <f>SUM(G1378:G1378)</f>
        <v>17.660499999999999</v>
      </c>
      <c r="H1377" s="166">
        <v>669062</v>
      </c>
      <c r="I1377" s="166">
        <v>669062</v>
      </c>
      <c r="J1377" s="166">
        <f>'Máy thi công'!N175</f>
        <v>669062</v>
      </c>
      <c r="K1377" s="166">
        <f>J1377-H1377</f>
        <v>0</v>
      </c>
      <c r="L1377" s="166">
        <f>ROUND(G1377*K1377,0)</f>
        <v>0</v>
      </c>
      <c r="M1377" s="166">
        <f>ROUND(G1377*J1377,0)</f>
        <v>11815969</v>
      </c>
    </row>
    <row r="1378" spans="1:13" ht="30" hidden="1" x14ac:dyDescent="0.25">
      <c r="A1378" s="168"/>
      <c r="B1378" s="133" t="str">
        <f>'Công trình'!B154</f>
        <v>AB.36120</v>
      </c>
      <c r="C1378" s="34"/>
      <c r="D1378" s="133" t="str">
        <f>'Công trình'!C154</f>
        <v>Xói hút bùn trong khung vây phòng nước, các trụ dưới nước</v>
      </c>
      <c r="E1378" s="168"/>
      <c r="F1378" s="20">
        <v>1</v>
      </c>
      <c r="G1378" s="45">
        <f>'Hao phí vật tư'!L1177</f>
        <v>17.660499999999999</v>
      </c>
      <c r="H1378" s="166"/>
      <c r="I1378" s="166"/>
      <c r="J1378" s="166"/>
      <c r="K1378" s="166"/>
      <c r="L1378" s="156">
        <f>ROUND(G1378*K1377,2)</f>
        <v>0</v>
      </c>
      <c r="M1378" s="156">
        <f>ROUND(G1378*J1377,2)</f>
        <v>11815969.449999999</v>
      </c>
    </row>
    <row r="1379" spans="1:13" x14ac:dyDescent="0.25">
      <c r="A1379" s="168">
        <v>27</v>
      </c>
      <c r="B1379" s="84" t="s">
        <v>79</v>
      </c>
      <c r="C1379" s="34">
        <v>703</v>
      </c>
      <c r="D1379" s="144" t="s">
        <v>554</v>
      </c>
      <c r="E1379" s="168" t="s">
        <v>76</v>
      </c>
      <c r="F1379" s="34"/>
      <c r="G1379" s="60">
        <f>SUM(G1380:G1385)</f>
        <v>57.088899999999995</v>
      </c>
      <c r="H1379" s="166">
        <v>226876</v>
      </c>
      <c r="I1379" s="166">
        <v>226876</v>
      </c>
      <c r="J1379" s="166">
        <f>'Máy thi công'!N177</f>
        <v>226876</v>
      </c>
      <c r="K1379" s="166">
        <f>J1379-H1379</f>
        <v>0</v>
      </c>
      <c r="L1379" s="166">
        <f>ROUND(G1379*K1379,0)</f>
        <v>0</v>
      </c>
      <c r="M1379" s="166">
        <f>ROUND(G1379*J1379,0)</f>
        <v>12952101</v>
      </c>
    </row>
    <row r="1380" spans="1:13" hidden="1" x14ac:dyDescent="0.25">
      <c r="A1380" s="168"/>
      <c r="B1380" s="133" t="str">
        <f>'Công trình'!B109</f>
        <v>AI.11912</v>
      </c>
      <c r="C1380" s="34"/>
      <c r="D1380" s="133" t="str">
        <f>'Công trình'!C109</f>
        <v>Sản xuất hệ sàn đạo, sàn thao tác</v>
      </c>
      <c r="E1380" s="168"/>
      <c r="F1380" s="20">
        <v>1</v>
      </c>
      <c r="G1380" s="45">
        <f>'Hao phí vật tư'!L875</f>
        <v>1.0105</v>
      </c>
      <c r="H1380" s="166"/>
      <c r="I1380" s="166"/>
      <c r="J1380" s="166"/>
      <c r="K1380" s="166"/>
      <c r="L1380" s="156">
        <f>ROUND(G1380*K1379,2)</f>
        <v>0</v>
      </c>
      <c r="M1380" s="156">
        <f>ROUND(G1380*J1379,2)</f>
        <v>229258.2</v>
      </c>
    </row>
    <row r="1381" spans="1:13" hidden="1" x14ac:dyDescent="0.25">
      <c r="A1381" s="168"/>
      <c r="B1381" s="133" t="str">
        <f>'Công trình'!B120</f>
        <v>AI.11912</v>
      </c>
      <c r="C1381" s="34"/>
      <c r="D1381" s="133" t="str">
        <f>'Công trình'!C120</f>
        <v>Sản xuất hệ sàn đạo, sàn thao tác</v>
      </c>
      <c r="E1381" s="168"/>
      <c r="F1381" s="20">
        <v>1</v>
      </c>
      <c r="G1381" s="45">
        <f>'Hao phí vật tư'!L947</f>
        <v>2.0821999999999998</v>
      </c>
      <c r="H1381" s="166"/>
      <c r="I1381" s="166"/>
      <c r="J1381" s="166"/>
      <c r="K1381" s="166"/>
      <c r="L1381" s="156">
        <f>ROUND(G1381*K1379,2)</f>
        <v>0</v>
      </c>
      <c r="M1381" s="156">
        <f>ROUND(G1381*J1379,2)</f>
        <v>472401.21</v>
      </c>
    </row>
    <row r="1382" spans="1:13" hidden="1" x14ac:dyDescent="0.25">
      <c r="A1382" s="168"/>
      <c r="B1382" s="133" t="str">
        <f>'Công trình'!B136</f>
        <v>AI.11912</v>
      </c>
      <c r="C1382" s="34"/>
      <c r="D1382" s="133" t="str">
        <f>'Công trình'!C136</f>
        <v>Sản xuất hệ sàn đạo, sàn thao tác</v>
      </c>
      <c r="E1382" s="168"/>
      <c r="F1382" s="20">
        <v>1</v>
      </c>
      <c r="G1382" s="45">
        <f>'Hao phí vật tư'!L1048</f>
        <v>32.970599999999997</v>
      </c>
      <c r="H1382" s="166"/>
      <c r="I1382" s="166"/>
      <c r="J1382" s="166"/>
      <c r="K1382" s="166"/>
      <c r="L1382" s="156">
        <f>ROUND(G1382*K1379,2)</f>
        <v>0</v>
      </c>
      <c r="M1382" s="156">
        <f>ROUND(G1382*J1379,2)</f>
        <v>7480237.8499999996</v>
      </c>
    </row>
    <row r="1383" spans="1:13" hidden="1" x14ac:dyDescent="0.25">
      <c r="A1383" s="168"/>
      <c r="B1383" s="133" t="str">
        <f>'Công trình'!B157</f>
        <v>AI.11912</v>
      </c>
      <c r="C1383" s="34"/>
      <c r="D1383" s="133" t="str">
        <f>'Công trình'!C157</f>
        <v>Sản xuất cầu công tác</v>
      </c>
      <c r="E1383" s="168"/>
      <c r="F1383" s="20">
        <v>1</v>
      </c>
      <c r="G1383" s="45">
        <f>'Hao phí vật tư'!L1197</f>
        <v>16.074000000000002</v>
      </c>
      <c r="H1383" s="166"/>
      <c r="I1383" s="166"/>
      <c r="J1383" s="166"/>
      <c r="K1383" s="166"/>
      <c r="L1383" s="156">
        <f>ROUND(G1383*K1379,2)</f>
        <v>0</v>
      </c>
      <c r="M1383" s="156">
        <f>ROUND(G1383*J1379,2)</f>
        <v>3646804.82</v>
      </c>
    </row>
    <row r="1384" spans="1:13" ht="30" hidden="1" x14ac:dyDescent="0.25">
      <c r="A1384" s="168"/>
      <c r="B1384" s="133" t="str">
        <f>'Công trình'!B179</f>
        <v>AF.87211</v>
      </c>
      <c r="C1384" s="34"/>
      <c r="D1384" s="133" t="str">
        <f>'Công trình'!C179</f>
        <v>Sản xuất, lắp dựng, tháo dỡ ván khuôn mố, trụ cầu trên cạn</v>
      </c>
      <c r="E1384" s="168"/>
      <c r="F1384" s="20">
        <v>1</v>
      </c>
      <c r="G1384" s="45">
        <f>'Hao phí vật tư'!L1364</f>
        <v>3.8488000000000002</v>
      </c>
      <c r="H1384" s="166"/>
      <c r="I1384" s="166"/>
      <c r="J1384" s="166"/>
      <c r="K1384" s="166"/>
      <c r="L1384" s="156">
        <f>ROUND(G1384*K1379,2)</f>
        <v>0</v>
      </c>
      <c r="M1384" s="156">
        <f>ROUND(G1384*J1379,2)</f>
        <v>873200.35</v>
      </c>
    </row>
    <row r="1385" spans="1:13" ht="30" hidden="1" x14ac:dyDescent="0.25">
      <c r="A1385" s="168"/>
      <c r="B1385" s="133" t="str">
        <f>'Công trình'!B189</f>
        <v>AF.87211</v>
      </c>
      <c r="C1385" s="34"/>
      <c r="D1385" s="133" t="str">
        <f>'Công trình'!C189</f>
        <v>Sản xuất, lắp dựng, tháo dỡ ván khuôn mố, trụ cầu trên cạn</v>
      </c>
      <c r="E1385" s="168"/>
      <c r="F1385" s="20">
        <v>1</v>
      </c>
      <c r="G1385" s="45">
        <f>'Hao phí vật tư'!L1455</f>
        <v>1.1028</v>
      </c>
      <c r="H1385" s="166"/>
      <c r="I1385" s="166"/>
      <c r="J1385" s="166"/>
      <c r="K1385" s="166"/>
      <c r="L1385" s="156">
        <f>ROUND(G1385*K1379,2)</f>
        <v>0</v>
      </c>
      <c r="M1385" s="156">
        <f>ROUND(G1385*J1379,2)</f>
        <v>250198.85</v>
      </c>
    </row>
    <row r="1386" spans="1:13" x14ac:dyDescent="0.25">
      <c r="A1386" s="168">
        <v>28</v>
      </c>
      <c r="B1386" s="84" t="s">
        <v>774</v>
      </c>
      <c r="C1386" s="34">
        <v>866</v>
      </c>
      <c r="D1386" s="144" t="s">
        <v>794</v>
      </c>
      <c r="E1386" s="168" t="s">
        <v>76</v>
      </c>
      <c r="F1386" s="34"/>
      <c r="G1386" s="60">
        <f>SUM(G1387:G1387)</f>
        <v>96.437600000000003</v>
      </c>
      <c r="H1386" s="166">
        <v>277290</v>
      </c>
      <c r="I1386" s="166">
        <v>277290</v>
      </c>
      <c r="J1386" s="166">
        <f>'Máy thi công'!N490</f>
        <v>277290</v>
      </c>
      <c r="K1386" s="166">
        <f>J1386-H1386</f>
        <v>0</v>
      </c>
      <c r="L1386" s="166">
        <f>ROUND(G1386*K1386,0)</f>
        <v>0</v>
      </c>
      <c r="M1386" s="166">
        <f>ROUND(G1386*J1386,0)</f>
        <v>26741182</v>
      </c>
    </row>
    <row r="1387" spans="1:13" ht="30" hidden="1" x14ac:dyDescent="0.25">
      <c r="A1387" s="168"/>
      <c r="B1387" s="133" t="str">
        <f>'Công trình'!B320</f>
        <v>CV.0102</v>
      </c>
      <c r="C1387" s="34"/>
      <c r="D1387" s="133" t="str">
        <f>'Công trình'!C320</f>
        <v>Sản xuất cửa van bằng thép không gỉ, chiều rộng cống (B) &lt;= 8m</v>
      </c>
      <c r="E1387" s="168"/>
      <c r="F1387" s="20">
        <v>1</v>
      </c>
      <c r="G1387" s="45">
        <f>'Hao phí vật tư'!L2377</f>
        <v>96.437600000000003</v>
      </c>
      <c r="H1387" s="166"/>
      <c r="I1387" s="166"/>
      <c r="J1387" s="166"/>
      <c r="K1387" s="166"/>
      <c r="L1387" s="156">
        <f>ROUND(G1387*K1386,2)</f>
        <v>0</v>
      </c>
      <c r="M1387" s="156">
        <f>ROUND(G1387*J1386,2)</f>
        <v>26741182.100000001</v>
      </c>
    </row>
    <row r="1388" spans="1:13" x14ac:dyDescent="0.25">
      <c r="A1388" s="168">
        <v>29</v>
      </c>
      <c r="B1388" s="84" t="s">
        <v>975</v>
      </c>
      <c r="C1388" s="34">
        <v>737</v>
      </c>
      <c r="D1388" s="144" t="s">
        <v>319</v>
      </c>
      <c r="E1388" s="168" t="s">
        <v>76</v>
      </c>
      <c r="F1388" s="34"/>
      <c r="G1388" s="60">
        <f>SUM(G1389:G1429)</f>
        <v>26.177099999999999</v>
      </c>
      <c r="H1388" s="166">
        <v>228044</v>
      </c>
      <c r="I1388" s="166">
        <v>228044</v>
      </c>
      <c r="J1388" s="166">
        <f>'Máy thi công'!N184</f>
        <v>228044</v>
      </c>
      <c r="K1388" s="166">
        <f>J1388-H1388</f>
        <v>0</v>
      </c>
      <c r="L1388" s="166">
        <f>ROUND(G1388*K1388,0)</f>
        <v>0</v>
      </c>
      <c r="M1388" s="166">
        <f>ROUND(G1388*J1388,0)</f>
        <v>5969531</v>
      </c>
    </row>
    <row r="1389" spans="1:13" ht="30" hidden="1" x14ac:dyDescent="0.25">
      <c r="A1389" s="168"/>
      <c r="B1389" s="133" t="str">
        <f>'Công trình'!B11</f>
        <v>AF.61120</v>
      </c>
      <c r="C1389" s="34"/>
      <c r="D1389" s="133" t="str">
        <f>'Công trình'!C11</f>
        <v>Sản xuất, lắp dựng cốt thép móng đường kính &lt;=18mm</v>
      </c>
      <c r="E1389" s="168"/>
      <c r="F1389" s="20">
        <v>1</v>
      </c>
      <c r="G1389" s="45">
        <f>'Hao phí vật tư'!L69</f>
        <v>2.8946999999999998</v>
      </c>
      <c r="H1389" s="166"/>
      <c r="I1389" s="166"/>
      <c r="J1389" s="166"/>
      <c r="K1389" s="166"/>
      <c r="L1389" s="156">
        <f>ROUND(G1389*K1388,2)</f>
        <v>0</v>
      </c>
      <c r="M1389" s="156">
        <f>ROUND(G1389*J1388,2)</f>
        <v>660118.97</v>
      </c>
    </row>
    <row r="1390" spans="1:13" ht="30" hidden="1" x14ac:dyDescent="0.25">
      <c r="A1390" s="168"/>
      <c r="B1390" s="133" t="str">
        <f>'Công trình'!B12</f>
        <v>AF.61130</v>
      </c>
      <c r="C1390" s="34"/>
      <c r="D1390" s="133" t="str">
        <f>'Công trình'!C12</f>
        <v>Sản xuất, lắp dựng cốt thép móng đường kính &gt;18mm</v>
      </c>
      <c r="E1390" s="168"/>
      <c r="F1390" s="20">
        <v>1</v>
      </c>
      <c r="G1390" s="45">
        <f>'Hao phí vật tư'!L79</f>
        <v>0.42</v>
      </c>
      <c r="H1390" s="166"/>
      <c r="I1390" s="166"/>
      <c r="J1390" s="166"/>
      <c r="K1390" s="166"/>
      <c r="L1390" s="156">
        <f>ROUND(G1390*K1388,2)</f>
        <v>0</v>
      </c>
      <c r="M1390" s="156">
        <f>ROUND(G1390*J1388,2)</f>
        <v>95778.48</v>
      </c>
    </row>
    <row r="1391" spans="1:13" ht="30" hidden="1" x14ac:dyDescent="0.25">
      <c r="A1391" s="168"/>
      <c r="B1391" s="133" t="str">
        <f>'Công trình'!B13</f>
        <v>AF.61321</v>
      </c>
      <c r="C1391" s="34"/>
      <c r="D1391" s="133" t="str">
        <f>'Công trình'!C13</f>
        <v>Sản xuất, lắp dựng cốt thép tường đường kính &lt;=18mm, chiều cao &lt;=4m</v>
      </c>
      <c r="E1391" s="168"/>
      <c r="F1391" s="20">
        <v>1</v>
      </c>
      <c r="G1391" s="45">
        <f>'Hao phí vật tư'!L89</f>
        <v>2.4401000000000002</v>
      </c>
      <c r="H1391" s="166"/>
      <c r="I1391" s="166"/>
      <c r="J1391" s="166"/>
      <c r="K1391" s="166"/>
      <c r="L1391" s="156">
        <f>ROUND(G1391*K1388,2)</f>
        <v>0</v>
      </c>
      <c r="M1391" s="156">
        <f>ROUND(G1391*J1388,2)</f>
        <v>556450.16</v>
      </c>
    </row>
    <row r="1392" spans="1:13" ht="30" hidden="1" x14ac:dyDescent="0.25">
      <c r="A1392" s="168"/>
      <c r="B1392" s="133" t="str">
        <f>'Công trình'!B14</f>
        <v>AF.61331</v>
      </c>
      <c r="C1392" s="34"/>
      <c r="D1392" s="133" t="str">
        <f>'Công trình'!C14</f>
        <v>Sản xuất, lắp dựng cốt thép tường đường kính &gt;18mm, chiều cao &lt;=4m</v>
      </c>
      <c r="E1392" s="168"/>
      <c r="F1392" s="20">
        <v>1</v>
      </c>
      <c r="G1392" s="45">
        <f>'Hao phí vật tư'!L99</f>
        <v>0.4723</v>
      </c>
      <c r="H1392" s="166"/>
      <c r="I1392" s="166"/>
      <c r="J1392" s="166"/>
      <c r="K1392" s="166"/>
      <c r="L1392" s="156">
        <f>ROUND(G1392*K1388,2)</f>
        <v>0</v>
      </c>
      <c r="M1392" s="156">
        <f>ROUND(G1392*J1388,2)</f>
        <v>107705.18</v>
      </c>
    </row>
    <row r="1393" spans="1:13" ht="30" hidden="1" x14ac:dyDescent="0.25">
      <c r="A1393" s="168"/>
      <c r="B1393" s="133" t="str">
        <f>'Công trình'!B20</f>
        <v>AF.61511</v>
      </c>
      <c r="C1393" s="34"/>
      <c r="D1393" s="133" t="str">
        <f>'Công trình'!C20</f>
        <v>Sản xuất, lắp dựng cốt thép xà dầm, giằng đường kính &lt;=10mm, chiều cao &lt;=4m</v>
      </c>
      <c r="E1393" s="168"/>
      <c r="F1393" s="20">
        <v>1</v>
      </c>
      <c r="G1393" s="45">
        <f>'Hao phí vật tư'!L154</f>
        <v>0.44190000000000002</v>
      </c>
      <c r="H1393" s="166"/>
      <c r="I1393" s="166"/>
      <c r="J1393" s="166"/>
      <c r="K1393" s="166"/>
      <c r="L1393" s="156">
        <f>ROUND(G1393*K1388,2)</f>
        <v>0</v>
      </c>
      <c r="M1393" s="156">
        <f>ROUND(G1393*J1388,2)</f>
        <v>100772.64</v>
      </c>
    </row>
    <row r="1394" spans="1:13" ht="30" hidden="1" x14ac:dyDescent="0.25">
      <c r="A1394" s="168"/>
      <c r="B1394" s="133" t="str">
        <f>'Công trình'!B22</f>
        <v>AF.61521</v>
      </c>
      <c r="C1394" s="34"/>
      <c r="D1394" s="133" t="str">
        <f>'Công trình'!C22</f>
        <v>Sản xuất, lắp dựng cốt thép xà dầm, giằng đường kính &lt;=18mm, chiều cao &lt;=4m</v>
      </c>
      <c r="E1394" s="168"/>
      <c r="F1394" s="20">
        <v>1</v>
      </c>
      <c r="G1394" s="45">
        <f>'Hao phí vật tư'!L163</f>
        <v>0.69110000000000005</v>
      </c>
      <c r="H1394" s="166"/>
      <c r="I1394" s="166"/>
      <c r="J1394" s="166"/>
      <c r="K1394" s="166"/>
      <c r="L1394" s="156">
        <f>ROUND(G1394*K1388,2)</f>
        <v>0</v>
      </c>
      <c r="M1394" s="156">
        <f>ROUND(G1394*J1388,2)</f>
        <v>157601.21</v>
      </c>
    </row>
    <row r="1395" spans="1:13" ht="30" hidden="1" x14ac:dyDescent="0.25">
      <c r="A1395" s="168"/>
      <c r="B1395" s="133" t="str">
        <f>'Công trình'!B32</f>
        <v>AF.61311</v>
      </c>
      <c r="C1395" s="34"/>
      <c r="D1395" s="133" t="str">
        <f>'Công trình'!C32</f>
        <v>Sản xuất, lắp dựng cốt thép tường đường kính &lt;=10mm, chiều cao &lt;=4m</v>
      </c>
      <c r="E1395" s="168"/>
      <c r="F1395" s="20">
        <v>1</v>
      </c>
      <c r="G1395" s="45">
        <f>'Hao phí vật tư'!L234</f>
        <v>0.35010000000000002</v>
      </c>
      <c r="H1395" s="166"/>
      <c r="I1395" s="166"/>
      <c r="J1395" s="166"/>
      <c r="K1395" s="166"/>
      <c r="L1395" s="156">
        <f>ROUND(G1395*K1388,2)</f>
        <v>0</v>
      </c>
      <c r="M1395" s="156">
        <f>ROUND(G1395*J1388,2)</f>
        <v>79838.2</v>
      </c>
    </row>
    <row r="1396" spans="1:13" ht="30" hidden="1" x14ac:dyDescent="0.25">
      <c r="A1396" s="168"/>
      <c r="B1396" s="133" t="str">
        <f>'Công trình'!B33</f>
        <v>AF.61321</v>
      </c>
      <c r="C1396" s="34"/>
      <c r="D1396" s="133" t="str">
        <f>'Công trình'!C33</f>
        <v>Sản xuất, lắp dựng cốt thép tường đường kính &lt;=18mm, chiều cao &lt;=4m</v>
      </c>
      <c r="E1396" s="168"/>
      <c r="F1396" s="20">
        <v>1</v>
      </c>
      <c r="G1396" s="45">
        <f>'Hao phí vật tư'!L243</f>
        <v>0.27050000000000002</v>
      </c>
      <c r="H1396" s="166"/>
      <c r="I1396" s="166"/>
      <c r="J1396" s="166"/>
      <c r="K1396" s="166"/>
      <c r="L1396" s="156">
        <f>ROUND(G1396*K1388,2)</f>
        <v>0</v>
      </c>
      <c r="M1396" s="156">
        <f>ROUND(G1396*J1388,2)</f>
        <v>61685.9</v>
      </c>
    </row>
    <row r="1397" spans="1:13" ht="30" hidden="1" x14ac:dyDescent="0.25">
      <c r="A1397" s="168"/>
      <c r="B1397" s="133" t="str">
        <f>'Công trình'!B60</f>
        <v>AF.61511</v>
      </c>
      <c r="C1397" s="34"/>
      <c r="D1397" s="133" t="str">
        <f>'Công trình'!C60</f>
        <v>Sản xuất, lắp dựng cốt thép xà dầm, giằng đường kính &lt;=10mm, chiều cao &lt;=4m</v>
      </c>
      <c r="E1397" s="168"/>
      <c r="F1397" s="20">
        <v>1</v>
      </c>
      <c r="G1397" s="45">
        <f>'Hao phí vật tư'!L460</f>
        <v>0.16880000000000001</v>
      </c>
      <c r="H1397" s="166"/>
      <c r="I1397" s="166"/>
      <c r="J1397" s="166"/>
      <c r="K1397" s="166"/>
      <c r="L1397" s="156">
        <f>ROUND(G1397*K1388,2)</f>
        <v>0</v>
      </c>
      <c r="M1397" s="156">
        <f>ROUND(G1397*J1388,2)</f>
        <v>38493.83</v>
      </c>
    </row>
    <row r="1398" spans="1:13" ht="30" hidden="1" x14ac:dyDescent="0.25">
      <c r="A1398" s="168"/>
      <c r="B1398" s="133" t="str">
        <f>'Công trình'!B61</f>
        <v>AF.61521</v>
      </c>
      <c r="C1398" s="34"/>
      <c r="D1398" s="133" t="str">
        <f>'Công trình'!C61</f>
        <v>Sản xuất, lắp dựng cốt thép xà dầm, giằng đường kính &lt;=18mm, chiều cao &lt;=4m</v>
      </c>
      <c r="E1398" s="168"/>
      <c r="F1398" s="20">
        <v>1</v>
      </c>
      <c r="G1398" s="45">
        <f>'Hao phí vật tư'!L469</f>
        <v>0.58560000000000001</v>
      </c>
      <c r="H1398" s="166"/>
      <c r="I1398" s="166"/>
      <c r="J1398" s="166"/>
      <c r="K1398" s="166"/>
      <c r="L1398" s="156">
        <f>ROUND(G1398*K1388,2)</f>
        <v>0</v>
      </c>
      <c r="M1398" s="156">
        <f>ROUND(G1398*J1388,2)</f>
        <v>133542.57</v>
      </c>
    </row>
    <row r="1399" spans="1:13" ht="30" hidden="1" x14ac:dyDescent="0.25">
      <c r="A1399" s="168"/>
      <c r="B1399" s="133" t="str">
        <f>'Công trình'!B69</f>
        <v>AG.13111</v>
      </c>
      <c r="C1399" s="34"/>
      <c r="D1399" s="133" t="str">
        <f>'Công trình'!C69</f>
        <v>Sản xuất, lắp dựng cốt thép BT đúc sẵn cọc, đường kính &lt;=10mm</v>
      </c>
      <c r="E1399" s="168"/>
      <c r="F1399" s="20">
        <v>1</v>
      </c>
      <c r="G1399" s="45">
        <f>'Hao phí vật tư'!L524</f>
        <v>0.92149999999999999</v>
      </c>
      <c r="H1399" s="166"/>
      <c r="I1399" s="166"/>
      <c r="J1399" s="166"/>
      <c r="K1399" s="166"/>
      <c r="L1399" s="156">
        <f>ROUND(G1399*K1388,2)</f>
        <v>0</v>
      </c>
      <c r="M1399" s="156">
        <f>ROUND(G1399*J1388,2)</f>
        <v>210142.55</v>
      </c>
    </row>
    <row r="1400" spans="1:13" ht="30" hidden="1" x14ac:dyDescent="0.25">
      <c r="A1400" s="168"/>
      <c r="B1400" s="133" t="str">
        <f>'Công trình'!B70</f>
        <v>AG.13121</v>
      </c>
      <c r="C1400" s="34"/>
      <c r="D1400" s="133" t="str">
        <f>'Công trình'!C70</f>
        <v>Sản xuất, lắp dựng cốt thép BT đúc sẵn cọc, đường kính &lt;=18mm</v>
      </c>
      <c r="E1400" s="168"/>
      <c r="F1400" s="20">
        <v>1</v>
      </c>
      <c r="G1400" s="45">
        <f>'Hao phí vật tư'!L533</f>
        <v>0.13450000000000001</v>
      </c>
      <c r="H1400" s="166"/>
      <c r="I1400" s="166"/>
      <c r="J1400" s="166"/>
      <c r="K1400" s="166"/>
      <c r="L1400" s="156">
        <f>ROUND(G1400*K1388,2)</f>
        <v>0</v>
      </c>
      <c r="M1400" s="156">
        <f>ROUND(G1400*J1388,2)</f>
        <v>30671.919999999998</v>
      </c>
    </row>
    <row r="1401" spans="1:13" ht="30" hidden="1" x14ac:dyDescent="0.25">
      <c r="A1401" s="168"/>
      <c r="B1401" s="133" t="str">
        <f>'Công trình'!B71</f>
        <v>AG.13131</v>
      </c>
      <c r="C1401" s="34"/>
      <c r="D1401" s="133" t="str">
        <f>'Công trình'!C71</f>
        <v>Sản xuất, lắp dựng cốt thép BT đúc sẵn cọc, đường kính &gt;18mm</v>
      </c>
      <c r="E1401" s="168"/>
      <c r="F1401" s="20">
        <v>1</v>
      </c>
      <c r="G1401" s="45">
        <f>'Hao phí vật tư'!L543</f>
        <v>2.0093000000000001</v>
      </c>
      <c r="H1401" s="166"/>
      <c r="I1401" s="166"/>
      <c r="J1401" s="166"/>
      <c r="K1401" s="166"/>
      <c r="L1401" s="156">
        <f>ROUND(G1401*K1388,2)</f>
        <v>0</v>
      </c>
      <c r="M1401" s="156">
        <f>ROUND(G1401*J1388,2)</f>
        <v>458208.81</v>
      </c>
    </row>
    <row r="1402" spans="1:13" ht="30" hidden="1" x14ac:dyDescent="0.25">
      <c r="A1402" s="168"/>
      <c r="B1402" s="133" t="str">
        <f>'Công trình'!B80</f>
        <v>AG.13111</v>
      </c>
      <c r="C1402" s="34"/>
      <c r="D1402" s="133" t="str">
        <f>'Công trình'!C80</f>
        <v>Sản xuất, lắp dựng cốt thép BT đúc sẵn cọc, đường kính &lt;=10mm</v>
      </c>
      <c r="E1402" s="168"/>
      <c r="F1402" s="20">
        <v>1</v>
      </c>
      <c r="G1402" s="45">
        <f>'Hao phí vật tư'!L640</f>
        <v>0.47320000000000001</v>
      </c>
      <c r="H1402" s="166"/>
      <c r="I1402" s="166"/>
      <c r="J1402" s="166"/>
      <c r="K1402" s="166"/>
      <c r="L1402" s="156">
        <f>ROUND(G1402*K1388,2)</f>
        <v>0</v>
      </c>
      <c r="M1402" s="156">
        <f>ROUND(G1402*J1388,2)</f>
        <v>107910.42</v>
      </c>
    </row>
    <row r="1403" spans="1:13" ht="30" hidden="1" x14ac:dyDescent="0.25">
      <c r="A1403" s="168"/>
      <c r="B1403" s="133" t="str">
        <f>'Công trình'!B81</f>
        <v>AG.13121</v>
      </c>
      <c r="C1403" s="34"/>
      <c r="D1403" s="133" t="str">
        <f>'Công trình'!C81</f>
        <v>Sản xuất, lắp dựng cốt thép BT đúc sẵn cọc, đường kính &lt;=18mm</v>
      </c>
      <c r="E1403" s="168"/>
      <c r="F1403" s="20">
        <v>1</v>
      </c>
      <c r="G1403" s="45">
        <f>'Hao phí vật tư'!L649</f>
        <v>7.3200000000000001E-2</v>
      </c>
      <c r="H1403" s="166"/>
      <c r="I1403" s="166"/>
      <c r="J1403" s="166"/>
      <c r="K1403" s="166"/>
      <c r="L1403" s="156">
        <f>ROUND(G1403*K1388,2)</f>
        <v>0</v>
      </c>
      <c r="M1403" s="156">
        <f>ROUND(G1403*J1388,2)</f>
        <v>16692.82</v>
      </c>
    </row>
    <row r="1404" spans="1:13" ht="30" hidden="1" x14ac:dyDescent="0.25">
      <c r="A1404" s="168"/>
      <c r="B1404" s="133" t="str">
        <f>'Công trình'!B82</f>
        <v>AG.13131</v>
      </c>
      <c r="C1404" s="34"/>
      <c r="D1404" s="133" t="str">
        <f>'Công trình'!C82</f>
        <v>Sản xuất, lắp dựng cốt thép BT đúc sẵn cọc, đường kính &gt;18mm</v>
      </c>
      <c r="E1404" s="168"/>
      <c r="F1404" s="20">
        <v>1</v>
      </c>
      <c r="G1404" s="45">
        <f>'Hao phí vật tư'!L659</f>
        <v>1.0622</v>
      </c>
      <c r="H1404" s="166"/>
      <c r="I1404" s="166"/>
      <c r="J1404" s="166"/>
      <c r="K1404" s="166"/>
      <c r="L1404" s="156">
        <f>ROUND(G1404*K1388,2)</f>
        <v>0</v>
      </c>
      <c r="M1404" s="156">
        <f>ROUND(G1404*J1388,2)</f>
        <v>242228.34</v>
      </c>
    </row>
    <row r="1405" spans="1:13" ht="30" hidden="1" x14ac:dyDescent="0.25">
      <c r="A1405" s="168"/>
      <c r="B1405" s="133" t="str">
        <f>'Công trình'!B101</f>
        <v>AF.61110</v>
      </c>
      <c r="C1405" s="34"/>
      <c r="D1405" s="133" t="str">
        <f>'Công trình'!C101</f>
        <v>Sản xuất, lắp dựng cốt thép móng đường kính &lt;=10mm</v>
      </c>
      <c r="E1405" s="168"/>
      <c r="F1405" s="20">
        <v>1</v>
      </c>
      <c r="G1405" s="45">
        <f>'Hao phí vật tư'!L823</f>
        <v>3.9399999999999998E-2</v>
      </c>
      <c r="H1405" s="166"/>
      <c r="I1405" s="166"/>
      <c r="J1405" s="166"/>
      <c r="K1405" s="166"/>
      <c r="L1405" s="156">
        <f>ROUND(G1405*K1388,2)</f>
        <v>0</v>
      </c>
      <c r="M1405" s="156">
        <f>ROUND(G1405*J1388,2)</f>
        <v>8984.93</v>
      </c>
    </row>
    <row r="1406" spans="1:13" hidden="1" x14ac:dyDescent="0.25">
      <c r="A1406" s="168"/>
      <c r="B1406" s="133" t="str">
        <f>'Công trình'!B104</f>
        <v>AI.11131</v>
      </c>
      <c r="C1406" s="34"/>
      <c r="D1406" s="133" t="str">
        <f>'Công trình'!C104</f>
        <v>Sản xuất cọc dẫn bằng thép hình</v>
      </c>
      <c r="E1406" s="168"/>
      <c r="F1406" s="20">
        <v>1</v>
      </c>
      <c r="G1406" s="45">
        <f>'Hao phí vật tư'!L841</f>
        <v>1.1186</v>
      </c>
      <c r="H1406" s="166"/>
      <c r="I1406" s="166"/>
      <c r="J1406" s="166"/>
      <c r="K1406" s="166"/>
      <c r="L1406" s="156">
        <f>ROUND(G1406*K1388,2)</f>
        <v>0</v>
      </c>
      <c r="M1406" s="156">
        <f>ROUND(G1406*J1388,2)</f>
        <v>255090.02</v>
      </c>
    </row>
    <row r="1407" spans="1:13" ht="30" hidden="1" x14ac:dyDescent="0.25">
      <c r="A1407" s="168"/>
      <c r="B1407" s="133" t="str">
        <f>'Công trình'!B181</f>
        <v>AF.65120</v>
      </c>
      <c r="C1407" s="34"/>
      <c r="D1407" s="133" t="str">
        <f>'Công trình'!C181</f>
        <v>Sản xuất, lắp dựng cốt thép móng, mố, trụ, mũ mố, mũ trụ cầu trên cạn đường kính &lt;=18mm</v>
      </c>
      <c r="E1407" s="168"/>
      <c r="F1407" s="20">
        <v>1</v>
      </c>
      <c r="G1407" s="45">
        <f>'Hao phí vật tư'!L1382</f>
        <v>1.3698999999999999</v>
      </c>
      <c r="H1407" s="166"/>
      <c r="I1407" s="166"/>
      <c r="J1407" s="166"/>
      <c r="K1407" s="166"/>
      <c r="L1407" s="156">
        <f>ROUND(G1407*K1388,2)</f>
        <v>0</v>
      </c>
      <c r="M1407" s="156">
        <f>ROUND(G1407*J1388,2)</f>
        <v>312397.48</v>
      </c>
    </row>
    <row r="1408" spans="1:13" ht="30" hidden="1" x14ac:dyDescent="0.25">
      <c r="A1408" s="168"/>
      <c r="B1408" s="133" t="str">
        <f>'Công trình'!B182</f>
        <v>AF.65130</v>
      </c>
      <c r="C1408" s="34"/>
      <c r="D1408" s="133" t="str">
        <f>'Công trình'!C182</f>
        <v>Sản xuất, lắp dựng cốt thép móng, mố, trụ, mũ mố, mũ trụ cầu trên cạn đường kính &gt;18mm</v>
      </c>
      <c r="E1408" s="168"/>
      <c r="F1408" s="20">
        <v>1</v>
      </c>
      <c r="G1408" s="45">
        <f>'Hao phí vật tư'!L1393</f>
        <v>0.75929999999999997</v>
      </c>
      <c r="H1408" s="166"/>
      <c r="I1408" s="166"/>
      <c r="J1408" s="166"/>
      <c r="K1408" s="166"/>
      <c r="L1408" s="156">
        <f>ROUND(G1408*K1388,2)</f>
        <v>0</v>
      </c>
      <c r="M1408" s="156">
        <f>ROUND(G1408*J1388,2)</f>
        <v>173153.81</v>
      </c>
    </row>
    <row r="1409" spans="1:13" ht="30" hidden="1" x14ac:dyDescent="0.25">
      <c r="A1409" s="168"/>
      <c r="B1409" s="133" t="str">
        <f>'Công trình'!B183</f>
        <v>AF.61110</v>
      </c>
      <c r="C1409" s="34"/>
      <c r="D1409" s="133" t="str">
        <f>'Công trình'!C183</f>
        <v>Sản xuất, lắp dựng cốt thép bản dẫn đường kính &lt;=10mm</v>
      </c>
      <c r="E1409" s="168"/>
      <c r="F1409" s="20">
        <v>1</v>
      </c>
      <c r="G1409" s="45">
        <f>'Hao phí vật tư'!L1402</f>
        <v>5.3E-3</v>
      </c>
      <c r="H1409" s="166"/>
      <c r="I1409" s="166"/>
      <c r="J1409" s="166"/>
      <c r="K1409" s="166"/>
      <c r="L1409" s="156">
        <f>ROUND(G1409*K1388,2)</f>
        <v>0</v>
      </c>
      <c r="M1409" s="156">
        <f>ROUND(G1409*J1388,2)</f>
        <v>1208.6300000000001</v>
      </c>
    </row>
    <row r="1410" spans="1:13" ht="30" hidden="1" x14ac:dyDescent="0.25">
      <c r="A1410" s="168"/>
      <c r="B1410" s="133" t="str">
        <f>'Công trình'!B184</f>
        <v>AF.61120</v>
      </c>
      <c r="C1410" s="34"/>
      <c r="D1410" s="133" t="str">
        <f>'Công trình'!C184</f>
        <v>Sản xuất, lắp dựng cốt thép bản dẫn đường kính &lt;=18mm</v>
      </c>
      <c r="E1410" s="168"/>
      <c r="F1410" s="20">
        <v>1</v>
      </c>
      <c r="G1410" s="45">
        <f>'Hao phí vật tư'!L1411</f>
        <v>0.31830000000000003</v>
      </c>
      <c r="H1410" s="166"/>
      <c r="I1410" s="166"/>
      <c r="J1410" s="166"/>
      <c r="K1410" s="166"/>
      <c r="L1410" s="156">
        <f>ROUND(G1410*K1388,2)</f>
        <v>0</v>
      </c>
      <c r="M1410" s="156">
        <f>ROUND(G1410*J1388,2)</f>
        <v>72586.41</v>
      </c>
    </row>
    <row r="1411" spans="1:13" ht="30" hidden="1" x14ac:dyDescent="0.25">
      <c r="A1411" s="168"/>
      <c r="B1411" s="133" t="str">
        <f>'Công trình'!B190</f>
        <v>AF.65120</v>
      </c>
      <c r="C1411" s="34"/>
      <c r="D1411" s="133" t="str">
        <f>'Công trình'!C190</f>
        <v>Sản xuất, lắp dựng cốt thép móng, mố, trụ, mũ mố, mũ trụ cầu trên cạn đường kính &lt;=18mm</v>
      </c>
      <c r="E1411" s="168"/>
      <c r="F1411" s="20">
        <v>1</v>
      </c>
      <c r="G1411" s="45">
        <f>'Hao phí vật tư'!L1466</f>
        <v>0.1583</v>
      </c>
      <c r="H1411" s="166"/>
      <c r="I1411" s="166"/>
      <c r="J1411" s="166"/>
      <c r="K1411" s="166"/>
      <c r="L1411" s="156">
        <f>ROUND(G1411*K1388,2)</f>
        <v>0</v>
      </c>
      <c r="M1411" s="156">
        <f>ROUND(G1411*J1388,2)</f>
        <v>36099.370000000003</v>
      </c>
    </row>
    <row r="1412" spans="1:13" ht="30" hidden="1" x14ac:dyDescent="0.25">
      <c r="A1412" s="168"/>
      <c r="B1412" s="133" t="str">
        <f>'Công trình'!B191</f>
        <v>AF.65130</v>
      </c>
      <c r="C1412" s="34"/>
      <c r="D1412" s="133" t="str">
        <f>'Công trình'!C191</f>
        <v>Sản xuất, lắp dựng cốt thép móng, mố, trụ, mũ mố, mũ trụ cầu trên cạn đường kính &gt;18mm</v>
      </c>
      <c r="E1412" s="168"/>
      <c r="F1412" s="20">
        <v>1</v>
      </c>
      <c r="G1412" s="45">
        <f>'Hao phí vật tư'!L1477</f>
        <v>0.30259999999999998</v>
      </c>
      <c r="H1412" s="166"/>
      <c r="I1412" s="166"/>
      <c r="J1412" s="166"/>
      <c r="K1412" s="166"/>
      <c r="L1412" s="156">
        <f>ROUND(G1412*K1388,2)</f>
        <v>0</v>
      </c>
      <c r="M1412" s="156">
        <f>ROUND(G1412*J1388,2)</f>
        <v>69006.11</v>
      </c>
    </row>
    <row r="1413" spans="1:13" ht="30" hidden="1" x14ac:dyDescent="0.25">
      <c r="A1413" s="168"/>
      <c r="B1413" s="133" t="str">
        <f>'Công trình'!B202</f>
        <v>AF.61711</v>
      </c>
      <c r="C1413" s="34"/>
      <c r="D1413" s="133" t="str">
        <f>'Công trình'!C202</f>
        <v>Sản xuất, lắp dựng cốt thép mặt cầu đường kính &lt;=10mm, chiều cao &lt;=16m</v>
      </c>
      <c r="E1413" s="168"/>
      <c r="F1413" s="20">
        <v>1</v>
      </c>
      <c r="G1413" s="45">
        <f>'Hao phí vật tư'!L1570</f>
        <v>3.4200000000000001E-2</v>
      </c>
      <c r="H1413" s="166"/>
      <c r="I1413" s="166"/>
      <c r="J1413" s="166"/>
      <c r="K1413" s="166"/>
      <c r="L1413" s="156">
        <f>ROUND(G1413*K1388,2)</f>
        <v>0</v>
      </c>
      <c r="M1413" s="156">
        <f>ROUND(G1413*J1388,2)</f>
        <v>7799.1</v>
      </c>
    </row>
    <row r="1414" spans="1:13" ht="30" hidden="1" x14ac:dyDescent="0.25">
      <c r="A1414" s="168"/>
      <c r="B1414" s="133" t="str">
        <f>'Công trình'!B204</f>
        <v>AF.61721</v>
      </c>
      <c r="C1414" s="34"/>
      <c r="D1414" s="133" t="str">
        <f>'Công trình'!C204</f>
        <v>Sản xuất, lắp dựng cốt thép mặt cầu đường kính &gt;10mm, chiều cao &lt;=16m</v>
      </c>
      <c r="E1414" s="168"/>
      <c r="F1414" s="20">
        <v>1</v>
      </c>
      <c r="G1414" s="45">
        <f>'Hao phí vật tư'!L1582</f>
        <v>3.306</v>
      </c>
      <c r="H1414" s="166"/>
      <c r="I1414" s="166"/>
      <c r="J1414" s="166"/>
      <c r="K1414" s="166"/>
      <c r="L1414" s="156">
        <f>ROUND(G1414*K1388,2)</f>
        <v>0</v>
      </c>
      <c r="M1414" s="156">
        <f>ROUND(G1414*J1388,2)</f>
        <v>753913.46</v>
      </c>
    </row>
    <row r="1415" spans="1:13" ht="30" hidden="1" x14ac:dyDescent="0.25">
      <c r="A1415" s="168"/>
      <c r="B1415" s="133" t="str">
        <f>'Công trình'!B206</f>
        <v>AF.65410</v>
      </c>
      <c r="C1415" s="34"/>
      <c r="D1415" s="133" t="str">
        <f>'Công trình'!C206</f>
        <v>Công tác sản xuất lắp dựng cốt thép bê tông tại chỗ, cốt thép dầm cầu trên cạn, D ≤10mm</v>
      </c>
      <c r="E1415" s="168"/>
      <c r="F1415" s="20">
        <v>1</v>
      </c>
      <c r="G1415" s="45">
        <f>'Hao phí vật tư'!L1592</f>
        <v>0.11119999999999999</v>
      </c>
      <c r="H1415" s="166"/>
      <c r="I1415" s="166"/>
      <c r="J1415" s="166"/>
      <c r="K1415" s="166"/>
      <c r="L1415" s="156">
        <f>ROUND(G1415*K1388,2)</f>
        <v>0</v>
      </c>
      <c r="M1415" s="156">
        <f>ROUND(G1415*J1388,2)</f>
        <v>25358.49</v>
      </c>
    </row>
    <row r="1416" spans="1:13" ht="30" hidden="1" x14ac:dyDescent="0.25">
      <c r="A1416" s="168"/>
      <c r="B1416" s="133" t="str">
        <f>'Công trình'!B208</f>
        <v>AF.65420</v>
      </c>
      <c r="C1416" s="34"/>
      <c r="D1416" s="133" t="str">
        <f>'Công trình'!C208</f>
        <v>Công tác sản xuất lắp dựng cốt thép bê tông tại chỗ, cốt thép dầm cầu trên cạn, D ≤18mm</v>
      </c>
      <c r="E1416" s="168"/>
      <c r="F1416" s="20">
        <v>1</v>
      </c>
      <c r="G1416" s="45">
        <f>'Hao phí vật tư'!L1602</f>
        <v>3.9E-2</v>
      </c>
      <c r="H1416" s="166"/>
      <c r="I1416" s="166"/>
      <c r="J1416" s="166"/>
      <c r="K1416" s="166"/>
      <c r="L1416" s="156">
        <f>ROUND(G1416*K1388,2)</f>
        <v>0</v>
      </c>
      <c r="M1416" s="156">
        <f>ROUND(G1416*J1388,2)</f>
        <v>8893.7199999999993</v>
      </c>
    </row>
    <row r="1417" spans="1:13" ht="30" hidden="1" x14ac:dyDescent="0.25">
      <c r="A1417" s="168"/>
      <c r="B1417" s="133" t="str">
        <f>'Công trình'!B210</f>
        <v>AF.65430</v>
      </c>
      <c r="C1417" s="34"/>
      <c r="D1417" s="133" t="str">
        <f>'Công trình'!C210</f>
        <v>Công tác sản xuất lắp dựng cốt thép bê tông tại chỗ, cốt thép dầm cầu trên cạn, D &gt;18mm</v>
      </c>
      <c r="E1417" s="168"/>
      <c r="F1417" s="20">
        <v>1</v>
      </c>
      <c r="G1417" s="45">
        <f>'Hao phí vật tư'!L1613</f>
        <v>3.4000000000000002E-2</v>
      </c>
      <c r="H1417" s="166"/>
      <c r="I1417" s="166"/>
      <c r="J1417" s="166"/>
      <c r="K1417" s="166"/>
      <c r="L1417" s="156">
        <f>ROUND(G1417*K1388,2)</f>
        <v>0</v>
      </c>
      <c r="M1417" s="156">
        <f>ROUND(G1417*J1388,2)</f>
        <v>7753.5</v>
      </c>
    </row>
    <row r="1418" spans="1:13" ht="30" hidden="1" x14ac:dyDescent="0.25">
      <c r="A1418" s="168"/>
      <c r="B1418" s="133" t="str">
        <f>'Công trình'!B218</f>
        <v>AF.61120</v>
      </c>
      <c r="C1418" s="34"/>
      <c r="D1418" s="133" t="str">
        <f>'Công trình'!C218</f>
        <v>Sản xuất, lắp dựng cốt thép móng đường kính &lt;=18mm</v>
      </c>
      <c r="E1418" s="168"/>
      <c r="F1418" s="20">
        <v>1</v>
      </c>
      <c r="G1418" s="45">
        <f>'Hao phí vật tư'!L1651</f>
        <v>9.9500000000000005E-2</v>
      </c>
      <c r="H1418" s="166"/>
      <c r="I1418" s="166"/>
      <c r="J1418" s="166"/>
      <c r="K1418" s="166"/>
      <c r="L1418" s="156">
        <f>ROUND(G1418*K1388,2)</f>
        <v>0</v>
      </c>
      <c r="M1418" s="156">
        <f>ROUND(G1418*J1388,2)</f>
        <v>22690.38</v>
      </c>
    </row>
    <row r="1419" spans="1:13" hidden="1" x14ac:dyDescent="0.25">
      <c r="A1419" s="168"/>
      <c r="B1419" s="133" t="str">
        <f>'Công trình'!B220</f>
        <v>AF.61110</v>
      </c>
      <c r="C1419" s="34"/>
      <c r="D1419" s="133" t="str">
        <f>'Công trình'!C220</f>
        <v>Sản xuất, lắp dựng cốt thép đường kính &lt;=10mm</v>
      </c>
      <c r="E1419" s="168"/>
      <c r="F1419" s="20">
        <v>1</v>
      </c>
      <c r="G1419" s="45">
        <f>'Hao phí vật tư'!L1660</f>
        <v>6.0000000000000001E-3</v>
      </c>
      <c r="H1419" s="166"/>
      <c r="I1419" s="166"/>
      <c r="J1419" s="166"/>
      <c r="K1419" s="166"/>
      <c r="L1419" s="156">
        <f>ROUND(G1419*K1388,2)</f>
        <v>0</v>
      </c>
      <c r="M1419" s="156">
        <f>ROUND(G1419*J1388,2)</f>
        <v>1368.26</v>
      </c>
    </row>
    <row r="1420" spans="1:13" hidden="1" x14ac:dyDescent="0.25">
      <c r="A1420" s="168"/>
      <c r="B1420" s="133" t="str">
        <f>'Công trình'!B221</f>
        <v>AF.61120</v>
      </c>
      <c r="C1420" s="34"/>
      <c r="D1420" s="133" t="str">
        <f>'Công trình'!C221</f>
        <v>Sản xuất, lắp dựng cốt thép đường kính &lt;=18mm</v>
      </c>
      <c r="E1420" s="168"/>
      <c r="F1420" s="20">
        <v>1</v>
      </c>
      <c r="G1420" s="45">
        <f>'Hao phí vật tư'!L1669</f>
        <v>0.56720000000000004</v>
      </c>
      <c r="H1420" s="166"/>
      <c r="I1420" s="166"/>
      <c r="J1420" s="166"/>
      <c r="K1420" s="166"/>
      <c r="L1420" s="156">
        <f>ROUND(G1420*K1388,2)</f>
        <v>0</v>
      </c>
      <c r="M1420" s="156">
        <f>ROUND(G1420*J1388,2)</f>
        <v>129346.56</v>
      </c>
    </row>
    <row r="1421" spans="1:13" ht="30" hidden="1" x14ac:dyDescent="0.25">
      <c r="A1421" s="168"/>
      <c r="B1421" s="133" t="str">
        <f>'Công trình'!B226</f>
        <v>AG.13111</v>
      </c>
      <c r="C1421" s="34"/>
      <c r="D1421" s="133" t="str">
        <f>'Công trình'!C226</f>
        <v>Sản xuất, lắp dựng cốt thép BT đúc sẵn cọc, đường kính &lt;=10mm</v>
      </c>
      <c r="E1421" s="168"/>
      <c r="F1421" s="20">
        <v>1</v>
      </c>
      <c r="G1421" s="45">
        <f>'Hao phí vật tư'!L1700</f>
        <v>0.97809999999999997</v>
      </c>
      <c r="H1421" s="166"/>
      <c r="I1421" s="166"/>
      <c r="J1421" s="166"/>
      <c r="K1421" s="166"/>
      <c r="L1421" s="156">
        <f>ROUND(G1421*K1388,2)</f>
        <v>0</v>
      </c>
      <c r="M1421" s="156">
        <f>ROUND(G1421*J1388,2)</f>
        <v>223049.84</v>
      </c>
    </row>
    <row r="1422" spans="1:13" ht="30" hidden="1" x14ac:dyDescent="0.25">
      <c r="A1422" s="168"/>
      <c r="B1422" s="133" t="str">
        <f>'Công trình'!B227</f>
        <v>AG.13121</v>
      </c>
      <c r="C1422" s="34"/>
      <c r="D1422" s="133" t="str">
        <f>'Công trình'!C227</f>
        <v>Sản xuất, lắp dựng cốt thép BT đúc sẵn cọc, đường kính &lt;=18mm</v>
      </c>
      <c r="E1422" s="168"/>
      <c r="F1422" s="20">
        <v>1</v>
      </c>
      <c r="G1422" s="45">
        <f>'Hao phí vật tư'!L1709</f>
        <v>0.13719999999999999</v>
      </c>
      <c r="H1422" s="166"/>
      <c r="I1422" s="166"/>
      <c r="J1422" s="166"/>
      <c r="K1422" s="166"/>
      <c r="L1422" s="156">
        <f>ROUND(G1422*K1388,2)</f>
        <v>0</v>
      </c>
      <c r="M1422" s="156">
        <f>ROUND(G1422*J1388,2)</f>
        <v>31287.64</v>
      </c>
    </row>
    <row r="1423" spans="1:13" ht="30" hidden="1" x14ac:dyDescent="0.25">
      <c r="A1423" s="168"/>
      <c r="B1423" s="133" t="str">
        <f>'Công trình'!B228</f>
        <v>AG.13131</v>
      </c>
      <c r="C1423" s="34"/>
      <c r="D1423" s="133" t="str">
        <f>'Công trình'!C228</f>
        <v>Sản xuất, lắp dựng cốt thép BT đúc sẵn cọc, đường kính &gt;18mm</v>
      </c>
      <c r="E1423" s="168"/>
      <c r="F1423" s="20">
        <v>1</v>
      </c>
      <c r="G1423" s="45">
        <f>'Hao phí vật tư'!L1719</f>
        <v>2.1299000000000001</v>
      </c>
      <c r="H1423" s="166"/>
      <c r="I1423" s="166"/>
      <c r="J1423" s="166"/>
      <c r="K1423" s="166"/>
      <c r="L1423" s="156">
        <f>ROUND(G1423*K1388,2)</f>
        <v>0</v>
      </c>
      <c r="M1423" s="156">
        <f>ROUND(G1423*J1388,2)</f>
        <v>485710.92</v>
      </c>
    </row>
    <row r="1424" spans="1:13" hidden="1" x14ac:dyDescent="0.25">
      <c r="A1424" s="168"/>
      <c r="B1424" s="133" t="str">
        <f>'Công trình'!B257</f>
        <v>AF.61110</v>
      </c>
      <c r="C1424" s="34"/>
      <c r="D1424" s="133" t="str">
        <f>'Công trình'!C257</f>
        <v>Sản xuất, lắp dựng cốt thép đường kính &lt;=10mm</v>
      </c>
      <c r="E1424" s="168"/>
      <c r="F1424" s="20">
        <v>1</v>
      </c>
      <c r="G1424" s="45">
        <f>'Hao phí vật tư'!L1966</f>
        <v>0.66739999999999999</v>
      </c>
      <c r="H1424" s="166"/>
      <c r="I1424" s="166"/>
      <c r="J1424" s="166"/>
      <c r="K1424" s="166"/>
      <c r="L1424" s="156">
        <f>ROUND(G1424*K1388,2)</f>
        <v>0</v>
      </c>
      <c r="M1424" s="156">
        <f>ROUND(G1424*J1388,2)</f>
        <v>152196.57</v>
      </c>
    </row>
    <row r="1425" spans="1:13" hidden="1" x14ac:dyDescent="0.25">
      <c r="A1425" s="168"/>
      <c r="B1425" s="133" t="str">
        <f>'Công trình'!B258</f>
        <v>AF.61120</v>
      </c>
      <c r="C1425" s="34"/>
      <c r="D1425" s="133" t="str">
        <f>'Công trình'!C258</f>
        <v>Sản xuất, lắp dựng cốt thép đường kính &lt;=18mm</v>
      </c>
      <c r="E1425" s="168"/>
      <c r="F1425" s="20">
        <v>1</v>
      </c>
      <c r="G1425" s="45">
        <f>'Hao phí vật tư'!L1975</f>
        <v>0.20369999999999999</v>
      </c>
      <c r="H1425" s="166"/>
      <c r="I1425" s="166"/>
      <c r="J1425" s="166"/>
      <c r="K1425" s="166"/>
      <c r="L1425" s="156">
        <f>ROUND(G1425*K1388,2)</f>
        <v>0</v>
      </c>
      <c r="M1425" s="156">
        <f>ROUND(G1425*J1388,2)</f>
        <v>46452.56</v>
      </c>
    </row>
    <row r="1426" spans="1:13" ht="30" hidden="1" x14ac:dyDescent="0.25">
      <c r="A1426" s="168"/>
      <c r="B1426" s="133" t="str">
        <f>'Công trình'!B302</f>
        <v>AF.61110</v>
      </c>
      <c r="C1426" s="34"/>
      <c r="D1426" s="133" t="str">
        <f>'Công trình'!C302</f>
        <v>Sản xuất, lắp dựng cốt thép móng đường kính &lt;=10mm</v>
      </c>
      <c r="E1426" s="168"/>
      <c r="F1426" s="20">
        <v>1</v>
      </c>
      <c r="G1426" s="45">
        <f>'Hao phí vật tư'!L2270</f>
        <v>4.6199999999999998E-2</v>
      </c>
      <c r="H1426" s="166"/>
      <c r="I1426" s="166"/>
      <c r="J1426" s="166"/>
      <c r="K1426" s="166"/>
      <c r="L1426" s="156">
        <f>ROUND(G1426*K1388,2)</f>
        <v>0</v>
      </c>
      <c r="M1426" s="156">
        <f>ROUND(G1426*J1388,2)</f>
        <v>10535.63</v>
      </c>
    </row>
    <row r="1427" spans="1:13" hidden="1" x14ac:dyDescent="0.25">
      <c r="A1427" s="168"/>
      <c r="B1427" s="133" t="str">
        <f>'Công trình'!B24</f>
        <v>AF.61130</v>
      </c>
      <c r="C1427" s="34"/>
      <c r="D1427" s="133" t="str">
        <f>'Công trình'!C24</f>
        <v>Neo dầm mang cống bằng thép D32 SUS304</v>
      </c>
      <c r="E1427" s="168"/>
      <c r="F1427" s="20">
        <v>1</v>
      </c>
      <c r="G1427" s="45">
        <f>'Hao phí vật tư'!L173</f>
        <v>9.9299999999999999E-2</v>
      </c>
      <c r="H1427" s="166"/>
      <c r="I1427" s="166"/>
      <c r="J1427" s="166"/>
      <c r="K1427" s="166"/>
      <c r="L1427" s="156">
        <f>ROUND(G1427*K1388,2)</f>
        <v>0</v>
      </c>
      <c r="M1427" s="156">
        <f>ROUND(G1427*J1388,2)</f>
        <v>22644.77</v>
      </c>
    </row>
    <row r="1428" spans="1:13" ht="30" hidden="1" x14ac:dyDescent="0.25">
      <c r="A1428" s="168"/>
      <c r="B1428" s="133" t="str">
        <f>'Công trình'!B37</f>
        <v>AF.61521</v>
      </c>
      <c r="C1428" s="34"/>
      <c r="D1428" s="133" t="str">
        <f>'Công trình'!C37</f>
        <v>Sản xuất, lắp dựng cốt thép xà dầm, giằng đường kính &lt;=18mm, chiều cao &lt;=4m</v>
      </c>
      <c r="E1428" s="168"/>
      <c r="F1428" s="20">
        <v>1</v>
      </c>
      <c r="G1428" s="45">
        <f>'Hao phí vật tư'!L287</f>
        <v>8.72E-2</v>
      </c>
      <c r="H1428" s="166"/>
      <c r="I1428" s="166"/>
      <c r="J1428" s="166"/>
      <c r="K1428" s="166"/>
      <c r="L1428" s="156">
        <f>ROUND(G1428*K1388,2)</f>
        <v>0</v>
      </c>
      <c r="M1428" s="156">
        <f>ROUND(G1428*J1388,2)</f>
        <v>19885.439999999999</v>
      </c>
    </row>
    <row r="1429" spans="1:13" ht="30" hidden="1" x14ac:dyDescent="0.25">
      <c r="A1429" s="168"/>
      <c r="B1429" s="133" t="str">
        <f>'Công trình'!B36</f>
        <v>AF.61511</v>
      </c>
      <c r="C1429" s="34"/>
      <c r="D1429" s="133" t="str">
        <f>'Công trình'!C36</f>
        <v>Sản xuất, lắp dựng cốt thép xà dầm, giằng đường kính &lt;=10mm, chiều cao &lt;=4m</v>
      </c>
      <c r="E1429" s="168"/>
      <c r="F1429" s="20">
        <v>1</v>
      </c>
      <c r="G1429" s="45">
        <f>'Hao phí vật tư'!L278</f>
        <v>0.15029999999999999</v>
      </c>
      <c r="H1429" s="166"/>
      <c r="I1429" s="166"/>
      <c r="J1429" s="166"/>
      <c r="K1429" s="166"/>
      <c r="L1429" s="156">
        <f>ROUND(G1429*K1388,2)</f>
        <v>0</v>
      </c>
      <c r="M1429" s="156">
        <f>ROUND(G1429*J1388,2)</f>
        <v>34275.01</v>
      </c>
    </row>
    <row r="1430" spans="1:13" x14ac:dyDescent="0.25">
      <c r="A1430" s="168">
        <v>30</v>
      </c>
      <c r="B1430" s="84" t="s">
        <v>514</v>
      </c>
      <c r="C1430" s="34">
        <v>880</v>
      </c>
      <c r="D1430" s="144" t="s">
        <v>1048</v>
      </c>
      <c r="E1430" s="168" t="s">
        <v>76</v>
      </c>
      <c r="F1430" s="34"/>
      <c r="G1430" s="60">
        <f>SUM(G1431:G1431)</f>
        <v>80.938699999999997</v>
      </c>
      <c r="H1430" s="166">
        <v>232342</v>
      </c>
      <c r="I1430" s="166">
        <v>232342</v>
      </c>
      <c r="J1430" s="166">
        <f>'Máy thi công'!N492</f>
        <v>232342</v>
      </c>
      <c r="K1430" s="166">
        <f>J1430-H1430</f>
        <v>0</v>
      </c>
      <c r="L1430" s="166">
        <f>ROUND(G1430*K1430,0)</f>
        <v>0</v>
      </c>
      <c r="M1430" s="166">
        <f>ROUND(G1430*J1430,0)</f>
        <v>18805459</v>
      </c>
    </row>
    <row r="1431" spans="1:13" ht="30" hidden="1" x14ac:dyDescent="0.25">
      <c r="A1431" s="168"/>
      <c r="B1431" s="133" t="str">
        <f>'Công trình'!B320</f>
        <v>CV.0102</v>
      </c>
      <c r="C1431" s="34"/>
      <c r="D1431" s="133" t="str">
        <f>'Công trình'!C320</f>
        <v>Sản xuất cửa van bằng thép không gỉ, chiều rộng cống (B) &lt;= 8m</v>
      </c>
      <c r="E1431" s="168"/>
      <c r="F1431" s="20">
        <v>1</v>
      </c>
      <c r="G1431" s="45">
        <f>'Hao phí vật tư'!L2381</f>
        <v>80.938699999999997</v>
      </c>
      <c r="H1431" s="166"/>
      <c r="I1431" s="166"/>
      <c r="J1431" s="166"/>
      <c r="K1431" s="166"/>
      <c r="L1431" s="156">
        <f>ROUND(G1431*K1430,2)</f>
        <v>0</v>
      </c>
      <c r="M1431" s="156">
        <f>ROUND(G1431*J1430,2)</f>
        <v>18805459.440000001</v>
      </c>
    </row>
    <row r="1432" spans="1:13" x14ac:dyDescent="0.25">
      <c r="A1432" s="168">
        <v>31</v>
      </c>
      <c r="B1432" s="84" t="s">
        <v>116</v>
      </c>
      <c r="C1432" s="34">
        <v>699</v>
      </c>
      <c r="D1432" s="144" t="s">
        <v>873</v>
      </c>
      <c r="E1432" s="168" t="s">
        <v>76</v>
      </c>
      <c r="F1432" s="34"/>
      <c r="G1432" s="60">
        <f>SUM(G1433:G1437)</f>
        <v>42.909500000000001</v>
      </c>
      <c r="H1432" s="166">
        <v>222547</v>
      </c>
      <c r="I1432" s="166">
        <v>222547</v>
      </c>
      <c r="J1432" s="166">
        <f>'Máy thi công'!N226</f>
        <v>222547</v>
      </c>
      <c r="K1432" s="166">
        <f>J1432-H1432</f>
        <v>0</v>
      </c>
      <c r="L1432" s="166">
        <f>ROUND(G1432*K1432,0)</f>
        <v>0</v>
      </c>
      <c r="M1432" s="166">
        <f>ROUND(G1432*J1432,0)</f>
        <v>9549380</v>
      </c>
    </row>
    <row r="1433" spans="1:13" hidden="1" x14ac:dyDescent="0.25">
      <c r="A1433" s="168"/>
      <c r="B1433" s="133" t="str">
        <f>'Công trình'!B92</f>
        <v>AF.11121</v>
      </c>
      <c r="C1433" s="34"/>
      <c r="D1433" s="133" t="str">
        <f>'Công trình'!C92</f>
        <v>Bê tông M100 đá 4x6</v>
      </c>
      <c r="E1433" s="168"/>
      <c r="F1433" s="20">
        <v>1</v>
      </c>
      <c r="G1433" s="45">
        <f>'Hao phí vật tư'!L751</f>
        <v>9.1669999999999998</v>
      </c>
      <c r="H1433" s="166"/>
      <c r="I1433" s="166"/>
      <c r="J1433" s="166"/>
      <c r="K1433" s="166"/>
      <c r="L1433" s="156">
        <f>ROUND(G1433*K1432,2)</f>
        <v>0</v>
      </c>
      <c r="M1433" s="156">
        <f>ROUND(G1433*J1432,2)</f>
        <v>2040088.35</v>
      </c>
    </row>
    <row r="1434" spans="1:13" ht="30" hidden="1" x14ac:dyDescent="0.25">
      <c r="A1434" s="168"/>
      <c r="B1434" s="133" t="str">
        <f>'Công trình'!B177</f>
        <v>AF.11121</v>
      </c>
      <c r="C1434" s="34"/>
      <c r="D1434" s="133" t="str">
        <f>'Công trình'!C177</f>
        <v>Bê tông lót móng rộng &gt;250cm đá 4x6, vữa BT mác 100</v>
      </c>
      <c r="E1434" s="168"/>
      <c r="F1434" s="20">
        <v>1</v>
      </c>
      <c r="G1434" s="45">
        <f>'Hao phí vật tư'!L1343</f>
        <v>0.73599999999999999</v>
      </c>
      <c r="H1434" s="166"/>
      <c r="I1434" s="166"/>
      <c r="J1434" s="166"/>
      <c r="K1434" s="166"/>
      <c r="L1434" s="156">
        <f>ROUND(G1434*K1432,2)</f>
        <v>0</v>
      </c>
      <c r="M1434" s="156">
        <f>ROUND(G1434*J1432,2)</f>
        <v>163794.59</v>
      </c>
    </row>
    <row r="1435" spans="1:13" hidden="1" x14ac:dyDescent="0.25">
      <c r="A1435" s="168"/>
      <c r="B1435" s="133" t="str">
        <f>'Công trình'!B196</f>
        <v>AF.14315</v>
      </c>
      <c r="C1435" s="34"/>
      <c r="D1435" s="133" t="str">
        <f>'Công trình'!C196</f>
        <v>Bê tông mặt cầu đá 1x2, vữa BT mác 300</v>
      </c>
      <c r="E1435" s="168"/>
      <c r="F1435" s="20">
        <v>1</v>
      </c>
      <c r="G1435" s="45">
        <f>'Hao phí vật tư'!L1505</f>
        <v>5.0071000000000003</v>
      </c>
      <c r="H1435" s="166"/>
      <c r="I1435" s="166"/>
      <c r="J1435" s="166"/>
      <c r="K1435" s="166"/>
      <c r="L1435" s="156">
        <f>ROUND(G1435*K1432,2)</f>
        <v>0</v>
      </c>
      <c r="M1435" s="156">
        <f>ROUND(G1435*J1432,2)</f>
        <v>1114315.08</v>
      </c>
    </row>
    <row r="1436" spans="1:13" hidden="1" x14ac:dyDescent="0.25">
      <c r="A1436" s="168"/>
      <c r="B1436" s="133" t="str">
        <f>'Công trình'!B9</f>
        <v>AF.11333</v>
      </c>
      <c r="C1436" s="34"/>
      <c r="D1436" s="133" t="str">
        <f>'Công trình'!C9</f>
        <v>Bê tông bịt đáy đá 4x6, vữa BT mác 200</v>
      </c>
      <c r="E1436" s="168"/>
      <c r="F1436" s="20">
        <v>1</v>
      </c>
      <c r="G1436" s="45">
        <f>'Hao phí vật tư'!L48</f>
        <v>23.14</v>
      </c>
      <c r="H1436" s="166"/>
      <c r="I1436" s="166"/>
      <c r="J1436" s="166"/>
      <c r="K1436" s="166"/>
      <c r="L1436" s="156">
        <f>ROUND(G1436*K1432,2)</f>
        <v>0</v>
      </c>
      <c r="M1436" s="156">
        <f>ROUND(G1436*J1432,2)</f>
        <v>5149737.58</v>
      </c>
    </row>
    <row r="1437" spans="1:13" ht="30" hidden="1" x14ac:dyDescent="0.25">
      <c r="A1437" s="168"/>
      <c r="B1437" s="133" t="str">
        <f>'Công trình'!B10</f>
        <v>AF.11121</v>
      </c>
      <c r="C1437" s="34"/>
      <c r="D1437" s="133" t="str">
        <f>'Công trình'!C10</f>
        <v>Bê tông lót móng rộng &gt;250cm đá 4x6, vữa BT mác 100</v>
      </c>
      <c r="E1437" s="168"/>
      <c r="F1437" s="20">
        <v>1</v>
      </c>
      <c r="G1437" s="45">
        <f>'Hao phí vật tư'!L59</f>
        <v>4.8593999999999999</v>
      </c>
      <c r="H1437" s="166"/>
      <c r="I1437" s="166"/>
      <c r="J1437" s="166"/>
      <c r="K1437" s="166"/>
      <c r="L1437" s="156">
        <f>ROUND(G1437*K1432,2)</f>
        <v>0</v>
      </c>
      <c r="M1437" s="156">
        <f>ROUND(G1437*J1432,2)</f>
        <v>1081444.8899999999</v>
      </c>
    </row>
    <row r="1438" spans="1:13" x14ac:dyDescent="0.25">
      <c r="A1438" s="168">
        <v>32</v>
      </c>
      <c r="B1438" s="84" t="s">
        <v>87</v>
      </c>
      <c r="C1438" s="34">
        <v>750</v>
      </c>
      <c r="D1438" s="144" t="s">
        <v>46</v>
      </c>
      <c r="E1438" s="168" t="s">
        <v>76</v>
      </c>
      <c r="F1438" s="34"/>
      <c r="G1438" s="60">
        <f>SUM(G1439:G1463)</f>
        <v>119.81800000000003</v>
      </c>
      <c r="H1438" s="166">
        <v>225765</v>
      </c>
      <c r="I1438" s="166">
        <v>225765</v>
      </c>
      <c r="J1438" s="166">
        <f>'Máy thi công'!N232</f>
        <v>225765</v>
      </c>
      <c r="K1438" s="166">
        <f>J1438-H1438</f>
        <v>0</v>
      </c>
      <c r="L1438" s="166">
        <f>ROUND(G1438*K1438,0)</f>
        <v>0</v>
      </c>
      <c r="M1438" s="166">
        <f>ROUND(G1438*J1438,0)</f>
        <v>27050711</v>
      </c>
    </row>
    <row r="1439" spans="1:13" ht="30" hidden="1" x14ac:dyDescent="0.25">
      <c r="A1439" s="168"/>
      <c r="B1439" s="133" t="str">
        <f>'Công trình'!B18</f>
        <v>AF.12314</v>
      </c>
      <c r="C1439" s="34"/>
      <c r="D1439" s="133" t="str">
        <f>'Công trình'!C18</f>
        <v>Bê tông xà dầm, giằng nhà đá 1x2, vữa BT mác 250</v>
      </c>
      <c r="E1439" s="168"/>
      <c r="F1439" s="20">
        <v>1</v>
      </c>
      <c r="G1439" s="45">
        <f>'Hao phí vật tư'!L132</f>
        <v>11.665800000000001</v>
      </c>
      <c r="H1439" s="166"/>
      <c r="I1439" s="166"/>
      <c r="J1439" s="166"/>
      <c r="K1439" s="166"/>
      <c r="L1439" s="156">
        <f>ROUND(G1439*K1438,2)</f>
        <v>0</v>
      </c>
      <c r="M1439" s="156">
        <f>ROUND(G1439*J1438,2)</f>
        <v>2633729.34</v>
      </c>
    </row>
    <row r="1440" spans="1:13" ht="30" hidden="1" x14ac:dyDescent="0.25">
      <c r="A1440" s="168"/>
      <c r="B1440" s="133" t="str">
        <f>'Công trình'!B30</f>
        <v>AF.12113</v>
      </c>
      <c r="C1440" s="34"/>
      <c r="D1440" s="133" t="str">
        <f>'Công trình'!C30</f>
        <v>Bê tông tường dày &lt;=45cm, chiều cao &lt;=4m đá 1x2, vữa BT mác 200</v>
      </c>
      <c r="E1440" s="168"/>
      <c r="F1440" s="20">
        <v>1</v>
      </c>
      <c r="G1440" s="45">
        <f>'Hao phí vật tư'!L212</f>
        <v>4.7123999999999997</v>
      </c>
      <c r="H1440" s="166"/>
      <c r="I1440" s="166"/>
      <c r="J1440" s="166"/>
      <c r="K1440" s="166"/>
      <c r="L1440" s="156">
        <f>ROUND(G1440*K1438,2)</f>
        <v>0</v>
      </c>
      <c r="M1440" s="156">
        <f>ROUND(G1440*J1438,2)</f>
        <v>1063894.99</v>
      </c>
    </row>
    <row r="1441" spans="1:13" ht="30" hidden="1" x14ac:dyDescent="0.25">
      <c r="A1441" s="168"/>
      <c r="B1441" s="133" t="str">
        <f>'Công trình'!B43</f>
        <v>AF.11212</v>
      </c>
      <c r="C1441" s="34"/>
      <c r="D1441" s="133" t="str">
        <f>'Công trình'!C43</f>
        <v>Bê tông móng rộng &lt;=250cm đá 1x2, vữa BT mác 150</v>
      </c>
      <c r="E1441" s="168"/>
      <c r="F1441" s="20">
        <v>1</v>
      </c>
      <c r="G1441" s="45">
        <f>'Hao phí vật tư'!L329</f>
        <v>5.3E-3</v>
      </c>
      <c r="H1441" s="166"/>
      <c r="I1441" s="166"/>
      <c r="J1441" s="166"/>
      <c r="K1441" s="166"/>
      <c r="L1441" s="156">
        <f>ROUND(G1441*K1438,2)</f>
        <v>0</v>
      </c>
      <c r="M1441" s="156">
        <f>ROUND(G1441*J1438,2)</f>
        <v>1196.55</v>
      </c>
    </row>
    <row r="1442" spans="1:13" ht="30" hidden="1" x14ac:dyDescent="0.25">
      <c r="A1442" s="168"/>
      <c r="B1442" s="133" t="str">
        <f>'Công trình'!B44</f>
        <v>AF.11213</v>
      </c>
      <c r="C1442" s="34"/>
      <c r="D1442" s="133" t="str">
        <f>'Công trình'!C44</f>
        <v>Bê tông móng rộng &lt;=250cm đá 1x2, vữa BT mác 200</v>
      </c>
      <c r="E1442" s="168"/>
      <c r="F1442" s="20">
        <v>1</v>
      </c>
      <c r="G1442" s="45">
        <f>'Hao phí vật tư'!L341</f>
        <v>1.78E-2</v>
      </c>
      <c r="H1442" s="166"/>
      <c r="I1442" s="166"/>
      <c r="J1442" s="166"/>
      <c r="K1442" s="166"/>
      <c r="L1442" s="156">
        <f>ROUND(G1442*K1438,2)</f>
        <v>0</v>
      </c>
      <c r="M1442" s="156">
        <f>ROUND(G1442*J1438,2)</f>
        <v>4018.62</v>
      </c>
    </row>
    <row r="1443" spans="1:13" hidden="1" x14ac:dyDescent="0.25">
      <c r="A1443" s="168"/>
      <c r="B1443" s="133" t="str">
        <f>'Công trình'!B57</f>
        <v>AF.12313</v>
      </c>
      <c r="C1443" s="34"/>
      <c r="D1443" s="133" t="str">
        <f>'Công trình'!C57</f>
        <v>Bê tông xà dầm, giằng đá 1x2, vữa BT mác 200</v>
      </c>
      <c r="E1443" s="168"/>
      <c r="F1443" s="20">
        <v>1</v>
      </c>
      <c r="G1443" s="45">
        <f>'Hao phí vật tư'!L429</f>
        <v>6.2766000000000002</v>
      </c>
      <c r="H1443" s="166"/>
      <c r="I1443" s="166"/>
      <c r="J1443" s="166"/>
      <c r="K1443" s="166"/>
      <c r="L1443" s="156">
        <f>ROUND(G1443*K1438,2)</f>
        <v>0</v>
      </c>
      <c r="M1443" s="156">
        <f>ROUND(G1443*J1438,2)</f>
        <v>1417036.6</v>
      </c>
    </row>
    <row r="1444" spans="1:13" ht="30" hidden="1" x14ac:dyDescent="0.25">
      <c r="A1444" s="168"/>
      <c r="B1444" s="133" t="str">
        <f>'Công trình'!B63</f>
        <v>AF.11223</v>
      </c>
      <c r="C1444" s="34"/>
      <c r="D1444" s="133" t="str">
        <f>'Công trình'!C63</f>
        <v>Bê tông lát mái rộng &gt;250cm đá 1x2, vữa BT mác 200</v>
      </c>
      <c r="E1444" s="168"/>
      <c r="F1444" s="20">
        <v>1</v>
      </c>
      <c r="G1444" s="45">
        <f>'Hao phí vật tư'!L484</f>
        <v>14.507899999999999</v>
      </c>
      <c r="H1444" s="166"/>
      <c r="I1444" s="166"/>
      <c r="J1444" s="166"/>
      <c r="K1444" s="166"/>
      <c r="L1444" s="156">
        <f>ROUND(G1444*K1438,2)</f>
        <v>0</v>
      </c>
      <c r="M1444" s="156">
        <f>ROUND(G1444*J1438,2)</f>
        <v>3275376.04</v>
      </c>
    </row>
    <row r="1445" spans="1:13" ht="30" hidden="1" x14ac:dyDescent="0.25">
      <c r="A1445" s="168"/>
      <c r="B1445" s="133" t="str">
        <f>'Công trình'!B68</f>
        <v>AG.11125</v>
      </c>
      <c r="C1445" s="34"/>
      <c r="D1445" s="133" t="str">
        <f>'Công trình'!C68</f>
        <v>Sản xuất bê tông cọc cừ đúc sẵn đá 1x2, vữa BT mác 300</v>
      </c>
      <c r="E1445" s="168"/>
      <c r="F1445" s="20">
        <v>1</v>
      </c>
      <c r="G1445" s="45">
        <f>'Hao phí vật tư'!L514</f>
        <v>8.5692000000000004</v>
      </c>
      <c r="H1445" s="166"/>
      <c r="I1445" s="166"/>
      <c r="J1445" s="166"/>
      <c r="K1445" s="166"/>
      <c r="L1445" s="156">
        <f>ROUND(G1445*K1438,2)</f>
        <v>0</v>
      </c>
      <c r="M1445" s="156">
        <f>ROUND(G1445*J1438,2)</f>
        <v>1934625.44</v>
      </c>
    </row>
    <row r="1446" spans="1:13" ht="30" hidden="1" x14ac:dyDescent="0.25">
      <c r="A1446" s="168"/>
      <c r="B1446" s="133" t="str">
        <f>'Công trình'!B79</f>
        <v>AG.11125</v>
      </c>
      <c r="C1446" s="34"/>
      <c r="D1446" s="133" t="str">
        <f>'Công trình'!C79</f>
        <v>Sản xuất bê tông cọc cừ đúc sẵn đá 1x2, vữa BT mác 300</v>
      </c>
      <c r="E1446" s="168"/>
      <c r="F1446" s="20">
        <v>1</v>
      </c>
      <c r="G1446" s="45">
        <f>'Hao phí vật tư'!L630</f>
        <v>3.3563999999999998</v>
      </c>
      <c r="H1446" s="166"/>
      <c r="I1446" s="166"/>
      <c r="J1446" s="166"/>
      <c r="K1446" s="166"/>
      <c r="L1446" s="156">
        <f>ROUND(G1446*K1438,2)</f>
        <v>0</v>
      </c>
      <c r="M1446" s="156">
        <f>ROUND(G1446*J1438,2)</f>
        <v>757757.65</v>
      </c>
    </row>
    <row r="1447" spans="1:13" ht="30" hidden="1" x14ac:dyDescent="0.25">
      <c r="A1447" s="168"/>
      <c r="B1447" s="133" t="str">
        <f>'Công trình'!B174</f>
        <v>AF.14115</v>
      </c>
      <c r="C1447" s="34"/>
      <c r="D1447" s="133" t="str">
        <f>'Công trình'!C174</f>
        <v>Bê tông móng, mố trụ cầu trên cạn đá 1x2, vữa BT mác 300</v>
      </c>
      <c r="E1447" s="168"/>
      <c r="F1447" s="20">
        <v>1</v>
      </c>
      <c r="G1447" s="45">
        <f>'Hao phí vật tư'!L1308</f>
        <v>8.7637999999999998</v>
      </c>
      <c r="H1447" s="166"/>
      <c r="I1447" s="166"/>
      <c r="J1447" s="166"/>
      <c r="K1447" s="166"/>
      <c r="L1447" s="156">
        <f>ROUND(G1447*K1438,2)</f>
        <v>0</v>
      </c>
      <c r="M1447" s="156">
        <f>ROUND(G1447*J1438,2)</f>
        <v>1978559.31</v>
      </c>
    </row>
    <row r="1448" spans="1:13" ht="30" hidden="1" x14ac:dyDescent="0.25">
      <c r="A1448" s="168"/>
      <c r="B1448" s="133" t="str">
        <f>'Công trình'!B186</f>
        <v>AF.14115</v>
      </c>
      <c r="C1448" s="34"/>
      <c r="D1448" s="133" t="str">
        <f>'Công trình'!C186</f>
        <v>Bê tông móng, mố trụ cầu trên cạn đá 1x2, vữa BT mác 300</v>
      </c>
      <c r="E1448" s="168"/>
      <c r="F1448" s="20">
        <v>1</v>
      </c>
      <c r="G1448" s="45">
        <f>'Hao phí vật tư'!L1425</f>
        <v>0.31330000000000002</v>
      </c>
      <c r="H1448" s="166"/>
      <c r="I1448" s="166"/>
      <c r="J1448" s="166"/>
      <c r="K1448" s="166"/>
      <c r="L1448" s="156">
        <f>ROUND(G1448*K1438,2)</f>
        <v>0</v>
      </c>
      <c r="M1448" s="156">
        <f>ROUND(G1448*J1438,2)</f>
        <v>70732.17</v>
      </c>
    </row>
    <row r="1449" spans="1:13" hidden="1" x14ac:dyDescent="0.25">
      <c r="A1449" s="168"/>
      <c r="B1449" s="133" t="str">
        <f>'Công trình'!B197</f>
        <v>AF.15225</v>
      </c>
      <c r="C1449" s="34"/>
      <c r="D1449" s="133" t="str">
        <f>'Công trình'!C197</f>
        <v>Bê tông dầm cầu đá 1x2, vữa BT mác 300</v>
      </c>
      <c r="E1449" s="168"/>
      <c r="F1449" s="20">
        <v>1</v>
      </c>
      <c r="G1449" s="45">
        <f>'Hao phí vật tư'!L1521</f>
        <v>0.61399999999999999</v>
      </c>
      <c r="H1449" s="166"/>
      <c r="I1449" s="166"/>
      <c r="J1449" s="166"/>
      <c r="K1449" s="166"/>
      <c r="L1449" s="156">
        <f>ROUND(G1449*K1438,2)</f>
        <v>0</v>
      </c>
      <c r="M1449" s="156">
        <f>ROUND(G1449*J1438,2)</f>
        <v>138619.71</v>
      </c>
    </row>
    <row r="1450" spans="1:13" hidden="1" x14ac:dyDescent="0.25">
      <c r="A1450" s="168"/>
      <c r="B1450" s="133" t="str">
        <f>'Công trình'!B217</f>
        <v>AF.11215</v>
      </c>
      <c r="C1450" s="34"/>
      <c r="D1450" s="133" t="str">
        <f>'Công trình'!C217</f>
        <v>BT M300 đổ sau có phụ gia</v>
      </c>
      <c r="E1450" s="168"/>
      <c r="F1450" s="20">
        <v>1</v>
      </c>
      <c r="G1450" s="45">
        <f>'Hao phí vật tư'!L1641</f>
        <v>0.10059999999999999</v>
      </c>
      <c r="H1450" s="166"/>
      <c r="I1450" s="166"/>
      <c r="J1450" s="166"/>
      <c r="K1450" s="166"/>
      <c r="L1450" s="156">
        <f>ROUND(G1450*K1438,2)</f>
        <v>0</v>
      </c>
      <c r="M1450" s="156">
        <f>ROUND(G1450*J1438,2)</f>
        <v>22711.96</v>
      </c>
    </row>
    <row r="1451" spans="1:13" ht="30" hidden="1" x14ac:dyDescent="0.25">
      <c r="A1451" s="168"/>
      <c r="B1451" s="133" t="str">
        <f>'Công trình'!B225</f>
        <v>AG.11125</v>
      </c>
      <c r="C1451" s="34"/>
      <c r="D1451" s="133" t="str">
        <f>'Công trình'!C225</f>
        <v>Sản xuất bê tông cọc cừ đúc sẵn đá 1x2, vữa BT mác 300</v>
      </c>
      <c r="E1451" s="168"/>
      <c r="F1451" s="20">
        <v>1</v>
      </c>
      <c r="G1451" s="45">
        <f>'Hao phí vật tư'!L1690</f>
        <v>9.2615999999999996</v>
      </c>
      <c r="H1451" s="166"/>
      <c r="I1451" s="166"/>
      <c r="J1451" s="166"/>
      <c r="K1451" s="166"/>
      <c r="L1451" s="156">
        <f>ROUND(G1451*K1438,2)</f>
        <v>0</v>
      </c>
      <c r="M1451" s="156">
        <f>ROUND(G1451*J1438,2)</f>
        <v>2090945.12</v>
      </c>
    </row>
    <row r="1452" spans="1:13" ht="30" hidden="1" x14ac:dyDescent="0.25">
      <c r="A1452" s="168"/>
      <c r="B1452" s="133" t="str">
        <f>'Công trình'!B247</f>
        <v>AF.12313</v>
      </c>
      <c r="C1452" s="34"/>
      <c r="D1452" s="133" t="str">
        <f>'Công trình'!C247</f>
        <v>Bê tông dầm chặn chân, đá 1x2, vữa BT mác 200</v>
      </c>
      <c r="E1452" s="168"/>
      <c r="F1452" s="20">
        <v>1</v>
      </c>
      <c r="G1452" s="45">
        <f>'Hao phí vật tư'!L1874</f>
        <v>3.2111999999999998</v>
      </c>
      <c r="H1452" s="166"/>
      <c r="I1452" s="166"/>
      <c r="J1452" s="166"/>
      <c r="K1452" s="166"/>
      <c r="L1452" s="156">
        <f>ROUND(G1452*K1438,2)</f>
        <v>0</v>
      </c>
      <c r="M1452" s="156">
        <f>ROUND(G1452*J1438,2)</f>
        <v>724976.57</v>
      </c>
    </row>
    <row r="1453" spans="1:13" ht="30" hidden="1" x14ac:dyDescent="0.25">
      <c r="A1453" s="168"/>
      <c r="B1453" s="133" t="str">
        <f>'Công trình'!B267</f>
        <v>AF.11212</v>
      </c>
      <c r="C1453" s="34"/>
      <c r="D1453" s="133" t="str">
        <f>'Công trình'!C267</f>
        <v>Bê tông móng rộng &lt;=250cm đá 1x2, vữa BT mác 150</v>
      </c>
      <c r="E1453" s="168"/>
      <c r="F1453" s="20">
        <v>1</v>
      </c>
      <c r="G1453" s="45">
        <f>'Hao phí vật tư'!L2039</f>
        <v>0.30259999999999998</v>
      </c>
      <c r="H1453" s="166"/>
      <c r="I1453" s="166"/>
      <c r="J1453" s="166"/>
      <c r="K1453" s="166"/>
      <c r="L1453" s="156">
        <f>ROUND(G1453*K1438,2)</f>
        <v>0</v>
      </c>
      <c r="M1453" s="156">
        <f>ROUND(G1453*J1438,2)</f>
        <v>68316.490000000005</v>
      </c>
    </row>
    <row r="1454" spans="1:13" ht="30" hidden="1" x14ac:dyDescent="0.25">
      <c r="A1454" s="168"/>
      <c r="B1454" s="133" t="str">
        <f>'Công trình'!B284</f>
        <v>AF.11213</v>
      </c>
      <c r="C1454" s="34"/>
      <c r="D1454" s="133" t="str">
        <f>'Công trình'!C284</f>
        <v>Bê tông móng rộng &lt;=250cm đá 1x2, vữa BT mác 200</v>
      </c>
      <c r="E1454" s="168"/>
      <c r="F1454" s="20">
        <v>1</v>
      </c>
      <c r="G1454" s="45">
        <f>'Hao phí vật tư'!L2130</f>
        <v>0.69779999999999998</v>
      </c>
      <c r="H1454" s="166"/>
      <c r="I1454" s="166"/>
      <c r="J1454" s="166"/>
      <c r="K1454" s="166"/>
      <c r="L1454" s="156">
        <f>ROUND(G1454*K1438,2)</f>
        <v>0</v>
      </c>
      <c r="M1454" s="156">
        <f>ROUND(G1454*J1438,2)</f>
        <v>157538.82</v>
      </c>
    </row>
    <row r="1455" spans="1:13" ht="30" hidden="1" x14ac:dyDescent="0.25">
      <c r="A1455" s="168"/>
      <c r="B1455" s="133" t="str">
        <f>'Công trình'!B285</f>
        <v>AF.11212</v>
      </c>
      <c r="C1455" s="34"/>
      <c r="D1455" s="133" t="str">
        <f>'Công trình'!C285</f>
        <v>Bê tông móng rộng &lt;=250cm đá 1x2, vữa BT mác 150</v>
      </c>
      <c r="E1455" s="168"/>
      <c r="F1455" s="20">
        <v>1</v>
      </c>
      <c r="G1455" s="45">
        <f>'Hao phí vật tư'!L2142</f>
        <v>0.1246</v>
      </c>
      <c r="H1455" s="166"/>
      <c r="I1455" s="166"/>
      <c r="J1455" s="166"/>
      <c r="K1455" s="166"/>
      <c r="L1455" s="156">
        <f>ROUND(G1455*K1438,2)</f>
        <v>0</v>
      </c>
      <c r="M1455" s="156">
        <f>ROUND(G1455*J1438,2)</f>
        <v>28130.32</v>
      </c>
    </row>
    <row r="1456" spans="1:13" ht="30" hidden="1" x14ac:dyDescent="0.25">
      <c r="A1456" s="168"/>
      <c r="B1456" s="133" t="str">
        <f>'Công trình'!B295</f>
        <v>AF.11213</v>
      </c>
      <c r="C1456" s="34"/>
      <c r="D1456" s="133" t="str">
        <f>'Công trình'!C295</f>
        <v>Bê tông móng rộng &lt;=250cm đá 1x2, vữa BT mác 200</v>
      </c>
      <c r="E1456" s="168"/>
      <c r="F1456" s="20">
        <v>1</v>
      </c>
      <c r="G1456" s="45">
        <f>'Hao phí vật tư'!L2214</f>
        <v>1.5100000000000001E-2</v>
      </c>
      <c r="H1456" s="166"/>
      <c r="I1456" s="166"/>
      <c r="J1456" s="166"/>
      <c r="K1456" s="166"/>
      <c r="L1456" s="156">
        <f>ROUND(G1456*K1438,2)</f>
        <v>0</v>
      </c>
      <c r="M1456" s="156">
        <f>ROUND(G1456*J1438,2)</f>
        <v>3409.05</v>
      </c>
    </row>
    <row r="1457" spans="1:13" ht="30" hidden="1" x14ac:dyDescent="0.25">
      <c r="A1457" s="168"/>
      <c r="B1457" s="133" t="str">
        <f>'Công trình'!B296</f>
        <v>AF.11212</v>
      </c>
      <c r="C1457" s="34"/>
      <c r="D1457" s="133" t="str">
        <f>'Công trình'!C296</f>
        <v>Bê tông móng rộng &lt;=250cm đá 1x2, vữa BT mác 150</v>
      </c>
      <c r="E1457" s="168"/>
      <c r="F1457" s="20">
        <v>1</v>
      </c>
      <c r="G1457" s="45">
        <f>'Hao phí vật tư'!L2226</f>
        <v>5.3E-3</v>
      </c>
      <c r="H1457" s="166"/>
      <c r="I1457" s="166"/>
      <c r="J1457" s="166"/>
      <c r="K1457" s="166"/>
      <c r="L1457" s="156">
        <f>ROUND(G1457*K1438,2)</f>
        <v>0</v>
      </c>
      <c r="M1457" s="156">
        <f>ROUND(G1457*J1438,2)</f>
        <v>1196.55</v>
      </c>
    </row>
    <row r="1458" spans="1:13" ht="30" hidden="1" x14ac:dyDescent="0.25">
      <c r="A1458" s="168"/>
      <c r="B1458" s="133" t="str">
        <f>'Công trình'!B300</f>
        <v>AG.11113</v>
      </c>
      <c r="C1458" s="34"/>
      <c r="D1458" s="133" t="str">
        <f>'Công trình'!C300</f>
        <v>Sản xuất bê tông cọc, cột đúc sẵn đá 1x2, vữa BT mác 200</v>
      </c>
      <c r="E1458" s="168"/>
      <c r="F1458" s="20">
        <v>1</v>
      </c>
      <c r="G1458" s="45">
        <f>'Hao phí vật tư'!L2248</f>
        <v>0.16200000000000001</v>
      </c>
      <c r="H1458" s="166"/>
      <c r="I1458" s="166"/>
      <c r="J1458" s="166"/>
      <c r="K1458" s="166"/>
      <c r="L1458" s="156">
        <f>ROUND(G1458*K1438,2)</f>
        <v>0</v>
      </c>
      <c r="M1458" s="156">
        <f>ROUND(G1458*J1438,2)</f>
        <v>36573.93</v>
      </c>
    </row>
    <row r="1459" spans="1:13" ht="30" hidden="1" x14ac:dyDescent="0.25">
      <c r="A1459" s="168"/>
      <c r="B1459" s="133" t="str">
        <f>'Công trình'!B301</f>
        <v>AF.11212</v>
      </c>
      <c r="C1459" s="34"/>
      <c r="D1459" s="133" t="str">
        <f>'Công trình'!C301</f>
        <v>Bê tông móng rộng &lt;=250cm đá 1x2, vữa BT mác 150</v>
      </c>
      <c r="E1459" s="168"/>
      <c r="F1459" s="20">
        <v>1</v>
      </c>
      <c r="G1459" s="45">
        <f>'Hao phí vật tư'!L2261</f>
        <v>0.12820000000000001</v>
      </c>
      <c r="H1459" s="166"/>
      <c r="I1459" s="166"/>
      <c r="J1459" s="166"/>
      <c r="K1459" s="166"/>
      <c r="L1459" s="156">
        <f>ROUND(G1459*K1438,2)</f>
        <v>0</v>
      </c>
      <c r="M1459" s="156">
        <f>ROUND(G1459*J1438,2)</f>
        <v>28943.07</v>
      </c>
    </row>
    <row r="1460" spans="1:13" ht="30" hidden="1" x14ac:dyDescent="0.25">
      <c r="A1460" s="168"/>
      <c r="B1460" s="133" t="str">
        <f>'Công trình'!B7</f>
        <v>AF.11224</v>
      </c>
      <c r="C1460" s="34"/>
      <c r="D1460" s="133" t="str">
        <f>'Công trình'!C7</f>
        <v>Bê tông móng rộng &gt;250cm đá 1x2, vữa BT mác 250</v>
      </c>
      <c r="E1460" s="168"/>
      <c r="F1460" s="20">
        <v>1</v>
      </c>
      <c r="G1460" s="45">
        <f>'Hao phí vật tư'!L20</f>
        <v>14.626300000000001</v>
      </c>
      <c r="H1460" s="166"/>
      <c r="I1460" s="166"/>
      <c r="J1460" s="166"/>
      <c r="K1460" s="166"/>
      <c r="L1460" s="156">
        <f>ROUND(G1460*K1438,2)</f>
        <v>0</v>
      </c>
      <c r="M1460" s="156">
        <f>ROUND(G1460*J1438,2)</f>
        <v>3302106.62</v>
      </c>
    </row>
    <row r="1461" spans="1:13" ht="30" hidden="1" x14ac:dyDescent="0.25">
      <c r="A1461" s="168"/>
      <c r="B1461" s="133" t="str">
        <f>'Công trình'!B8</f>
        <v>AF.12144</v>
      </c>
      <c r="C1461" s="34"/>
      <c r="D1461" s="133" t="str">
        <f>'Công trình'!C8</f>
        <v>Bê tông tường dày &gt;45cm, chiều cao &lt;=16m đá 1x2, vữa BT mác 250</v>
      </c>
      <c r="E1461" s="168"/>
      <c r="F1461" s="20">
        <v>1</v>
      </c>
      <c r="G1461" s="45">
        <f>'Hao phí vật tư'!L36</f>
        <v>28.9206</v>
      </c>
      <c r="H1461" s="166"/>
      <c r="I1461" s="166"/>
      <c r="J1461" s="166"/>
      <c r="K1461" s="166"/>
      <c r="L1461" s="156">
        <f>ROUND(G1461*K1438,2)</f>
        <v>0</v>
      </c>
      <c r="M1461" s="156">
        <f>ROUND(G1461*J1438,2)</f>
        <v>6529259.2599999998</v>
      </c>
    </row>
    <row r="1462" spans="1:13" hidden="1" x14ac:dyDescent="0.25">
      <c r="A1462" s="168"/>
      <c r="B1462" s="133" t="str">
        <f>'Công trình'!B175</f>
        <v>AF.11225</v>
      </c>
      <c r="C1462" s="34"/>
      <c r="D1462" s="133" t="str">
        <f>'Công trình'!C175</f>
        <v>Bê tông bản dẫn đá 1x2, vữa BT mác 300</v>
      </c>
      <c r="E1462" s="168"/>
      <c r="F1462" s="20">
        <v>1</v>
      </c>
      <c r="G1462" s="45">
        <f>'Hao phí vật tư'!L1323</f>
        <v>1.6020000000000001</v>
      </c>
      <c r="H1462" s="166"/>
      <c r="I1462" s="166"/>
      <c r="J1462" s="166"/>
      <c r="K1462" s="166"/>
      <c r="L1462" s="156">
        <f>ROUND(G1462*K1438,2)</f>
        <v>0</v>
      </c>
      <c r="M1462" s="156">
        <f>ROUND(G1462*J1438,2)</f>
        <v>361675.53</v>
      </c>
    </row>
    <row r="1463" spans="1:13" hidden="1" x14ac:dyDescent="0.25">
      <c r="A1463" s="168"/>
      <c r="B1463" s="133" t="str">
        <f>'Công trình'!B34</f>
        <v>AF.12313</v>
      </c>
      <c r="C1463" s="34"/>
      <c r="D1463" s="133" t="str">
        <f>'Công trình'!C34</f>
        <v>Bê tông dầm, giằng đá 1x2, vữa BT mác 200</v>
      </c>
      <c r="E1463" s="168"/>
      <c r="F1463" s="20">
        <v>1</v>
      </c>
      <c r="G1463" s="45">
        <f>'Hao phí vật tư'!L256</f>
        <v>1.8575999999999999</v>
      </c>
      <c r="H1463" s="166"/>
      <c r="I1463" s="166"/>
      <c r="J1463" s="166"/>
      <c r="K1463" s="166"/>
      <c r="L1463" s="156">
        <f>ROUND(G1463*K1438,2)</f>
        <v>0</v>
      </c>
      <c r="M1463" s="156">
        <f>ROUND(G1463*J1438,2)</f>
        <v>419381.06</v>
      </c>
    </row>
    <row r="1464" spans="1:13" x14ac:dyDescent="0.25">
      <c r="A1464" s="168">
        <v>33</v>
      </c>
      <c r="B1464" s="84" t="s">
        <v>687</v>
      </c>
      <c r="C1464" s="34">
        <v>752</v>
      </c>
      <c r="D1464" s="144" t="s">
        <v>364</v>
      </c>
      <c r="E1464" s="168" t="s">
        <v>76</v>
      </c>
      <c r="F1464" s="34"/>
      <c r="G1464" s="60">
        <f>SUM(G1465:G1466)</f>
        <v>73.805599999999998</v>
      </c>
      <c r="H1464" s="166">
        <v>317190</v>
      </c>
      <c r="I1464" s="166">
        <v>317190</v>
      </c>
      <c r="J1464" s="166">
        <f>'Máy thi công'!N258</f>
        <v>317190</v>
      </c>
      <c r="K1464" s="166">
        <f>J1464-H1464</f>
        <v>0</v>
      </c>
      <c r="L1464" s="166">
        <f>ROUND(G1464*K1464,0)</f>
        <v>0</v>
      </c>
      <c r="M1464" s="166">
        <f>ROUND(G1464*J1464,0)</f>
        <v>23410398</v>
      </c>
    </row>
    <row r="1465" spans="1:13" ht="30" hidden="1" x14ac:dyDescent="0.25">
      <c r="A1465" s="168"/>
      <c r="B1465" s="133" t="str">
        <f>'Công trình'!B155</f>
        <v>AB.65120</v>
      </c>
      <c r="C1465" s="34"/>
      <c r="D1465" s="133" t="str">
        <f>'Công trình'!C155</f>
        <v>Đắp đất công trình bằng đầm cóc, độ chặt K=0,90</v>
      </c>
      <c r="E1465" s="168"/>
      <c r="F1465" s="20">
        <v>1</v>
      </c>
      <c r="G1465" s="45">
        <f>'Hao phí vật tư'!L1184</f>
        <v>66.651799999999994</v>
      </c>
      <c r="H1465" s="166"/>
      <c r="I1465" s="166"/>
      <c r="J1465" s="166"/>
      <c r="K1465" s="166"/>
      <c r="L1465" s="156">
        <f>ROUND(G1465*K1464,2)</f>
        <v>0</v>
      </c>
      <c r="M1465" s="156">
        <f>ROUND(G1465*J1464,2)</f>
        <v>21141284.440000001</v>
      </c>
    </row>
    <row r="1466" spans="1:13" ht="30" hidden="1" x14ac:dyDescent="0.25">
      <c r="A1466" s="168"/>
      <c r="B1466" s="133" t="str">
        <f>'Công trình'!B239</f>
        <v>AB.65120</v>
      </c>
      <c r="C1466" s="34"/>
      <c r="D1466" s="133" t="str">
        <f>'Công trình'!C239</f>
        <v>Đắp đất công trình bằng đầm cóc, độ chặt K=0,90</v>
      </c>
      <c r="E1466" s="168"/>
      <c r="F1466" s="20">
        <v>1</v>
      </c>
      <c r="G1466" s="45">
        <f>'Hao phí vật tư'!L1820</f>
        <v>7.1538000000000004</v>
      </c>
      <c r="H1466" s="166"/>
      <c r="I1466" s="166"/>
      <c r="J1466" s="166"/>
      <c r="K1466" s="166"/>
      <c r="L1466" s="156">
        <f>ROUND(G1466*K1464,2)</f>
        <v>0</v>
      </c>
      <c r="M1466" s="156">
        <f>ROUND(G1466*J1464,2)</f>
        <v>2269113.8199999998</v>
      </c>
    </row>
    <row r="1467" spans="1:13" x14ac:dyDescent="0.25">
      <c r="A1467" s="168">
        <v>34</v>
      </c>
      <c r="B1467" s="84" t="s">
        <v>739</v>
      </c>
      <c r="C1467" s="34">
        <v>751</v>
      </c>
      <c r="D1467" s="144" t="s">
        <v>269</v>
      </c>
      <c r="E1467" s="168" t="s">
        <v>76</v>
      </c>
      <c r="F1467" s="34"/>
      <c r="G1467" s="60">
        <f>SUM(G1468:G1470)</f>
        <v>0.49780000000000002</v>
      </c>
      <c r="H1467" s="166">
        <v>2923684</v>
      </c>
      <c r="I1467" s="166">
        <v>2923684</v>
      </c>
      <c r="J1467" s="166">
        <f>'Máy thi công'!N261</f>
        <v>2923684</v>
      </c>
      <c r="K1467" s="166">
        <f>J1467-H1467</f>
        <v>0</v>
      </c>
      <c r="L1467" s="166">
        <f>ROUND(G1467*K1467,0)</f>
        <v>0</v>
      </c>
      <c r="M1467" s="166">
        <f>ROUND(G1467*J1467,0)</f>
        <v>1455410</v>
      </c>
    </row>
    <row r="1468" spans="1:13" hidden="1" x14ac:dyDescent="0.25">
      <c r="A1468" s="168"/>
      <c r="B1468" s="133" t="str">
        <f>'Công trình'!B98</f>
        <v>AD.11212</v>
      </c>
      <c r="C1468" s="34"/>
      <c r="D1468" s="133" t="str">
        <f>'Công trình'!C98</f>
        <v>Cấp phối đá 0x4</v>
      </c>
      <c r="E1468" s="168"/>
      <c r="F1468" s="20">
        <v>1</v>
      </c>
      <c r="G1468" s="45">
        <f>'Hao phí vật tư'!L798</f>
        <v>0.126</v>
      </c>
      <c r="H1468" s="166"/>
      <c r="I1468" s="166"/>
      <c r="J1468" s="166"/>
      <c r="K1468" s="166"/>
      <c r="L1468" s="156">
        <f>ROUND(G1468*K1467,2)</f>
        <v>0</v>
      </c>
      <c r="M1468" s="156">
        <f>ROUND(G1468*J1467,2)</f>
        <v>368384.18</v>
      </c>
    </row>
    <row r="1469" spans="1:13" ht="30" hidden="1" x14ac:dyDescent="0.25">
      <c r="A1469" s="168"/>
      <c r="B1469" s="133" t="str">
        <f>'Công trình'!B241</f>
        <v>AD.11222</v>
      </c>
      <c r="C1469" s="34"/>
      <c r="D1469" s="133" t="str">
        <f>'Công trình'!C241</f>
        <v>Làm móng lớp trên cấp phối đá dăm, đường làm mới</v>
      </c>
      <c r="E1469" s="168"/>
      <c r="F1469" s="20">
        <v>1</v>
      </c>
      <c r="G1469" s="45">
        <f>'Hao phí vật tư'!L1830</f>
        <v>0.2248</v>
      </c>
      <c r="H1469" s="166"/>
      <c r="I1469" s="166"/>
      <c r="J1469" s="166"/>
      <c r="K1469" s="166"/>
      <c r="L1469" s="156">
        <f>ROUND(G1469*K1467,2)</f>
        <v>0</v>
      </c>
      <c r="M1469" s="156">
        <f>ROUND(G1469*J1467,2)</f>
        <v>657244.16000000003</v>
      </c>
    </row>
    <row r="1470" spans="1:13" hidden="1" x14ac:dyDescent="0.25">
      <c r="A1470" s="168"/>
      <c r="B1470" s="133" t="str">
        <f>'Công trình'!B93</f>
        <v>AD.11212</v>
      </c>
      <c r="C1470" s="34"/>
      <c r="D1470" s="133" t="str">
        <f>'Công trình'!C93</f>
        <v>Cấp phối đá 0x4</v>
      </c>
      <c r="E1470" s="168"/>
      <c r="F1470" s="20">
        <v>1</v>
      </c>
      <c r="G1470" s="45">
        <f>'Hao phí vật tư'!L764</f>
        <v>0.14699999999999999</v>
      </c>
      <c r="H1470" s="166"/>
      <c r="I1470" s="166"/>
      <c r="J1470" s="166"/>
      <c r="K1470" s="166"/>
      <c r="L1470" s="156">
        <f>ROUND(G1470*K1467,2)</f>
        <v>0</v>
      </c>
      <c r="M1470" s="156">
        <f>ROUND(G1470*J1467,2)</f>
        <v>429781.55</v>
      </c>
    </row>
    <row r="1471" spans="1:13" x14ac:dyDescent="0.25">
      <c r="A1471" s="168">
        <v>35</v>
      </c>
      <c r="B1471" s="84" t="s">
        <v>746</v>
      </c>
      <c r="C1471" s="34">
        <v>696</v>
      </c>
      <c r="D1471" s="144" t="s">
        <v>1147</v>
      </c>
      <c r="E1471" s="168" t="s">
        <v>76</v>
      </c>
      <c r="F1471" s="34"/>
      <c r="G1471" s="60">
        <f>SUM(G1472:G1472)</f>
        <v>1.2074</v>
      </c>
      <c r="H1471" s="166">
        <v>2128006</v>
      </c>
      <c r="I1471" s="166">
        <v>2128006</v>
      </c>
      <c r="J1471" s="166">
        <f>'Máy thi công'!N265</f>
        <v>2128006</v>
      </c>
      <c r="K1471" s="166">
        <f>J1471-H1471</f>
        <v>0</v>
      </c>
      <c r="L1471" s="166">
        <f>ROUND(G1471*K1471,0)</f>
        <v>0</v>
      </c>
      <c r="M1471" s="166">
        <f>ROUND(G1471*J1471,0)</f>
        <v>2569354</v>
      </c>
    </row>
    <row r="1472" spans="1:13" ht="30" hidden="1" x14ac:dyDescent="0.25">
      <c r="A1472" s="168"/>
      <c r="B1472" s="133" t="str">
        <f>'Công trình'!B95</f>
        <v>KH.0102</v>
      </c>
      <c r="C1472" s="34"/>
      <c r="D1472" s="133" t="str">
        <f>'Công trình'!C95</f>
        <v>Đóng cừ dừa bằng máy đào (TT theo MHĐM KH.0102  định mức 1751)</v>
      </c>
      <c r="E1472" s="168"/>
      <c r="F1472" s="20">
        <v>1</v>
      </c>
      <c r="G1472" s="45">
        <f>'Hao phí vật tư'!L772</f>
        <v>1.2074</v>
      </c>
      <c r="H1472" s="166"/>
      <c r="I1472" s="166"/>
      <c r="J1472" s="166"/>
      <c r="K1472" s="166"/>
      <c r="L1472" s="156">
        <f>ROUND(G1472*K1471,2)</f>
        <v>0</v>
      </c>
      <c r="M1472" s="156">
        <f>ROUND(G1472*J1471,2)</f>
        <v>2569354.44</v>
      </c>
    </row>
    <row r="1473" spans="1:13" ht="30" x14ac:dyDescent="0.25">
      <c r="A1473" s="168">
        <v>36</v>
      </c>
      <c r="B1473" s="84" t="s">
        <v>291</v>
      </c>
      <c r="C1473" s="34">
        <v>749</v>
      </c>
      <c r="D1473" s="144" t="s">
        <v>933</v>
      </c>
      <c r="E1473" s="168" t="s">
        <v>76</v>
      </c>
      <c r="F1473" s="34"/>
      <c r="G1473" s="60">
        <f>SUM(G1474:G1474)</f>
        <v>41.484900000000003</v>
      </c>
      <c r="H1473" s="166">
        <v>2647237</v>
      </c>
      <c r="I1473" s="166">
        <v>2647237</v>
      </c>
      <c r="J1473" s="166">
        <f>'Máy thi công'!N267</f>
        <v>2647237</v>
      </c>
      <c r="K1473" s="166">
        <f>J1473-H1473</f>
        <v>0</v>
      </c>
      <c r="L1473" s="166">
        <f>ROUND(G1473*K1473,0)</f>
        <v>0</v>
      </c>
      <c r="M1473" s="166">
        <f>ROUND(G1473*J1473,0)</f>
        <v>109820362</v>
      </c>
    </row>
    <row r="1474" spans="1:13" ht="45" hidden="1" x14ac:dyDescent="0.25">
      <c r="A1474" s="168"/>
      <c r="B1474" s="133" t="str">
        <f>'Công trình'!B153</f>
        <v>AB.81144</v>
      </c>
      <c r="C1474" s="34"/>
      <c r="D1474" s="133" t="str">
        <f>'Công trình'!C153</f>
        <v>Nạo vét đất pha cát từ 15-20%, đất bùn lỏng ở kênh mương bằng máy đào gầu dây 0,65m3, chiều cao đổ đất &gt;3</v>
      </c>
      <c r="E1474" s="168"/>
      <c r="F1474" s="20">
        <v>1</v>
      </c>
      <c r="G1474" s="45">
        <f>'Hao phí vật tư'!L1163</f>
        <v>41.484900000000003</v>
      </c>
      <c r="H1474" s="166"/>
      <c r="I1474" s="166"/>
      <c r="J1474" s="166"/>
      <c r="K1474" s="166"/>
      <c r="L1474" s="156">
        <f>ROUND(G1474*K1473,2)</f>
        <v>0</v>
      </c>
      <c r="M1474" s="156">
        <f>ROUND(G1474*J1473,2)</f>
        <v>109820362.22</v>
      </c>
    </row>
    <row r="1475" spans="1:13" ht="30" x14ac:dyDescent="0.25">
      <c r="A1475" s="168">
        <v>37</v>
      </c>
      <c r="B1475" s="84" t="s">
        <v>796</v>
      </c>
      <c r="C1475" s="34">
        <v>711</v>
      </c>
      <c r="D1475" s="144" t="s">
        <v>747</v>
      </c>
      <c r="E1475" s="168" t="s">
        <v>76</v>
      </c>
      <c r="F1475" s="34"/>
      <c r="G1475" s="60">
        <f>SUM(G1476:G1478)</f>
        <v>1.5237999999999998</v>
      </c>
      <c r="H1475" s="166">
        <v>2679461</v>
      </c>
      <c r="I1475" s="166">
        <v>2679461</v>
      </c>
      <c r="J1475" s="166">
        <f>'Máy thi công'!N269</f>
        <v>2679461</v>
      </c>
      <c r="K1475" s="166">
        <f>J1475-H1475</f>
        <v>0</v>
      </c>
      <c r="L1475" s="166">
        <f>ROUND(G1475*K1475,0)</f>
        <v>0</v>
      </c>
      <c r="M1475" s="166">
        <f>ROUND(G1475*J1475,0)</f>
        <v>4082963</v>
      </c>
    </row>
    <row r="1476" spans="1:13" ht="30" hidden="1" x14ac:dyDescent="0.25">
      <c r="A1476" s="168"/>
      <c r="B1476" s="133" t="str">
        <f>'Công trình'!B238</f>
        <v>AB.25112</v>
      </c>
      <c r="C1476" s="34"/>
      <c r="D1476" s="133" t="str">
        <f>'Công trình'!C238</f>
        <v>Đào móng chiều rộng &lt;=6m bằng máy đào 0,8m3, đất cấp II</v>
      </c>
      <c r="E1476" s="168"/>
      <c r="F1476" s="20">
        <v>1</v>
      </c>
      <c r="G1476" s="45">
        <f>'Hao phí vật tư'!L1815</f>
        <v>0.84530000000000005</v>
      </c>
      <c r="H1476" s="166"/>
      <c r="I1476" s="166"/>
      <c r="J1476" s="166"/>
      <c r="K1476" s="166"/>
      <c r="L1476" s="156">
        <f>ROUND(G1476*K1475,2)</f>
        <v>0</v>
      </c>
      <c r="M1476" s="156">
        <f>ROUND(G1476*J1475,2)</f>
        <v>2264948.38</v>
      </c>
    </row>
    <row r="1477" spans="1:13" hidden="1" x14ac:dyDescent="0.25">
      <c r="A1477" s="168"/>
      <c r="B1477" s="133" t="str">
        <f>'Công trình'!B243</f>
        <v>AB.21121</v>
      </c>
      <c r="C1477" s="34"/>
      <c r="D1477" s="133" t="str">
        <f>'Công trình'!C243</f>
        <v>Đất bóc phong hóa</v>
      </c>
      <c r="E1477" s="168"/>
      <c r="F1477" s="20">
        <v>1</v>
      </c>
      <c r="G1477" s="45">
        <f>'Hao phí vật tư'!L1847</f>
        <v>0.62539999999999996</v>
      </c>
      <c r="H1477" s="166"/>
      <c r="I1477" s="166"/>
      <c r="J1477" s="166"/>
      <c r="K1477" s="166"/>
      <c r="L1477" s="156">
        <f>ROUND(G1477*K1475,2)</f>
        <v>0</v>
      </c>
      <c r="M1477" s="156">
        <f>ROUND(G1477*J1475,2)</f>
        <v>1675734.91</v>
      </c>
    </row>
    <row r="1478" spans="1:13" ht="30" hidden="1" x14ac:dyDescent="0.25">
      <c r="A1478" s="168"/>
      <c r="B1478" s="133" t="str">
        <f>'Công trình'!B244</f>
        <v>AB.25112</v>
      </c>
      <c r="C1478" s="34"/>
      <c r="D1478" s="133" t="str">
        <f>'Công trình'!C244</f>
        <v>Đào móng chiều rộng &lt;=6m bằng máy đào 0,8m3, đất cấp II</v>
      </c>
      <c r="E1478" s="168"/>
      <c r="F1478" s="20">
        <v>1</v>
      </c>
      <c r="G1478" s="45">
        <f>'Hao phí vật tư'!L1852</f>
        <v>5.3100000000000001E-2</v>
      </c>
      <c r="H1478" s="166"/>
      <c r="I1478" s="166"/>
      <c r="J1478" s="166"/>
      <c r="K1478" s="166"/>
      <c r="L1478" s="156">
        <f>ROUND(G1478*K1475,2)</f>
        <v>0</v>
      </c>
      <c r="M1478" s="156">
        <f>ROUND(G1478*J1475,2)</f>
        <v>142279.38</v>
      </c>
    </row>
    <row r="1479" spans="1:13" x14ac:dyDescent="0.25">
      <c r="A1479" s="168">
        <v>38</v>
      </c>
      <c r="B1479" s="84" t="s">
        <v>32</v>
      </c>
      <c r="C1479" s="34">
        <v>842</v>
      </c>
      <c r="D1479" s="144" t="s">
        <v>223</v>
      </c>
      <c r="E1479" s="168" t="s">
        <v>76</v>
      </c>
      <c r="F1479" s="34"/>
      <c r="G1479" s="60">
        <f>SUM(G1480:G1481)</f>
        <v>157.91660000000002</v>
      </c>
      <c r="H1479" s="166">
        <v>338020</v>
      </c>
      <c r="I1479" s="166">
        <v>338020</v>
      </c>
      <c r="J1479" s="166">
        <f>'Máy thi công'!N494</f>
        <v>338020</v>
      </c>
      <c r="K1479" s="166">
        <f>J1479-H1479</f>
        <v>0</v>
      </c>
      <c r="L1479" s="166">
        <f>ROUND(G1479*K1479,0)</f>
        <v>0</v>
      </c>
      <c r="M1479" s="166">
        <f>ROUND(G1479*J1479,0)</f>
        <v>53378969</v>
      </c>
    </row>
    <row r="1480" spans="1:13" ht="30" hidden="1" x14ac:dyDescent="0.25">
      <c r="A1480" s="168"/>
      <c r="B1480" s="133" t="str">
        <f>'Công trình'!B320</f>
        <v>CV.0102</v>
      </c>
      <c r="C1480" s="34"/>
      <c r="D1480" s="133" t="str">
        <f>'Công trình'!C320</f>
        <v>Sản xuất cửa van bằng thép không gỉ, chiều rộng cống (B) &lt;= 8m</v>
      </c>
      <c r="E1480" s="168"/>
      <c r="F1480" s="20">
        <v>1</v>
      </c>
      <c r="G1480" s="45">
        <f>'Hao phí vật tư'!L2384</f>
        <v>134.32380000000001</v>
      </c>
      <c r="H1480" s="166"/>
      <c r="I1480" s="166"/>
      <c r="J1480" s="166"/>
      <c r="K1480" s="166"/>
      <c r="L1480" s="156">
        <f>ROUND(G1480*K1479,2)</f>
        <v>0</v>
      </c>
      <c r="M1480" s="156">
        <f>ROUND(G1480*J1479,2)</f>
        <v>45404130.880000003</v>
      </c>
    </row>
    <row r="1481" spans="1:13" ht="30" hidden="1" x14ac:dyDescent="0.25">
      <c r="A1481" s="168"/>
      <c r="B1481" s="133" t="str">
        <f>'Công trình'!B321</f>
        <v>CV.0202</v>
      </c>
      <c r="C1481" s="34"/>
      <c r="D1481" s="133" t="str">
        <f>'Công trình'!C321</f>
        <v>Lắp đặt cửa van bằng thép không gỉ, chiều rộng cống (B) &lt;= 8m</v>
      </c>
      <c r="E1481" s="168"/>
      <c r="F1481" s="20">
        <v>1</v>
      </c>
      <c r="G1481" s="45">
        <f>'Hao phí vật tư'!L2399</f>
        <v>23.5928</v>
      </c>
      <c r="H1481" s="166"/>
      <c r="I1481" s="166"/>
      <c r="J1481" s="166"/>
      <c r="K1481" s="166"/>
      <c r="L1481" s="156">
        <f>ROUND(G1481*K1479,2)</f>
        <v>0</v>
      </c>
      <c r="M1481" s="156">
        <f>ROUND(G1481*J1479,2)</f>
        <v>7974838.2599999998</v>
      </c>
    </row>
    <row r="1482" spans="1:13" x14ac:dyDescent="0.25">
      <c r="A1482" s="168">
        <v>39</v>
      </c>
      <c r="B1482" s="84" t="s">
        <v>826</v>
      </c>
      <c r="C1482" s="34">
        <v>882</v>
      </c>
      <c r="D1482" s="144" t="s">
        <v>987</v>
      </c>
      <c r="E1482" s="168" t="s">
        <v>76</v>
      </c>
      <c r="F1482" s="34"/>
      <c r="G1482" s="60">
        <f>SUM(G1483:G1483)</f>
        <v>10.332599999999999</v>
      </c>
      <c r="H1482" s="166">
        <v>247705</v>
      </c>
      <c r="I1482" s="166">
        <v>247705</v>
      </c>
      <c r="J1482" s="166">
        <f>'Máy thi công'!N497</f>
        <v>247705</v>
      </c>
      <c r="K1482" s="166">
        <f>J1482-H1482</f>
        <v>0</v>
      </c>
      <c r="L1482" s="166">
        <f>ROUND(G1482*K1482,0)</f>
        <v>0</v>
      </c>
      <c r="M1482" s="166">
        <f>ROUND(G1482*J1482,0)</f>
        <v>2559437</v>
      </c>
    </row>
    <row r="1483" spans="1:13" ht="30" hidden="1" x14ac:dyDescent="0.25">
      <c r="A1483" s="168"/>
      <c r="B1483" s="133" t="str">
        <f>'Công trình'!B320</f>
        <v>CV.0102</v>
      </c>
      <c r="C1483" s="34"/>
      <c r="D1483" s="133" t="str">
        <f>'Công trình'!C320</f>
        <v>Sản xuất cửa van bằng thép không gỉ, chiều rộng cống (B) &lt;= 8m</v>
      </c>
      <c r="E1483" s="168"/>
      <c r="F1483" s="20">
        <v>1</v>
      </c>
      <c r="G1483" s="45">
        <f>'Hao phí vật tư'!L2376</f>
        <v>10.332599999999999</v>
      </c>
      <c r="H1483" s="166"/>
      <c r="I1483" s="166"/>
      <c r="J1483" s="166"/>
      <c r="K1483" s="166"/>
      <c r="L1483" s="156">
        <f>ROUND(G1483*K1482,2)</f>
        <v>0</v>
      </c>
      <c r="M1483" s="156">
        <f>ROUND(G1483*J1482,2)</f>
        <v>2559436.6800000002</v>
      </c>
    </row>
    <row r="1484" spans="1:13" x14ac:dyDescent="0.25">
      <c r="A1484" s="168">
        <v>40</v>
      </c>
      <c r="B1484" s="84" t="s">
        <v>174</v>
      </c>
      <c r="C1484" s="34">
        <v>878</v>
      </c>
      <c r="D1484" s="144" t="s">
        <v>953</v>
      </c>
      <c r="E1484" s="168" t="s">
        <v>76</v>
      </c>
      <c r="F1484" s="34"/>
      <c r="G1484" s="60">
        <f>SUM(G1485:G1485)</f>
        <v>75.772400000000005</v>
      </c>
      <c r="H1484" s="166">
        <v>268963</v>
      </c>
      <c r="I1484" s="166">
        <v>268963</v>
      </c>
      <c r="J1484" s="166">
        <f>'Máy thi công'!N499</f>
        <v>268963</v>
      </c>
      <c r="K1484" s="166">
        <f>J1484-H1484</f>
        <v>0</v>
      </c>
      <c r="L1484" s="166">
        <f>ROUND(G1484*K1484,0)</f>
        <v>0</v>
      </c>
      <c r="M1484" s="166">
        <f>ROUND(G1484*J1484,0)</f>
        <v>20379972</v>
      </c>
    </row>
    <row r="1485" spans="1:13" ht="30" hidden="1" x14ac:dyDescent="0.25">
      <c r="A1485" s="168"/>
      <c r="B1485" s="133" t="str">
        <f>'Công trình'!B320</f>
        <v>CV.0102</v>
      </c>
      <c r="C1485" s="34"/>
      <c r="D1485" s="133" t="str">
        <f>'Công trình'!C320</f>
        <v>Sản xuất cửa van bằng thép không gỉ, chiều rộng cống (B) &lt;= 8m</v>
      </c>
      <c r="E1485" s="168"/>
      <c r="F1485" s="20">
        <v>1</v>
      </c>
      <c r="G1485" s="45">
        <f>'Hao phí vật tư'!L2378</f>
        <v>75.772400000000005</v>
      </c>
      <c r="H1485" s="166"/>
      <c r="I1485" s="166"/>
      <c r="J1485" s="166"/>
      <c r="K1485" s="166"/>
      <c r="L1485" s="156">
        <f>ROUND(G1485*K1484,2)</f>
        <v>0</v>
      </c>
      <c r="M1485" s="156">
        <f>ROUND(G1485*J1484,2)</f>
        <v>20379972.02</v>
      </c>
    </row>
    <row r="1486" spans="1:13" x14ac:dyDescent="0.25">
      <c r="A1486" s="168">
        <v>41</v>
      </c>
      <c r="B1486" s="84" t="s">
        <v>1047</v>
      </c>
      <c r="C1486" s="34">
        <v>701</v>
      </c>
      <c r="D1486" s="144" t="s">
        <v>274</v>
      </c>
      <c r="E1486" s="168" t="s">
        <v>76</v>
      </c>
      <c r="F1486" s="34"/>
      <c r="G1486" s="60">
        <f>SUM(G1487:G1497)</f>
        <v>14.185600000000001</v>
      </c>
      <c r="H1486" s="166">
        <v>247705</v>
      </c>
      <c r="I1486" s="166">
        <v>247705</v>
      </c>
      <c r="J1486" s="166">
        <f>'Máy thi công'!N273</f>
        <v>247705</v>
      </c>
      <c r="K1486" s="166">
        <f>J1486-H1486</f>
        <v>0</v>
      </c>
      <c r="L1486" s="166">
        <f>ROUND(G1486*K1486,0)</f>
        <v>0</v>
      </c>
      <c r="M1486" s="166">
        <f>ROUND(G1486*J1486,0)</f>
        <v>3513844</v>
      </c>
    </row>
    <row r="1487" spans="1:13" ht="30" hidden="1" x14ac:dyDescent="0.25">
      <c r="A1487" s="168"/>
      <c r="B1487" s="133" t="str">
        <f>'Công trình'!B39</f>
        <v>AI.13111</v>
      </c>
      <c r="C1487" s="34"/>
      <c r="D1487" s="133" t="str">
        <f>'Công trình'!C39</f>
        <v>Sản xuất cấu kiện thép đặt sẵn trong bê tông, khối lượng &lt;=10kg/cấu kiện</v>
      </c>
      <c r="E1487" s="168"/>
      <c r="F1487" s="20">
        <v>1</v>
      </c>
      <c r="G1487" s="45">
        <f>'Hao phí vật tư'!L301</f>
        <v>1.61E-2</v>
      </c>
      <c r="H1487" s="166"/>
      <c r="I1487" s="166"/>
      <c r="J1487" s="166"/>
      <c r="K1487" s="166"/>
      <c r="L1487" s="156">
        <f>ROUND(G1487*K1486,2)</f>
        <v>0</v>
      </c>
      <c r="M1487" s="156">
        <f>ROUND(G1487*J1486,2)</f>
        <v>3988.05</v>
      </c>
    </row>
    <row r="1488" spans="1:13" ht="30" hidden="1" x14ac:dyDescent="0.25">
      <c r="A1488" s="168"/>
      <c r="B1488" s="133" t="str">
        <f>'Công trình'!B72</f>
        <v>AI.13111</v>
      </c>
      <c r="C1488" s="34"/>
      <c r="D1488" s="133" t="str">
        <f>'Công trình'!C72</f>
        <v>Sản xuất cấu kiện thép đặt sẵn trong bê tông, khối lượng &lt;=10kg/cấu kiện</v>
      </c>
      <c r="E1488" s="168"/>
      <c r="F1488" s="20">
        <v>1</v>
      </c>
      <c r="G1488" s="45">
        <f>'Hao phí vật tư'!L557</f>
        <v>1.6814</v>
      </c>
      <c r="H1488" s="166"/>
      <c r="I1488" s="166"/>
      <c r="J1488" s="166"/>
      <c r="K1488" s="166"/>
      <c r="L1488" s="156">
        <f>ROUND(G1488*K1486,2)</f>
        <v>0</v>
      </c>
      <c r="M1488" s="156">
        <f>ROUND(G1488*J1486,2)</f>
        <v>416491.19</v>
      </c>
    </row>
    <row r="1489" spans="1:13" hidden="1" x14ac:dyDescent="0.25">
      <c r="A1489" s="168"/>
      <c r="B1489" s="133" t="str">
        <f>'Công trình'!B74</f>
        <v>AI.52211</v>
      </c>
      <c r="C1489" s="34"/>
      <c r="D1489" s="133" t="str">
        <f>'Công trình'!C74</f>
        <v>Sản xuất kết cấu thép hộp nối cọc</v>
      </c>
      <c r="E1489" s="168"/>
      <c r="F1489" s="20">
        <v>1</v>
      </c>
      <c r="G1489" s="45">
        <f>'Hao phí vật tư'!L584</f>
        <v>2.7919</v>
      </c>
      <c r="H1489" s="166"/>
      <c r="I1489" s="166"/>
      <c r="J1489" s="166"/>
      <c r="K1489" s="166"/>
      <c r="L1489" s="156">
        <f>ROUND(G1489*K1486,2)</f>
        <v>0</v>
      </c>
      <c r="M1489" s="156">
        <f>ROUND(G1489*J1486,2)</f>
        <v>691567.59</v>
      </c>
    </row>
    <row r="1490" spans="1:13" ht="30" hidden="1" x14ac:dyDescent="0.25">
      <c r="A1490" s="168"/>
      <c r="B1490" s="133" t="str">
        <f>'Công trình'!B83</f>
        <v>AI.13111</v>
      </c>
      <c r="C1490" s="34"/>
      <c r="D1490" s="133" t="str">
        <f>'Công trình'!C83</f>
        <v>Sản xuất cấu kiện thép đặt sẵn trong bê tông, khối lượng &lt;=10kg/cấu kiện</v>
      </c>
      <c r="E1490" s="168"/>
      <c r="F1490" s="20">
        <v>1</v>
      </c>
      <c r="G1490" s="45">
        <f>'Hao phí vật tư'!L673</f>
        <v>0.79410000000000003</v>
      </c>
      <c r="H1490" s="166"/>
      <c r="I1490" s="166"/>
      <c r="J1490" s="166"/>
      <c r="K1490" s="166"/>
      <c r="L1490" s="156">
        <f>ROUND(G1490*K1486,2)</f>
        <v>0</v>
      </c>
      <c r="M1490" s="156">
        <f>ROUND(G1490*J1486,2)</f>
        <v>196702.54</v>
      </c>
    </row>
    <row r="1491" spans="1:13" hidden="1" x14ac:dyDescent="0.25">
      <c r="A1491" s="168"/>
      <c r="B1491" s="133" t="str">
        <f>'Công trình'!B85</f>
        <v>AI.52211</v>
      </c>
      <c r="C1491" s="34"/>
      <c r="D1491" s="133" t="str">
        <f>'Công trình'!C85</f>
        <v>Sản xuất kết cấu thép hộp nối cọc</v>
      </c>
      <c r="E1491" s="168"/>
      <c r="F1491" s="20">
        <v>1</v>
      </c>
      <c r="G1491" s="45">
        <f>'Hao phí vật tư'!L700</f>
        <v>1.2142999999999999</v>
      </c>
      <c r="H1491" s="166"/>
      <c r="I1491" s="166"/>
      <c r="J1491" s="166"/>
      <c r="K1491" s="166"/>
      <c r="L1491" s="156">
        <f>ROUND(G1491*K1486,2)</f>
        <v>0</v>
      </c>
      <c r="M1491" s="156">
        <f>ROUND(G1491*J1486,2)</f>
        <v>300788.18</v>
      </c>
    </row>
    <row r="1492" spans="1:13" ht="30" hidden="1" x14ac:dyDescent="0.25">
      <c r="A1492" s="168"/>
      <c r="B1492" s="133" t="str">
        <f>'Công trình'!B229</f>
        <v>AI.13111</v>
      </c>
      <c r="C1492" s="34"/>
      <c r="D1492" s="133" t="str">
        <f>'Công trình'!C229</f>
        <v>Sản xuất cấu kiện thép đặt sẵn trong bê tông, khối lượng &lt;=10kg/cấu kiện</v>
      </c>
      <c r="E1492" s="168"/>
      <c r="F1492" s="20">
        <v>1</v>
      </c>
      <c r="G1492" s="45">
        <f>'Hao phí vật tư'!L1733</f>
        <v>1.5364</v>
      </c>
      <c r="H1492" s="166"/>
      <c r="I1492" s="166"/>
      <c r="J1492" s="166"/>
      <c r="K1492" s="166"/>
      <c r="L1492" s="156">
        <f>ROUND(G1492*K1486,2)</f>
        <v>0</v>
      </c>
      <c r="M1492" s="156">
        <f>ROUND(G1492*J1486,2)</f>
        <v>380573.96</v>
      </c>
    </row>
    <row r="1493" spans="1:13" hidden="1" x14ac:dyDescent="0.25">
      <c r="A1493" s="168"/>
      <c r="B1493" s="133" t="str">
        <f>'Công trình'!B231</f>
        <v>AI.52211</v>
      </c>
      <c r="C1493" s="34"/>
      <c r="D1493" s="133" t="str">
        <f>'Công trình'!C231</f>
        <v>Thép hình hộp nối cọc</v>
      </c>
      <c r="E1493" s="168"/>
      <c r="F1493" s="20">
        <v>1</v>
      </c>
      <c r="G1493" s="45">
        <f>'Hao phí vật tư'!L1760</f>
        <v>2.6175000000000002</v>
      </c>
      <c r="H1493" s="166"/>
      <c r="I1493" s="166"/>
      <c r="J1493" s="166"/>
      <c r="K1493" s="166"/>
      <c r="L1493" s="156">
        <f>ROUND(G1493*K1486,2)</f>
        <v>0</v>
      </c>
      <c r="M1493" s="156">
        <f>ROUND(G1493*J1486,2)</f>
        <v>648367.84</v>
      </c>
    </row>
    <row r="1494" spans="1:13" hidden="1" x14ac:dyDescent="0.25">
      <c r="A1494" s="168"/>
      <c r="B1494" s="133" t="str">
        <f>'Công trình'!B316</f>
        <v>AI.52211</v>
      </c>
      <c r="C1494" s="34"/>
      <c r="D1494" s="133" t="str">
        <f>'Công trình'!C316</f>
        <v>Sản xuất kết cấu thép khe phai - thép CT3</v>
      </c>
      <c r="E1494" s="168"/>
      <c r="F1494" s="20">
        <v>1</v>
      </c>
      <c r="G1494" s="45">
        <f>'Hao phí vật tư'!L2316</f>
        <v>0.70789999999999997</v>
      </c>
      <c r="H1494" s="166"/>
      <c r="I1494" s="166"/>
      <c r="J1494" s="166"/>
      <c r="K1494" s="166"/>
      <c r="L1494" s="156">
        <f>ROUND(G1494*K1486,2)</f>
        <v>0</v>
      </c>
      <c r="M1494" s="156">
        <f>ROUND(G1494*J1486,2)</f>
        <v>175350.37</v>
      </c>
    </row>
    <row r="1495" spans="1:13" hidden="1" x14ac:dyDescent="0.25">
      <c r="A1495" s="168"/>
      <c r="B1495" s="133" t="str">
        <f>'Công trình'!B317</f>
        <v>AI.52211</v>
      </c>
      <c r="C1495" s="34"/>
      <c r="D1495" s="133" t="str">
        <f>'Công trình'!C317</f>
        <v>Sản xuất kết cấu thép khe phai - thép SUS304</v>
      </c>
      <c r="E1495" s="168"/>
      <c r="F1495" s="20">
        <v>1</v>
      </c>
      <c r="G1495" s="45">
        <f>'Hao phí vật tư'!L2331</f>
        <v>0.96760000000000002</v>
      </c>
      <c r="H1495" s="166"/>
      <c r="I1495" s="166"/>
      <c r="J1495" s="166"/>
      <c r="K1495" s="166"/>
      <c r="L1495" s="156">
        <f>ROUND(G1495*K1486,2)</f>
        <v>0</v>
      </c>
      <c r="M1495" s="156">
        <f>ROUND(G1495*J1486,2)</f>
        <v>239679.35999999999</v>
      </c>
    </row>
    <row r="1496" spans="1:13" hidden="1" x14ac:dyDescent="0.25">
      <c r="A1496" s="168"/>
      <c r="B1496" s="133" t="str">
        <f>'Công trình'!B318</f>
        <v>AI.52211</v>
      </c>
      <c r="C1496" s="34"/>
      <c r="D1496" s="133" t="str">
        <f>'Công trình'!C318</f>
        <v>Sản xuất kết cấu thép khe cửa - thép CT3</v>
      </c>
      <c r="E1496" s="168"/>
      <c r="F1496" s="20">
        <v>1</v>
      </c>
      <c r="G1496" s="45">
        <f>'Hao phí vật tư'!L2347</f>
        <v>0.7157</v>
      </c>
      <c r="H1496" s="166"/>
      <c r="I1496" s="166"/>
      <c r="J1496" s="166"/>
      <c r="K1496" s="166"/>
      <c r="L1496" s="156">
        <f>ROUND(G1496*K1486,2)</f>
        <v>0</v>
      </c>
      <c r="M1496" s="156">
        <f>ROUND(G1496*J1486,2)</f>
        <v>177282.47</v>
      </c>
    </row>
    <row r="1497" spans="1:13" hidden="1" x14ac:dyDescent="0.25">
      <c r="A1497" s="168"/>
      <c r="B1497" s="133" t="str">
        <f>'Công trình'!B319</f>
        <v>AI.52211</v>
      </c>
      <c r="C1497" s="34"/>
      <c r="D1497" s="133" t="str">
        <f>'Công trình'!C319</f>
        <v>Sản xuất kết cấu thép khe cửa- thép SUS304</v>
      </c>
      <c r="E1497" s="168"/>
      <c r="F1497" s="20">
        <v>1</v>
      </c>
      <c r="G1497" s="45">
        <f>'Hao phí vật tư'!L2362</f>
        <v>1.1427</v>
      </c>
      <c r="H1497" s="166"/>
      <c r="I1497" s="166"/>
      <c r="J1497" s="166"/>
      <c r="K1497" s="166"/>
      <c r="L1497" s="156">
        <f>ROUND(G1497*K1486,2)</f>
        <v>0</v>
      </c>
      <c r="M1497" s="156">
        <f>ROUND(G1497*J1486,2)</f>
        <v>283052.5</v>
      </c>
    </row>
    <row r="1498" spans="1:13" x14ac:dyDescent="0.25">
      <c r="A1498" s="168">
        <v>42</v>
      </c>
      <c r="B1498" s="84" t="s">
        <v>1010</v>
      </c>
      <c r="C1498" s="34">
        <v>702</v>
      </c>
      <c r="D1498" s="144" t="s">
        <v>224</v>
      </c>
      <c r="E1498" s="168" t="s">
        <v>76</v>
      </c>
      <c r="F1498" s="34"/>
      <c r="G1498" s="60">
        <f>SUM(G1499:G1501)</f>
        <v>28.794699999999999</v>
      </c>
      <c r="H1498" s="166">
        <v>268963</v>
      </c>
      <c r="I1498" s="166">
        <v>268963</v>
      </c>
      <c r="J1498" s="166">
        <f>'Máy thi công'!N281</f>
        <v>268963</v>
      </c>
      <c r="K1498" s="166">
        <f>J1498-H1498</f>
        <v>0</v>
      </c>
      <c r="L1498" s="166">
        <f>ROUND(G1498*K1498,0)</f>
        <v>0</v>
      </c>
      <c r="M1498" s="166">
        <f>ROUND(G1498*J1498,0)</f>
        <v>7744709</v>
      </c>
    </row>
    <row r="1499" spans="1:13" hidden="1" x14ac:dyDescent="0.25">
      <c r="A1499" s="168"/>
      <c r="B1499" s="133" t="str">
        <f>'Công trình'!B104</f>
        <v>AI.11131</v>
      </c>
      <c r="C1499" s="34"/>
      <c r="D1499" s="133" t="str">
        <f>'Công trình'!C104</f>
        <v>Sản xuất cọc dẫn bằng thép hình</v>
      </c>
      <c r="E1499" s="168"/>
      <c r="F1499" s="20">
        <v>1</v>
      </c>
      <c r="G1499" s="45">
        <f>'Hao phí vật tư'!L839</f>
        <v>3.3557000000000001</v>
      </c>
      <c r="H1499" s="166"/>
      <c r="I1499" s="166"/>
      <c r="J1499" s="166"/>
      <c r="K1499" s="166"/>
      <c r="L1499" s="156">
        <f>ROUND(G1499*K1498,2)</f>
        <v>0</v>
      </c>
      <c r="M1499" s="156">
        <f>ROUND(G1499*J1498,2)</f>
        <v>902559.14</v>
      </c>
    </row>
    <row r="1500" spans="1:13" hidden="1" x14ac:dyDescent="0.25">
      <c r="A1500" s="168"/>
      <c r="B1500" s="133" t="str">
        <f>'Công trình'!B147</f>
        <v>AI.11411</v>
      </c>
      <c r="C1500" s="34"/>
      <c r="D1500" s="133" t="str">
        <f>'Công trình'!C147</f>
        <v>Sản xuất thang sắt</v>
      </c>
      <c r="E1500" s="168"/>
      <c r="F1500" s="20">
        <v>1</v>
      </c>
      <c r="G1500" s="45">
        <f>'Hao phí vật tư'!L1121</f>
        <v>0.12970000000000001</v>
      </c>
      <c r="H1500" s="166"/>
      <c r="I1500" s="166"/>
      <c r="J1500" s="166"/>
      <c r="K1500" s="166"/>
      <c r="L1500" s="156">
        <f>ROUND(G1500*K1498,2)</f>
        <v>0</v>
      </c>
      <c r="M1500" s="156">
        <f>ROUND(G1500*J1498,2)</f>
        <v>34884.5</v>
      </c>
    </row>
    <row r="1501" spans="1:13" hidden="1" x14ac:dyDescent="0.25">
      <c r="A1501" s="168"/>
      <c r="B1501" s="133" t="str">
        <f>'Công trình'!B262</f>
        <v>AI.21152</v>
      </c>
      <c r="C1501" s="34"/>
      <c r="D1501" s="133" t="str">
        <f>'Công trình'!C262</f>
        <v>Sản xuất kết cấu thép lan can cầu đường bộ</v>
      </c>
      <c r="E1501" s="168"/>
      <c r="F1501" s="20">
        <v>1</v>
      </c>
      <c r="G1501" s="45">
        <f>'Hao phí vật tư'!L2003</f>
        <v>25.3093</v>
      </c>
      <c r="H1501" s="166"/>
      <c r="I1501" s="166"/>
      <c r="J1501" s="166"/>
      <c r="K1501" s="166"/>
      <c r="L1501" s="156">
        <f>ROUND(G1501*K1498,2)</f>
        <v>0</v>
      </c>
      <c r="M1501" s="156">
        <f>ROUND(G1501*J1498,2)</f>
        <v>6807265.2599999998</v>
      </c>
    </row>
    <row r="1502" spans="1:13" x14ac:dyDescent="0.25">
      <c r="A1502" s="168">
        <v>43</v>
      </c>
      <c r="B1502" s="84" t="s">
        <v>1085</v>
      </c>
      <c r="C1502" s="34">
        <v>705</v>
      </c>
      <c r="D1502" s="144" t="s">
        <v>320</v>
      </c>
      <c r="E1502" s="168" t="s">
        <v>76</v>
      </c>
      <c r="F1502" s="34"/>
      <c r="G1502" s="60">
        <f>SUM(G1503:G1514)</f>
        <v>18.786200000000004</v>
      </c>
      <c r="H1502" s="166">
        <v>213347</v>
      </c>
      <c r="I1502" s="166">
        <v>213347</v>
      </c>
      <c r="J1502" s="166">
        <f>'Máy thi công'!N285</f>
        <v>213347</v>
      </c>
      <c r="K1502" s="166">
        <f>J1502-H1502</f>
        <v>0</v>
      </c>
      <c r="L1502" s="166">
        <f>ROUND(G1502*K1502,0)</f>
        <v>0</v>
      </c>
      <c r="M1502" s="166">
        <f>ROUND(G1502*J1502,0)</f>
        <v>4007979</v>
      </c>
    </row>
    <row r="1503" spans="1:13" ht="30" hidden="1" x14ac:dyDescent="0.25">
      <c r="A1503" s="168"/>
      <c r="B1503" s="133" t="str">
        <f>'Công trình'!B39</f>
        <v>AI.13111</v>
      </c>
      <c r="C1503" s="34"/>
      <c r="D1503" s="133" t="str">
        <f>'Công trình'!C39</f>
        <v>Sản xuất cấu kiện thép đặt sẵn trong bê tông, khối lượng &lt;=10kg/cấu kiện</v>
      </c>
      <c r="E1503" s="168"/>
      <c r="F1503" s="20">
        <v>1</v>
      </c>
      <c r="G1503" s="45">
        <f>'Hao phí vật tư'!L303</f>
        <v>1.61E-2</v>
      </c>
      <c r="H1503" s="166"/>
      <c r="I1503" s="166"/>
      <c r="J1503" s="166"/>
      <c r="K1503" s="166"/>
      <c r="L1503" s="156">
        <f>ROUND(G1503*K1502,2)</f>
        <v>0</v>
      </c>
      <c r="M1503" s="156">
        <f>ROUND(G1503*J1502,2)</f>
        <v>3434.89</v>
      </c>
    </row>
    <row r="1504" spans="1:13" ht="30" hidden="1" x14ac:dyDescent="0.25">
      <c r="A1504" s="168"/>
      <c r="B1504" s="133" t="str">
        <f>'Công trình'!B72</f>
        <v>AI.13111</v>
      </c>
      <c r="C1504" s="34"/>
      <c r="D1504" s="133" t="str">
        <f>'Công trình'!C72</f>
        <v>Sản xuất cấu kiện thép đặt sẵn trong bê tông, khối lượng &lt;=10kg/cấu kiện</v>
      </c>
      <c r="E1504" s="168"/>
      <c r="F1504" s="20">
        <v>1</v>
      </c>
      <c r="G1504" s="45">
        <f>'Hao phí vật tư'!L559</f>
        <v>1.6814</v>
      </c>
      <c r="H1504" s="166"/>
      <c r="I1504" s="166"/>
      <c r="J1504" s="166"/>
      <c r="K1504" s="166"/>
      <c r="L1504" s="156">
        <f>ROUND(G1504*K1502,2)</f>
        <v>0</v>
      </c>
      <c r="M1504" s="156">
        <f>ROUND(G1504*J1502,2)</f>
        <v>358721.65</v>
      </c>
    </row>
    <row r="1505" spans="1:13" hidden="1" x14ac:dyDescent="0.25">
      <c r="A1505" s="168"/>
      <c r="B1505" s="133" t="str">
        <f>'Công trình'!B74</f>
        <v>AI.52211</v>
      </c>
      <c r="C1505" s="34"/>
      <c r="D1505" s="133" t="str">
        <f>'Công trình'!C74</f>
        <v>Sản xuất kết cấu thép hộp nối cọc</v>
      </c>
      <c r="E1505" s="168"/>
      <c r="F1505" s="20">
        <v>1</v>
      </c>
      <c r="G1505" s="45">
        <f>'Hao phí vật tư'!L586</f>
        <v>2.7919</v>
      </c>
      <c r="H1505" s="166"/>
      <c r="I1505" s="166"/>
      <c r="J1505" s="166"/>
      <c r="K1505" s="166"/>
      <c r="L1505" s="156">
        <f>ROUND(G1505*K1502,2)</f>
        <v>0</v>
      </c>
      <c r="M1505" s="156">
        <f>ROUND(G1505*J1502,2)</f>
        <v>595643.49</v>
      </c>
    </row>
    <row r="1506" spans="1:13" ht="30" hidden="1" x14ac:dyDescent="0.25">
      <c r="A1506" s="168"/>
      <c r="B1506" s="133" t="str">
        <f>'Công trình'!B83</f>
        <v>AI.13111</v>
      </c>
      <c r="C1506" s="34"/>
      <c r="D1506" s="133" t="str">
        <f>'Công trình'!C83</f>
        <v>Sản xuất cấu kiện thép đặt sẵn trong bê tông, khối lượng &lt;=10kg/cấu kiện</v>
      </c>
      <c r="E1506" s="168"/>
      <c r="F1506" s="20">
        <v>1</v>
      </c>
      <c r="G1506" s="45">
        <f>'Hao phí vật tư'!L675</f>
        <v>0.79410000000000003</v>
      </c>
      <c r="H1506" s="166"/>
      <c r="I1506" s="166"/>
      <c r="J1506" s="166"/>
      <c r="K1506" s="166"/>
      <c r="L1506" s="156">
        <f>ROUND(G1506*K1502,2)</f>
        <v>0</v>
      </c>
      <c r="M1506" s="156">
        <f>ROUND(G1506*J1502,2)</f>
        <v>169418.85</v>
      </c>
    </row>
    <row r="1507" spans="1:13" hidden="1" x14ac:dyDescent="0.25">
      <c r="A1507" s="168"/>
      <c r="B1507" s="133" t="str">
        <f>'Công trình'!B85</f>
        <v>AI.52211</v>
      </c>
      <c r="C1507" s="34"/>
      <c r="D1507" s="133" t="str">
        <f>'Công trình'!C85</f>
        <v>Sản xuất kết cấu thép hộp nối cọc</v>
      </c>
      <c r="E1507" s="168"/>
      <c r="F1507" s="20">
        <v>1</v>
      </c>
      <c r="G1507" s="45">
        <f>'Hao phí vật tư'!L702</f>
        <v>1.2142999999999999</v>
      </c>
      <c r="H1507" s="166"/>
      <c r="I1507" s="166"/>
      <c r="J1507" s="166"/>
      <c r="K1507" s="166"/>
      <c r="L1507" s="156">
        <f>ROUND(G1507*K1502,2)</f>
        <v>0</v>
      </c>
      <c r="M1507" s="156">
        <f>ROUND(G1507*J1502,2)</f>
        <v>259067.26</v>
      </c>
    </row>
    <row r="1508" spans="1:13" ht="30" hidden="1" x14ac:dyDescent="0.25">
      <c r="A1508" s="168"/>
      <c r="B1508" s="133" t="str">
        <f>'Công trình'!B229</f>
        <v>AI.13111</v>
      </c>
      <c r="C1508" s="34"/>
      <c r="D1508" s="133" t="str">
        <f>'Công trình'!C229</f>
        <v>Sản xuất cấu kiện thép đặt sẵn trong bê tông, khối lượng &lt;=10kg/cấu kiện</v>
      </c>
      <c r="E1508" s="168"/>
      <c r="F1508" s="20">
        <v>1</v>
      </c>
      <c r="G1508" s="45">
        <f>'Hao phí vật tư'!L1735</f>
        <v>1.5364</v>
      </c>
      <c r="H1508" s="166"/>
      <c r="I1508" s="166"/>
      <c r="J1508" s="166"/>
      <c r="K1508" s="166"/>
      <c r="L1508" s="156">
        <f>ROUND(G1508*K1502,2)</f>
        <v>0</v>
      </c>
      <c r="M1508" s="156">
        <f>ROUND(G1508*J1502,2)</f>
        <v>327786.33</v>
      </c>
    </row>
    <row r="1509" spans="1:13" hidden="1" x14ac:dyDescent="0.25">
      <c r="A1509" s="168"/>
      <c r="B1509" s="133" t="str">
        <f>'Công trình'!B231</f>
        <v>AI.52211</v>
      </c>
      <c r="C1509" s="34"/>
      <c r="D1509" s="133" t="str">
        <f>'Công trình'!C231</f>
        <v>Thép hình hộp nối cọc</v>
      </c>
      <c r="E1509" s="168"/>
      <c r="F1509" s="20">
        <v>1</v>
      </c>
      <c r="G1509" s="45">
        <f>'Hao phí vật tư'!L1762</f>
        <v>2.6175000000000002</v>
      </c>
      <c r="H1509" s="166"/>
      <c r="I1509" s="166"/>
      <c r="J1509" s="166"/>
      <c r="K1509" s="166"/>
      <c r="L1509" s="156">
        <f>ROUND(G1509*K1502,2)</f>
        <v>0</v>
      </c>
      <c r="M1509" s="156">
        <f>ROUND(G1509*J1502,2)</f>
        <v>558435.77</v>
      </c>
    </row>
    <row r="1510" spans="1:13" hidden="1" x14ac:dyDescent="0.25">
      <c r="A1510" s="168"/>
      <c r="B1510" s="133" t="str">
        <f>'Công trình'!B322</f>
        <v>AI.65411</v>
      </c>
      <c r="C1510" s="34"/>
      <c r="D1510" s="133" t="str">
        <f>'Công trình'!C322</f>
        <v>Lắp đặt kết cấu thép khe van, khe phai</v>
      </c>
      <c r="E1510" s="168"/>
      <c r="F1510" s="20">
        <v>1</v>
      </c>
      <c r="G1510" s="45">
        <f>'Hao phí vật tư'!L2415</f>
        <v>4.6006</v>
      </c>
      <c r="H1510" s="166"/>
      <c r="I1510" s="166"/>
      <c r="J1510" s="166"/>
      <c r="K1510" s="166"/>
      <c r="L1510" s="156">
        <f>ROUND(G1510*K1502,2)</f>
        <v>0</v>
      </c>
      <c r="M1510" s="156">
        <f>ROUND(G1510*J1502,2)</f>
        <v>981524.21</v>
      </c>
    </row>
    <row r="1511" spans="1:13" hidden="1" x14ac:dyDescent="0.25">
      <c r="A1511" s="168"/>
      <c r="B1511" s="133" t="str">
        <f>'Công trình'!B316</f>
        <v>AI.52211</v>
      </c>
      <c r="C1511" s="34"/>
      <c r="D1511" s="133" t="str">
        <f>'Công trình'!C316</f>
        <v>Sản xuất kết cấu thép khe phai - thép CT3</v>
      </c>
      <c r="E1511" s="168"/>
      <c r="F1511" s="20">
        <v>1</v>
      </c>
      <c r="G1511" s="45">
        <f>'Hao phí vật tư'!L2318</f>
        <v>0.70789999999999997</v>
      </c>
      <c r="H1511" s="166"/>
      <c r="I1511" s="166"/>
      <c r="J1511" s="166"/>
      <c r="K1511" s="166"/>
      <c r="L1511" s="156">
        <f>ROUND(G1511*K1502,2)</f>
        <v>0</v>
      </c>
      <c r="M1511" s="156">
        <f>ROUND(G1511*J1502,2)</f>
        <v>151028.34</v>
      </c>
    </row>
    <row r="1512" spans="1:13" hidden="1" x14ac:dyDescent="0.25">
      <c r="A1512" s="168"/>
      <c r="B1512" s="133" t="str">
        <f>'Công trình'!B317</f>
        <v>AI.52211</v>
      </c>
      <c r="C1512" s="34"/>
      <c r="D1512" s="133" t="str">
        <f>'Công trình'!C317</f>
        <v>Sản xuất kết cấu thép khe phai - thép SUS304</v>
      </c>
      <c r="E1512" s="168"/>
      <c r="F1512" s="20">
        <v>1</v>
      </c>
      <c r="G1512" s="45">
        <f>'Hao phí vật tư'!L2333</f>
        <v>0.96760000000000002</v>
      </c>
      <c r="H1512" s="166"/>
      <c r="I1512" s="166"/>
      <c r="J1512" s="166"/>
      <c r="K1512" s="166"/>
      <c r="L1512" s="156">
        <f>ROUND(G1512*K1502,2)</f>
        <v>0</v>
      </c>
      <c r="M1512" s="156">
        <f>ROUND(G1512*J1502,2)</f>
        <v>206434.56</v>
      </c>
    </row>
    <row r="1513" spans="1:13" hidden="1" x14ac:dyDescent="0.25">
      <c r="A1513" s="168"/>
      <c r="B1513" s="133" t="str">
        <f>'Công trình'!B318</f>
        <v>AI.52211</v>
      </c>
      <c r="C1513" s="34"/>
      <c r="D1513" s="133" t="str">
        <f>'Công trình'!C318</f>
        <v>Sản xuất kết cấu thép khe cửa - thép CT3</v>
      </c>
      <c r="E1513" s="168"/>
      <c r="F1513" s="20">
        <v>1</v>
      </c>
      <c r="G1513" s="45">
        <f>'Hao phí vật tư'!L2349</f>
        <v>0.7157</v>
      </c>
      <c r="H1513" s="166"/>
      <c r="I1513" s="166"/>
      <c r="J1513" s="166"/>
      <c r="K1513" s="166"/>
      <c r="L1513" s="156">
        <f>ROUND(G1513*K1502,2)</f>
        <v>0</v>
      </c>
      <c r="M1513" s="156">
        <f>ROUND(G1513*J1502,2)</f>
        <v>152692.45000000001</v>
      </c>
    </row>
    <row r="1514" spans="1:13" hidden="1" x14ac:dyDescent="0.25">
      <c r="A1514" s="168"/>
      <c r="B1514" s="133" t="str">
        <f>'Công trình'!B319</f>
        <v>AI.52211</v>
      </c>
      <c r="C1514" s="34"/>
      <c r="D1514" s="133" t="str">
        <f>'Công trình'!C319</f>
        <v>Sản xuất kết cấu thép khe cửa- thép SUS304</v>
      </c>
      <c r="E1514" s="168"/>
      <c r="F1514" s="20">
        <v>1</v>
      </c>
      <c r="G1514" s="45">
        <f>'Hao phí vật tư'!L2364</f>
        <v>1.1427</v>
      </c>
      <c r="H1514" s="166"/>
      <c r="I1514" s="166"/>
      <c r="J1514" s="166"/>
      <c r="K1514" s="166"/>
      <c r="L1514" s="156">
        <f>ROUND(G1514*K1502,2)</f>
        <v>0</v>
      </c>
      <c r="M1514" s="156">
        <f>ROUND(G1514*J1502,2)</f>
        <v>243791.62</v>
      </c>
    </row>
    <row r="1515" spans="1:13" x14ac:dyDescent="0.25">
      <c r="A1515" s="168">
        <v>44</v>
      </c>
      <c r="B1515" s="84" t="s">
        <v>128</v>
      </c>
      <c r="C1515" s="34">
        <v>876</v>
      </c>
      <c r="D1515" s="144" t="s">
        <v>998</v>
      </c>
      <c r="E1515" s="168" t="s">
        <v>76</v>
      </c>
      <c r="F1515" s="34"/>
      <c r="G1515" s="60">
        <f>SUM(G1516:G1517)</f>
        <v>35.130800000000001</v>
      </c>
      <c r="H1515" s="166">
        <v>213347</v>
      </c>
      <c r="I1515" s="166">
        <v>213347</v>
      </c>
      <c r="J1515" s="166">
        <f>'Máy thi công'!N512</f>
        <v>213347</v>
      </c>
      <c r="K1515" s="166">
        <f>J1515-H1515</f>
        <v>0</v>
      </c>
      <c r="L1515" s="166">
        <f>ROUND(G1515*K1515,0)</f>
        <v>0</v>
      </c>
      <c r="M1515" s="166">
        <f>ROUND(G1515*J1515,0)</f>
        <v>7495051</v>
      </c>
    </row>
    <row r="1516" spans="1:13" ht="30" hidden="1" x14ac:dyDescent="0.25">
      <c r="A1516" s="168"/>
      <c r="B1516" s="133" t="str">
        <f>'Công trình'!B320</f>
        <v>CV.0102</v>
      </c>
      <c r="C1516" s="34"/>
      <c r="D1516" s="133" t="str">
        <f>'Công trình'!C320</f>
        <v>Sản xuất cửa van bằng thép không gỉ, chiều rộng cống (B) &lt;= 8m</v>
      </c>
      <c r="E1516" s="168"/>
      <c r="F1516" s="20">
        <v>1</v>
      </c>
      <c r="G1516" s="45">
        <f>'Hao phí vật tư'!L2383</f>
        <v>30.997800000000002</v>
      </c>
      <c r="H1516" s="166"/>
      <c r="I1516" s="166"/>
      <c r="J1516" s="166"/>
      <c r="K1516" s="166"/>
      <c r="L1516" s="156">
        <f>ROUND(G1516*K1515,2)</f>
        <v>0</v>
      </c>
      <c r="M1516" s="156">
        <f>ROUND(G1516*J1515,2)</f>
        <v>6613287.6399999997</v>
      </c>
    </row>
    <row r="1517" spans="1:13" ht="30" hidden="1" x14ac:dyDescent="0.25">
      <c r="A1517" s="168"/>
      <c r="B1517" s="133" t="str">
        <f>'Công trình'!B321</f>
        <v>CV.0202</v>
      </c>
      <c r="C1517" s="34"/>
      <c r="D1517" s="133" t="str">
        <f>'Công trình'!C321</f>
        <v>Lắp đặt cửa van bằng thép không gỉ, chiều rộng cống (B) &lt;= 8m</v>
      </c>
      <c r="E1517" s="168"/>
      <c r="F1517" s="20">
        <v>1</v>
      </c>
      <c r="G1517" s="45">
        <f>'Hao phí vật tư'!L2398</f>
        <v>4.133</v>
      </c>
      <c r="H1517" s="166"/>
      <c r="I1517" s="166"/>
      <c r="J1517" s="166"/>
      <c r="K1517" s="166"/>
      <c r="L1517" s="156">
        <f>ROUND(G1517*K1515,2)</f>
        <v>0</v>
      </c>
      <c r="M1517" s="156">
        <f>ROUND(G1517*J1515,2)</f>
        <v>881763.15</v>
      </c>
    </row>
    <row r="1518" spans="1:13" ht="30" x14ac:dyDescent="0.25">
      <c r="A1518" s="168">
        <v>45</v>
      </c>
      <c r="B1518" s="84" t="s">
        <v>360</v>
      </c>
      <c r="C1518" s="34">
        <v>739</v>
      </c>
      <c r="D1518" s="144" t="s">
        <v>702</v>
      </c>
      <c r="E1518" s="168" t="s">
        <v>76</v>
      </c>
      <c r="F1518" s="34"/>
      <c r="G1518" s="60">
        <f>SUM(G1519:G1519)</f>
        <v>17.660499999999999</v>
      </c>
      <c r="H1518" s="166">
        <v>2594313</v>
      </c>
      <c r="I1518" s="166">
        <v>2594313</v>
      </c>
      <c r="J1518" s="166">
        <f>'Máy thi công'!N293</f>
        <v>2594313</v>
      </c>
      <c r="K1518" s="166">
        <f>J1518-H1518</f>
        <v>0</v>
      </c>
      <c r="L1518" s="166">
        <f>ROUND(G1518*K1518,0)</f>
        <v>0</v>
      </c>
      <c r="M1518" s="166">
        <f>ROUND(G1518*J1518,0)</f>
        <v>45816865</v>
      </c>
    </row>
    <row r="1519" spans="1:13" ht="30" hidden="1" x14ac:dyDescent="0.25">
      <c r="A1519" s="168"/>
      <c r="B1519" s="133" t="str">
        <f>'Công trình'!B154</f>
        <v>AB.36120</v>
      </c>
      <c r="C1519" s="34"/>
      <c r="D1519" s="133" t="str">
        <f>'Công trình'!C154</f>
        <v>Xói hút bùn trong khung vây phòng nước, các trụ dưới nước</v>
      </c>
      <c r="E1519" s="168"/>
      <c r="F1519" s="20">
        <v>1</v>
      </c>
      <c r="G1519" s="45">
        <f>'Hao phí vật tư'!L1176</f>
        <v>17.660499999999999</v>
      </c>
      <c r="H1519" s="166"/>
      <c r="I1519" s="166"/>
      <c r="J1519" s="166"/>
      <c r="K1519" s="166"/>
      <c r="L1519" s="156">
        <f>ROUND(G1519*K1518,2)</f>
        <v>0</v>
      </c>
      <c r="M1519" s="156">
        <f>ROUND(G1519*J1518,2)</f>
        <v>45816864.740000002</v>
      </c>
    </row>
    <row r="1520" spans="1:13" ht="30" x14ac:dyDescent="0.25">
      <c r="A1520" s="168">
        <v>46</v>
      </c>
      <c r="B1520" s="84" t="s">
        <v>759</v>
      </c>
      <c r="C1520" s="34">
        <v>740</v>
      </c>
      <c r="D1520" s="144" t="s">
        <v>1194</v>
      </c>
      <c r="E1520" s="168" t="s">
        <v>76</v>
      </c>
      <c r="F1520" s="34"/>
      <c r="G1520" s="60">
        <f>SUM(G1521:G1521)</f>
        <v>12.6546</v>
      </c>
      <c r="H1520" s="166">
        <v>914540</v>
      </c>
      <c r="I1520" s="166">
        <v>914540</v>
      </c>
      <c r="J1520" s="166">
        <f>'Máy thi công'!N295</f>
        <v>914540</v>
      </c>
      <c r="K1520" s="166">
        <f>J1520-H1520</f>
        <v>0</v>
      </c>
      <c r="L1520" s="166">
        <f>ROUND(G1520*K1520,0)</f>
        <v>0</v>
      </c>
      <c r="M1520" s="166">
        <f>ROUND(G1520*J1520,0)</f>
        <v>11573138</v>
      </c>
    </row>
    <row r="1521" spans="1:13" hidden="1" x14ac:dyDescent="0.25">
      <c r="A1521" s="168"/>
      <c r="B1521" s="133" t="str">
        <f>'Công trình'!B262</f>
        <v>AI.21152</v>
      </c>
      <c r="C1521" s="34"/>
      <c r="D1521" s="133" t="str">
        <f>'Công trình'!C262</f>
        <v>Sản xuất kết cấu thép lan can cầu đường bộ</v>
      </c>
      <c r="E1521" s="168"/>
      <c r="F1521" s="20">
        <v>1</v>
      </c>
      <c r="G1521" s="45">
        <f>'Hao phí vật tư'!L2004</f>
        <v>12.6546</v>
      </c>
      <c r="H1521" s="166"/>
      <c r="I1521" s="166"/>
      <c r="J1521" s="166"/>
      <c r="K1521" s="166"/>
      <c r="L1521" s="156">
        <f>ROUND(G1521*K1520,2)</f>
        <v>0</v>
      </c>
      <c r="M1521" s="156">
        <f>ROUND(G1521*J1520,2)</f>
        <v>11573137.880000001</v>
      </c>
    </row>
    <row r="1522" spans="1:13" ht="30" x14ac:dyDescent="0.25">
      <c r="A1522" s="168">
        <v>47</v>
      </c>
      <c r="B1522" s="84" t="s">
        <v>706</v>
      </c>
      <c r="C1522" s="34">
        <v>741</v>
      </c>
      <c r="D1522" s="144" t="s">
        <v>183</v>
      </c>
      <c r="E1522" s="168" t="s">
        <v>76</v>
      </c>
      <c r="F1522" s="34"/>
      <c r="G1522" s="60">
        <f>SUM(G1523:G1525)</f>
        <v>0.7218</v>
      </c>
      <c r="H1522" s="166">
        <v>1111419</v>
      </c>
      <c r="I1522" s="166">
        <v>1111419</v>
      </c>
      <c r="J1522" s="166">
        <f>'Máy thi công'!N297</f>
        <v>1111419</v>
      </c>
      <c r="K1522" s="166">
        <f>J1522-H1522</f>
        <v>0</v>
      </c>
      <c r="L1522" s="166">
        <f>ROUND(G1522*K1522,0)</f>
        <v>0</v>
      </c>
      <c r="M1522" s="166">
        <f>ROUND(G1522*J1522,0)</f>
        <v>802222</v>
      </c>
    </row>
    <row r="1523" spans="1:13" hidden="1" x14ac:dyDescent="0.25">
      <c r="A1523" s="168"/>
      <c r="B1523" s="133" t="str">
        <f>'Công trình'!B77</f>
        <v>AA.22310</v>
      </c>
      <c r="C1523" s="34"/>
      <c r="D1523" s="133" t="str">
        <f>'Công trình'!C77</f>
        <v>Đập đầu cọc trên cạn</v>
      </c>
      <c r="E1523" s="168"/>
      <c r="F1523" s="20">
        <v>1</v>
      </c>
      <c r="G1523" s="45">
        <f>'Hao phí vật tư'!L619</f>
        <v>0.3528</v>
      </c>
      <c r="H1523" s="166"/>
      <c r="I1523" s="166"/>
      <c r="J1523" s="166"/>
      <c r="K1523" s="166"/>
      <c r="L1523" s="156">
        <f>ROUND(G1523*K1522,2)</f>
        <v>0</v>
      </c>
      <c r="M1523" s="156">
        <f>ROUND(G1523*J1522,2)</f>
        <v>392108.62</v>
      </c>
    </row>
    <row r="1524" spans="1:13" hidden="1" x14ac:dyDescent="0.25">
      <c r="A1524" s="168"/>
      <c r="B1524" s="133" t="str">
        <f>'Công trình'!B88</f>
        <v>AA.22310</v>
      </c>
      <c r="C1524" s="34"/>
      <c r="D1524" s="133" t="str">
        <f>'Công trình'!C88</f>
        <v>Đập đầu cọc trên cạn</v>
      </c>
      <c r="E1524" s="168"/>
      <c r="F1524" s="20">
        <v>1</v>
      </c>
      <c r="G1524" s="45">
        <f>'Hao phí vật tư'!L735</f>
        <v>0.10440000000000001</v>
      </c>
      <c r="H1524" s="166"/>
      <c r="I1524" s="166"/>
      <c r="J1524" s="166"/>
      <c r="K1524" s="166"/>
      <c r="L1524" s="156">
        <f>ROUND(G1524*K1522,2)</f>
        <v>0</v>
      </c>
      <c r="M1524" s="156">
        <f>ROUND(G1524*J1522,2)</f>
        <v>116032.14</v>
      </c>
    </row>
    <row r="1525" spans="1:13" hidden="1" x14ac:dyDescent="0.25">
      <c r="A1525" s="168"/>
      <c r="B1525" s="133" t="str">
        <f>'Công trình'!B235</f>
        <v>AA.22310</v>
      </c>
      <c r="C1525" s="34"/>
      <c r="D1525" s="133" t="str">
        <f>'Công trình'!C235</f>
        <v>Đập đầu cọc trên cạn</v>
      </c>
      <c r="E1525" s="168"/>
      <c r="F1525" s="20">
        <v>1</v>
      </c>
      <c r="G1525" s="45">
        <f>'Hao phí vật tư'!L1801</f>
        <v>0.2646</v>
      </c>
      <c r="H1525" s="166"/>
      <c r="I1525" s="166"/>
      <c r="J1525" s="166"/>
      <c r="K1525" s="166"/>
      <c r="L1525" s="156">
        <f>ROUND(G1525*K1522,2)</f>
        <v>0</v>
      </c>
      <c r="M1525" s="156">
        <f>ROUND(G1525*J1522,2)</f>
        <v>294081.46999999997</v>
      </c>
    </row>
    <row r="1526" spans="1:13" x14ac:dyDescent="0.25">
      <c r="A1526" s="168">
        <v>48</v>
      </c>
      <c r="B1526" s="84" t="s">
        <v>994</v>
      </c>
      <c r="C1526" s="34">
        <v>884</v>
      </c>
      <c r="D1526" s="144" t="s">
        <v>867</v>
      </c>
      <c r="E1526" s="168" t="s">
        <v>76</v>
      </c>
      <c r="F1526" s="34"/>
      <c r="G1526" s="60">
        <f>SUM(G1527:G1527)</f>
        <v>46.496699999999997</v>
      </c>
      <c r="H1526" s="166">
        <v>303283</v>
      </c>
      <c r="I1526" s="166">
        <v>303283</v>
      </c>
      <c r="J1526" s="166">
        <f>'Máy thi công'!N515</f>
        <v>303283</v>
      </c>
      <c r="K1526" s="166">
        <f>J1526-H1526</f>
        <v>0</v>
      </c>
      <c r="L1526" s="166">
        <f>ROUND(G1526*K1526,0)</f>
        <v>0</v>
      </c>
      <c r="M1526" s="166">
        <f>ROUND(G1526*J1526,0)</f>
        <v>14101659</v>
      </c>
    </row>
    <row r="1527" spans="1:13" ht="30" hidden="1" x14ac:dyDescent="0.25">
      <c r="A1527" s="168"/>
      <c r="B1527" s="133" t="str">
        <f>'Công trình'!B320</f>
        <v>CV.0102</v>
      </c>
      <c r="C1527" s="34"/>
      <c r="D1527" s="133" t="str">
        <f>'Công trình'!C320</f>
        <v>Sản xuất cửa van bằng thép không gỉ, chiều rộng cống (B) &lt;= 8m</v>
      </c>
      <c r="E1527" s="168"/>
      <c r="F1527" s="20">
        <v>1</v>
      </c>
      <c r="G1527" s="45">
        <f>'Hao phí vật tư'!L2382</f>
        <v>46.496699999999997</v>
      </c>
      <c r="H1527" s="166"/>
      <c r="I1527" s="166"/>
      <c r="J1527" s="166"/>
      <c r="K1527" s="166"/>
      <c r="L1527" s="156">
        <f>ROUND(G1527*K1526,2)</f>
        <v>0</v>
      </c>
      <c r="M1527" s="156">
        <f>ROUND(G1527*J1526,2)</f>
        <v>14101658.67</v>
      </c>
    </row>
    <row r="1528" spans="1:13" x14ac:dyDescent="0.25">
      <c r="A1528" s="168">
        <v>49</v>
      </c>
      <c r="B1528" s="84" t="s">
        <v>950</v>
      </c>
      <c r="C1528" s="34">
        <v>742</v>
      </c>
      <c r="D1528" s="144" t="s">
        <v>186</v>
      </c>
      <c r="E1528" s="168" t="s">
        <v>76</v>
      </c>
      <c r="F1528" s="34"/>
      <c r="G1528" s="60">
        <f>SUM(G1529:G1529)</f>
        <v>0.2248</v>
      </c>
      <c r="H1528" s="166">
        <v>3797208</v>
      </c>
      <c r="I1528" s="166">
        <v>3797208</v>
      </c>
      <c r="J1528" s="166">
        <f>'Máy thi công'!N301</f>
        <v>3797208</v>
      </c>
      <c r="K1528" s="166">
        <f>J1528-H1528</f>
        <v>0</v>
      </c>
      <c r="L1528" s="166">
        <f>ROUND(G1528*K1528,0)</f>
        <v>0</v>
      </c>
      <c r="M1528" s="166">
        <f>ROUND(G1528*J1528,0)</f>
        <v>853612</v>
      </c>
    </row>
    <row r="1529" spans="1:13" ht="30" hidden="1" x14ac:dyDescent="0.25">
      <c r="A1529" s="168"/>
      <c r="B1529" s="133" t="str">
        <f>'Công trình'!B241</f>
        <v>AD.11222</v>
      </c>
      <c r="C1529" s="34"/>
      <c r="D1529" s="133" t="str">
        <f>'Công trình'!C241</f>
        <v>Làm móng lớp trên cấp phối đá dăm, đường làm mới</v>
      </c>
      <c r="E1529" s="168"/>
      <c r="F1529" s="20">
        <v>1</v>
      </c>
      <c r="G1529" s="45">
        <f>'Hao phí vật tư'!L1829</f>
        <v>0.2248</v>
      </c>
      <c r="H1529" s="166"/>
      <c r="I1529" s="166"/>
      <c r="J1529" s="166"/>
      <c r="K1529" s="166"/>
      <c r="L1529" s="156">
        <f>ROUND(G1529*K1528,2)</f>
        <v>0</v>
      </c>
      <c r="M1529" s="156">
        <f>ROUND(G1529*J1528,2)</f>
        <v>853612.36</v>
      </c>
    </row>
    <row r="1530" spans="1:13" x14ac:dyDescent="0.25">
      <c r="A1530" s="168">
        <v>50</v>
      </c>
      <c r="B1530" s="84" t="s">
        <v>874</v>
      </c>
      <c r="C1530" s="34">
        <v>743</v>
      </c>
      <c r="D1530" s="144" t="s">
        <v>6</v>
      </c>
      <c r="E1530" s="168" t="s">
        <v>76</v>
      </c>
      <c r="F1530" s="34"/>
      <c r="G1530" s="60">
        <f>SUM(G1531:G1532)</f>
        <v>0.10400000000000001</v>
      </c>
      <c r="H1530" s="166">
        <v>2166080</v>
      </c>
      <c r="I1530" s="166">
        <v>2166080</v>
      </c>
      <c r="J1530" s="166">
        <f>'Máy thi công'!N303</f>
        <v>2166080</v>
      </c>
      <c r="K1530" s="166">
        <f>J1530-H1530</f>
        <v>0</v>
      </c>
      <c r="L1530" s="166">
        <f>ROUND(G1530*K1530,0)</f>
        <v>0</v>
      </c>
      <c r="M1530" s="166">
        <f>ROUND(G1530*J1530,0)</f>
        <v>225272</v>
      </c>
    </row>
    <row r="1531" spans="1:13" hidden="1" x14ac:dyDescent="0.25">
      <c r="A1531" s="168"/>
      <c r="B1531" s="133" t="str">
        <f>'Công trình'!B98</f>
        <v>AD.11212</v>
      </c>
      <c r="C1531" s="34"/>
      <c r="D1531" s="133" t="str">
        <f>'Công trình'!C98</f>
        <v>Cấp phối đá 0x4</v>
      </c>
      <c r="E1531" s="168"/>
      <c r="F1531" s="20">
        <v>1</v>
      </c>
      <c r="G1531" s="45">
        <f>'Hao phí vật tư'!L797</f>
        <v>4.8000000000000001E-2</v>
      </c>
      <c r="H1531" s="166"/>
      <c r="I1531" s="166"/>
      <c r="J1531" s="166"/>
      <c r="K1531" s="166"/>
      <c r="L1531" s="156">
        <f>ROUND(G1531*K1530,2)</f>
        <v>0</v>
      </c>
      <c r="M1531" s="156">
        <f>ROUND(G1531*J1530,2)</f>
        <v>103971.84</v>
      </c>
    </row>
    <row r="1532" spans="1:13" hidden="1" x14ac:dyDescent="0.25">
      <c r="A1532" s="168"/>
      <c r="B1532" s="133" t="str">
        <f>'Công trình'!B93</f>
        <v>AD.11212</v>
      </c>
      <c r="C1532" s="34"/>
      <c r="D1532" s="133" t="str">
        <f>'Công trình'!C93</f>
        <v>Cấp phối đá 0x4</v>
      </c>
      <c r="E1532" s="168"/>
      <c r="F1532" s="20">
        <v>1</v>
      </c>
      <c r="G1532" s="45">
        <f>'Hao phí vật tư'!L763</f>
        <v>5.6000000000000001E-2</v>
      </c>
      <c r="H1532" s="166"/>
      <c r="I1532" s="166"/>
      <c r="J1532" s="166"/>
      <c r="K1532" s="166"/>
      <c r="L1532" s="156">
        <f>ROUND(G1532*K1530,2)</f>
        <v>0</v>
      </c>
      <c r="M1532" s="156">
        <f>ROUND(G1532*J1530,2)</f>
        <v>121300.48</v>
      </c>
    </row>
    <row r="1533" spans="1:13" x14ac:dyDescent="0.25">
      <c r="A1533" s="168">
        <v>51</v>
      </c>
      <c r="B1533" s="84" t="s">
        <v>956</v>
      </c>
      <c r="C1533" s="34">
        <v>886</v>
      </c>
      <c r="D1533" s="144" t="s">
        <v>1094</v>
      </c>
      <c r="E1533" s="168" t="s">
        <v>76</v>
      </c>
      <c r="F1533" s="34"/>
      <c r="G1533" s="60">
        <f>SUM(G1534:G1534)</f>
        <v>53.385100000000001</v>
      </c>
      <c r="H1533" s="166">
        <v>330723</v>
      </c>
      <c r="I1533" s="166">
        <v>330723</v>
      </c>
      <c r="J1533" s="166">
        <f>'Máy thi công'!N517</f>
        <v>330723</v>
      </c>
      <c r="K1533" s="166">
        <f>J1533-H1533</f>
        <v>0</v>
      </c>
      <c r="L1533" s="166">
        <f>ROUND(G1533*K1533,0)</f>
        <v>0</v>
      </c>
      <c r="M1533" s="166">
        <f>ROUND(G1533*J1533,0)</f>
        <v>17655680</v>
      </c>
    </row>
    <row r="1534" spans="1:13" ht="30" hidden="1" x14ac:dyDescent="0.25">
      <c r="A1534" s="168"/>
      <c r="B1534" s="133" t="str">
        <f>'Công trình'!B320</f>
        <v>CV.0102</v>
      </c>
      <c r="C1534" s="34"/>
      <c r="D1534" s="133" t="str">
        <f>'Công trình'!C320</f>
        <v>Sản xuất cửa van bằng thép không gỉ, chiều rộng cống (B) &lt;= 8m</v>
      </c>
      <c r="E1534" s="168"/>
      <c r="F1534" s="20">
        <v>1</v>
      </c>
      <c r="G1534" s="45">
        <f>'Hao phí vật tư'!L2380</f>
        <v>53.385100000000001</v>
      </c>
      <c r="H1534" s="166"/>
      <c r="I1534" s="166"/>
      <c r="J1534" s="166"/>
      <c r="K1534" s="166"/>
      <c r="L1534" s="156">
        <f>ROUND(G1534*K1533,2)</f>
        <v>0</v>
      </c>
      <c r="M1534" s="156">
        <f>ROUND(G1534*J1533,2)</f>
        <v>17655680.43</v>
      </c>
    </row>
    <row r="1535" spans="1:13" x14ac:dyDescent="0.25">
      <c r="A1535" s="168">
        <v>52</v>
      </c>
      <c r="B1535" s="84" t="s">
        <v>1167</v>
      </c>
      <c r="C1535" s="34">
        <v>744</v>
      </c>
      <c r="D1535" s="144" t="s">
        <v>66</v>
      </c>
      <c r="E1535" s="168" t="s">
        <v>76</v>
      </c>
      <c r="F1535" s="34"/>
      <c r="G1535" s="60">
        <f>SUM(G1536:G1569)</f>
        <v>155.6352</v>
      </c>
      <c r="H1535" s="166">
        <v>288447</v>
      </c>
      <c r="I1535" s="166">
        <v>288447</v>
      </c>
      <c r="J1535" s="166">
        <f>'Máy thi công'!N306</f>
        <v>288447</v>
      </c>
      <c r="K1535" s="166">
        <f>J1535-H1535</f>
        <v>0</v>
      </c>
      <c r="L1535" s="166">
        <f>ROUND(G1535*K1535,0)</f>
        <v>0</v>
      </c>
      <c r="M1535" s="166">
        <f>ROUND(G1535*J1535,0)</f>
        <v>44892507</v>
      </c>
    </row>
    <row r="1536" spans="1:13" ht="30" hidden="1" x14ac:dyDescent="0.25">
      <c r="A1536" s="168"/>
      <c r="B1536" s="133" t="str">
        <f>'Công trình'!B18</f>
        <v>AF.12314</v>
      </c>
      <c r="C1536" s="34"/>
      <c r="D1536" s="133" t="str">
        <f>'Công trình'!C18</f>
        <v>Bê tông xà dầm, giằng nhà đá 1x2, vữa BT mác 250</v>
      </c>
      <c r="E1536" s="168"/>
      <c r="F1536" s="20">
        <v>1</v>
      </c>
      <c r="G1536" s="45">
        <f>'Hao phí vật tư'!L133</f>
        <v>6.157</v>
      </c>
      <c r="H1536" s="166"/>
      <c r="I1536" s="166"/>
      <c r="J1536" s="166"/>
      <c r="K1536" s="166"/>
      <c r="L1536" s="156">
        <f>ROUND(G1536*K1535,2)</f>
        <v>0</v>
      </c>
      <c r="M1536" s="156">
        <f>ROUND(G1536*J1535,2)</f>
        <v>1775968.18</v>
      </c>
    </row>
    <row r="1537" spans="1:13" ht="30" hidden="1" x14ac:dyDescent="0.25">
      <c r="A1537" s="168"/>
      <c r="B1537" s="133" t="str">
        <f>'Công trình'!B30</f>
        <v>AF.12113</v>
      </c>
      <c r="C1537" s="34"/>
      <c r="D1537" s="133" t="str">
        <f>'Công trình'!C30</f>
        <v>Bê tông tường dày &lt;=45cm, chiều cao &lt;=4m đá 1x2, vữa BT mác 200</v>
      </c>
      <c r="E1537" s="168"/>
      <c r="F1537" s="20">
        <v>1</v>
      </c>
      <c r="G1537" s="45">
        <f>'Hao phí vật tư'!L213</f>
        <v>2.4870999999999999</v>
      </c>
      <c r="H1537" s="166"/>
      <c r="I1537" s="166"/>
      <c r="J1537" s="166"/>
      <c r="K1537" s="166"/>
      <c r="L1537" s="156">
        <f>ROUND(G1537*K1535,2)</f>
        <v>0</v>
      </c>
      <c r="M1537" s="156">
        <f>ROUND(G1537*J1535,2)</f>
        <v>717396.53</v>
      </c>
    </row>
    <row r="1538" spans="1:13" ht="30" hidden="1" x14ac:dyDescent="0.25">
      <c r="A1538" s="168"/>
      <c r="B1538" s="133" t="str">
        <f>'Công trình'!B43</f>
        <v>AF.11212</v>
      </c>
      <c r="C1538" s="34"/>
      <c r="D1538" s="133" t="str">
        <f>'Công trình'!C43</f>
        <v>Bê tông móng rộng &lt;=250cm đá 1x2, vữa BT mác 150</v>
      </c>
      <c r="E1538" s="168"/>
      <c r="F1538" s="20">
        <v>1</v>
      </c>
      <c r="G1538" s="45">
        <f>'Hao phí vật tư'!L330</f>
        <v>5.7000000000000002E-3</v>
      </c>
      <c r="H1538" s="166"/>
      <c r="I1538" s="166"/>
      <c r="J1538" s="166"/>
      <c r="K1538" s="166"/>
      <c r="L1538" s="156">
        <f>ROUND(G1538*K1535,2)</f>
        <v>0</v>
      </c>
      <c r="M1538" s="156">
        <f>ROUND(G1538*J1535,2)</f>
        <v>1644.15</v>
      </c>
    </row>
    <row r="1539" spans="1:13" ht="30" hidden="1" x14ac:dyDescent="0.25">
      <c r="A1539" s="168"/>
      <c r="B1539" s="133" t="str">
        <f>'Công trình'!B44</f>
        <v>AF.11213</v>
      </c>
      <c r="C1539" s="34"/>
      <c r="D1539" s="133" t="str">
        <f>'Công trình'!C44</f>
        <v>Bê tông móng rộng &lt;=250cm đá 1x2, vữa BT mác 200</v>
      </c>
      <c r="E1539" s="168"/>
      <c r="F1539" s="20">
        <v>1</v>
      </c>
      <c r="G1539" s="45">
        <f>'Hao phí vật tư'!L342</f>
        <v>1.9E-2</v>
      </c>
      <c r="H1539" s="166"/>
      <c r="I1539" s="166"/>
      <c r="J1539" s="166"/>
      <c r="K1539" s="166"/>
      <c r="L1539" s="156">
        <f>ROUND(G1539*K1535,2)</f>
        <v>0</v>
      </c>
      <c r="M1539" s="156">
        <f>ROUND(G1539*J1535,2)</f>
        <v>5480.49</v>
      </c>
    </row>
    <row r="1540" spans="1:13" ht="30" hidden="1" x14ac:dyDescent="0.25">
      <c r="A1540" s="168"/>
      <c r="B1540" s="133" t="str">
        <f>'Công trình'!B52</f>
        <v>AG.11412</v>
      </c>
      <c r="C1540" s="34"/>
      <c r="D1540" s="133" t="str">
        <f>'Công trình'!C52</f>
        <v>Sản xuất bê tông tấm BT tự chèn đúc sẵn đá 1x2, vữa BT mác 150</v>
      </c>
      <c r="E1540" s="168"/>
      <c r="F1540" s="20">
        <v>1</v>
      </c>
      <c r="G1540" s="45">
        <f>'Hao phí vật tư'!L386</f>
        <v>8.7225000000000001</v>
      </c>
      <c r="H1540" s="166"/>
      <c r="I1540" s="166"/>
      <c r="J1540" s="166"/>
      <c r="K1540" s="166"/>
      <c r="L1540" s="156">
        <f>ROUND(G1540*K1535,2)</f>
        <v>0</v>
      </c>
      <c r="M1540" s="156">
        <f>ROUND(G1540*J1535,2)</f>
        <v>2515978.96</v>
      </c>
    </row>
    <row r="1541" spans="1:13" hidden="1" x14ac:dyDescent="0.25">
      <c r="A1541" s="168"/>
      <c r="B1541" s="133" t="str">
        <f>'Công trình'!B57</f>
        <v>AF.12313</v>
      </c>
      <c r="C1541" s="34"/>
      <c r="D1541" s="133" t="str">
        <f>'Công trình'!C57</f>
        <v>Bê tông xà dầm, giằng đá 1x2, vữa BT mác 200</v>
      </c>
      <c r="E1541" s="168"/>
      <c r="F1541" s="20">
        <v>1</v>
      </c>
      <c r="G1541" s="45">
        <f>'Hao phí vật tư'!L430</f>
        <v>3.3127</v>
      </c>
      <c r="H1541" s="166"/>
      <c r="I1541" s="166"/>
      <c r="J1541" s="166"/>
      <c r="K1541" s="166"/>
      <c r="L1541" s="156">
        <f>ROUND(G1541*K1535,2)</f>
        <v>0</v>
      </c>
      <c r="M1541" s="156">
        <f>ROUND(G1541*J1535,2)</f>
        <v>955538.38</v>
      </c>
    </row>
    <row r="1542" spans="1:13" ht="30" hidden="1" x14ac:dyDescent="0.25">
      <c r="A1542" s="168"/>
      <c r="B1542" s="133" t="str">
        <f>'Công trình'!B63</f>
        <v>AF.11223</v>
      </c>
      <c r="C1542" s="34"/>
      <c r="D1542" s="133" t="str">
        <f>'Công trình'!C63</f>
        <v>Bê tông lát mái rộng &gt;250cm đá 1x2, vữa BT mác 200</v>
      </c>
      <c r="E1542" s="168"/>
      <c r="F1542" s="20">
        <v>1</v>
      </c>
      <c r="G1542" s="45">
        <f>'Hao phí vật tư'!L485</f>
        <v>15.486000000000001</v>
      </c>
      <c r="H1542" s="166"/>
      <c r="I1542" s="166"/>
      <c r="J1542" s="166"/>
      <c r="K1542" s="166"/>
      <c r="L1542" s="156">
        <f>ROUND(G1542*K1535,2)</f>
        <v>0</v>
      </c>
      <c r="M1542" s="156">
        <f>ROUND(G1542*J1535,2)</f>
        <v>4466890.24</v>
      </c>
    </row>
    <row r="1543" spans="1:13" ht="30" hidden="1" x14ac:dyDescent="0.25">
      <c r="A1543" s="168"/>
      <c r="B1543" s="133" t="str">
        <f>'Công trình'!B68</f>
        <v>AG.11125</v>
      </c>
      <c r="C1543" s="34"/>
      <c r="D1543" s="133" t="str">
        <f>'Công trình'!C68</f>
        <v>Sản xuất bê tông cọc cừ đúc sẵn đá 1x2, vữa BT mác 300</v>
      </c>
      <c r="E1543" s="168"/>
      <c r="F1543" s="20">
        <v>1</v>
      </c>
      <c r="G1543" s="45">
        <f>'Hao phí vật tư'!L515</f>
        <v>6.7839999999999998</v>
      </c>
      <c r="H1543" s="166"/>
      <c r="I1543" s="166"/>
      <c r="J1543" s="166"/>
      <c r="K1543" s="166"/>
      <c r="L1543" s="156">
        <f>ROUND(G1543*K1535,2)</f>
        <v>0</v>
      </c>
      <c r="M1543" s="156">
        <f>ROUND(G1543*J1535,2)</f>
        <v>1956824.45</v>
      </c>
    </row>
    <row r="1544" spans="1:13" ht="30" hidden="1" x14ac:dyDescent="0.25">
      <c r="A1544" s="168"/>
      <c r="B1544" s="133" t="str">
        <f>'Công trình'!B79</f>
        <v>AG.11125</v>
      </c>
      <c r="C1544" s="34"/>
      <c r="D1544" s="133" t="str">
        <f>'Công trình'!C79</f>
        <v>Sản xuất bê tông cọc cừ đúc sẵn đá 1x2, vữa BT mác 300</v>
      </c>
      <c r="E1544" s="168"/>
      <c r="F1544" s="20">
        <v>1</v>
      </c>
      <c r="G1544" s="45">
        <f>'Hao phí vật tư'!L631</f>
        <v>2.6572</v>
      </c>
      <c r="H1544" s="166"/>
      <c r="I1544" s="166"/>
      <c r="J1544" s="166"/>
      <c r="K1544" s="166"/>
      <c r="L1544" s="156">
        <f>ROUND(G1544*K1535,2)</f>
        <v>0</v>
      </c>
      <c r="M1544" s="156">
        <f>ROUND(G1544*J1535,2)</f>
        <v>766461.37</v>
      </c>
    </row>
    <row r="1545" spans="1:13" hidden="1" x14ac:dyDescent="0.25">
      <c r="A1545" s="168"/>
      <c r="B1545" s="133" t="str">
        <f>'Công trình'!B92</f>
        <v>AF.11121</v>
      </c>
      <c r="C1545" s="34"/>
      <c r="D1545" s="133" t="str">
        <f>'Công trình'!C92</f>
        <v>Bê tông M100 đá 4x6</v>
      </c>
      <c r="E1545" s="168"/>
      <c r="F1545" s="20">
        <v>1</v>
      </c>
      <c r="G1545" s="45">
        <f>'Hao phí vật tư'!L752</f>
        <v>9.7850000000000001</v>
      </c>
      <c r="H1545" s="166"/>
      <c r="I1545" s="166"/>
      <c r="J1545" s="166"/>
      <c r="K1545" s="166"/>
      <c r="L1545" s="156">
        <f>ROUND(G1545*K1535,2)</f>
        <v>0</v>
      </c>
      <c r="M1545" s="156">
        <f>ROUND(G1545*J1535,2)</f>
        <v>2822453.9</v>
      </c>
    </row>
    <row r="1546" spans="1:13" ht="30" hidden="1" x14ac:dyDescent="0.25">
      <c r="A1546" s="168"/>
      <c r="B1546" s="133" t="str">
        <f>'Công trình'!B167</f>
        <v>AG.11413</v>
      </c>
      <c r="C1546" s="34"/>
      <c r="D1546" s="133" t="str">
        <f>'Công trình'!C167</f>
        <v>Bê tông tấm đan đúc sẵn đá 1x2, vữa BT mác 200</v>
      </c>
      <c r="E1546" s="168"/>
      <c r="F1546" s="20">
        <v>1</v>
      </c>
      <c r="G1546" s="45">
        <f>'Hao phí vật tư'!L1267</f>
        <v>0.83409999999999995</v>
      </c>
      <c r="H1546" s="166"/>
      <c r="I1546" s="166"/>
      <c r="J1546" s="166"/>
      <c r="K1546" s="166"/>
      <c r="L1546" s="156">
        <f>ROUND(G1546*K1535,2)</f>
        <v>0</v>
      </c>
      <c r="M1546" s="156">
        <f>ROUND(G1546*J1535,2)</f>
        <v>240593.64</v>
      </c>
    </row>
    <row r="1547" spans="1:13" ht="30" hidden="1" x14ac:dyDescent="0.25">
      <c r="A1547" s="168"/>
      <c r="B1547" s="133" t="str">
        <f>'Công trình'!B174</f>
        <v>AF.14115</v>
      </c>
      <c r="C1547" s="34"/>
      <c r="D1547" s="133" t="str">
        <f>'Công trình'!C174</f>
        <v>Bê tông móng, mố trụ cầu trên cạn đá 1x2, vữa BT mác 300</v>
      </c>
      <c r="E1547" s="168"/>
      <c r="F1547" s="20">
        <v>1</v>
      </c>
      <c r="G1547" s="45">
        <f>'Hao phí vật tư'!L1307</f>
        <v>9.3546999999999993</v>
      </c>
      <c r="H1547" s="166"/>
      <c r="I1547" s="166"/>
      <c r="J1547" s="166"/>
      <c r="K1547" s="166"/>
      <c r="L1547" s="156">
        <f>ROUND(G1547*K1535,2)</f>
        <v>0</v>
      </c>
      <c r="M1547" s="156">
        <f>ROUND(G1547*J1535,2)</f>
        <v>2698335.15</v>
      </c>
    </row>
    <row r="1548" spans="1:13" ht="30" hidden="1" x14ac:dyDescent="0.25">
      <c r="A1548" s="168"/>
      <c r="B1548" s="133" t="str">
        <f>'Công trình'!B177</f>
        <v>AF.11121</v>
      </c>
      <c r="C1548" s="34"/>
      <c r="D1548" s="133" t="str">
        <f>'Công trình'!C177</f>
        <v>Bê tông lót móng rộng &gt;250cm đá 4x6, vữa BT mác 100</v>
      </c>
      <c r="E1548" s="168"/>
      <c r="F1548" s="20">
        <v>1</v>
      </c>
      <c r="G1548" s="45">
        <f>'Hao phí vật tư'!L1344</f>
        <v>0.78569999999999995</v>
      </c>
      <c r="H1548" s="166"/>
      <c r="I1548" s="166"/>
      <c r="J1548" s="166"/>
      <c r="K1548" s="166"/>
      <c r="L1548" s="156">
        <f>ROUND(G1548*K1535,2)</f>
        <v>0</v>
      </c>
      <c r="M1548" s="156">
        <f>ROUND(G1548*J1535,2)</f>
        <v>226632.81</v>
      </c>
    </row>
    <row r="1549" spans="1:13" ht="30" hidden="1" x14ac:dyDescent="0.25">
      <c r="A1549" s="168"/>
      <c r="B1549" s="133" t="str">
        <f>'Công trình'!B186</f>
        <v>AF.14115</v>
      </c>
      <c r="C1549" s="34"/>
      <c r="D1549" s="133" t="str">
        <f>'Công trình'!C186</f>
        <v>Bê tông móng, mố trụ cầu trên cạn đá 1x2, vữa BT mác 300</v>
      </c>
      <c r="E1549" s="168"/>
      <c r="F1549" s="20">
        <v>1</v>
      </c>
      <c r="G1549" s="45">
        <f>'Hao phí vật tư'!L1424</f>
        <v>0.33439999999999998</v>
      </c>
      <c r="H1549" s="166"/>
      <c r="I1549" s="166"/>
      <c r="J1549" s="166"/>
      <c r="K1549" s="166"/>
      <c r="L1549" s="156">
        <f>ROUND(G1549*K1535,2)</f>
        <v>0</v>
      </c>
      <c r="M1549" s="156">
        <f>ROUND(G1549*J1535,2)</f>
        <v>96456.68</v>
      </c>
    </row>
    <row r="1550" spans="1:13" hidden="1" x14ac:dyDescent="0.25">
      <c r="A1550" s="168"/>
      <c r="B1550" s="133" t="str">
        <f>'Công trình'!B196</f>
        <v>AF.14315</v>
      </c>
      <c r="C1550" s="34"/>
      <c r="D1550" s="133" t="str">
        <f>'Công trình'!C196</f>
        <v>Bê tông mặt cầu đá 1x2, vữa BT mác 300</v>
      </c>
      <c r="E1550" s="168"/>
      <c r="F1550" s="20">
        <v>1</v>
      </c>
      <c r="G1550" s="45">
        <f>'Hao phí vật tư'!L1506</f>
        <v>5.3446999999999996</v>
      </c>
      <c r="H1550" s="166"/>
      <c r="I1550" s="166"/>
      <c r="J1550" s="166"/>
      <c r="K1550" s="166"/>
      <c r="L1550" s="156">
        <f>ROUND(G1550*K1535,2)</f>
        <v>0</v>
      </c>
      <c r="M1550" s="156">
        <f>ROUND(G1550*J1535,2)</f>
        <v>1541662.68</v>
      </c>
    </row>
    <row r="1551" spans="1:13" hidden="1" x14ac:dyDescent="0.25">
      <c r="A1551" s="168"/>
      <c r="B1551" s="133" t="str">
        <f>'Công trình'!B197</f>
        <v>AF.15225</v>
      </c>
      <c r="C1551" s="34"/>
      <c r="D1551" s="133" t="str">
        <f>'Công trình'!C197</f>
        <v>Bê tông dầm cầu đá 1x2, vữa BT mác 300</v>
      </c>
      <c r="E1551" s="168"/>
      <c r="F1551" s="20">
        <v>1</v>
      </c>
      <c r="G1551" s="45">
        <f>'Hao phí vật tư'!L1520</f>
        <v>0.29170000000000001</v>
      </c>
      <c r="H1551" s="166"/>
      <c r="I1551" s="166"/>
      <c r="J1551" s="166"/>
      <c r="K1551" s="166"/>
      <c r="L1551" s="156">
        <f>ROUND(G1551*K1535,2)</f>
        <v>0</v>
      </c>
      <c r="M1551" s="156">
        <f>ROUND(G1551*J1535,2)</f>
        <v>84139.99</v>
      </c>
    </row>
    <row r="1552" spans="1:13" hidden="1" x14ac:dyDescent="0.25">
      <c r="A1552" s="168"/>
      <c r="B1552" s="133" t="str">
        <f>'Công trình'!B217</f>
        <v>AF.11215</v>
      </c>
      <c r="C1552" s="34"/>
      <c r="D1552" s="133" t="str">
        <f>'Công trình'!C217</f>
        <v>BT M300 đổ sau có phụ gia</v>
      </c>
      <c r="E1552" s="168"/>
      <c r="F1552" s="20">
        <v>1</v>
      </c>
      <c r="G1552" s="45">
        <f>'Hao phí vật tư'!L1642</f>
        <v>0.1074</v>
      </c>
      <c r="H1552" s="166"/>
      <c r="I1552" s="166"/>
      <c r="J1552" s="166"/>
      <c r="K1552" s="166"/>
      <c r="L1552" s="156">
        <f>ROUND(G1552*K1535,2)</f>
        <v>0</v>
      </c>
      <c r="M1552" s="156">
        <f>ROUND(G1552*J1535,2)</f>
        <v>30979.21</v>
      </c>
    </row>
    <row r="1553" spans="1:13" ht="30" hidden="1" x14ac:dyDescent="0.25">
      <c r="A1553" s="168"/>
      <c r="B1553" s="133" t="str">
        <f>'Công trình'!B225</f>
        <v>AG.11125</v>
      </c>
      <c r="C1553" s="34"/>
      <c r="D1553" s="133" t="str">
        <f>'Công trình'!C225</f>
        <v>Sản xuất bê tông cọc cừ đúc sẵn đá 1x2, vữa BT mác 300</v>
      </c>
      <c r="E1553" s="168"/>
      <c r="F1553" s="20">
        <v>1</v>
      </c>
      <c r="G1553" s="45">
        <f>'Hao phí vật tư'!L1691</f>
        <v>7.3320999999999996</v>
      </c>
      <c r="H1553" s="166"/>
      <c r="I1553" s="166"/>
      <c r="J1553" s="166"/>
      <c r="K1553" s="166"/>
      <c r="L1553" s="156">
        <f>ROUND(G1553*K1535,2)</f>
        <v>0</v>
      </c>
      <c r="M1553" s="156">
        <f>ROUND(G1553*J1535,2)</f>
        <v>2114922.25</v>
      </c>
    </row>
    <row r="1554" spans="1:13" ht="30" hidden="1" x14ac:dyDescent="0.25">
      <c r="A1554" s="168"/>
      <c r="B1554" s="133" t="str">
        <f>'Công trình'!B247</f>
        <v>AF.12313</v>
      </c>
      <c r="C1554" s="34"/>
      <c r="D1554" s="133" t="str">
        <f>'Công trình'!C247</f>
        <v>Bê tông dầm chặn chân, đá 1x2, vữa BT mác 200</v>
      </c>
      <c r="E1554" s="168"/>
      <c r="F1554" s="20">
        <v>1</v>
      </c>
      <c r="G1554" s="45">
        <f>'Hao phí vật tư'!L1875</f>
        <v>1.6948000000000001</v>
      </c>
      <c r="H1554" s="166"/>
      <c r="I1554" s="166"/>
      <c r="J1554" s="166"/>
      <c r="K1554" s="166"/>
      <c r="L1554" s="156">
        <f>ROUND(G1554*K1535,2)</f>
        <v>0</v>
      </c>
      <c r="M1554" s="156">
        <f>ROUND(G1554*J1535,2)</f>
        <v>488859.98</v>
      </c>
    </row>
    <row r="1555" spans="1:13" ht="30" hidden="1" x14ac:dyDescent="0.25">
      <c r="A1555" s="168"/>
      <c r="B1555" s="133" t="str">
        <f>'Công trình'!B250</f>
        <v>AG.11413</v>
      </c>
      <c r="C1555" s="34"/>
      <c r="D1555" s="133" t="str">
        <f>'Công trình'!C250</f>
        <v>Sản xuất bê tông lục giác, đá 1x2, vữa BT mác 200</v>
      </c>
      <c r="E1555" s="168"/>
      <c r="F1555" s="20">
        <v>1</v>
      </c>
      <c r="G1555" s="45">
        <f>'Hao phí vật tư'!L1908</f>
        <v>6.8837000000000002</v>
      </c>
      <c r="H1555" s="166"/>
      <c r="I1555" s="166"/>
      <c r="J1555" s="166"/>
      <c r="K1555" s="166"/>
      <c r="L1555" s="156">
        <f>ROUND(G1555*K1535,2)</f>
        <v>0</v>
      </c>
      <c r="M1555" s="156">
        <f>ROUND(G1555*J1535,2)</f>
        <v>1985582.61</v>
      </c>
    </row>
    <row r="1556" spans="1:13" ht="30" hidden="1" x14ac:dyDescent="0.25">
      <c r="A1556" s="168"/>
      <c r="B1556" s="133" t="str">
        <f>'Công trình'!B255</f>
        <v>AF.14325</v>
      </c>
      <c r="C1556" s="34"/>
      <c r="D1556" s="133" t="str">
        <f>'Công trình'!C255</f>
        <v>Bê tông lan can, gờ chắn đá 1x2, vữa BT mác 300</v>
      </c>
      <c r="E1556" s="168"/>
      <c r="F1556" s="20">
        <v>1</v>
      </c>
      <c r="G1556" s="45">
        <f>'Hao phí vật tư'!L1944</f>
        <v>2.3573</v>
      </c>
      <c r="H1556" s="166"/>
      <c r="I1556" s="166"/>
      <c r="J1556" s="166"/>
      <c r="K1556" s="166"/>
      <c r="L1556" s="156">
        <f>ROUND(G1556*K1535,2)</f>
        <v>0</v>
      </c>
      <c r="M1556" s="156">
        <f>ROUND(G1556*J1535,2)</f>
        <v>679956.11</v>
      </c>
    </row>
    <row r="1557" spans="1:13" ht="30" hidden="1" x14ac:dyDescent="0.25">
      <c r="A1557" s="168"/>
      <c r="B1557" s="133" t="str">
        <f>'Công trình'!B267</f>
        <v>AF.11212</v>
      </c>
      <c r="C1557" s="34"/>
      <c r="D1557" s="133" t="str">
        <f>'Công trình'!C267</f>
        <v>Bê tông móng rộng &lt;=250cm đá 1x2, vữa BT mác 150</v>
      </c>
      <c r="E1557" s="168"/>
      <c r="F1557" s="20">
        <v>1</v>
      </c>
      <c r="G1557" s="45">
        <f>'Hao phí vật tư'!L2040</f>
        <v>0.32300000000000001</v>
      </c>
      <c r="H1557" s="166"/>
      <c r="I1557" s="166"/>
      <c r="J1557" s="166"/>
      <c r="K1557" s="166"/>
      <c r="L1557" s="156">
        <f>ROUND(G1557*K1535,2)</f>
        <v>0</v>
      </c>
      <c r="M1557" s="156">
        <f>ROUND(G1557*J1535,2)</f>
        <v>93168.38</v>
      </c>
    </row>
    <row r="1558" spans="1:13" ht="30" hidden="1" x14ac:dyDescent="0.25">
      <c r="A1558" s="168"/>
      <c r="B1558" s="133" t="str">
        <f>'Công trình'!B284</f>
        <v>AF.11213</v>
      </c>
      <c r="C1558" s="34"/>
      <c r="D1558" s="133" t="str">
        <f>'Công trình'!C284</f>
        <v>Bê tông móng rộng &lt;=250cm đá 1x2, vữa BT mác 200</v>
      </c>
      <c r="E1558" s="168"/>
      <c r="F1558" s="20">
        <v>1</v>
      </c>
      <c r="G1558" s="45">
        <f>'Hao phí vật tư'!L2131</f>
        <v>0.74480000000000002</v>
      </c>
      <c r="H1558" s="166"/>
      <c r="I1558" s="166"/>
      <c r="J1558" s="166"/>
      <c r="K1558" s="166"/>
      <c r="L1558" s="156">
        <f>ROUND(G1558*K1535,2)</f>
        <v>0</v>
      </c>
      <c r="M1558" s="156">
        <f>ROUND(G1558*J1535,2)</f>
        <v>214835.33</v>
      </c>
    </row>
    <row r="1559" spans="1:13" ht="30" hidden="1" x14ac:dyDescent="0.25">
      <c r="A1559" s="168"/>
      <c r="B1559" s="133" t="str">
        <f>'Công trình'!B285</f>
        <v>AF.11212</v>
      </c>
      <c r="C1559" s="34"/>
      <c r="D1559" s="133" t="str">
        <f>'Công trình'!C285</f>
        <v>Bê tông móng rộng &lt;=250cm đá 1x2, vữa BT mác 150</v>
      </c>
      <c r="E1559" s="168"/>
      <c r="F1559" s="20">
        <v>1</v>
      </c>
      <c r="G1559" s="45">
        <f>'Hao phí vật tư'!L2143</f>
        <v>0.13300000000000001</v>
      </c>
      <c r="H1559" s="166"/>
      <c r="I1559" s="166"/>
      <c r="J1559" s="166"/>
      <c r="K1559" s="166"/>
      <c r="L1559" s="156">
        <f>ROUND(G1559*K1535,2)</f>
        <v>0</v>
      </c>
      <c r="M1559" s="156">
        <f>ROUND(G1559*J1535,2)</f>
        <v>38363.449999999997</v>
      </c>
    </row>
    <row r="1560" spans="1:13" ht="30" hidden="1" x14ac:dyDescent="0.25">
      <c r="A1560" s="168"/>
      <c r="B1560" s="133" t="str">
        <f>'Công trình'!B295</f>
        <v>AF.11213</v>
      </c>
      <c r="C1560" s="34"/>
      <c r="D1560" s="133" t="str">
        <f>'Công trình'!C295</f>
        <v>Bê tông móng rộng &lt;=250cm đá 1x2, vữa BT mác 200</v>
      </c>
      <c r="E1560" s="168"/>
      <c r="F1560" s="20">
        <v>1</v>
      </c>
      <c r="G1560" s="45">
        <f>'Hao phí vật tư'!L2215</f>
        <v>1.6199999999999999E-2</v>
      </c>
      <c r="H1560" s="166"/>
      <c r="I1560" s="166"/>
      <c r="J1560" s="166"/>
      <c r="K1560" s="166"/>
      <c r="L1560" s="156">
        <f>ROUND(G1560*K1535,2)</f>
        <v>0</v>
      </c>
      <c r="M1560" s="156">
        <f>ROUND(G1560*J1535,2)</f>
        <v>4672.84</v>
      </c>
    </row>
    <row r="1561" spans="1:13" ht="30" hidden="1" x14ac:dyDescent="0.25">
      <c r="A1561" s="168"/>
      <c r="B1561" s="133" t="str">
        <f>'Công trình'!B296</f>
        <v>AF.11212</v>
      </c>
      <c r="C1561" s="34"/>
      <c r="D1561" s="133" t="str">
        <f>'Công trình'!C296</f>
        <v>Bê tông móng rộng &lt;=250cm đá 1x2, vữa BT mác 150</v>
      </c>
      <c r="E1561" s="168"/>
      <c r="F1561" s="20">
        <v>1</v>
      </c>
      <c r="G1561" s="45">
        <f>'Hao phí vật tư'!L2227</f>
        <v>5.7000000000000002E-3</v>
      </c>
      <c r="H1561" s="166"/>
      <c r="I1561" s="166"/>
      <c r="J1561" s="166"/>
      <c r="K1561" s="166"/>
      <c r="L1561" s="156">
        <f>ROUND(G1561*K1535,2)</f>
        <v>0</v>
      </c>
      <c r="M1561" s="156">
        <f>ROUND(G1561*J1535,2)</f>
        <v>1644.15</v>
      </c>
    </row>
    <row r="1562" spans="1:13" ht="30" hidden="1" x14ac:dyDescent="0.25">
      <c r="A1562" s="168"/>
      <c r="B1562" s="133" t="str">
        <f>'Công trình'!B300</f>
        <v>AG.11113</v>
      </c>
      <c r="C1562" s="34"/>
      <c r="D1562" s="133" t="str">
        <f>'Công trình'!C300</f>
        <v>Sản xuất bê tông cọc, cột đúc sẵn đá 1x2, vữa BT mác 200</v>
      </c>
      <c r="E1562" s="168"/>
      <c r="F1562" s="20">
        <v>1</v>
      </c>
      <c r="G1562" s="45">
        <f>'Hao phí vật tư'!L2249</f>
        <v>8.5500000000000007E-2</v>
      </c>
      <c r="H1562" s="166"/>
      <c r="I1562" s="166"/>
      <c r="J1562" s="166"/>
      <c r="K1562" s="166"/>
      <c r="L1562" s="156">
        <f>ROUND(G1562*K1535,2)</f>
        <v>0</v>
      </c>
      <c r="M1562" s="156">
        <f>ROUND(G1562*J1535,2)</f>
        <v>24662.22</v>
      </c>
    </row>
    <row r="1563" spans="1:13" ht="30" hidden="1" x14ac:dyDescent="0.25">
      <c r="A1563" s="168"/>
      <c r="B1563" s="133" t="str">
        <f>'Công trình'!B301</f>
        <v>AF.11212</v>
      </c>
      <c r="C1563" s="34"/>
      <c r="D1563" s="133" t="str">
        <f>'Công trình'!C301</f>
        <v>Bê tông móng rộng &lt;=250cm đá 1x2, vữa BT mác 150</v>
      </c>
      <c r="E1563" s="168"/>
      <c r="F1563" s="20">
        <v>1</v>
      </c>
      <c r="G1563" s="45">
        <f>'Hao phí vật tư'!L2262</f>
        <v>0.1368</v>
      </c>
      <c r="H1563" s="166"/>
      <c r="I1563" s="166"/>
      <c r="J1563" s="166"/>
      <c r="K1563" s="166"/>
      <c r="L1563" s="156">
        <f>ROUND(G1563*K1535,2)</f>
        <v>0</v>
      </c>
      <c r="M1563" s="156">
        <f>ROUND(G1563*J1535,2)</f>
        <v>39459.550000000003</v>
      </c>
    </row>
    <row r="1564" spans="1:13" ht="30" hidden="1" x14ac:dyDescent="0.25">
      <c r="A1564" s="168"/>
      <c r="B1564" s="133" t="str">
        <f>'Công trình'!B7</f>
        <v>AF.11224</v>
      </c>
      <c r="C1564" s="34"/>
      <c r="D1564" s="133" t="str">
        <f>'Công trình'!C7</f>
        <v>Bê tông móng rộng &gt;250cm đá 1x2, vữa BT mác 250</v>
      </c>
      <c r="E1564" s="168"/>
      <c r="F1564" s="20">
        <v>1</v>
      </c>
      <c r="G1564" s="45">
        <f>'Hao phí vật tư'!L21</f>
        <v>15.612299999999999</v>
      </c>
      <c r="H1564" s="166"/>
      <c r="I1564" s="166"/>
      <c r="J1564" s="166"/>
      <c r="K1564" s="166"/>
      <c r="L1564" s="156">
        <f>ROUND(G1564*K1535,2)</f>
        <v>0</v>
      </c>
      <c r="M1564" s="156">
        <f>ROUND(G1564*J1535,2)</f>
        <v>4503321.0999999996</v>
      </c>
    </row>
    <row r="1565" spans="1:13" ht="30" hidden="1" x14ac:dyDescent="0.25">
      <c r="A1565" s="168"/>
      <c r="B1565" s="133" t="str">
        <f>'Công trình'!B8</f>
        <v>AF.12144</v>
      </c>
      <c r="C1565" s="34"/>
      <c r="D1565" s="133" t="str">
        <f>'Công trình'!C8</f>
        <v>Bê tông tường dày &gt;45cm, chiều cao &lt;=16m đá 1x2, vữa BT mác 250</v>
      </c>
      <c r="E1565" s="168"/>
      <c r="F1565" s="20">
        <v>1</v>
      </c>
      <c r="G1565" s="45">
        <f>'Hao phí vật tư'!L37</f>
        <v>15.2637</v>
      </c>
      <c r="H1565" s="166"/>
      <c r="I1565" s="166"/>
      <c r="J1565" s="166"/>
      <c r="K1565" s="166"/>
      <c r="L1565" s="156">
        <f>ROUND(G1565*K1535,2)</f>
        <v>0</v>
      </c>
      <c r="M1565" s="156">
        <f>ROUND(G1565*J1535,2)</f>
        <v>4402768.47</v>
      </c>
    </row>
    <row r="1566" spans="1:13" hidden="1" x14ac:dyDescent="0.25">
      <c r="A1566" s="168"/>
      <c r="B1566" s="133" t="str">
        <f>'Công trình'!B175</f>
        <v>AF.11225</v>
      </c>
      <c r="C1566" s="34"/>
      <c r="D1566" s="133" t="str">
        <f>'Công trình'!C175</f>
        <v>Bê tông bản dẫn đá 1x2, vữa BT mác 300</v>
      </c>
      <c r="E1566" s="168"/>
      <c r="F1566" s="20">
        <v>1</v>
      </c>
      <c r="G1566" s="45">
        <f>'Hao phí vật tư'!L1324</f>
        <v>1.71</v>
      </c>
      <c r="H1566" s="166"/>
      <c r="I1566" s="166"/>
      <c r="J1566" s="166"/>
      <c r="K1566" s="166"/>
      <c r="L1566" s="156">
        <f>ROUND(G1566*K1535,2)</f>
        <v>0</v>
      </c>
      <c r="M1566" s="156">
        <f>ROUND(G1566*J1535,2)</f>
        <v>493244.37</v>
      </c>
    </row>
    <row r="1567" spans="1:13" hidden="1" x14ac:dyDescent="0.25">
      <c r="A1567" s="168"/>
      <c r="B1567" s="133" t="str">
        <f>'Công trình'!B9</f>
        <v>AF.11333</v>
      </c>
      <c r="C1567" s="34"/>
      <c r="D1567" s="133" t="str">
        <f>'Công trình'!C9</f>
        <v>Bê tông bịt đáy đá 4x6, vữa BT mác 200</v>
      </c>
      <c r="E1567" s="168"/>
      <c r="F1567" s="20">
        <v>1</v>
      </c>
      <c r="G1567" s="45">
        <f>'Hao phí vật tư'!L49</f>
        <v>24.7</v>
      </c>
      <c r="H1567" s="166"/>
      <c r="I1567" s="166"/>
      <c r="J1567" s="166"/>
      <c r="K1567" s="166"/>
      <c r="L1567" s="156">
        <f>ROUND(G1567*K1535,2)</f>
        <v>0</v>
      </c>
      <c r="M1567" s="156">
        <f>ROUND(G1567*J1535,2)</f>
        <v>7124640.9000000004</v>
      </c>
    </row>
    <row r="1568" spans="1:13" ht="30" hidden="1" x14ac:dyDescent="0.25">
      <c r="A1568" s="168"/>
      <c r="B1568" s="133" t="str">
        <f>'Công trình'!B10</f>
        <v>AF.11121</v>
      </c>
      <c r="C1568" s="34"/>
      <c r="D1568" s="133" t="str">
        <f>'Công trình'!C10</f>
        <v>Bê tông lót móng rộng &gt;250cm đá 4x6, vữa BT mác 100</v>
      </c>
      <c r="E1568" s="168"/>
      <c r="F1568" s="20">
        <v>1</v>
      </c>
      <c r="G1568" s="45">
        <f>'Hao phí vật tư'!L60</f>
        <v>5.1870000000000003</v>
      </c>
      <c r="H1568" s="166"/>
      <c r="I1568" s="166"/>
      <c r="J1568" s="166"/>
      <c r="K1568" s="166"/>
      <c r="L1568" s="156">
        <f>ROUND(G1568*K1535,2)</f>
        <v>0</v>
      </c>
      <c r="M1568" s="156">
        <f>ROUND(G1568*J1535,2)</f>
        <v>1496174.59</v>
      </c>
    </row>
    <row r="1569" spans="1:13" hidden="1" x14ac:dyDescent="0.25">
      <c r="A1569" s="168"/>
      <c r="B1569" s="133" t="str">
        <f>'Công trình'!B34</f>
        <v>AF.12313</v>
      </c>
      <c r="C1569" s="34"/>
      <c r="D1569" s="133" t="str">
        <f>'Công trình'!C34</f>
        <v>Bê tông dầm, giằng đá 1x2, vữa BT mác 200</v>
      </c>
      <c r="E1569" s="168"/>
      <c r="F1569" s="20">
        <v>1</v>
      </c>
      <c r="G1569" s="45">
        <f>'Hao phí vật tư'!L257</f>
        <v>0.98040000000000005</v>
      </c>
      <c r="H1569" s="166"/>
      <c r="I1569" s="166"/>
      <c r="J1569" s="166"/>
      <c r="K1569" s="166"/>
      <c r="L1569" s="156">
        <f>ROUND(G1569*K1535,2)</f>
        <v>0</v>
      </c>
      <c r="M1569" s="156">
        <f>ROUND(G1569*J1535,2)</f>
        <v>282793.44</v>
      </c>
    </row>
    <row r="1570" spans="1:13" x14ac:dyDescent="0.25">
      <c r="A1570" s="168">
        <v>53</v>
      </c>
      <c r="B1570" s="84" t="s">
        <v>276</v>
      </c>
      <c r="C1570" s="34">
        <v>745</v>
      </c>
      <c r="D1570" s="144" t="s">
        <v>544</v>
      </c>
      <c r="E1570" s="168" t="s">
        <v>76</v>
      </c>
      <c r="F1570" s="34"/>
      <c r="G1570" s="60">
        <f>SUM(G1571:G1578)</f>
        <v>8.5945</v>
      </c>
      <c r="H1570" s="166">
        <v>232983</v>
      </c>
      <c r="I1570" s="166">
        <v>232983</v>
      </c>
      <c r="J1570" s="166">
        <f>'Máy thi công'!N341</f>
        <v>232983</v>
      </c>
      <c r="K1570" s="166">
        <f>J1570-H1570</f>
        <v>0</v>
      </c>
      <c r="L1570" s="166">
        <f>ROUND(G1570*K1570,0)</f>
        <v>0</v>
      </c>
      <c r="M1570" s="166">
        <f>ROUND(G1570*J1570,0)</f>
        <v>2002372</v>
      </c>
    </row>
    <row r="1571" spans="1:13" hidden="1" x14ac:dyDescent="0.25">
      <c r="A1571" s="168"/>
      <c r="B1571" s="133" t="str">
        <f>'Công trình'!B58</f>
        <v>AK.41124</v>
      </c>
      <c r="C1571" s="34"/>
      <c r="D1571" s="133" t="str">
        <f>'Công trình'!C58</f>
        <v>Vữa lót M75 dày 3cm</v>
      </c>
      <c r="E1571" s="168"/>
      <c r="F1571" s="20">
        <v>1</v>
      </c>
      <c r="G1571" s="45">
        <f>'Hao phí vật tư'!L439</f>
        <v>0.34870000000000001</v>
      </c>
      <c r="H1571" s="166"/>
      <c r="I1571" s="166"/>
      <c r="J1571" s="166"/>
      <c r="K1571" s="166"/>
      <c r="L1571" s="156">
        <f>ROUND(G1571*K1570,2)</f>
        <v>0</v>
      </c>
      <c r="M1571" s="156">
        <f>ROUND(G1571*J1570,2)</f>
        <v>81241.17</v>
      </c>
    </row>
    <row r="1572" spans="1:13" hidden="1" x14ac:dyDescent="0.25">
      <c r="A1572" s="168"/>
      <c r="B1572" s="133" t="str">
        <f>'Công trình'!B64</f>
        <v>AK.41124</v>
      </c>
      <c r="C1572" s="34"/>
      <c r="D1572" s="133" t="str">
        <f>'Công trình'!C64</f>
        <v>Vữa lót M75 dày 3cm</v>
      </c>
      <c r="E1572" s="168"/>
      <c r="F1572" s="20">
        <v>1</v>
      </c>
      <c r="G1572" s="45">
        <f>'Hao phí vật tư'!L494</f>
        <v>5.4333</v>
      </c>
      <c r="H1572" s="166"/>
      <c r="I1572" s="166"/>
      <c r="J1572" s="166"/>
      <c r="K1572" s="166"/>
      <c r="L1572" s="156">
        <f>ROUND(G1572*K1570,2)</f>
        <v>0</v>
      </c>
      <c r="M1572" s="156">
        <f>ROUND(G1572*J1570,2)</f>
        <v>1265866.53</v>
      </c>
    </row>
    <row r="1573" spans="1:13" hidden="1" x14ac:dyDescent="0.25">
      <c r="A1573" s="168"/>
      <c r="B1573" s="133" t="str">
        <f>'Công trình'!B176</f>
        <v>AK.41125</v>
      </c>
      <c r="C1573" s="34"/>
      <c r="D1573" s="133" t="str">
        <f>'Công trình'!C176</f>
        <v>Vữa xi măng M100 độ dốc 10%</v>
      </c>
      <c r="E1573" s="168"/>
      <c r="F1573" s="20">
        <v>1</v>
      </c>
      <c r="G1573" s="45">
        <f>'Hao phí vật tư'!L1333</f>
        <v>1.8800000000000001E-2</v>
      </c>
      <c r="H1573" s="166"/>
      <c r="I1573" s="166"/>
      <c r="J1573" s="166"/>
      <c r="K1573" s="166"/>
      <c r="L1573" s="156">
        <f>ROUND(G1573*K1570,2)</f>
        <v>0</v>
      </c>
      <c r="M1573" s="156">
        <f>ROUND(G1573*J1570,2)</f>
        <v>4380.08</v>
      </c>
    </row>
    <row r="1574" spans="1:13" hidden="1" x14ac:dyDescent="0.25">
      <c r="A1574" s="168"/>
      <c r="B1574" s="133" t="str">
        <f>'Công trình'!B187</f>
        <v>AK.41125</v>
      </c>
      <c r="C1574" s="34"/>
      <c r="D1574" s="133" t="str">
        <f>'Công trình'!C187</f>
        <v>Vữa xi măng dày 3cm, vữa XM mác 100</v>
      </c>
      <c r="E1574" s="168"/>
      <c r="F1574" s="20">
        <v>1</v>
      </c>
      <c r="G1574" s="45">
        <f>'Hao phí vật tư'!L1435</f>
        <v>3.8E-3</v>
      </c>
      <c r="H1574" s="166"/>
      <c r="I1574" s="166"/>
      <c r="J1574" s="166"/>
      <c r="K1574" s="166"/>
      <c r="L1574" s="156">
        <f>ROUND(G1574*K1570,2)</f>
        <v>0</v>
      </c>
      <c r="M1574" s="156">
        <f>ROUND(G1574*J1570,2)</f>
        <v>885.34</v>
      </c>
    </row>
    <row r="1575" spans="1:13" hidden="1" x14ac:dyDescent="0.25">
      <c r="A1575" s="168"/>
      <c r="B1575" s="133" t="str">
        <f>'Công trình'!B248</f>
        <v>AK.41124</v>
      </c>
      <c r="C1575" s="34"/>
      <c r="D1575" s="133" t="str">
        <f>'Công trình'!C248</f>
        <v>Vữa lót M75-3cm</v>
      </c>
      <c r="E1575" s="168"/>
      <c r="F1575" s="20">
        <v>1</v>
      </c>
      <c r="G1575" s="45">
        <f>'Hao phí vật tư'!L1884</f>
        <v>0.28539999999999999</v>
      </c>
      <c r="H1575" s="166"/>
      <c r="I1575" s="166"/>
      <c r="J1575" s="166"/>
      <c r="K1575" s="166"/>
      <c r="L1575" s="156">
        <f>ROUND(G1575*K1570,2)</f>
        <v>0</v>
      </c>
      <c r="M1575" s="156">
        <f>ROUND(G1575*J1570,2)</f>
        <v>66493.350000000006</v>
      </c>
    </row>
    <row r="1576" spans="1:13" hidden="1" x14ac:dyDescent="0.25">
      <c r="A1576" s="168"/>
      <c r="B1576" s="133" t="str">
        <f>'Công trình'!B286</f>
        <v>AK.41124</v>
      </c>
      <c r="C1576" s="34"/>
      <c r="D1576" s="133" t="str">
        <f>'Công trình'!C286</f>
        <v>Vữa lót M75 dày 3cm</v>
      </c>
      <c r="E1576" s="168"/>
      <c r="F1576" s="20">
        <v>1</v>
      </c>
      <c r="G1576" s="45">
        <f>'Hao phí vật tư'!L2152</f>
        <v>4.5400000000000003E-2</v>
      </c>
      <c r="H1576" s="166"/>
      <c r="I1576" s="166"/>
      <c r="J1576" s="166"/>
      <c r="K1576" s="166"/>
      <c r="L1576" s="156">
        <f>ROUND(G1576*K1570,2)</f>
        <v>0</v>
      </c>
      <c r="M1576" s="156">
        <f>ROUND(G1576*J1570,2)</f>
        <v>10577.43</v>
      </c>
    </row>
    <row r="1577" spans="1:13" hidden="1" x14ac:dyDescent="0.25">
      <c r="A1577" s="168"/>
      <c r="B1577" s="133" t="str">
        <f>'Công trình'!B265</f>
        <v>AK.41115</v>
      </c>
      <c r="C1577" s="34"/>
      <c r="D1577" s="133" t="str">
        <f>'Công trình'!C265</f>
        <v>Vữa xi măng M100</v>
      </c>
      <c r="E1577" s="168"/>
      <c r="F1577" s="20">
        <v>1</v>
      </c>
      <c r="G1577" s="45">
        <f>'Hao phí vật tư'!L2028</f>
        <v>4.8000000000000001E-2</v>
      </c>
      <c r="H1577" s="166"/>
      <c r="I1577" s="166"/>
      <c r="J1577" s="166"/>
      <c r="K1577" s="166"/>
      <c r="L1577" s="156">
        <f>ROUND(G1577*K1570,2)</f>
        <v>0</v>
      </c>
      <c r="M1577" s="156">
        <f>ROUND(G1577*J1570,2)</f>
        <v>11183.18</v>
      </c>
    </row>
    <row r="1578" spans="1:13" hidden="1" x14ac:dyDescent="0.25">
      <c r="A1578" s="168"/>
      <c r="B1578" s="133" t="str">
        <f>'Công trình'!B198</f>
        <v>TT</v>
      </c>
      <c r="C1578" s="34"/>
      <c r="D1578" s="133" t="str">
        <f>'Công trình'!C198</f>
        <v>Vữa xi măng dày 7cm, vữa XM mác 400</v>
      </c>
      <c r="E1578" s="168"/>
      <c r="F1578" s="20">
        <v>1</v>
      </c>
      <c r="G1578" s="45">
        <f>'Hao phí vật tư'!L1533</f>
        <v>2.4110999999999998</v>
      </c>
      <c r="H1578" s="166"/>
      <c r="I1578" s="166"/>
      <c r="J1578" s="166"/>
      <c r="K1578" s="166"/>
      <c r="L1578" s="156">
        <f>ROUND(G1578*K1570,2)</f>
        <v>0</v>
      </c>
      <c r="M1578" s="156">
        <f>ROUND(G1578*J1570,2)</f>
        <v>561745.31000000006</v>
      </c>
    </row>
    <row r="1579" spans="1:13" x14ac:dyDescent="0.25">
      <c r="A1579" s="168">
        <v>54</v>
      </c>
      <c r="B1579" s="84" t="s">
        <v>643</v>
      </c>
      <c r="C1579" s="34">
        <v>753</v>
      </c>
      <c r="D1579" s="144" t="s">
        <v>693</v>
      </c>
      <c r="E1579" s="168" t="s">
        <v>76</v>
      </c>
      <c r="F1579" s="34"/>
      <c r="G1579" s="60">
        <f>SUM(G1580:G1586)</f>
        <v>7.6099999999999994</v>
      </c>
      <c r="H1579" s="166">
        <v>2049156</v>
      </c>
      <c r="I1579" s="166">
        <v>2049156</v>
      </c>
      <c r="J1579" s="166">
        <f>'Máy thi công'!N350</f>
        <v>2049156</v>
      </c>
      <c r="K1579" s="166">
        <f>J1579-H1579</f>
        <v>0</v>
      </c>
      <c r="L1579" s="166">
        <f>ROUND(G1579*K1579,0)</f>
        <v>0</v>
      </c>
      <c r="M1579" s="166">
        <f>ROUND(G1579*J1579,0)</f>
        <v>15594077</v>
      </c>
    </row>
    <row r="1580" spans="1:13" ht="30" hidden="1" x14ac:dyDescent="0.25">
      <c r="A1580" s="168"/>
      <c r="B1580" s="133" t="str">
        <f>'Công trình'!B91</f>
        <v>AB.62111</v>
      </c>
      <c r="C1580" s="34"/>
      <c r="D1580" s="133" t="str">
        <f>'Công trình'!C91</f>
        <v>San đầm đất mặt bằng bằng máy đầm 9T, độ chặt K=0,85</v>
      </c>
      <c r="E1580" s="168"/>
      <c r="F1580" s="20">
        <v>1</v>
      </c>
      <c r="G1580" s="45">
        <f>'Hao phí vật tư'!L740</f>
        <v>0.93530000000000002</v>
      </c>
      <c r="H1580" s="166"/>
      <c r="I1580" s="166"/>
      <c r="J1580" s="166"/>
      <c r="K1580" s="166"/>
      <c r="L1580" s="156">
        <f>ROUND(G1580*K1579,2)</f>
        <v>0</v>
      </c>
      <c r="M1580" s="156">
        <f>ROUND(G1580*J1579,2)</f>
        <v>1916575.61</v>
      </c>
    </row>
    <row r="1581" spans="1:13" hidden="1" x14ac:dyDescent="0.25">
      <c r="A1581" s="168"/>
      <c r="B1581" s="133" t="str">
        <f>'Công trình'!B98</f>
        <v>AD.11212</v>
      </c>
      <c r="C1581" s="34"/>
      <c r="D1581" s="133" t="str">
        <f>'Công trình'!C98</f>
        <v>Cấp phối đá 0x4</v>
      </c>
      <c r="E1581" s="168"/>
      <c r="F1581" s="20">
        <v>1</v>
      </c>
      <c r="G1581" s="45">
        <f>'Hao phí vật tư'!L796</f>
        <v>0.252</v>
      </c>
      <c r="H1581" s="166"/>
      <c r="I1581" s="166"/>
      <c r="J1581" s="166"/>
      <c r="K1581" s="166"/>
      <c r="L1581" s="156">
        <f>ROUND(G1581*K1579,2)</f>
        <v>0</v>
      </c>
      <c r="M1581" s="156">
        <f>ROUND(G1581*J1579,2)</f>
        <v>516387.31</v>
      </c>
    </row>
    <row r="1582" spans="1:13" ht="30" hidden="1" x14ac:dyDescent="0.25">
      <c r="A1582" s="168"/>
      <c r="B1582" s="133" t="str">
        <f>'Công trình'!B100</f>
        <v>AB.66112</v>
      </c>
      <c r="C1582" s="34"/>
      <c r="D1582" s="133" t="str">
        <f>'Công trình'!C100</f>
        <v>Đắp cát công trình bằng máy đầm 9T, độ chặt K=0,90</v>
      </c>
      <c r="E1582" s="168"/>
      <c r="F1582" s="20">
        <v>1</v>
      </c>
      <c r="G1582" s="45">
        <f>'Hao phí vật tư'!L813</f>
        <v>0.5121</v>
      </c>
      <c r="H1582" s="166"/>
      <c r="I1582" s="166"/>
      <c r="J1582" s="166"/>
      <c r="K1582" s="166"/>
      <c r="L1582" s="156">
        <f>ROUND(G1582*K1579,2)</f>
        <v>0</v>
      </c>
      <c r="M1582" s="156">
        <f>ROUND(G1582*J1579,2)</f>
        <v>1049372.79</v>
      </c>
    </row>
    <row r="1583" spans="1:13" ht="30" hidden="1" x14ac:dyDescent="0.25">
      <c r="A1583" s="168"/>
      <c r="B1583" s="133" t="str">
        <f>'Công trình'!B242</f>
        <v>AB.66114</v>
      </c>
      <c r="C1583" s="34"/>
      <c r="D1583" s="133" t="str">
        <f>'Công trình'!C242</f>
        <v>Đắp cát công trình bằng máy đầm 9T, độ chặt K=0,98</v>
      </c>
      <c r="E1583" s="168"/>
      <c r="F1583" s="20">
        <v>1</v>
      </c>
      <c r="G1583" s="45">
        <f>'Hao phí vật tư'!L1839</f>
        <v>2.9980000000000002</v>
      </c>
      <c r="H1583" s="166"/>
      <c r="I1583" s="166"/>
      <c r="J1583" s="166"/>
      <c r="K1583" s="166"/>
      <c r="L1583" s="156">
        <f>ROUND(G1583*K1579,2)</f>
        <v>0</v>
      </c>
      <c r="M1583" s="156">
        <f>ROUND(G1583*J1579,2)</f>
        <v>6143369.6900000004</v>
      </c>
    </row>
    <row r="1584" spans="1:13" hidden="1" x14ac:dyDescent="0.25">
      <c r="A1584" s="168"/>
      <c r="B1584" s="133" t="str">
        <f>'Công trình'!B243</f>
        <v>AB.21121</v>
      </c>
      <c r="C1584" s="34"/>
      <c r="D1584" s="133" t="str">
        <f>'Công trình'!C243</f>
        <v>Đất bóc phong hóa</v>
      </c>
      <c r="E1584" s="168"/>
      <c r="F1584" s="20">
        <v>1</v>
      </c>
      <c r="G1584" s="45">
        <f>'Hao phí vật tư'!L1846</f>
        <v>7.4999999999999997E-2</v>
      </c>
      <c r="H1584" s="166"/>
      <c r="I1584" s="166"/>
      <c r="J1584" s="166"/>
      <c r="K1584" s="166"/>
      <c r="L1584" s="156">
        <f>ROUND(G1584*K1579,2)</f>
        <v>0</v>
      </c>
      <c r="M1584" s="156">
        <f>ROUND(G1584*J1579,2)</f>
        <v>153686.70000000001</v>
      </c>
    </row>
    <row r="1585" spans="1:13" hidden="1" x14ac:dyDescent="0.25">
      <c r="A1585" s="168"/>
      <c r="B1585" s="133" t="str">
        <f>'Công trình'!B93</f>
        <v>AD.11212</v>
      </c>
      <c r="C1585" s="34"/>
      <c r="D1585" s="133" t="str">
        <f>'Công trình'!C93</f>
        <v>Cấp phối đá 0x4</v>
      </c>
      <c r="E1585" s="168"/>
      <c r="F1585" s="20">
        <v>1</v>
      </c>
      <c r="G1585" s="45">
        <f>'Hao phí vật tư'!L762</f>
        <v>0.29399999999999998</v>
      </c>
      <c r="H1585" s="166"/>
      <c r="I1585" s="166"/>
      <c r="J1585" s="166"/>
      <c r="K1585" s="166"/>
      <c r="L1585" s="156">
        <f>ROUND(G1585*K1579,2)</f>
        <v>0</v>
      </c>
      <c r="M1585" s="156">
        <f>ROUND(G1585*J1579,2)</f>
        <v>602451.86</v>
      </c>
    </row>
    <row r="1586" spans="1:13" ht="30" hidden="1" x14ac:dyDescent="0.25">
      <c r="A1586" s="168"/>
      <c r="B1586" s="133" t="str">
        <f>'Công trình'!B245</f>
        <v>AB.64112</v>
      </c>
      <c r="C1586" s="34"/>
      <c r="D1586" s="133" t="str">
        <f>'Công trình'!C245</f>
        <v>Đắp nền đường bằng máy đầm 9T, độ chặt K=0,90</v>
      </c>
      <c r="E1586" s="168"/>
      <c r="F1586" s="20">
        <v>1</v>
      </c>
      <c r="G1586" s="45">
        <f>'Hao phí vật tư'!L1857</f>
        <v>2.5436000000000001</v>
      </c>
      <c r="H1586" s="166"/>
      <c r="I1586" s="166"/>
      <c r="J1586" s="166"/>
      <c r="K1586" s="166"/>
      <c r="L1586" s="156">
        <f>ROUND(G1586*K1579,2)</f>
        <v>0</v>
      </c>
      <c r="M1586" s="156">
        <f>ROUND(G1586*J1579,2)</f>
        <v>5212233.2</v>
      </c>
    </row>
    <row r="1587" spans="1:13" x14ac:dyDescent="0.25">
      <c r="A1587" s="168">
        <v>55</v>
      </c>
      <c r="B1587" s="84" t="s">
        <v>961</v>
      </c>
      <c r="C1587" s="34">
        <v>746</v>
      </c>
      <c r="D1587" s="144" t="s">
        <v>685</v>
      </c>
      <c r="E1587" s="168" t="s">
        <v>76</v>
      </c>
      <c r="F1587" s="34"/>
      <c r="G1587" s="60">
        <f>SUM(G1588:G1602)</f>
        <v>17.6737</v>
      </c>
      <c r="H1587" s="166">
        <v>378219</v>
      </c>
      <c r="I1587" s="166">
        <v>378219</v>
      </c>
      <c r="J1587" s="166">
        <f>'Máy thi công'!N358</f>
        <v>378219</v>
      </c>
      <c r="K1587" s="166">
        <f>J1587-H1587</f>
        <v>0</v>
      </c>
      <c r="L1587" s="166">
        <f>ROUND(G1587*K1587,0)</f>
        <v>0</v>
      </c>
      <c r="M1587" s="166">
        <f>ROUND(G1587*J1587,0)</f>
        <v>6684529</v>
      </c>
    </row>
    <row r="1588" spans="1:13" ht="30" hidden="1" x14ac:dyDescent="0.25">
      <c r="A1588" s="168"/>
      <c r="B1588" s="133" t="str">
        <f>'Công trình'!B16</f>
        <v>AF.82111</v>
      </c>
      <c r="C1588" s="34"/>
      <c r="D1588" s="133" t="str">
        <f>'Công trình'!C16</f>
        <v>Sản xuất, lắp dựng tháo dỡ ván khuôn thép tường, chiều cao &lt;=16m</v>
      </c>
      <c r="E1588" s="168"/>
      <c r="F1588" s="20">
        <v>1</v>
      </c>
      <c r="G1588" s="45">
        <f>'Hao phí vật tư'!L118</f>
        <v>0</v>
      </c>
      <c r="H1588" s="166"/>
      <c r="I1588" s="166"/>
      <c r="J1588" s="166"/>
      <c r="K1588" s="166"/>
      <c r="L1588" s="156">
        <f>ROUND(G1588*K1587,2)</f>
        <v>0</v>
      </c>
      <c r="M1588" s="156">
        <f>ROUND(G1588*J1587,2)</f>
        <v>0</v>
      </c>
    </row>
    <row r="1589" spans="1:13" ht="30" hidden="1" x14ac:dyDescent="0.25">
      <c r="A1589" s="168"/>
      <c r="B1589" s="133" t="str">
        <f>'Công trình'!B18</f>
        <v>AF.12314</v>
      </c>
      <c r="C1589" s="34"/>
      <c r="D1589" s="133" t="str">
        <f>'Công trình'!C18</f>
        <v>Bê tông xà dầm, giằng nhà đá 1x2, vữa BT mác 250</v>
      </c>
      <c r="E1589" s="168"/>
      <c r="F1589" s="20">
        <v>1</v>
      </c>
      <c r="G1589" s="45">
        <f>'Hao phí vật tư'!L131</f>
        <v>0</v>
      </c>
      <c r="H1589" s="166"/>
      <c r="I1589" s="166"/>
      <c r="J1589" s="166"/>
      <c r="K1589" s="166"/>
      <c r="L1589" s="156">
        <f>ROUND(G1589*K1587,2)</f>
        <v>0</v>
      </c>
      <c r="M1589" s="156">
        <f>ROUND(G1589*J1587,2)</f>
        <v>0</v>
      </c>
    </row>
    <row r="1590" spans="1:13" ht="30" hidden="1" x14ac:dyDescent="0.25">
      <c r="A1590" s="168"/>
      <c r="B1590" s="133" t="str">
        <f>'Công trình'!B19</f>
        <v>AF.82111</v>
      </c>
      <c r="C1590" s="34"/>
      <c r="D1590" s="133" t="str">
        <f>'Công trình'!C19</f>
        <v>Sản xuất, lắp dựng tháo dỡ ván khuôn thép dầm, giằng, chiều cao &lt;=16m</v>
      </c>
      <c r="E1590" s="168"/>
      <c r="F1590" s="20">
        <v>1</v>
      </c>
      <c r="G1590" s="45">
        <f>'Hao phí vật tư'!L144</f>
        <v>0</v>
      </c>
      <c r="H1590" s="166"/>
      <c r="I1590" s="166"/>
      <c r="J1590" s="166"/>
      <c r="K1590" s="166"/>
      <c r="L1590" s="156">
        <f>ROUND(G1590*K1587,2)</f>
        <v>0</v>
      </c>
      <c r="M1590" s="156">
        <f>ROUND(G1590*J1587,2)</f>
        <v>0</v>
      </c>
    </row>
    <row r="1591" spans="1:13" ht="30" hidden="1" x14ac:dyDescent="0.25">
      <c r="A1591" s="168"/>
      <c r="B1591" s="133" t="str">
        <f>'Công trình'!B31</f>
        <v>AF.82111</v>
      </c>
      <c r="C1591" s="34"/>
      <c r="D1591" s="133" t="str">
        <f>'Công trình'!C31</f>
        <v>Sản xuất, lắp dựng tháo dỡ ván khuôn thép tường, chiều cao &lt;=16m</v>
      </c>
      <c r="E1591" s="168"/>
      <c r="F1591" s="20">
        <v>1</v>
      </c>
      <c r="G1591" s="45">
        <f>'Hao phí vật tư'!L224</f>
        <v>0</v>
      </c>
      <c r="H1591" s="166"/>
      <c r="I1591" s="166"/>
      <c r="J1591" s="166"/>
      <c r="K1591" s="166"/>
      <c r="L1591" s="156">
        <f>ROUND(G1591*K1587,2)</f>
        <v>0</v>
      </c>
      <c r="M1591" s="156">
        <f>ROUND(G1591*J1587,2)</f>
        <v>0</v>
      </c>
    </row>
    <row r="1592" spans="1:13" ht="30" hidden="1" x14ac:dyDescent="0.25">
      <c r="A1592" s="168"/>
      <c r="B1592" s="133" t="str">
        <f>'Công trình'!B59</f>
        <v>AF.82111</v>
      </c>
      <c r="C1592" s="34"/>
      <c r="D1592" s="133" t="str">
        <f>'Công trình'!C59</f>
        <v>Sản xuất, lắp dựng tháo dỡ ván khuôn thép dầm, giằng, chiều cao &lt;=16m</v>
      </c>
      <c r="E1592" s="168"/>
      <c r="F1592" s="20">
        <v>1</v>
      </c>
      <c r="G1592" s="45">
        <f>'Hao phí vật tư'!L450</f>
        <v>0</v>
      </c>
      <c r="H1592" s="166"/>
      <c r="I1592" s="166"/>
      <c r="J1592" s="166"/>
      <c r="K1592" s="166"/>
      <c r="L1592" s="156">
        <f>ROUND(G1592*K1587,2)</f>
        <v>0</v>
      </c>
      <c r="M1592" s="156">
        <f>ROUND(G1592*J1587,2)</f>
        <v>0</v>
      </c>
    </row>
    <row r="1593" spans="1:13" hidden="1" x14ac:dyDescent="0.25">
      <c r="A1593" s="168"/>
      <c r="B1593" s="133" t="str">
        <f>'Công trình'!B57</f>
        <v>AF.12313</v>
      </c>
      <c r="C1593" s="34"/>
      <c r="D1593" s="133" t="str">
        <f>'Công trình'!C57</f>
        <v>Bê tông xà dầm, giằng đá 1x2, vữa BT mác 200</v>
      </c>
      <c r="E1593" s="168"/>
      <c r="F1593" s="20">
        <v>1</v>
      </c>
      <c r="G1593" s="45">
        <f>'Hao phí vật tư'!L428</f>
        <v>0</v>
      </c>
      <c r="H1593" s="166"/>
      <c r="I1593" s="166"/>
      <c r="J1593" s="166"/>
      <c r="K1593" s="166"/>
      <c r="L1593" s="156">
        <f>ROUND(G1593*K1587,2)</f>
        <v>0</v>
      </c>
      <c r="M1593" s="156">
        <f>ROUND(G1593*J1587,2)</f>
        <v>0</v>
      </c>
    </row>
    <row r="1594" spans="1:13" ht="30" hidden="1" x14ac:dyDescent="0.25">
      <c r="A1594" s="168"/>
      <c r="B1594" s="133" t="str">
        <f>'Công trình'!B200</f>
        <v>AF.82111</v>
      </c>
      <c r="C1594" s="34"/>
      <c r="D1594" s="133" t="str">
        <f>'Công trình'!C200</f>
        <v>Sản xuất, lắp dựng tháo dỡ ván khuôn thép, cây chống gỗ dầm ngang, chiều cao &lt;=16m</v>
      </c>
      <c r="E1594" s="168"/>
      <c r="F1594" s="20">
        <v>1</v>
      </c>
      <c r="G1594" s="45">
        <f>'Hao phí vật tư'!L1547</f>
        <v>0</v>
      </c>
      <c r="H1594" s="166"/>
      <c r="I1594" s="166"/>
      <c r="J1594" s="166"/>
      <c r="K1594" s="166"/>
      <c r="L1594" s="156">
        <f>ROUND(G1594*K1587,2)</f>
        <v>0</v>
      </c>
      <c r="M1594" s="156">
        <f>ROUND(G1594*J1587,2)</f>
        <v>0</v>
      </c>
    </row>
    <row r="1595" spans="1:13" ht="30" hidden="1" x14ac:dyDescent="0.25">
      <c r="A1595" s="168"/>
      <c r="B1595" s="133" t="str">
        <f>'Công trình'!B204</f>
        <v>AF.61721</v>
      </c>
      <c r="C1595" s="34"/>
      <c r="D1595" s="133" t="str">
        <f>'Công trình'!C204</f>
        <v>Sản xuất, lắp dựng cốt thép mặt cầu đường kính &gt;10mm, chiều cao &lt;=16m</v>
      </c>
      <c r="E1595" s="168"/>
      <c r="F1595" s="20">
        <v>1</v>
      </c>
      <c r="G1595" s="45">
        <f>'Hao phí vật tư'!L1580</f>
        <v>0</v>
      </c>
      <c r="H1595" s="166"/>
      <c r="I1595" s="166"/>
      <c r="J1595" s="166"/>
      <c r="K1595" s="166"/>
      <c r="L1595" s="156">
        <f>ROUND(G1595*K1587,2)</f>
        <v>0</v>
      </c>
      <c r="M1595" s="156">
        <f>ROUND(G1595*J1587,2)</f>
        <v>0</v>
      </c>
    </row>
    <row r="1596" spans="1:13" ht="30" hidden="1" x14ac:dyDescent="0.25">
      <c r="A1596" s="168"/>
      <c r="B1596" s="133" t="str">
        <f>'Công trình'!B247</f>
        <v>AF.12313</v>
      </c>
      <c r="C1596" s="34"/>
      <c r="D1596" s="133" t="str">
        <f>'Công trình'!C247</f>
        <v>Bê tông dầm chặn chân, đá 1x2, vữa BT mác 200</v>
      </c>
      <c r="E1596" s="168"/>
      <c r="F1596" s="20">
        <v>1</v>
      </c>
      <c r="G1596" s="45">
        <f>'Hao phí vật tư'!L1873</f>
        <v>0</v>
      </c>
      <c r="H1596" s="166"/>
      <c r="I1596" s="166"/>
      <c r="J1596" s="166"/>
      <c r="K1596" s="166"/>
      <c r="L1596" s="156">
        <f>ROUND(G1596*K1587,2)</f>
        <v>0</v>
      </c>
      <c r="M1596" s="156">
        <f>ROUND(G1596*J1587,2)</f>
        <v>0</v>
      </c>
    </row>
    <row r="1597" spans="1:13" ht="30" hidden="1" x14ac:dyDescent="0.25">
      <c r="A1597" s="168"/>
      <c r="B1597" s="133" t="str">
        <f>'Công trình'!B249</f>
        <v>AF.82111</v>
      </c>
      <c r="C1597" s="34"/>
      <c r="D1597" s="133" t="str">
        <f>'Công trình'!C249</f>
        <v>Sản xuất, lắp dựng tháo dỡ ván khuôn thép, cây chống gỗ dầm, giằng, chiều cao &lt;=16m</v>
      </c>
      <c r="E1597" s="168"/>
      <c r="F1597" s="20">
        <v>1</v>
      </c>
      <c r="G1597" s="45">
        <f>'Hao phí vật tư'!L1895</f>
        <v>0</v>
      </c>
      <c r="H1597" s="166"/>
      <c r="I1597" s="166"/>
      <c r="J1597" s="166"/>
      <c r="K1597" s="166"/>
      <c r="L1597" s="156">
        <f>ROUND(G1597*K1587,2)</f>
        <v>0</v>
      </c>
      <c r="M1597" s="156">
        <f>ROUND(G1597*J1587,2)</f>
        <v>0</v>
      </c>
    </row>
    <row r="1598" spans="1:13" ht="30" hidden="1" x14ac:dyDescent="0.25">
      <c r="A1598" s="168"/>
      <c r="B1598" s="133" t="str">
        <f>'Công trình'!B256</f>
        <v>AF.82111</v>
      </c>
      <c r="C1598" s="34"/>
      <c r="D1598" s="133" t="str">
        <f>'Công trình'!C256</f>
        <v>Sản xuất, lắp dựng tháo dỡ ván khuôn thép lan can</v>
      </c>
      <c r="E1598" s="168"/>
      <c r="F1598" s="20">
        <v>1</v>
      </c>
      <c r="G1598" s="45">
        <f>'Hao phí vật tư'!L1956</f>
        <v>0</v>
      </c>
      <c r="H1598" s="166"/>
      <c r="I1598" s="166"/>
      <c r="J1598" s="166"/>
      <c r="K1598" s="166"/>
      <c r="L1598" s="156">
        <f>ROUND(G1598*K1587,2)</f>
        <v>0</v>
      </c>
      <c r="M1598" s="156">
        <f>ROUND(G1598*J1587,2)</f>
        <v>0</v>
      </c>
    </row>
    <row r="1599" spans="1:13" ht="30" hidden="1" x14ac:dyDescent="0.25">
      <c r="A1599" s="168"/>
      <c r="B1599" s="133" t="str">
        <f>'Công trình'!B8</f>
        <v>AF.12144</v>
      </c>
      <c r="C1599" s="34"/>
      <c r="D1599" s="133" t="str">
        <f>'Công trình'!C8</f>
        <v>Bê tông tường dày &gt;45cm, chiều cao &lt;=16m đá 1x2, vữa BT mác 250</v>
      </c>
      <c r="E1599" s="168"/>
      <c r="F1599" s="20">
        <v>1</v>
      </c>
      <c r="G1599" s="45">
        <f>'Hao phí vật tư'!L35</f>
        <v>17.6737</v>
      </c>
      <c r="H1599" s="166"/>
      <c r="I1599" s="166"/>
      <c r="J1599" s="166"/>
      <c r="K1599" s="166"/>
      <c r="L1599" s="156">
        <f>ROUND(G1599*K1587,2)</f>
        <v>0</v>
      </c>
      <c r="M1599" s="156">
        <f>ROUND(G1599*J1587,2)</f>
        <v>6684529.1399999997</v>
      </c>
    </row>
    <row r="1600" spans="1:13" ht="30" hidden="1" x14ac:dyDescent="0.25">
      <c r="A1600" s="168"/>
      <c r="B1600" s="133" t="str">
        <f>'Công trình'!B201</f>
        <v>AF.82311</v>
      </c>
      <c r="C1600" s="34"/>
      <c r="D1600" s="133" t="str">
        <f>'Công trình'!C201</f>
        <v>Sản xuất, lắp dựng tháo dỡ ván khuôn thép, cây chống gỗ mặt cầu, chiều cao &lt;=16m</v>
      </c>
      <c r="E1600" s="168"/>
      <c r="F1600" s="20">
        <v>1</v>
      </c>
      <c r="G1600" s="45">
        <f>'Hao phí vật tư'!L1560</f>
        <v>0</v>
      </c>
      <c r="H1600" s="166"/>
      <c r="I1600" s="166"/>
      <c r="J1600" s="166"/>
      <c r="K1600" s="166"/>
      <c r="L1600" s="156">
        <f>ROUND(G1600*K1587,2)</f>
        <v>0</v>
      </c>
      <c r="M1600" s="156">
        <f>ROUND(G1600*J1587,2)</f>
        <v>0</v>
      </c>
    </row>
    <row r="1601" spans="1:13" hidden="1" x14ac:dyDescent="0.25">
      <c r="A1601" s="168"/>
      <c r="B1601" s="133" t="str">
        <f>'Công trình'!B34</f>
        <v>AF.12313</v>
      </c>
      <c r="C1601" s="34"/>
      <c r="D1601" s="133" t="str">
        <f>'Công trình'!C34</f>
        <v>Bê tông dầm, giằng đá 1x2, vữa BT mác 200</v>
      </c>
      <c r="E1601" s="168"/>
      <c r="F1601" s="20">
        <v>1</v>
      </c>
      <c r="G1601" s="45">
        <f>'Hao phí vật tư'!L255</f>
        <v>0</v>
      </c>
      <c r="H1601" s="166"/>
      <c r="I1601" s="166"/>
      <c r="J1601" s="166"/>
      <c r="K1601" s="166"/>
      <c r="L1601" s="156">
        <f>ROUND(G1601*K1587,2)</f>
        <v>0</v>
      </c>
      <c r="M1601" s="156">
        <f>ROUND(G1601*J1587,2)</f>
        <v>0</v>
      </c>
    </row>
    <row r="1602" spans="1:13" ht="45" hidden="1" x14ac:dyDescent="0.25">
      <c r="A1602" s="168"/>
      <c r="B1602" s="133" t="str">
        <f>'Công trình'!B35</f>
        <v>AF.82111</v>
      </c>
      <c r="C1602" s="34"/>
      <c r="D1602" s="133" t="str">
        <f>'Công trình'!C35</f>
        <v>Sản xuất, lắp dựng tháo dỡ ván khuôn thép, cây chống gỗ tường, cột vuông (chữ nhật), xà dầm, giằng, chiều cao &lt;=16m</v>
      </c>
      <c r="E1602" s="168"/>
      <c r="F1602" s="20">
        <v>1</v>
      </c>
      <c r="G1602" s="45">
        <f>'Hao phí vật tư'!L268</f>
        <v>0</v>
      </c>
      <c r="H1602" s="166"/>
      <c r="I1602" s="166"/>
      <c r="J1602" s="166"/>
      <c r="K1602" s="166"/>
      <c r="L1602" s="156">
        <f>ROUND(G1602*K1587,2)</f>
        <v>0</v>
      </c>
      <c r="M1602" s="156">
        <f>ROUND(G1602*J1587,2)</f>
        <v>0</v>
      </c>
    </row>
    <row r="1603" spans="1:13" x14ac:dyDescent="0.25">
      <c r="A1603" s="168">
        <v>56</v>
      </c>
      <c r="B1603" s="84" t="s">
        <v>782</v>
      </c>
      <c r="C1603" s="34">
        <v>759</v>
      </c>
      <c r="D1603" s="144" t="s">
        <v>1</v>
      </c>
      <c r="E1603" s="168" t="s">
        <v>76</v>
      </c>
      <c r="F1603" s="34"/>
      <c r="G1603" s="60">
        <f>SUM(G1604:G1606)</f>
        <v>0.49780000000000002</v>
      </c>
      <c r="H1603" s="166">
        <v>1132383</v>
      </c>
      <c r="I1603" s="166">
        <v>1132383</v>
      </c>
      <c r="J1603" s="166">
        <f>'Máy thi công'!N374</f>
        <v>1132383</v>
      </c>
      <c r="K1603" s="166">
        <f>J1603-H1603</f>
        <v>0</v>
      </c>
      <c r="L1603" s="166">
        <f>ROUND(G1603*K1603,0)</f>
        <v>0</v>
      </c>
      <c r="M1603" s="166">
        <f>ROUND(G1603*J1603,0)</f>
        <v>563700</v>
      </c>
    </row>
    <row r="1604" spans="1:13" hidden="1" x14ac:dyDescent="0.25">
      <c r="A1604" s="168"/>
      <c r="B1604" s="133" t="str">
        <f>'Công trình'!B98</f>
        <v>AD.11212</v>
      </c>
      <c r="C1604" s="34"/>
      <c r="D1604" s="133" t="str">
        <f>'Công trình'!C98</f>
        <v>Cấp phối đá 0x4</v>
      </c>
      <c r="E1604" s="168"/>
      <c r="F1604" s="20">
        <v>1</v>
      </c>
      <c r="G1604" s="45">
        <f>'Hao phí vật tư'!L794</f>
        <v>0.126</v>
      </c>
      <c r="H1604" s="166"/>
      <c r="I1604" s="166"/>
      <c r="J1604" s="166"/>
      <c r="K1604" s="166"/>
      <c r="L1604" s="156">
        <f>ROUND(G1604*K1603,2)</f>
        <v>0</v>
      </c>
      <c r="M1604" s="156">
        <f>ROUND(G1604*J1603,2)</f>
        <v>142680.26</v>
      </c>
    </row>
    <row r="1605" spans="1:13" ht="30" hidden="1" x14ac:dyDescent="0.25">
      <c r="A1605" s="168"/>
      <c r="B1605" s="133" t="str">
        <f>'Công trình'!B241</f>
        <v>AD.11222</v>
      </c>
      <c r="C1605" s="34"/>
      <c r="D1605" s="133" t="str">
        <f>'Công trình'!C241</f>
        <v>Làm móng lớp trên cấp phối đá dăm, đường làm mới</v>
      </c>
      <c r="E1605" s="168"/>
      <c r="F1605" s="20">
        <v>1</v>
      </c>
      <c r="G1605" s="45">
        <f>'Hao phí vật tư'!L1828</f>
        <v>0.2248</v>
      </c>
      <c r="H1605" s="166"/>
      <c r="I1605" s="166"/>
      <c r="J1605" s="166"/>
      <c r="K1605" s="166"/>
      <c r="L1605" s="156">
        <f>ROUND(G1605*K1603,2)</f>
        <v>0</v>
      </c>
      <c r="M1605" s="156">
        <f>ROUND(G1605*J1603,2)</f>
        <v>254559.7</v>
      </c>
    </row>
    <row r="1606" spans="1:13" hidden="1" x14ac:dyDescent="0.25">
      <c r="A1606" s="168"/>
      <c r="B1606" s="133" t="str">
        <f>'Công trình'!B93</f>
        <v>AD.11212</v>
      </c>
      <c r="C1606" s="34"/>
      <c r="D1606" s="133" t="str">
        <f>'Công trình'!C93</f>
        <v>Cấp phối đá 0x4</v>
      </c>
      <c r="E1606" s="168"/>
      <c r="F1606" s="20">
        <v>1</v>
      </c>
      <c r="G1606" s="45">
        <f>'Hao phí vật tư'!L760</f>
        <v>0.14699999999999999</v>
      </c>
      <c r="H1606" s="166"/>
      <c r="I1606" s="166"/>
      <c r="J1606" s="166"/>
      <c r="K1606" s="166"/>
      <c r="L1606" s="156">
        <f>ROUND(G1606*K1603,2)</f>
        <v>0</v>
      </c>
      <c r="M1606" s="156">
        <f>ROUND(G1606*J1603,2)</f>
        <v>166460.29999999999</v>
      </c>
    </row>
    <row r="1607" spans="1:13" x14ac:dyDescent="0.25">
      <c r="A1607" s="168">
        <v>57</v>
      </c>
      <c r="B1607" s="84" t="s">
        <v>284</v>
      </c>
      <c r="C1607" s="34">
        <v>762</v>
      </c>
      <c r="D1607" s="144" t="s">
        <v>1148</v>
      </c>
      <c r="E1607" s="168" t="s">
        <v>76</v>
      </c>
      <c r="F1607" s="34"/>
      <c r="G1607" s="60">
        <f>SUM(G1608:G1610)</f>
        <v>1.85</v>
      </c>
      <c r="H1607" s="166">
        <v>713638</v>
      </c>
      <c r="I1607" s="166">
        <v>713638</v>
      </c>
      <c r="J1607" s="166">
        <f>'Máy thi công'!N378</f>
        <v>713638</v>
      </c>
      <c r="K1607" s="166">
        <f>J1607-H1607</f>
        <v>0</v>
      </c>
      <c r="L1607" s="166">
        <f>ROUND(G1607*K1607,0)</f>
        <v>0</v>
      </c>
      <c r="M1607" s="166">
        <f>ROUND(G1607*J1607,0)</f>
        <v>1320230</v>
      </c>
    </row>
    <row r="1608" spans="1:13" hidden="1" x14ac:dyDescent="0.25">
      <c r="A1608" s="168"/>
      <c r="B1608" s="133" t="str">
        <f>'Công trình'!B269</f>
        <v>AD.32411</v>
      </c>
      <c r="C1608" s="34"/>
      <c r="D1608" s="133" t="str">
        <f>'Công trình'!C269</f>
        <v>Biển báo (1.2 x 1.2)m</v>
      </c>
      <c r="E1608" s="168"/>
      <c r="F1608" s="20">
        <v>1</v>
      </c>
      <c r="G1608" s="45">
        <f>'Hao phí vật tư'!L2062</f>
        <v>1.7</v>
      </c>
      <c r="H1608" s="166"/>
      <c r="I1608" s="166"/>
      <c r="J1608" s="166"/>
      <c r="K1608" s="166"/>
      <c r="L1608" s="156">
        <f>ROUND(G1608*K1607,2)</f>
        <v>0</v>
      </c>
      <c r="M1608" s="156">
        <f>ROUND(G1608*J1607,2)</f>
        <v>1213184.6000000001</v>
      </c>
    </row>
    <row r="1609" spans="1:13" ht="30" hidden="1" x14ac:dyDescent="0.25">
      <c r="A1609" s="168"/>
      <c r="B1609" s="133" t="str">
        <f>'Công trình'!B290</f>
        <v>AD.32421</v>
      </c>
      <c r="C1609" s="34"/>
      <c r="D1609" s="133" t="str">
        <f>'Công trình'!C290</f>
        <v>Biển báo bằng tôn hình tròn D70cm, dày 1.2mm, sơn phản quang (Biển 115)</v>
      </c>
      <c r="E1609" s="168"/>
      <c r="F1609" s="20">
        <v>1</v>
      </c>
      <c r="G1609" s="45">
        <f>'Hao phí vật tư'!L2178</f>
        <v>0.05</v>
      </c>
      <c r="H1609" s="166"/>
      <c r="I1609" s="166"/>
      <c r="J1609" s="166"/>
      <c r="K1609" s="166"/>
      <c r="L1609" s="156">
        <f>ROUND(G1609*K1607,2)</f>
        <v>0</v>
      </c>
      <c r="M1609" s="156">
        <f>ROUND(G1609*J1607,2)</f>
        <v>35681.9</v>
      </c>
    </row>
    <row r="1610" spans="1:13" hidden="1" x14ac:dyDescent="0.25">
      <c r="A1610" s="168"/>
      <c r="B1610" s="133" t="str">
        <f>'Công trình'!B291</f>
        <v>AD.32441</v>
      </c>
      <c r="C1610" s="34"/>
      <c r="D1610" s="133" t="str">
        <f>'Công trình'!C291</f>
        <v>Biển hình chữ nhật (40x60) (biển 439)</v>
      </c>
      <c r="E1610" s="168"/>
      <c r="F1610" s="20">
        <v>1</v>
      </c>
      <c r="G1610" s="45">
        <f>'Hao phí vật tư'!L2190</f>
        <v>0.1</v>
      </c>
      <c r="H1610" s="166"/>
      <c r="I1610" s="166"/>
      <c r="J1610" s="166"/>
      <c r="K1610" s="166"/>
      <c r="L1610" s="156">
        <f>ROUND(G1610*K1607,2)</f>
        <v>0</v>
      </c>
      <c r="M1610" s="156">
        <f>ROUND(G1610*J1607,2)</f>
        <v>71363.8</v>
      </c>
    </row>
    <row r="1611" spans="1:13" x14ac:dyDescent="0.25">
      <c r="A1611" s="168">
        <v>58</v>
      </c>
      <c r="B1611" s="84" t="s">
        <v>1056</v>
      </c>
      <c r="C1611" s="34">
        <v>901</v>
      </c>
      <c r="D1611" s="144" t="s">
        <v>331</v>
      </c>
      <c r="E1611" s="168" t="s">
        <v>76</v>
      </c>
      <c r="F1611" s="34"/>
      <c r="G1611" s="60">
        <f>SUM(G1612:G1612)</f>
        <v>4.6006</v>
      </c>
      <c r="H1611" s="166">
        <v>206407</v>
      </c>
      <c r="I1611" s="166">
        <v>206407</v>
      </c>
      <c r="J1611" s="166">
        <f>'Máy thi công'!N519</f>
        <v>206407</v>
      </c>
      <c r="K1611" s="166">
        <f>J1611-H1611</f>
        <v>0</v>
      </c>
      <c r="L1611" s="166">
        <f>ROUND(G1611*K1611,0)</f>
        <v>0</v>
      </c>
      <c r="M1611" s="166">
        <f>ROUND(G1611*J1611,0)</f>
        <v>949596</v>
      </c>
    </row>
    <row r="1612" spans="1:13" hidden="1" x14ac:dyDescent="0.25">
      <c r="A1612" s="168"/>
      <c r="B1612" s="133" t="str">
        <f>'Công trình'!B322</f>
        <v>AI.65411</v>
      </c>
      <c r="C1612" s="34"/>
      <c r="D1612" s="133" t="str">
        <f>'Công trình'!C322</f>
        <v>Lắp đặt kết cấu thép khe van, khe phai</v>
      </c>
      <c r="E1612" s="168"/>
      <c r="F1612" s="20">
        <v>1</v>
      </c>
      <c r="G1612" s="45">
        <f>'Hao phí vật tư'!L2418</f>
        <v>4.6006</v>
      </c>
      <c r="H1612" s="166"/>
      <c r="I1612" s="166"/>
      <c r="J1612" s="166"/>
      <c r="K1612" s="166"/>
      <c r="L1612" s="156">
        <f>ROUND(G1612*K1611,2)</f>
        <v>0</v>
      </c>
      <c r="M1612" s="156">
        <f>ROUND(G1612*J1611,2)</f>
        <v>949596.04</v>
      </c>
    </row>
    <row r="1613" spans="1:13" x14ac:dyDescent="0.25">
      <c r="A1613" s="168">
        <v>59</v>
      </c>
      <c r="B1613" s="84" t="s">
        <v>1184</v>
      </c>
      <c r="C1613" s="34">
        <v>889</v>
      </c>
      <c r="D1613" s="144" t="s">
        <v>188</v>
      </c>
      <c r="E1613" s="168" t="s">
        <v>76</v>
      </c>
      <c r="F1613" s="34"/>
      <c r="G1613" s="60">
        <f>SUM(G1614:G1614)</f>
        <v>9.8160000000000007</v>
      </c>
      <c r="H1613" s="166">
        <v>206407</v>
      </c>
      <c r="I1613" s="166">
        <v>206407</v>
      </c>
      <c r="J1613" s="166">
        <f>'Máy thi công'!N521</f>
        <v>206407</v>
      </c>
      <c r="K1613" s="166">
        <f>J1613-H1613</f>
        <v>0</v>
      </c>
      <c r="L1613" s="166">
        <f>ROUND(G1613*K1613,0)</f>
        <v>0</v>
      </c>
      <c r="M1613" s="166">
        <f>ROUND(G1613*J1613,0)</f>
        <v>2026091</v>
      </c>
    </row>
    <row r="1614" spans="1:13" ht="30" hidden="1" x14ac:dyDescent="0.25">
      <c r="A1614" s="168"/>
      <c r="B1614" s="133" t="str">
        <f>'Công trình'!B321</f>
        <v>CV.0202</v>
      </c>
      <c r="C1614" s="34"/>
      <c r="D1614" s="133" t="str">
        <f>'Công trình'!C321</f>
        <v>Lắp đặt cửa van bằng thép không gỉ, chiều rộng cống (B) &lt;= 8m</v>
      </c>
      <c r="E1614" s="168"/>
      <c r="F1614" s="20">
        <v>1</v>
      </c>
      <c r="G1614" s="45">
        <f>'Hao phí vật tư'!L2397</f>
        <v>9.8160000000000007</v>
      </c>
      <c r="H1614" s="166"/>
      <c r="I1614" s="166"/>
      <c r="J1614" s="166"/>
      <c r="K1614" s="166"/>
      <c r="L1614" s="156">
        <f>ROUND(G1614*K1613,2)</f>
        <v>0</v>
      </c>
      <c r="M1614" s="156">
        <f>ROUND(G1614*J1613,2)</f>
        <v>2026091.11</v>
      </c>
    </row>
    <row r="1615" spans="1:13" x14ac:dyDescent="0.25">
      <c r="A1615" s="168">
        <v>60</v>
      </c>
      <c r="B1615" s="84" t="s">
        <v>955</v>
      </c>
      <c r="C1615" s="34">
        <v>904</v>
      </c>
      <c r="D1615" s="144" t="s">
        <v>1035</v>
      </c>
      <c r="E1615" s="168" t="s">
        <v>76</v>
      </c>
      <c r="F1615" s="34"/>
      <c r="G1615" s="60">
        <f>SUM(G1616:G1616)</f>
        <v>9.8160000000000007</v>
      </c>
      <c r="H1615" s="166">
        <v>254257</v>
      </c>
      <c r="I1615" s="166">
        <v>254257</v>
      </c>
      <c r="J1615" s="166">
        <f>'Máy thi công'!N523</f>
        <v>254257</v>
      </c>
      <c r="K1615" s="166">
        <f>J1615-H1615</f>
        <v>0</v>
      </c>
      <c r="L1615" s="166">
        <f>ROUND(G1615*K1615,0)</f>
        <v>0</v>
      </c>
      <c r="M1615" s="166">
        <f>ROUND(G1615*J1615,0)</f>
        <v>2495787</v>
      </c>
    </row>
    <row r="1616" spans="1:13" ht="30" hidden="1" x14ac:dyDescent="0.25">
      <c r="A1616" s="168"/>
      <c r="B1616" s="133" t="str">
        <f>'Công trình'!B321</f>
        <v>CV.0202</v>
      </c>
      <c r="C1616" s="34"/>
      <c r="D1616" s="133" t="str">
        <f>'Công trình'!C321</f>
        <v>Lắp đặt cửa van bằng thép không gỉ, chiều rộng cống (B) &lt;= 8m</v>
      </c>
      <c r="E1616" s="168"/>
      <c r="F1616" s="20">
        <v>1</v>
      </c>
      <c r="G1616" s="45">
        <f>'Hao phí vật tư'!L2401</f>
        <v>9.8160000000000007</v>
      </c>
      <c r="H1616" s="166"/>
      <c r="I1616" s="166"/>
      <c r="J1616" s="166"/>
      <c r="K1616" s="166"/>
      <c r="L1616" s="156">
        <f>ROUND(G1616*K1615,2)</f>
        <v>0</v>
      </c>
      <c r="M1616" s="156">
        <f>ROUND(G1616*J1615,2)</f>
        <v>2495786.71</v>
      </c>
    </row>
    <row r="1617" spans="1:13" x14ac:dyDescent="0.25">
      <c r="A1617" s="168">
        <v>61</v>
      </c>
      <c r="B1617" s="84" t="s">
        <v>1120</v>
      </c>
      <c r="C1617" s="34">
        <v>754</v>
      </c>
      <c r="D1617" s="144" t="s">
        <v>827</v>
      </c>
      <c r="E1617" s="168" t="s">
        <v>76</v>
      </c>
      <c r="F1617" s="34"/>
      <c r="G1617" s="60">
        <f>SUM(G1618:G1618)</f>
        <v>0.64470000000000005</v>
      </c>
      <c r="H1617" s="166">
        <v>965014</v>
      </c>
      <c r="I1617" s="166">
        <v>965014</v>
      </c>
      <c r="J1617" s="166">
        <f>'Máy thi công'!N382</f>
        <v>965014</v>
      </c>
      <c r="K1617" s="166">
        <f>J1617-H1617</f>
        <v>0</v>
      </c>
      <c r="L1617" s="166">
        <f>ROUND(G1617*K1617,0)</f>
        <v>0</v>
      </c>
      <c r="M1617" s="166">
        <f>ROUND(G1617*J1617,0)</f>
        <v>622145</v>
      </c>
    </row>
    <row r="1618" spans="1:13" hidden="1" x14ac:dyDescent="0.25">
      <c r="A1618" s="168"/>
      <c r="B1618" s="133" t="str">
        <f>'Công trình'!B197</f>
        <v>AF.15225</v>
      </c>
      <c r="C1618" s="34"/>
      <c r="D1618" s="133" t="str">
        <f>'Công trình'!C197</f>
        <v>Bê tông dầm cầu đá 1x2, vữa BT mác 300</v>
      </c>
      <c r="E1618" s="168"/>
      <c r="F1618" s="20">
        <v>1</v>
      </c>
      <c r="G1618" s="45">
        <f>'Hao phí vật tư'!L1519</f>
        <v>0.64470000000000005</v>
      </c>
      <c r="H1618" s="166"/>
      <c r="I1618" s="166"/>
      <c r="J1618" s="166"/>
      <c r="K1618" s="166"/>
      <c r="L1618" s="156">
        <f>ROUND(G1618*K1617,2)</f>
        <v>0</v>
      </c>
      <c r="M1618" s="156">
        <f>ROUND(G1618*J1617,2)</f>
        <v>622144.53</v>
      </c>
    </row>
    <row r="1619" spans="1:13" x14ac:dyDescent="0.25">
      <c r="A1619" s="168">
        <v>62</v>
      </c>
      <c r="B1619" s="84" t="s">
        <v>1074</v>
      </c>
      <c r="C1619" s="34">
        <v>755</v>
      </c>
      <c r="D1619" s="144" t="s">
        <v>443</v>
      </c>
      <c r="E1619" s="168" t="s">
        <v>76</v>
      </c>
      <c r="F1619" s="34"/>
      <c r="G1619" s="60">
        <f>SUM(G1620:G1623)</f>
        <v>60.603900000000003</v>
      </c>
      <c r="H1619" s="166">
        <v>1107704</v>
      </c>
      <c r="I1619" s="166">
        <v>1107704</v>
      </c>
      <c r="J1619" s="166">
        <f>'Máy thi công'!N384</f>
        <v>1107704</v>
      </c>
      <c r="K1619" s="166">
        <f>J1619-H1619</f>
        <v>0</v>
      </c>
      <c r="L1619" s="166">
        <f>ROUND(G1619*K1619,0)</f>
        <v>0</v>
      </c>
      <c r="M1619" s="166">
        <f>ROUND(G1619*J1619,0)</f>
        <v>67131182</v>
      </c>
    </row>
    <row r="1620" spans="1:13" ht="30" hidden="1" x14ac:dyDescent="0.25">
      <c r="A1620" s="168"/>
      <c r="B1620" s="133" t="str">
        <f>'Công trình'!B86</f>
        <v>AC.17111</v>
      </c>
      <c r="C1620" s="34"/>
      <c r="D1620" s="133" t="str">
        <f>'Công trình'!C86</f>
        <v>Đóng cọc BTCT 30x30 chiều dài &lt;=24m trên mặt nước bằng tàu đóng cọc búa 1,8T</v>
      </c>
      <c r="E1620" s="168"/>
      <c r="F1620" s="20">
        <v>1</v>
      </c>
      <c r="G1620" s="45">
        <f>'Hao phí vật tư'!L711</f>
        <v>5.04</v>
      </c>
      <c r="H1620" s="166"/>
      <c r="I1620" s="166"/>
      <c r="J1620" s="166"/>
      <c r="K1620" s="166"/>
      <c r="L1620" s="156">
        <f>ROUND(G1620*K1619,2)</f>
        <v>0</v>
      </c>
      <c r="M1620" s="156">
        <f>ROUND(G1620*J1619,2)</f>
        <v>5582828.1600000001</v>
      </c>
    </row>
    <row r="1621" spans="1:13" ht="30" hidden="1" x14ac:dyDescent="0.25">
      <c r="A1621" s="168"/>
      <c r="B1621" s="133" t="str">
        <f>'Công trình'!B75</f>
        <v>AC.17112</v>
      </c>
      <c r="C1621" s="34"/>
      <c r="D1621" s="133" t="str">
        <f>'Công trình'!C75</f>
        <v>Đóng cọc BTCT 35x35 chiều dài &lt;=24m trên mặt nước bằng tàu đóng cọc búa 1,8T</v>
      </c>
      <c r="E1621" s="168"/>
      <c r="F1621" s="20">
        <v>1</v>
      </c>
      <c r="G1621" s="45">
        <f>'Hao phí vật tư'!L595</f>
        <v>9.984</v>
      </c>
      <c r="H1621" s="166"/>
      <c r="I1621" s="166"/>
      <c r="J1621" s="166"/>
      <c r="K1621" s="166"/>
      <c r="L1621" s="156">
        <f>ROUND(G1621*K1619,2)</f>
        <v>0</v>
      </c>
      <c r="M1621" s="156">
        <f>ROUND(G1621*J1619,2)</f>
        <v>11059316.74</v>
      </c>
    </row>
    <row r="1622" spans="1:13" ht="30" hidden="1" x14ac:dyDescent="0.25">
      <c r="A1622" s="168"/>
      <c r="B1622" s="133" t="str">
        <f>'Công trình'!B107</f>
        <v>AC.17112</v>
      </c>
      <c r="C1622" s="34"/>
      <c r="D1622" s="133" t="str">
        <f>'Công trình'!C107</f>
        <v>Đóng cọc âm BTCT 35x35 chiều dài &lt;=24m trên mặt nước bằng tàu đóng cọc búa 1,8T</v>
      </c>
      <c r="E1622" s="168"/>
      <c r="F1622" s="20">
        <v>1</v>
      </c>
      <c r="G1622" s="45">
        <f>'Hao phí vật tư'!L858</f>
        <v>4.0949999999999998</v>
      </c>
      <c r="H1622" s="166"/>
      <c r="I1622" s="166"/>
      <c r="J1622" s="166"/>
      <c r="K1622" s="166"/>
      <c r="L1622" s="156">
        <f>ROUND(G1622*K1619,2)</f>
        <v>0</v>
      </c>
      <c r="M1622" s="156">
        <f>ROUND(G1622*J1619,2)</f>
        <v>4536047.88</v>
      </c>
    </row>
    <row r="1623" spans="1:13" ht="45" hidden="1" x14ac:dyDescent="0.25">
      <c r="A1623" s="168"/>
      <c r="B1623" s="133" t="str">
        <f>'Công trình'!B153</f>
        <v>AB.81144</v>
      </c>
      <c r="C1623" s="34"/>
      <c r="D1623" s="133" t="str">
        <f>'Công trình'!C153</f>
        <v>Nạo vét đất pha cát từ 15-20%, đất bùn lỏng ở kênh mương bằng máy đào gầu dây 0,65m3, chiều cao đổ đất &gt;3</v>
      </c>
      <c r="E1623" s="168"/>
      <c r="F1623" s="20">
        <v>1</v>
      </c>
      <c r="G1623" s="45">
        <f>'Hao phí vật tư'!L1162</f>
        <v>41.484900000000003</v>
      </c>
      <c r="H1623" s="166"/>
      <c r="I1623" s="166"/>
      <c r="J1623" s="166"/>
      <c r="K1623" s="166"/>
      <c r="L1623" s="156">
        <f>ROUND(G1623*K1619,2)</f>
        <v>0</v>
      </c>
      <c r="M1623" s="156">
        <f>ROUND(G1623*J1619,2)</f>
        <v>45952989.670000002</v>
      </c>
    </row>
    <row r="1624" spans="1:13" x14ac:dyDescent="0.25">
      <c r="A1624" s="168">
        <v>63</v>
      </c>
      <c r="B1624" s="84" t="s">
        <v>212</v>
      </c>
      <c r="C1624" s="34">
        <v>756</v>
      </c>
      <c r="D1624" s="144" t="s">
        <v>61</v>
      </c>
      <c r="E1624" s="168" t="s">
        <v>76</v>
      </c>
      <c r="F1624" s="34"/>
      <c r="G1624" s="60">
        <f>SUM(G1625:G1625)</f>
        <v>27.17</v>
      </c>
      <c r="H1624" s="166">
        <v>1334033</v>
      </c>
      <c r="I1624" s="166">
        <v>1334033</v>
      </c>
      <c r="J1624" s="166">
        <f>'Máy thi công'!N389</f>
        <v>1334033</v>
      </c>
      <c r="K1624" s="166">
        <f>J1624-H1624</f>
        <v>0</v>
      </c>
      <c r="L1624" s="166">
        <f>ROUND(G1624*K1624,0)</f>
        <v>0</v>
      </c>
      <c r="M1624" s="166">
        <f>ROUND(G1624*J1624,0)</f>
        <v>36245677</v>
      </c>
    </row>
    <row r="1625" spans="1:13" ht="30" hidden="1" x14ac:dyDescent="0.25">
      <c r="A1625" s="168"/>
      <c r="B1625" s="133" t="str">
        <f>'Công trình'!B154</f>
        <v>AB.36120</v>
      </c>
      <c r="C1625" s="34"/>
      <c r="D1625" s="133" t="str">
        <f>'Công trình'!C154</f>
        <v>Xói hút bùn trong khung vây phòng nước, các trụ dưới nước</v>
      </c>
      <c r="E1625" s="168"/>
      <c r="F1625" s="20">
        <v>1</v>
      </c>
      <c r="G1625" s="45">
        <f>'Hao phí vật tư'!L1178</f>
        <v>27.17</v>
      </c>
      <c r="H1625" s="166"/>
      <c r="I1625" s="166"/>
      <c r="J1625" s="166"/>
      <c r="K1625" s="166"/>
      <c r="L1625" s="156">
        <f>ROUND(G1625*K1624,2)</f>
        <v>0</v>
      </c>
      <c r="M1625" s="156">
        <f>ROUND(G1625*J1624,2)</f>
        <v>36245676.609999999</v>
      </c>
    </row>
    <row r="1626" spans="1:13" ht="30" x14ac:dyDescent="0.25">
      <c r="A1626" s="168">
        <v>64</v>
      </c>
      <c r="B1626" s="84" t="s">
        <v>170</v>
      </c>
      <c r="C1626" s="34">
        <v>757</v>
      </c>
      <c r="D1626" s="144" t="s">
        <v>105</v>
      </c>
      <c r="E1626" s="168" t="s">
        <v>76</v>
      </c>
      <c r="F1626" s="34"/>
      <c r="G1626" s="60">
        <f>SUM(G1627:G1630)</f>
        <v>1.3817999999999999</v>
      </c>
      <c r="H1626" s="166">
        <v>4108162</v>
      </c>
      <c r="I1626" s="166">
        <v>4108162</v>
      </c>
      <c r="J1626" s="166">
        <f>'Máy thi công'!N391</f>
        <v>4108162</v>
      </c>
      <c r="K1626" s="166">
        <f>J1626-H1626</f>
        <v>0</v>
      </c>
      <c r="L1626" s="166">
        <f>ROUND(G1626*K1626,0)</f>
        <v>0</v>
      </c>
      <c r="M1626" s="166">
        <f>ROUND(G1626*J1626,0)</f>
        <v>5676658</v>
      </c>
    </row>
    <row r="1627" spans="1:13" ht="30" hidden="1" x14ac:dyDescent="0.25">
      <c r="A1627" s="168"/>
      <c r="B1627" s="133" t="str">
        <f>'Công trình'!B86</f>
        <v>AC.17111</v>
      </c>
      <c r="C1627" s="34"/>
      <c r="D1627" s="133" t="str">
        <f>'Công trình'!C86</f>
        <v>Đóng cọc BTCT 30x30 chiều dài &lt;=24m trên mặt nước bằng tàu đóng cọc búa 1,8T</v>
      </c>
      <c r="E1627" s="168"/>
      <c r="F1627" s="20">
        <v>1</v>
      </c>
      <c r="G1627" s="45">
        <f>'Hao phí vật tư'!L712</f>
        <v>0.38879999999999998</v>
      </c>
      <c r="H1627" s="166"/>
      <c r="I1627" s="166"/>
      <c r="J1627" s="166"/>
      <c r="K1627" s="166"/>
      <c r="L1627" s="156">
        <f>ROUND(G1627*K1626,2)</f>
        <v>0</v>
      </c>
      <c r="M1627" s="156">
        <f>ROUND(G1627*J1626,2)</f>
        <v>1597253.39</v>
      </c>
    </row>
    <row r="1628" spans="1:13" ht="30" hidden="1" x14ac:dyDescent="0.25">
      <c r="A1628" s="168"/>
      <c r="B1628" s="133" t="str">
        <f>'Công trình'!B75</f>
        <v>AC.17112</v>
      </c>
      <c r="C1628" s="34"/>
      <c r="D1628" s="133" t="str">
        <f>'Công trình'!C75</f>
        <v>Đóng cọc BTCT 35x35 chiều dài &lt;=24m trên mặt nước bằng tàu đóng cọc búa 1,8T</v>
      </c>
      <c r="E1628" s="168"/>
      <c r="F1628" s="20">
        <v>1</v>
      </c>
      <c r="G1628" s="45">
        <f>'Hao phí vật tư'!L596</f>
        <v>0.69120000000000004</v>
      </c>
      <c r="H1628" s="166"/>
      <c r="I1628" s="166"/>
      <c r="J1628" s="166"/>
      <c r="K1628" s="166"/>
      <c r="L1628" s="156">
        <f>ROUND(G1628*K1626,2)</f>
        <v>0</v>
      </c>
      <c r="M1628" s="156">
        <f>ROUND(G1628*J1626,2)</f>
        <v>2839561.57</v>
      </c>
    </row>
    <row r="1629" spans="1:13" ht="30" hidden="1" x14ac:dyDescent="0.25">
      <c r="A1629" s="168"/>
      <c r="B1629" s="133" t="str">
        <f>'Công trình'!B107</f>
        <v>AC.17112</v>
      </c>
      <c r="C1629" s="34"/>
      <c r="D1629" s="133" t="str">
        <f>'Công trình'!C107</f>
        <v>Đóng cọc âm BTCT 35x35 chiều dài &lt;=24m trên mặt nước bằng tàu đóng cọc búa 1,8T</v>
      </c>
      <c r="E1629" s="168"/>
      <c r="F1629" s="20">
        <v>1</v>
      </c>
      <c r="G1629" s="45">
        <f>'Hao phí vật tư'!L859</f>
        <v>0.28339999999999999</v>
      </c>
      <c r="H1629" s="166"/>
      <c r="I1629" s="166"/>
      <c r="J1629" s="166"/>
      <c r="K1629" s="166"/>
      <c r="L1629" s="156">
        <f>ROUND(G1629*K1626,2)</f>
        <v>0</v>
      </c>
      <c r="M1629" s="156">
        <f>ROUND(G1629*J1626,2)</f>
        <v>1164253.1100000001</v>
      </c>
    </row>
    <row r="1630" spans="1:13" hidden="1" x14ac:dyDescent="0.25">
      <c r="A1630" s="168"/>
      <c r="B1630" s="133" t="str">
        <f>'Công trình'!B197</f>
        <v>AF.15225</v>
      </c>
      <c r="C1630" s="34"/>
      <c r="D1630" s="133" t="str">
        <f>'Công trình'!C197</f>
        <v>Bê tông dầm cầu đá 1x2, vữa BT mác 300</v>
      </c>
      <c r="E1630" s="168"/>
      <c r="F1630" s="20">
        <v>1</v>
      </c>
      <c r="G1630" s="45">
        <f>'Hao phí vật tư'!L1518</f>
        <v>1.84E-2</v>
      </c>
      <c r="H1630" s="166"/>
      <c r="I1630" s="166"/>
      <c r="J1630" s="166"/>
      <c r="K1630" s="166"/>
      <c r="L1630" s="156">
        <f>ROUND(G1630*K1626,2)</f>
        <v>0</v>
      </c>
      <c r="M1630" s="156">
        <f>ROUND(G1630*J1626,2)</f>
        <v>75590.179999999993</v>
      </c>
    </row>
    <row r="1631" spans="1:13" x14ac:dyDescent="0.25">
      <c r="A1631" s="168">
        <v>65</v>
      </c>
      <c r="B1631" s="84" t="s">
        <v>574</v>
      </c>
      <c r="C1631" s="34">
        <v>902</v>
      </c>
      <c r="D1631" s="144" t="s">
        <v>762</v>
      </c>
      <c r="E1631" s="168" t="s">
        <v>76</v>
      </c>
      <c r="F1631" s="34"/>
      <c r="G1631" s="60">
        <f>SUM(G1632:G1632)</f>
        <v>4.6006</v>
      </c>
      <c r="H1631" s="166">
        <v>271557</v>
      </c>
      <c r="I1631" s="166">
        <v>271557</v>
      </c>
      <c r="J1631" s="166">
        <f>'Máy thi công'!N525</f>
        <v>271557</v>
      </c>
      <c r="K1631" s="166">
        <f>J1631-H1631</f>
        <v>0</v>
      </c>
      <c r="L1631" s="166">
        <f>ROUND(G1631*K1631,0)</f>
        <v>0</v>
      </c>
      <c r="M1631" s="166">
        <f>ROUND(G1631*J1631,0)</f>
        <v>1249325</v>
      </c>
    </row>
    <row r="1632" spans="1:13" hidden="1" x14ac:dyDescent="0.25">
      <c r="A1632" s="168"/>
      <c r="B1632" s="133" t="str">
        <f>'Công trình'!B322</f>
        <v>AI.65411</v>
      </c>
      <c r="C1632" s="34"/>
      <c r="D1632" s="133" t="str">
        <f>'Công trình'!C322</f>
        <v>Lắp đặt kết cấu thép khe van, khe phai</v>
      </c>
      <c r="E1632" s="168"/>
      <c r="F1632" s="20">
        <v>1</v>
      </c>
      <c r="G1632" s="45">
        <f>'Hao phí vật tư'!L2419</f>
        <v>4.6006</v>
      </c>
      <c r="H1632" s="166"/>
      <c r="I1632" s="166"/>
      <c r="J1632" s="166"/>
      <c r="K1632" s="166"/>
      <c r="L1632" s="156">
        <f>ROUND(G1632*K1631,2)</f>
        <v>0</v>
      </c>
      <c r="M1632" s="156">
        <f>ROUND(G1632*J1631,2)</f>
        <v>1249325.1299999999</v>
      </c>
    </row>
    <row r="1633" spans="1:13" x14ac:dyDescent="0.25">
      <c r="A1633" s="168">
        <v>66</v>
      </c>
      <c r="B1633" s="84" t="s">
        <v>445</v>
      </c>
      <c r="C1633" s="34">
        <v>708</v>
      </c>
      <c r="D1633" s="144" t="s">
        <v>863</v>
      </c>
      <c r="E1633" s="168" t="s">
        <v>76</v>
      </c>
      <c r="F1633" s="34"/>
      <c r="G1633" s="60">
        <f>SUM(G1634:G1634)</f>
        <v>1.248</v>
      </c>
      <c r="H1633" s="166">
        <v>1783529</v>
      </c>
      <c r="I1633" s="166">
        <v>1783529</v>
      </c>
      <c r="J1633" s="166">
        <f>'Máy thi công'!N396</f>
        <v>1783529</v>
      </c>
      <c r="K1633" s="166">
        <f>J1633-H1633</f>
        <v>0</v>
      </c>
      <c r="L1633" s="166">
        <f>ROUND(G1633*K1633,0)</f>
        <v>0</v>
      </c>
      <c r="M1633" s="166">
        <f>ROUND(G1633*J1633,0)</f>
        <v>2225844</v>
      </c>
    </row>
    <row r="1634" spans="1:13" ht="30" hidden="1" x14ac:dyDescent="0.25">
      <c r="A1634" s="168"/>
      <c r="B1634" s="133" t="str">
        <f>'Công trình'!B273</f>
        <v>TH.01.05.20</v>
      </c>
      <c r="C1634" s="34"/>
      <c r="D1634" s="133" t="str">
        <f>'Công trình'!C273</f>
        <v>Đèn tín hiệu thông thuyền</v>
      </c>
      <c r="E1634" s="168"/>
      <c r="F1634" s="20">
        <v>1</v>
      </c>
      <c r="G1634" s="45">
        <f>'Hao phí vật tư'!L2083</f>
        <v>1.248</v>
      </c>
      <c r="H1634" s="166"/>
      <c r="I1634" s="166"/>
      <c r="J1634" s="166"/>
      <c r="K1634" s="166"/>
      <c r="L1634" s="156">
        <f>ROUND(G1634*K1633,2)</f>
        <v>0</v>
      </c>
      <c r="M1634" s="156">
        <f>ROUND(G1634*J1633,2)</f>
        <v>2225844.19</v>
      </c>
    </row>
    <row r="1635" spans="1:13" x14ac:dyDescent="0.25">
      <c r="A1635" s="168">
        <v>67</v>
      </c>
      <c r="B1635" s="84" t="s">
        <v>1189</v>
      </c>
      <c r="C1635" s="34">
        <v>562</v>
      </c>
      <c r="D1635" s="144" t="s">
        <v>261</v>
      </c>
      <c r="E1635" s="7" t="s">
        <v>584</v>
      </c>
      <c r="F1635" s="34"/>
      <c r="G1635" s="60"/>
      <c r="H1635" s="166"/>
      <c r="I1635" s="166"/>
      <c r="J1635" s="166"/>
      <c r="K1635" s="166"/>
      <c r="L1635" s="166">
        <f>ROUND(SUM(L1636:L1713),0)</f>
        <v>0</v>
      </c>
      <c r="M1635" s="166">
        <f>ROUND(SUM(M1636:M1713),0)</f>
        <v>52367883</v>
      </c>
    </row>
    <row r="1636" spans="1:13" ht="30" hidden="1" x14ac:dyDescent="0.25">
      <c r="A1636" s="168"/>
      <c r="B1636" s="133" t="str">
        <f>'Công trình'!B16</f>
        <v>AF.82111</v>
      </c>
      <c r="C1636" s="34"/>
      <c r="D1636" s="133" t="str">
        <f>'Công trình'!C16</f>
        <v>Sản xuất, lắp dựng tháo dỡ ván khuôn thép tường, chiều cao &lt;=16m</v>
      </c>
      <c r="E1636" s="168"/>
      <c r="F1636" s="20">
        <v>1</v>
      </c>
      <c r="G1636" s="45">
        <f>'Hao phí vật tư'!I120</f>
        <v>2</v>
      </c>
      <c r="H1636" s="166"/>
      <c r="I1636" s="166"/>
      <c r="J1636" s="166"/>
      <c r="K1636" s="166"/>
      <c r="L1636" s="156">
        <f>ROUND((L1202+L1588)*G1636/100,2)</f>
        <v>0</v>
      </c>
      <c r="M1636" s="156">
        <f>ROUND((M1202+M1588)*G1636/100,2)</f>
        <v>36295.24</v>
      </c>
    </row>
    <row r="1637" spans="1:13" ht="30" hidden="1" x14ac:dyDescent="0.25">
      <c r="A1637" s="168"/>
      <c r="B1637" s="133" t="str">
        <f>'Công trình'!B19</f>
        <v>AF.82111</v>
      </c>
      <c r="C1637" s="34"/>
      <c r="D1637" s="133" t="str">
        <f>'Công trình'!C19</f>
        <v>Sản xuất, lắp dựng tháo dỡ ván khuôn thép dầm, giằng, chiều cao &lt;=16m</v>
      </c>
      <c r="E1637" s="168"/>
      <c r="F1637" s="20">
        <v>1</v>
      </c>
      <c r="G1637" s="45">
        <f>'Hao phí vật tư'!I146</f>
        <v>2</v>
      </c>
      <c r="H1637" s="166"/>
      <c r="I1637" s="166"/>
      <c r="J1637" s="166"/>
      <c r="K1637" s="166"/>
      <c r="L1637" s="156">
        <f>ROUND((L1203+L1590)*G1637/100,2)</f>
        <v>0</v>
      </c>
      <c r="M1637" s="156">
        <f>ROUND((M1203+M1590)*G1637/100,2)</f>
        <v>33049.57</v>
      </c>
    </row>
    <row r="1638" spans="1:13" ht="45" hidden="1" x14ac:dyDescent="0.25">
      <c r="A1638" s="168"/>
      <c r="B1638" s="133" t="str">
        <f>'Công trình'!B26</f>
        <v>AC.12412</v>
      </c>
      <c r="C1638" s="34"/>
      <c r="D1638" s="133" t="str">
        <f>'Công trình'!C26</f>
        <v>Đóng cọc cừ máng bê tông dự ứng lực trên cạn bằng búa rung kết hợp tách mũi nước áp lực SW600A, chiều cao máng cọc 60-84cm, L=18M</v>
      </c>
      <c r="E1638" s="168"/>
      <c r="F1638" s="20">
        <v>1</v>
      </c>
      <c r="G1638" s="45">
        <f>'Hao phí vật tư'!I192</f>
        <v>0.5</v>
      </c>
      <c r="H1638" s="166"/>
      <c r="I1638" s="166"/>
      <c r="J1638" s="166"/>
      <c r="K1638" s="166"/>
      <c r="L1638" s="156">
        <f>ROUND((L1304+L1347+L1374)*G1638/100,2)</f>
        <v>0</v>
      </c>
      <c r="M1638" s="156">
        <f>ROUND((M1304+M1347+M1374)*G1638/100,2)</f>
        <v>2074007.58</v>
      </c>
    </row>
    <row r="1639" spans="1:13" ht="30" hidden="1" x14ac:dyDescent="0.25">
      <c r="A1639" s="168"/>
      <c r="B1639" s="133" t="str">
        <f>'Công trình'!B31</f>
        <v>AF.82111</v>
      </c>
      <c r="C1639" s="34"/>
      <c r="D1639" s="133" t="str">
        <f>'Công trình'!C31</f>
        <v>Sản xuất, lắp dựng tháo dỡ ván khuôn thép tường, chiều cao &lt;=16m</v>
      </c>
      <c r="E1639" s="168"/>
      <c r="F1639" s="20">
        <v>1</v>
      </c>
      <c r="G1639" s="45">
        <f>'Hao phí vật tư'!I226</f>
        <v>2</v>
      </c>
      <c r="H1639" s="166"/>
      <c r="I1639" s="166"/>
      <c r="J1639" s="166"/>
      <c r="K1639" s="166"/>
      <c r="L1639" s="156">
        <f>ROUND((L1205+L1591)*G1639/100,2)</f>
        <v>0</v>
      </c>
      <c r="M1639" s="156">
        <f>ROUND((M1205+M1591)*G1639/100,2)</f>
        <v>11799.6</v>
      </c>
    </row>
    <row r="1640" spans="1:13" ht="30" hidden="1" x14ac:dyDescent="0.25">
      <c r="A1640" s="168"/>
      <c r="B1640" s="133" t="str">
        <f>'Công trình'!B39</f>
        <v>AI.13111</v>
      </c>
      <c r="C1640" s="34"/>
      <c r="D1640" s="133" t="str">
        <f>'Công trình'!C39</f>
        <v>Sản xuất cấu kiện thép đặt sẵn trong bê tông, khối lượng &lt;=10kg/cấu kiện</v>
      </c>
      <c r="E1640" s="168"/>
      <c r="F1640" s="20">
        <v>1</v>
      </c>
      <c r="G1640" s="45">
        <f>'Hao phí vật tư'!I304</f>
        <v>2</v>
      </c>
      <c r="H1640" s="166"/>
      <c r="I1640" s="166"/>
      <c r="J1640" s="166"/>
      <c r="K1640" s="166"/>
      <c r="L1640" s="156">
        <f>ROUND((L1207+L1487+L1503)*G1640/100,2)</f>
        <v>0</v>
      </c>
      <c r="M1640" s="156">
        <f>ROUND((M1207+M1487+M1503)*G1640/100,2)</f>
        <v>375.61</v>
      </c>
    </row>
    <row r="1641" spans="1:13" ht="30" hidden="1" x14ac:dyDescent="0.25">
      <c r="A1641" s="168"/>
      <c r="B1641" s="133" t="str">
        <f>'Công trình'!B59</f>
        <v>AF.82111</v>
      </c>
      <c r="C1641" s="34"/>
      <c r="D1641" s="133" t="str">
        <f>'Công trình'!C59</f>
        <v>Sản xuất, lắp dựng tháo dỡ ván khuôn thép dầm, giằng, chiều cao &lt;=16m</v>
      </c>
      <c r="E1641" s="168"/>
      <c r="F1641" s="20">
        <v>1</v>
      </c>
      <c r="G1641" s="45">
        <f>'Hao phí vật tư'!I452</f>
        <v>2</v>
      </c>
      <c r="H1641" s="166"/>
      <c r="I1641" s="166"/>
      <c r="J1641" s="166"/>
      <c r="K1641" s="166"/>
      <c r="L1641" s="156">
        <f>ROUND((L1208+L1592)*G1641/100,2)</f>
        <v>0</v>
      </c>
      <c r="M1641" s="156">
        <f>ROUND((M1208+M1592)*G1641/100,2)</f>
        <v>23378.14</v>
      </c>
    </row>
    <row r="1642" spans="1:13" ht="30" hidden="1" x14ac:dyDescent="0.25">
      <c r="A1642" s="168"/>
      <c r="B1642" s="133" t="str">
        <f>'Công trình'!B68</f>
        <v>AG.11125</v>
      </c>
      <c r="C1642" s="34"/>
      <c r="D1642" s="133" t="str">
        <f>'Công trình'!C68</f>
        <v>Sản xuất bê tông cọc cừ đúc sẵn đá 1x2, vữa BT mác 300</v>
      </c>
      <c r="E1642" s="168"/>
      <c r="F1642" s="20">
        <v>1</v>
      </c>
      <c r="G1642" s="45">
        <f>'Hao phí vật tư'!I516</f>
        <v>10</v>
      </c>
      <c r="H1642" s="166"/>
      <c r="I1642" s="166"/>
      <c r="J1642" s="166"/>
      <c r="K1642" s="166"/>
      <c r="L1642" s="156">
        <f>ROUND((L1445+L1543)*G1642/100,2)</f>
        <v>0</v>
      </c>
      <c r="M1642" s="156">
        <f>ROUND((M1445+M1543)*G1642/100,2)</f>
        <v>389144.99</v>
      </c>
    </row>
    <row r="1643" spans="1:13" ht="30" hidden="1" x14ac:dyDescent="0.25">
      <c r="A1643" s="168"/>
      <c r="B1643" s="133" t="str">
        <f>'Công trình'!B72</f>
        <v>AI.13111</v>
      </c>
      <c r="C1643" s="34"/>
      <c r="D1643" s="133" t="str">
        <f>'Công trình'!C72</f>
        <v>Sản xuất cấu kiện thép đặt sẵn trong bê tông, khối lượng &lt;=10kg/cấu kiện</v>
      </c>
      <c r="E1643" s="168"/>
      <c r="F1643" s="20">
        <v>1</v>
      </c>
      <c r="G1643" s="45">
        <f>'Hao phí vật tư'!I560</f>
        <v>2</v>
      </c>
      <c r="H1643" s="166"/>
      <c r="I1643" s="166"/>
      <c r="J1643" s="166"/>
      <c r="K1643" s="166"/>
      <c r="L1643" s="156">
        <f>ROUND((L1212+L1488+L1504)*G1643/100,2)</f>
        <v>0</v>
      </c>
      <c r="M1643" s="156">
        <f>ROUND((M1212+M1488+M1504)*G1643/100,2)</f>
        <v>39192.019999999997</v>
      </c>
    </row>
    <row r="1644" spans="1:13" hidden="1" x14ac:dyDescent="0.25">
      <c r="A1644" s="168"/>
      <c r="B1644" s="133" t="str">
        <f>'Công trình'!B76</f>
        <v>AC.29341</v>
      </c>
      <c r="C1644" s="34"/>
      <c r="D1644" s="133" t="str">
        <f>'Công trình'!C76</f>
        <v>Nối cọc BTCT 35x35cm</v>
      </c>
      <c r="E1644" s="168"/>
      <c r="F1644" s="20">
        <v>1</v>
      </c>
      <c r="G1644" s="45">
        <f>'Hao phí vật tư'!I609</f>
        <v>3</v>
      </c>
      <c r="H1644" s="166"/>
      <c r="I1644" s="166"/>
      <c r="J1644" s="166"/>
      <c r="K1644" s="166"/>
      <c r="L1644" s="156">
        <f>ROUND((L1213)*G1644/100,2)</f>
        <v>0</v>
      </c>
      <c r="M1644" s="156">
        <f>ROUND((M1213)*G1644/100,2)</f>
        <v>58409.86</v>
      </c>
    </row>
    <row r="1645" spans="1:13" hidden="1" x14ac:dyDescent="0.25">
      <c r="A1645" s="168"/>
      <c r="B1645" s="133" t="str">
        <f>'Công trình'!B74</f>
        <v>AI.52211</v>
      </c>
      <c r="C1645" s="34"/>
      <c r="D1645" s="133" t="str">
        <f>'Công trình'!C74</f>
        <v>Sản xuất kết cấu thép hộp nối cọc</v>
      </c>
      <c r="E1645" s="168"/>
      <c r="F1645" s="20">
        <v>1</v>
      </c>
      <c r="G1645" s="45">
        <f>'Hao phí vật tư'!I587</f>
        <v>5</v>
      </c>
      <c r="H1645" s="166"/>
      <c r="I1645" s="166"/>
      <c r="J1645" s="166"/>
      <c r="K1645" s="166"/>
      <c r="L1645" s="156">
        <f>ROUND((L1214+L1489+L1505)*G1645/100,2)</f>
        <v>0</v>
      </c>
      <c r="M1645" s="156">
        <f>ROUND((M1214+M1489+M1505)*G1645/100,2)</f>
        <v>249544.81</v>
      </c>
    </row>
    <row r="1646" spans="1:13" ht="30" hidden="1" x14ac:dyDescent="0.25">
      <c r="A1646" s="168"/>
      <c r="B1646" s="133" t="str">
        <f>'Công trình'!B79</f>
        <v>AG.11125</v>
      </c>
      <c r="C1646" s="34"/>
      <c r="D1646" s="133" t="str">
        <f>'Công trình'!C79</f>
        <v>Sản xuất bê tông cọc cừ đúc sẵn đá 1x2, vữa BT mác 300</v>
      </c>
      <c r="E1646" s="168"/>
      <c r="F1646" s="20">
        <v>1</v>
      </c>
      <c r="G1646" s="45">
        <f>'Hao phí vật tư'!I632</f>
        <v>10</v>
      </c>
      <c r="H1646" s="166"/>
      <c r="I1646" s="166"/>
      <c r="J1646" s="166"/>
      <c r="K1646" s="166"/>
      <c r="L1646" s="156">
        <f>ROUND((L1446+L1544)*G1646/100,2)</f>
        <v>0</v>
      </c>
      <c r="M1646" s="156">
        <f>ROUND((M1446+M1544)*G1646/100,2)</f>
        <v>152421.9</v>
      </c>
    </row>
    <row r="1647" spans="1:13" ht="30" hidden="1" x14ac:dyDescent="0.25">
      <c r="A1647" s="168"/>
      <c r="B1647" s="133" t="str">
        <f>'Công trình'!B83</f>
        <v>AI.13111</v>
      </c>
      <c r="C1647" s="34"/>
      <c r="D1647" s="133" t="str">
        <f>'Công trình'!C83</f>
        <v>Sản xuất cấu kiện thép đặt sẵn trong bê tông, khối lượng &lt;=10kg/cấu kiện</v>
      </c>
      <c r="E1647" s="168"/>
      <c r="F1647" s="20">
        <v>1</v>
      </c>
      <c r="G1647" s="45">
        <f>'Hao phí vật tư'!I676</f>
        <v>2</v>
      </c>
      <c r="H1647" s="166"/>
      <c r="I1647" s="166"/>
      <c r="J1647" s="166"/>
      <c r="K1647" s="166"/>
      <c r="L1647" s="156">
        <f>ROUND((L1218+L1490+L1506)*G1647/100,2)</f>
        <v>0</v>
      </c>
      <c r="M1647" s="156">
        <f>ROUND((M1218+M1490+M1506)*G1647/100,2)</f>
        <v>18508.86</v>
      </c>
    </row>
    <row r="1648" spans="1:13" hidden="1" x14ac:dyDescent="0.25">
      <c r="A1648" s="168"/>
      <c r="B1648" s="133" t="str">
        <f>'Công trình'!B85</f>
        <v>AI.52211</v>
      </c>
      <c r="C1648" s="34"/>
      <c r="D1648" s="133" t="str">
        <f>'Công trình'!C85</f>
        <v>Sản xuất kết cấu thép hộp nối cọc</v>
      </c>
      <c r="E1648" s="168"/>
      <c r="F1648" s="20">
        <v>1</v>
      </c>
      <c r="G1648" s="45">
        <f>'Hao phí vật tư'!I703</f>
        <v>5</v>
      </c>
      <c r="H1648" s="166"/>
      <c r="I1648" s="166"/>
      <c r="J1648" s="166"/>
      <c r="K1648" s="166"/>
      <c r="L1648" s="156">
        <f>ROUND((L1219+L1491+L1507)*G1648/100,2)</f>
        <v>0</v>
      </c>
      <c r="M1648" s="156">
        <f>ROUND((M1219+M1491+M1507)*G1648/100,2)</f>
        <v>108537.87</v>
      </c>
    </row>
    <row r="1649" spans="1:13" hidden="1" x14ac:dyDescent="0.25">
      <c r="A1649" s="168"/>
      <c r="B1649" s="133" t="str">
        <f>'Công trình'!B87</f>
        <v>AC.29331</v>
      </c>
      <c r="C1649" s="34"/>
      <c r="D1649" s="133" t="str">
        <f>'Công trình'!C87</f>
        <v>Nối cọc BTCT 30x30cm</v>
      </c>
      <c r="E1649" s="168"/>
      <c r="F1649" s="20">
        <v>1</v>
      </c>
      <c r="G1649" s="45">
        <f>'Hao phí vật tư'!I725</f>
        <v>3</v>
      </c>
      <c r="H1649" s="166"/>
      <c r="I1649" s="166"/>
      <c r="J1649" s="166"/>
      <c r="K1649" s="166"/>
      <c r="L1649" s="156">
        <f>ROUND((L1221)*G1649/100,2)</f>
        <v>0</v>
      </c>
      <c r="M1649" s="156">
        <f>ROUND((M1221)*G1649/100,2)</f>
        <v>12168.72</v>
      </c>
    </row>
    <row r="1650" spans="1:13" hidden="1" x14ac:dyDescent="0.25">
      <c r="A1650" s="168"/>
      <c r="B1650" s="133" t="str">
        <f>'Công trình'!B98</f>
        <v>AD.11212</v>
      </c>
      <c r="C1650" s="34"/>
      <c r="D1650" s="133" t="str">
        <f>'Công trình'!C98</f>
        <v>Cấp phối đá 0x4</v>
      </c>
      <c r="E1650" s="168"/>
      <c r="F1650" s="20">
        <v>1</v>
      </c>
      <c r="G1650" s="45">
        <f>'Hao phí vật tư'!I799</f>
        <v>0.5</v>
      </c>
      <c r="H1650" s="166"/>
      <c r="I1650" s="166"/>
      <c r="J1650" s="166"/>
      <c r="K1650" s="166"/>
      <c r="L1650" s="156">
        <f>ROUND((L1361+L1370+L1468+L1531+L1581+L1604)*G1650/100,2)</f>
        <v>0</v>
      </c>
      <c r="M1650" s="156">
        <f>ROUND((M1361+M1370+M1468+M1531+M1581+M1604)*G1650/100,2)</f>
        <v>8005.86</v>
      </c>
    </row>
    <row r="1651" spans="1:13" ht="30" hidden="1" x14ac:dyDescent="0.25">
      <c r="A1651" s="168"/>
      <c r="B1651" s="133" t="str">
        <f>'Công trình'!B100</f>
        <v>AB.66112</v>
      </c>
      <c r="C1651" s="34"/>
      <c r="D1651" s="133" t="str">
        <f>'Công trình'!C100</f>
        <v>Đắp cát công trình bằng máy đầm 9T, độ chặt K=0,90</v>
      </c>
      <c r="E1651" s="168"/>
      <c r="F1651" s="20">
        <v>1</v>
      </c>
      <c r="G1651" s="45">
        <f>'Hao phí vật tư'!I815</f>
        <v>1.5</v>
      </c>
      <c r="H1651" s="166"/>
      <c r="I1651" s="166"/>
      <c r="J1651" s="166"/>
      <c r="K1651" s="166"/>
      <c r="L1651" s="156">
        <f>ROUND((L1366+L1582)*G1651/100,2)</f>
        <v>0</v>
      </c>
      <c r="M1651" s="156">
        <f>ROUND((M1366+M1582)*G1651/100,2)</f>
        <v>38161.599999999999</v>
      </c>
    </row>
    <row r="1652" spans="1:13" ht="30" hidden="1" x14ac:dyDescent="0.25">
      <c r="A1652" s="168"/>
      <c r="B1652" s="133" t="str">
        <f>'Công trình'!B86</f>
        <v>AC.17111</v>
      </c>
      <c r="C1652" s="34"/>
      <c r="D1652" s="133" t="str">
        <f>'Công trình'!C86</f>
        <v>Đóng cọc BTCT 30x30 chiều dài &lt;=24m trên mặt nước bằng tàu đóng cọc búa 1,8T</v>
      </c>
      <c r="E1652" s="168"/>
      <c r="F1652" s="20">
        <v>1</v>
      </c>
      <c r="G1652" s="45">
        <f>'Hao phí vật tư'!I715</f>
        <v>2</v>
      </c>
      <c r="H1652" s="166"/>
      <c r="I1652" s="166"/>
      <c r="J1652" s="166"/>
      <c r="K1652" s="166"/>
      <c r="L1652" s="156">
        <f>ROUND((L1298+L1338+L1620+L1627)*G1652/100,2)</f>
        <v>0</v>
      </c>
      <c r="M1652" s="156">
        <f>ROUND((M1298+M1338+M1620+M1627)*G1652/100,2)</f>
        <v>1148724.1200000001</v>
      </c>
    </row>
    <row r="1653" spans="1:13" ht="30" hidden="1" x14ac:dyDescent="0.25">
      <c r="A1653" s="168"/>
      <c r="B1653" s="133" t="str">
        <f>'Công trình'!B75</f>
        <v>AC.17112</v>
      </c>
      <c r="C1653" s="34"/>
      <c r="D1653" s="133" t="str">
        <f>'Công trình'!C75</f>
        <v>Đóng cọc BTCT 35x35 chiều dài &lt;=24m trên mặt nước bằng tàu đóng cọc búa 1,8T</v>
      </c>
      <c r="E1653" s="168"/>
      <c r="F1653" s="20">
        <v>1</v>
      </c>
      <c r="G1653" s="45">
        <f>'Hao phí vật tư'!I599</f>
        <v>2</v>
      </c>
      <c r="H1653" s="166"/>
      <c r="I1653" s="166"/>
      <c r="J1653" s="166"/>
      <c r="K1653" s="166"/>
      <c r="L1653" s="156">
        <f>ROUND((L1299+L1339+L1621+L1628)*G1653/100,2)</f>
        <v>0</v>
      </c>
      <c r="M1653" s="156">
        <f>ROUND((M1299+M1339+M1621+M1628)*G1653/100,2)</f>
        <v>2269779.94</v>
      </c>
    </row>
    <row r="1654" spans="1:13" ht="30" hidden="1" x14ac:dyDescent="0.25">
      <c r="A1654" s="168"/>
      <c r="B1654" s="133" t="str">
        <f>'Công trình'!B107</f>
        <v>AC.17112</v>
      </c>
      <c r="C1654" s="34"/>
      <c r="D1654" s="133" t="str">
        <f>'Công trình'!C107</f>
        <v>Đóng cọc âm BTCT 35x35 chiều dài &lt;=24m trên mặt nước bằng tàu đóng cọc búa 1,8T</v>
      </c>
      <c r="E1654" s="168"/>
      <c r="F1654" s="20">
        <v>1</v>
      </c>
      <c r="G1654" s="45">
        <f>'Hao phí vật tư'!I862</f>
        <v>2</v>
      </c>
      <c r="H1654" s="166"/>
      <c r="I1654" s="166"/>
      <c r="J1654" s="166"/>
      <c r="K1654" s="166"/>
      <c r="L1654" s="156">
        <f>ROUND((L1300+L1340+L1622+L1629)*G1654/100,2)</f>
        <v>0</v>
      </c>
      <c r="M1654" s="156">
        <f>ROUND((M1300+M1340+M1622+M1629)*G1654/100,2)</f>
        <v>930475.93</v>
      </c>
    </row>
    <row r="1655" spans="1:13" hidden="1" x14ac:dyDescent="0.25">
      <c r="A1655" s="168"/>
      <c r="B1655" s="133" t="str">
        <f>'Công trình'!B104</f>
        <v>AI.11131</v>
      </c>
      <c r="C1655" s="34"/>
      <c r="D1655" s="133" t="str">
        <f>'Công trình'!C104</f>
        <v>Sản xuất cọc dẫn bằng thép hình</v>
      </c>
      <c r="E1655" s="168"/>
      <c r="F1655" s="20">
        <v>1</v>
      </c>
      <c r="G1655" s="45">
        <f>'Hao phí vật tư'!I842</f>
        <v>5</v>
      </c>
      <c r="H1655" s="166"/>
      <c r="I1655" s="166"/>
      <c r="J1655" s="166"/>
      <c r="K1655" s="166"/>
      <c r="L1655" s="156">
        <f>ROUND((L1223+L1314+L1406+L1499)*G1655/100,2)</f>
        <v>0</v>
      </c>
      <c r="M1655" s="156">
        <f>ROUND((M1223+M1314+M1406+M1499)*G1655/100,2)</f>
        <v>170500.79</v>
      </c>
    </row>
    <row r="1656" spans="1:13" ht="30" hidden="1" x14ac:dyDescent="0.25">
      <c r="A1656" s="168"/>
      <c r="B1656" s="133" t="str">
        <f>'Công trình'!B114</f>
        <v>AC.22522</v>
      </c>
      <c r="C1656" s="34"/>
      <c r="D1656" s="133" t="str">
        <f>'Công trình'!C114</f>
        <v>Đóng cọc thép hình H300 trên mặt đất, chiều dài cọc &gt;10m, đất cấp II, phần ngập đất</v>
      </c>
      <c r="E1656" s="168"/>
      <c r="F1656" s="20">
        <v>1</v>
      </c>
      <c r="G1656" s="45">
        <f>'Hao phí vật tư'!I915</f>
        <v>1.5</v>
      </c>
      <c r="H1656" s="166"/>
      <c r="I1656" s="166"/>
      <c r="J1656" s="166"/>
      <c r="K1656" s="166"/>
      <c r="L1656" s="156">
        <f>ROUND((L1282)*G1656/100,2)</f>
        <v>0</v>
      </c>
      <c r="M1656" s="156">
        <f>ROUND((M1282)*G1656/100,2)</f>
        <v>150324.81</v>
      </c>
    </row>
    <row r="1657" spans="1:13" ht="45" hidden="1" x14ac:dyDescent="0.25">
      <c r="A1657" s="168"/>
      <c r="B1657" s="133" t="str">
        <f>'Công trình'!B115</f>
        <v>AC.22522</v>
      </c>
      <c r="C1657" s="34"/>
      <c r="D1657" s="133" t="str">
        <f>'Công trình'!C115</f>
        <v>Đóng cọc thép hình H300 trên mặt đất, chiều dài cọc &gt;10m, đất cấp II, phần không ngập đất (NC, MTC * 0,75)</v>
      </c>
      <c r="E1657" s="168"/>
      <c r="F1657" s="20">
        <v>1</v>
      </c>
      <c r="G1657" s="45">
        <f>'Hao phí vật tư'!I924</f>
        <v>1.5</v>
      </c>
      <c r="H1657" s="166"/>
      <c r="I1657" s="166"/>
      <c r="J1657" s="166"/>
      <c r="K1657" s="166"/>
      <c r="L1657" s="156">
        <f>ROUND((L1283)*G1657/100,2)</f>
        <v>0</v>
      </c>
      <c r="M1657" s="156">
        <f>ROUND((M1283)*G1657/100,2)</f>
        <v>53404.87</v>
      </c>
    </row>
    <row r="1658" spans="1:13" ht="30" hidden="1" x14ac:dyDescent="0.25">
      <c r="A1658" s="168"/>
      <c r="B1658" s="133" t="str">
        <f>'Công trình'!B125</f>
        <v>AC.22522</v>
      </c>
      <c r="C1658" s="34"/>
      <c r="D1658" s="133" t="str">
        <f>'Công trình'!C125</f>
        <v>Đóng cọc thép hình H300 trên mặt đất, chiều dài cọc &gt;10m, đất cấp II, phần ngập đất</v>
      </c>
      <c r="E1658" s="168"/>
      <c r="F1658" s="20">
        <v>1</v>
      </c>
      <c r="G1658" s="45">
        <f>'Hao phí vật tư'!I987</f>
        <v>1.5</v>
      </c>
      <c r="H1658" s="166"/>
      <c r="I1658" s="166"/>
      <c r="J1658" s="166"/>
      <c r="K1658" s="166"/>
      <c r="L1658" s="156">
        <f>ROUND((L1284)*G1658/100,2)</f>
        <v>0</v>
      </c>
      <c r="M1658" s="156">
        <f>ROUND((M1284)*G1658/100,2)</f>
        <v>26900.23</v>
      </c>
    </row>
    <row r="1659" spans="1:13" ht="45" hidden="1" x14ac:dyDescent="0.25">
      <c r="A1659" s="168"/>
      <c r="B1659" s="133" t="str">
        <f>'Công trình'!B126</f>
        <v>AC.22522</v>
      </c>
      <c r="C1659" s="34"/>
      <c r="D1659" s="133" t="str">
        <f>'Công trình'!C126</f>
        <v>Đóng cọc thép hình H300 trên mặt đất, chiều dài cọc &gt;10m, đất cấp II, phần không ngập đất (NC, MTC * 0,75)</v>
      </c>
      <c r="E1659" s="168"/>
      <c r="F1659" s="20">
        <v>1</v>
      </c>
      <c r="G1659" s="45">
        <f>'Hao phí vật tư'!I996</f>
        <v>1.5</v>
      </c>
      <c r="H1659" s="166"/>
      <c r="I1659" s="166"/>
      <c r="J1659" s="166"/>
      <c r="K1659" s="166"/>
      <c r="L1659" s="156">
        <f>ROUND((L1285)*G1659/100,2)</f>
        <v>0</v>
      </c>
      <c r="M1659" s="156">
        <f>ROUND((M1285)*G1659/100,2)</f>
        <v>8307.42</v>
      </c>
    </row>
    <row r="1660" spans="1:13" ht="30" hidden="1" x14ac:dyDescent="0.25">
      <c r="A1660" s="168"/>
      <c r="B1660" s="133" t="str">
        <f>'Công trình'!B131</f>
        <v>AC.22112</v>
      </c>
      <c r="C1660" s="34"/>
      <c r="D1660" s="133" t="str">
        <f>'Công trình'!C131</f>
        <v>Đóng cừ Larsen IV trên mặt đất chiều dài cọc &lt;=12m đất cấp II, ngập đất 15,5m</v>
      </c>
      <c r="E1660" s="168"/>
      <c r="F1660" s="20">
        <v>1</v>
      </c>
      <c r="G1660" s="45">
        <f>'Hao phí vật tư'!I1015</f>
        <v>3</v>
      </c>
      <c r="H1660" s="166"/>
      <c r="I1660" s="166"/>
      <c r="J1660" s="166"/>
      <c r="K1660" s="166"/>
      <c r="L1660" s="156">
        <f>ROUND((L1295)*G1660/100,2)</f>
        <v>0</v>
      </c>
      <c r="M1660" s="156">
        <f>ROUND((M1295)*G1660/100,2)</f>
        <v>8678137.1799999997</v>
      </c>
    </row>
    <row r="1661" spans="1:13" ht="45" hidden="1" x14ac:dyDescent="0.25">
      <c r="A1661" s="168"/>
      <c r="B1661" s="133" t="str">
        <f>'Công trình'!B132</f>
        <v>AC.22112</v>
      </c>
      <c r="C1661" s="34"/>
      <c r="D1661" s="133" t="str">
        <f>'Công trình'!C132</f>
        <v>Đóng cừ Larsen IV trên mặt đất chiều dài cọc &lt;=12m đất cấp II, không ngập đất (NC, MTC * 0,75)</v>
      </c>
      <c r="E1661" s="168"/>
      <c r="F1661" s="20">
        <v>1</v>
      </c>
      <c r="G1661" s="45">
        <f>'Hao phí vật tư'!I1024</f>
        <v>3</v>
      </c>
      <c r="H1661" s="166"/>
      <c r="I1661" s="166"/>
      <c r="J1661" s="166"/>
      <c r="K1661" s="166"/>
      <c r="L1661" s="156">
        <f>ROUND((L1296)*G1661/100,2)</f>
        <v>0</v>
      </c>
      <c r="M1661" s="156">
        <f>ROUND((M1296)*G1661/100,2)</f>
        <v>2169529.85</v>
      </c>
    </row>
    <row r="1662" spans="1:13" ht="30" hidden="1" x14ac:dyDescent="0.25">
      <c r="A1662" s="168"/>
      <c r="B1662" s="133" t="str">
        <f>'Công trình'!B142</f>
        <v>AC.22522</v>
      </c>
      <c r="C1662" s="34"/>
      <c r="D1662" s="133" t="str">
        <f>'Công trình'!C142</f>
        <v>Đóng cọc thép hình H300 trên mặt đất, chiều dài cọc &gt;10m, đất cấp II, phần ngập đất</v>
      </c>
      <c r="E1662" s="168"/>
      <c r="F1662" s="20">
        <v>1</v>
      </c>
      <c r="G1662" s="45">
        <f>'Hao phí vật tư'!I1091</f>
        <v>1.5</v>
      </c>
      <c r="H1662" s="166"/>
      <c r="I1662" s="166"/>
      <c r="J1662" s="166"/>
      <c r="K1662" s="166"/>
      <c r="L1662" s="156">
        <f>ROUND((L1286)*G1662/100,2)</f>
        <v>0</v>
      </c>
      <c r="M1662" s="156">
        <f>ROUND((M1286)*G1662/100,2)</f>
        <v>213619.47</v>
      </c>
    </row>
    <row r="1663" spans="1:13" ht="45" hidden="1" x14ac:dyDescent="0.25">
      <c r="A1663" s="168"/>
      <c r="B1663" s="133" t="str">
        <f>'Công trình'!B143</f>
        <v>AC.22522</v>
      </c>
      <c r="C1663" s="34"/>
      <c r="D1663" s="133" t="str">
        <f>'Công trình'!C143</f>
        <v>Đóng cọc thép hình H300 trên mặt đất, chiều dài cọc &gt;10m, đất cấp II, phần không ngập đất (NC, MTC * 0,75)</v>
      </c>
      <c r="E1663" s="168"/>
      <c r="F1663" s="20">
        <v>1</v>
      </c>
      <c r="G1663" s="45">
        <f>'Hao phí vật tư'!I1100</f>
        <v>1.5</v>
      </c>
      <c r="H1663" s="166"/>
      <c r="I1663" s="166"/>
      <c r="J1663" s="166"/>
      <c r="K1663" s="166"/>
      <c r="L1663" s="156">
        <f>ROUND((L1287)*G1663/100,2)</f>
        <v>0</v>
      </c>
      <c r="M1663" s="156">
        <f>ROUND((M1287)*G1663/100,2)</f>
        <v>53404.87</v>
      </c>
    </row>
    <row r="1664" spans="1:13" ht="30" hidden="1" x14ac:dyDescent="0.25">
      <c r="A1664" s="168"/>
      <c r="B1664" s="133" t="str">
        <f>'Công trình'!B146</f>
        <v>AC.23110</v>
      </c>
      <c r="C1664" s="34"/>
      <c r="D1664" s="133" t="str">
        <f>'Công trình'!C146</f>
        <v>Nhổ cọc thép hình làm tường chắn đất, sàn thao tác trên cạn</v>
      </c>
      <c r="E1664" s="168"/>
      <c r="F1664" s="20">
        <v>1</v>
      </c>
      <c r="G1664" s="45">
        <f>'Hao phí vật tư'!I1110</f>
        <v>2</v>
      </c>
      <c r="H1664" s="166"/>
      <c r="I1664" s="166"/>
      <c r="J1664" s="166"/>
      <c r="K1664" s="166"/>
      <c r="L1664" s="156">
        <f>ROUND((L1341)*G1664/100,2)</f>
        <v>0</v>
      </c>
      <c r="M1664" s="156">
        <f>ROUND((M1341)*G1664/100,2)</f>
        <v>271942.03000000003</v>
      </c>
    </row>
    <row r="1665" spans="1:13" ht="30" hidden="1" x14ac:dyDescent="0.25">
      <c r="A1665" s="168"/>
      <c r="B1665" s="133" t="str">
        <f>'Công trình'!B118</f>
        <v>AC.23110</v>
      </c>
      <c r="C1665" s="34"/>
      <c r="D1665" s="133" t="str">
        <f>'Công trình'!C118</f>
        <v>Nhổ cọc thép hình làm tường chắn đất, sàn thao tác trên cạn</v>
      </c>
      <c r="E1665" s="168"/>
      <c r="F1665" s="20">
        <v>1</v>
      </c>
      <c r="G1665" s="45">
        <f>'Hao phí vật tư'!I934</f>
        <v>2</v>
      </c>
      <c r="H1665" s="166"/>
      <c r="I1665" s="166"/>
      <c r="J1665" s="166"/>
      <c r="K1665" s="166"/>
      <c r="L1665" s="156">
        <f>ROUND((L1342)*G1665/100,2)</f>
        <v>0</v>
      </c>
      <c r="M1665" s="156">
        <f>ROUND((M1342)*G1665/100,2)</f>
        <v>211510.46</v>
      </c>
    </row>
    <row r="1666" spans="1:13" ht="30" hidden="1" x14ac:dyDescent="0.25">
      <c r="A1666" s="168"/>
      <c r="B1666" s="133" t="str">
        <f>'Công trình'!B129</f>
        <v>AC.23110</v>
      </c>
      <c r="C1666" s="34"/>
      <c r="D1666" s="133" t="str">
        <f>'Công trình'!C129</f>
        <v>Nhổ cọc thép hình làm tường chắn đất, sàn thao tác trên cạn</v>
      </c>
      <c r="E1666" s="168"/>
      <c r="F1666" s="20">
        <v>1</v>
      </c>
      <c r="G1666" s="45">
        <f>'Hao phí vật tư'!I1006</f>
        <v>2</v>
      </c>
      <c r="H1666" s="166"/>
      <c r="I1666" s="166"/>
      <c r="J1666" s="166"/>
      <c r="K1666" s="166"/>
      <c r="L1666" s="156">
        <f>ROUND((L1343)*G1666/100,2)</f>
        <v>0</v>
      </c>
      <c r="M1666" s="156">
        <f>ROUND((M1343)*G1666/100,2)</f>
        <v>36258.94</v>
      </c>
    </row>
    <row r="1667" spans="1:13" ht="30" hidden="1" x14ac:dyDescent="0.25">
      <c r="A1667" s="168"/>
      <c r="B1667" s="133" t="str">
        <f>'Công trình'!B154</f>
        <v>AB.36120</v>
      </c>
      <c r="C1667" s="34"/>
      <c r="D1667" s="133" t="str">
        <f>'Công trình'!C154</f>
        <v>Xói hút bùn trong khung vây phòng nước, các trụ dưới nước</v>
      </c>
      <c r="E1667" s="168"/>
      <c r="F1667" s="20">
        <v>1</v>
      </c>
      <c r="G1667" s="45">
        <f>'Hao phí vật tư'!I1179</f>
        <v>5</v>
      </c>
      <c r="H1667" s="166"/>
      <c r="I1667" s="166"/>
      <c r="J1667" s="166"/>
      <c r="K1667" s="166"/>
      <c r="L1667" s="156">
        <f>ROUND((L1306+L1310+L1376+L1378+L1519+L1625)*G1667/100,2)</f>
        <v>0</v>
      </c>
      <c r="M1667" s="156">
        <f>ROUND((M1306+M1310+M1376+M1378+M1519+M1625)*G1667/100,2)</f>
        <v>11560336.630000001</v>
      </c>
    </row>
    <row r="1668" spans="1:13" ht="45" hidden="1" x14ac:dyDescent="0.25">
      <c r="A1668" s="168"/>
      <c r="B1668" s="133" t="str">
        <f>'Công trình'!B162</f>
        <v>AC.22522</v>
      </c>
      <c r="C1668" s="34"/>
      <c r="D1668" s="133" t="str">
        <f>'Công trình'!C162</f>
        <v>Đóng cọc thép hình I350x150, dài 14m đóng ngập đất 11m trên mặt đất, đất cấp II, phần ngập đất</v>
      </c>
      <c r="E1668" s="168"/>
      <c r="F1668" s="20">
        <v>1</v>
      </c>
      <c r="G1668" s="45">
        <f>'Hao phí vật tư'!I1237</f>
        <v>1.5</v>
      </c>
      <c r="H1668" s="166"/>
      <c r="I1668" s="166"/>
      <c r="J1668" s="166"/>
      <c r="K1668" s="166"/>
      <c r="L1668" s="156">
        <f>ROUND((L1288)*G1668/100,2)</f>
        <v>0</v>
      </c>
      <c r="M1668" s="156">
        <f>ROUND((M1288)*G1668/100,2)</f>
        <v>243684.44</v>
      </c>
    </row>
    <row r="1669" spans="1:13" ht="45" hidden="1" x14ac:dyDescent="0.25">
      <c r="A1669" s="168"/>
      <c r="B1669" s="133" t="str">
        <f>'Công trình'!B163</f>
        <v>AC.22522</v>
      </c>
      <c r="C1669" s="34"/>
      <c r="D1669" s="133" t="str">
        <f>'Công trình'!C163</f>
        <v>Đóng cọc thép hình I350x150, dài 14m đóng không ngập đất 3m, đất cấp II, phần không ngập đất (NC, MTC * 0,75)</v>
      </c>
      <c r="E1669" s="168"/>
      <c r="F1669" s="20">
        <v>1</v>
      </c>
      <c r="G1669" s="45">
        <f>'Hao phí vật tư'!I1246</f>
        <v>1.5</v>
      </c>
      <c r="H1669" s="166"/>
      <c r="I1669" s="166"/>
      <c r="J1669" s="166"/>
      <c r="K1669" s="166"/>
      <c r="L1669" s="156">
        <f>ROUND((L1289)*G1669/100,2)</f>
        <v>0</v>
      </c>
      <c r="M1669" s="156">
        <f>ROUND((M1289)*G1669/100,2)</f>
        <v>49844.54</v>
      </c>
    </row>
    <row r="1670" spans="1:13" ht="30" hidden="1" x14ac:dyDescent="0.25">
      <c r="A1670" s="168"/>
      <c r="B1670" s="133" t="str">
        <f>'Công trình'!B166</f>
        <v>AC.23110</v>
      </c>
      <c r="C1670" s="34"/>
      <c r="D1670" s="133" t="str">
        <f>'Công trình'!C166</f>
        <v>Nhổ cọc thép hình làm tường chắn đất, sàn thao tác trên cạn</v>
      </c>
      <c r="E1670" s="168"/>
      <c r="F1670" s="20">
        <v>1</v>
      </c>
      <c r="G1670" s="45">
        <f>'Hao phí vật tư'!I1256</f>
        <v>2</v>
      </c>
      <c r="H1670" s="166"/>
      <c r="I1670" s="166"/>
      <c r="J1670" s="166"/>
      <c r="K1670" s="166"/>
      <c r="L1670" s="156">
        <f>ROUND((L1344)*G1670/100,2)</f>
        <v>0</v>
      </c>
      <c r="M1670" s="156">
        <f>ROUND((M1344)*G1670/100,2)</f>
        <v>296114.65000000002</v>
      </c>
    </row>
    <row r="1671" spans="1:13" ht="30" hidden="1" x14ac:dyDescent="0.25">
      <c r="A1671" s="168"/>
      <c r="B1671" s="133" t="str">
        <f>'Công trình'!B168</f>
        <v>AG.32211</v>
      </c>
      <c r="C1671" s="34"/>
      <c r="D1671" s="133" t="str">
        <f>'Công trình'!C168</f>
        <v>Sản xuất, lắp dựng tháo dỡ ván khuôn kim loại các loại cấu kiện khác</v>
      </c>
      <c r="E1671" s="168"/>
      <c r="F1671" s="20">
        <v>1</v>
      </c>
      <c r="G1671" s="45">
        <f>'Hao phí vật tư'!I1278</f>
        <v>15</v>
      </c>
      <c r="H1671" s="166"/>
      <c r="I1671" s="166"/>
      <c r="J1671" s="166"/>
      <c r="K1671" s="166"/>
      <c r="L1671" s="156">
        <f>ROUND((L1237)*G1671/100,2)</f>
        <v>0</v>
      </c>
      <c r="M1671" s="156">
        <f>ROUND((M1237)*G1671/100,2)</f>
        <v>11098.89</v>
      </c>
    </row>
    <row r="1672" spans="1:13" ht="30" hidden="1" x14ac:dyDescent="0.25">
      <c r="A1672" s="168"/>
      <c r="B1672" s="133" t="str">
        <f>'Công trình'!B174</f>
        <v>AF.14115</v>
      </c>
      <c r="C1672" s="34"/>
      <c r="D1672" s="133" t="str">
        <f>'Công trình'!C174</f>
        <v>Bê tông móng, mố trụ cầu trên cạn đá 1x2, vữa BT mác 300</v>
      </c>
      <c r="E1672" s="168"/>
      <c r="F1672" s="20">
        <v>1</v>
      </c>
      <c r="G1672" s="45">
        <f>'Hao phí vật tư'!I1309</f>
        <v>2</v>
      </c>
      <c r="H1672" s="166"/>
      <c r="I1672" s="166"/>
      <c r="J1672" s="166"/>
      <c r="K1672" s="166"/>
      <c r="L1672" s="156">
        <f>ROUND((L1315+L1447+L1547)*G1672/100,2)</f>
        <v>0</v>
      </c>
      <c r="M1672" s="156">
        <f>ROUND((M1315+M1447+M1547)*G1672/100,2)</f>
        <v>260034.65</v>
      </c>
    </row>
    <row r="1673" spans="1:13" ht="30" hidden="1" x14ac:dyDescent="0.25">
      <c r="A1673" s="168"/>
      <c r="B1673" s="133" t="str">
        <f>'Công trình'!B186</f>
        <v>AF.14115</v>
      </c>
      <c r="C1673" s="34"/>
      <c r="D1673" s="133" t="str">
        <f>'Công trình'!C186</f>
        <v>Bê tông móng, mố trụ cầu trên cạn đá 1x2, vữa BT mác 300</v>
      </c>
      <c r="E1673" s="168"/>
      <c r="F1673" s="20">
        <v>1</v>
      </c>
      <c r="G1673" s="45">
        <f>'Hao phí vật tư'!I1426</f>
        <v>2</v>
      </c>
      <c r="H1673" s="166"/>
      <c r="I1673" s="166"/>
      <c r="J1673" s="166"/>
      <c r="K1673" s="166"/>
      <c r="L1673" s="156">
        <f>ROUND((L1316+L1448+L1549)*G1673/100,2)</f>
        <v>0</v>
      </c>
      <c r="M1673" s="156">
        <f>ROUND((M1316+M1448+M1549)*G1673/100,2)</f>
        <v>9295.4599999999991</v>
      </c>
    </row>
    <row r="1674" spans="1:13" hidden="1" x14ac:dyDescent="0.25">
      <c r="A1674" s="168"/>
      <c r="B1674" s="133" t="str">
        <f>'Công trình'!B196</f>
        <v>AF.14315</v>
      </c>
      <c r="C1674" s="34"/>
      <c r="D1674" s="133" t="str">
        <f>'Công trình'!C196</f>
        <v>Bê tông mặt cầu đá 1x2, vữa BT mác 300</v>
      </c>
      <c r="E1674" s="168"/>
      <c r="F1674" s="20">
        <v>1</v>
      </c>
      <c r="G1674" s="45">
        <f>'Hao phí vật tư'!I1507</f>
        <v>5</v>
      </c>
      <c r="H1674" s="166"/>
      <c r="I1674" s="166"/>
      <c r="J1674" s="166"/>
      <c r="K1674" s="166"/>
      <c r="L1674" s="156">
        <f>ROUND((L1435+L1550)*G1674/100,2)</f>
        <v>0</v>
      </c>
      <c r="M1674" s="156">
        <f>ROUND((M1435+M1550)*G1674/100,2)</f>
        <v>132798.89000000001</v>
      </c>
    </row>
    <row r="1675" spans="1:13" hidden="1" x14ac:dyDescent="0.25">
      <c r="A1675" s="168"/>
      <c r="B1675" s="133" t="str">
        <f>'Công trình'!B197</f>
        <v>AF.15225</v>
      </c>
      <c r="C1675" s="34"/>
      <c r="D1675" s="133" t="str">
        <f>'Công trình'!C197</f>
        <v>Bê tông dầm cầu đá 1x2, vữa BT mác 300</v>
      </c>
      <c r="E1675" s="168"/>
      <c r="F1675" s="20">
        <v>1</v>
      </c>
      <c r="G1675" s="45">
        <f>'Hao phí vật tư'!I1522</f>
        <v>2</v>
      </c>
      <c r="H1675" s="166"/>
      <c r="I1675" s="166"/>
      <c r="J1675" s="166"/>
      <c r="K1675" s="166"/>
      <c r="L1675" s="156">
        <f>ROUND((L1449+L1551+L1618+L1630)*G1675/100,2)</f>
        <v>0</v>
      </c>
      <c r="M1675" s="156">
        <f>ROUND((M1449+M1551+M1618+M1630)*G1675/100,2)</f>
        <v>18409.89</v>
      </c>
    </row>
    <row r="1676" spans="1:13" ht="30" hidden="1" x14ac:dyDescent="0.25">
      <c r="A1676" s="168"/>
      <c r="B1676" s="133" t="str">
        <f>'Công trình'!B200</f>
        <v>AF.82111</v>
      </c>
      <c r="C1676" s="34"/>
      <c r="D1676" s="133" t="str">
        <f>'Công trình'!C200</f>
        <v>Sản xuất, lắp dựng tháo dỡ ván khuôn thép, cây chống gỗ dầm ngang, chiều cao &lt;=16m</v>
      </c>
      <c r="E1676" s="168"/>
      <c r="F1676" s="20">
        <v>1</v>
      </c>
      <c r="G1676" s="45">
        <f>'Hao phí vật tư'!I1549</f>
        <v>2</v>
      </c>
      <c r="H1676" s="166"/>
      <c r="I1676" s="166"/>
      <c r="J1676" s="166"/>
      <c r="K1676" s="166"/>
      <c r="L1676" s="156">
        <f>ROUND((L1243+L1594)*G1676/100,2)</f>
        <v>0</v>
      </c>
      <c r="M1676" s="156">
        <f>ROUND((M1243+M1594)*G1676/100,2)</f>
        <v>3924.41</v>
      </c>
    </row>
    <row r="1677" spans="1:13" ht="30" hidden="1" x14ac:dyDescent="0.25">
      <c r="A1677" s="168"/>
      <c r="B1677" s="133" t="str">
        <f>'Công trình'!B202</f>
        <v>AF.61711</v>
      </c>
      <c r="C1677" s="34"/>
      <c r="D1677" s="133" t="str">
        <f>'Công trình'!C202</f>
        <v>Sản xuất, lắp dựng cốt thép mặt cầu đường kính &lt;=10mm, chiều cao &lt;=16m</v>
      </c>
      <c r="E1677" s="168"/>
      <c r="F1677" s="20">
        <v>1</v>
      </c>
      <c r="G1677" s="45">
        <f>'Hao phí vật tư'!I1571</f>
        <v>2</v>
      </c>
      <c r="H1677" s="166"/>
      <c r="I1677" s="166"/>
      <c r="J1677" s="166"/>
      <c r="K1677" s="166"/>
      <c r="L1677" s="156">
        <f>ROUND((L1413)*G1677/100,2)</f>
        <v>0</v>
      </c>
      <c r="M1677" s="156">
        <f>ROUND((M1413)*G1677/100,2)</f>
        <v>155.97999999999999</v>
      </c>
    </row>
    <row r="1678" spans="1:13" ht="30" hidden="1" x14ac:dyDescent="0.25">
      <c r="A1678" s="168"/>
      <c r="B1678" s="133" t="str">
        <f>'Công trình'!B204</f>
        <v>AF.61721</v>
      </c>
      <c r="C1678" s="34"/>
      <c r="D1678" s="133" t="str">
        <f>'Công trình'!C204</f>
        <v>Sản xuất, lắp dựng cốt thép mặt cầu đường kính &gt;10mm, chiều cao &lt;=16m</v>
      </c>
      <c r="E1678" s="168"/>
      <c r="F1678" s="20">
        <v>1</v>
      </c>
      <c r="G1678" s="45">
        <f>'Hao phí vật tư'!I1583</f>
        <v>2</v>
      </c>
      <c r="H1678" s="166"/>
      <c r="I1678" s="166"/>
      <c r="J1678" s="166"/>
      <c r="K1678" s="166"/>
      <c r="L1678" s="156">
        <f>ROUND((L1244+L1414+L1595)*G1678/100,2)</f>
        <v>0</v>
      </c>
      <c r="M1678" s="156">
        <f>ROUND((M1244+M1414+M1595)*G1678/100,2)</f>
        <v>93513.78</v>
      </c>
    </row>
    <row r="1679" spans="1:13" ht="30" hidden="1" x14ac:dyDescent="0.25">
      <c r="A1679" s="168"/>
      <c r="B1679" s="133" t="str">
        <f>'Công trình'!B225</f>
        <v>AG.11125</v>
      </c>
      <c r="C1679" s="34"/>
      <c r="D1679" s="133" t="str">
        <f>'Công trình'!C225</f>
        <v>Sản xuất bê tông cọc cừ đúc sẵn đá 1x2, vữa BT mác 300</v>
      </c>
      <c r="E1679" s="168"/>
      <c r="F1679" s="20">
        <v>1</v>
      </c>
      <c r="G1679" s="45">
        <f>'Hao phí vật tư'!I1692</f>
        <v>10</v>
      </c>
      <c r="H1679" s="166"/>
      <c r="I1679" s="166"/>
      <c r="J1679" s="166"/>
      <c r="K1679" s="166"/>
      <c r="L1679" s="156">
        <f>ROUND((L1451+L1553)*G1679/100,2)</f>
        <v>0</v>
      </c>
      <c r="M1679" s="156">
        <f>ROUND((M1451+M1553)*G1679/100,2)</f>
        <v>420586.74</v>
      </c>
    </row>
    <row r="1680" spans="1:13" ht="30" hidden="1" x14ac:dyDescent="0.25">
      <c r="A1680" s="168"/>
      <c r="B1680" s="133" t="str">
        <f>'Công trình'!B229</f>
        <v>AI.13111</v>
      </c>
      <c r="C1680" s="34"/>
      <c r="D1680" s="133" t="str">
        <f>'Công trình'!C229</f>
        <v>Sản xuất cấu kiện thép đặt sẵn trong bê tông, khối lượng &lt;=10kg/cấu kiện</v>
      </c>
      <c r="E1680" s="168"/>
      <c r="F1680" s="20">
        <v>1</v>
      </c>
      <c r="G1680" s="45">
        <f>'Hao phí vật tư'!I1736</f>
        <v>2</v>
      </c>
      <c r="H1680" s="166"/>
      <c r="I1680" s="166"/>
      <c r="J1680" s="166"/>
      <c r="K1680" s="166"/>
      <c r="L1680" s="156">
        <f>ROUND((L1251+L1492+L1508)*G1680/100,2)</f>
        <v>0</v>
      </c>
      <c r="M1680" s="156">
        <f>ROUND((M1251+M1492+M1508)*G1680/100,2)</f>
        <v>35811.300000000003</v>
      </c>
    </row>
    <row r="1681" spans="1:13" hidden="1" x14ac:dyDescent="0.25">
      <c r="A1681" s="168"/>
      <c r="B1681" s="133" t="str">
        <f>'Công trình'!B231</f>
        <v>AI.52211</v>
      </c>
      <c r="C1681" s="34"/>
      <c r="D1681" s="133" t="str">
        <f>'Công trình'!C231</f>
        <v>Thép hình hộp nối cọc</v>
      </c>
      <c r="E1681" s="168"/>
      <c r="F1681" s="20">
        <v>1</v>
      </c>
      <c r="G1681" s="45">
        <f>'Hao phí vật tư'!I1763</f>
        <v>5</v>
      </c>
      <c r="H1681" s="166"/>
      <c r="I1681" s="166"/>
      <c r="J1681" s="166"/>
      <c r="K1681" s="166"/>
      <c r="L1681" s="156">
        <f>ROUND((L1252+L1493+L1509)*G1681/100,2)</f>
        <v>0</v>
      </c>
      <c r="M1681" s="156">
        <f>ROUND((M1252+M1493+M1509)*G1681/100,2)</f>
        <v>233952.32</v>
      </c>
    </row>
    <row r="1682" spans="1:13" ht="30" hidden="1" x14ac:dyDescent="0.25">
      <c r="A1682" s="168"/>
      <c r="B1682" s="133" t="str">
        <f>'Công trình'!B232</f>
        <v>AC.14114</v>
      </c>
      <c r="C1682" s="34"/>
      <c r="D1682" s="133" t="str">
        <f>'Công trình'!C232</f>
        <v>Đóng cọc BTCT 35x35 chiều dài &lt;=24m trên mặt đất, trọng lượng đầu búa 1,8T, đất cấp I</v>
      </c>
      <c r="E1682" s="168"/>
      <c r="F1682" s="20">
        <v>1</v>
      </c>
      <c r="G1682" s="45">
        <f>'Hao phí vật tư'!I1772</f>
        <v>6</v>
      </c>
      <c r="H1682" s="166"/>
      <c r="I1682" s="166"/>
      <c r="J1682" s="166"/>
      <c r="K1682" s="166"/>
      <c r="L1682" s="156">
        <f>ROUND((L1291)*G1682/100,2)</f>
        <v>0</v>
      </c>
      <c r="M1682" s="156">
        <f>ROUND((M1291)*G1682/100,2)</f>
        <v>853316.8</v>
      </c>
    </row>
    <row r="1683" spans="1:13" ht="45" hidden="1" x14ac:dyDescent="0.25">
      <c r="A1683" s="168"/>
      <c r="B1683" s="133" t="str">
        <f>'Công trình'!B233</f>
        <v>AC.14114</v>
      </c>
      <c r="C1683" s="34"/>
      <c r="D1683" s="133" t="str">
        <f>'Công trình'!C233</f>
        <v>Đóng cọc xiên BTCT 35x35 chiều dài &lt;=24m trên mặt đất, trọng lượng đầu búa 1,8T, đất cấp I (HS NC, MTC x 1,22)</v>
      </c>
      <c r="E1683" s="168"/>
      <c r="F1683" s="20">
        <v>1</v>
      </c>
      <c r="G1683" s="45">
        <f>'Hao phí vật tư'!I1781</f>
        <v>6</v>
      </c>
      <c r="H1683" s="166"/>
      <c r="I1683" s="166"/>
      <c r="J1683" s="166"/>
      <c r="K1683" s="166"/>
      <c r="L1683" s="156">
        <f>ROUND((L1292)*G1683/100,2)</f>
        <v>0</v>
      </c>
      <c r="M1683" s="156">
        <f>ROUND((M1292)*G1683/100,2)</f>
        <v>2082097.71</v>
      </c>
    </row>
    <row r="1684" spans="1:13" hidden="1" x14ac:dyDescent="0.25">
      <c r="A1684" s="168"/>
      <c r="B1684" s="133" t="str">
        <f>'Công trình'!B234</f>
        <v>AC.29341</v>
      </c>
      <c r="C1684" s="34"/>
      <c r="D1684" s="133" t="str">
        <f>'Công trình'!C234</f>
        <v>Nối cọc BTCT 35x35cm</v>
      </c>
      <c r="E1684" s="168"/>
      <c r="F1684" s="20">
        <v>1</v>
      </c>
      <c r="G1684" s="45">
        <f>'Hao phí vật tư'!I1791</f>
        <v>3</v>
      </c>
      <c r="H1684" s="166"/>
      <c r="I1684" s="166"/>
      <c r="J1684" s="166"/>
      <c r="K1684" s="166"/>
      <c r="L1684" s="156">
        <f>ROUND((L1254)*G1684/100,2)</f>
        <v>0</v>
      </c>
      <c r="M1684" s="156">
        <f>ROUND((M1254)*G1684/100,2)</f>
        <v>54759.24</v>
      </c>
    </row>
    <row r="1685" spans="1:13" ht="30" hidden="1" x14ac:dyDescent="0.25">
      <c r="A1685" s="168"/>
      <c r="B1685" s="133" t="str">
        <f>'Công trình'!B236</f>
        <v>AC.14114</v>
      </c>
      <c r="C1685" s="34"/>
      <c r="D1685" s="133" t="str">
        <f>'Công trình'!C236</f>
        <v>Đóng cọc âm chiều dài &lt;=24m trên mặt đất, trọng lượng đầu búa 1,8T, đất cấp I</v>
      </c>
      <c r="E1685" s="168"/>
      <c r="F1685" s="20">
        <v>1</v>
      </c>
      <c r="G1685" s="45">
        <f>'Hao phí vật tư'!I1810</f>
        <v>6</v>
      </c>
      <c r="H1685" s="166"/>
      <c r="I1685" s="166"/>
      <c r="J1685" s="166"/>
      <c r="K1685" s="166"/>
      <c r="L1685" s="156">
        <f>ROUND((L1293)*G1685/100,2)</f>
        <v>0</v>
      </c>
      <c r="M1685" s="156">
        <f>ROUND((M1293)*G1685/100,2)</f>
        <v>127997.52</v>
      </c>
    </row>
    <row r="1686" spans="1:13" ht="30" hidden="1" x14ac:dyDescent="0.25">
      <c r="A1686" s="168"/>
      <c r="B1686" s="133" t="str">
        <f>'Công trình'!B241</f>
        <v>AD.11222</v>
      </c>
      <c r="C1686" s="34"/>
      <c r="D1686" s="133" t="str">
        <f>'Công trình'!C241</f>
        <v>Làm móng lớp trên cấp phối đá dăm, đường làm mới</v>
      </c>
      <c r="E1686" s="168"/>
      <c r="F1686" s="20">
        <v>1</v>
      </c>
      <c r="G1686" s="45">
        <f>'Hao phí vật tư'!I1832</f>
        <v>0.5</v>
      </c>
      <c r="H1686" s="166"/>
      <c r="I1686" s="166"/>
      <c r="J1686" s="166"/>
      <c r="K1686" s="166"/>
      <c r="L1686" s="156">
        <f>ROUND((L1362+L1371+L1469+L1529+L1605)*G1686/100,2)</f>
        <v>0</v>
      </c>
      <c r="M1686" s="156">
        <f>ROUND((M1362+M1371+M1469+M1529+M1605)*G1686/100,2)</f>
        <v>13706.98</v>
      </c>
    </row>
    <row r="1687" spans="1:13" ht="30" hidden="1" x14ac:dyDescent="0.25">
      <c r="A1687" s="168"/>
      <c r="B1687" s="133" t="str">
        <f>'Công trình'!B242</f>
        <v>AB.66114</v>
      </c>
      <c r="C1687" s="34"/>
      <c r="D1687" s="133" t="str">
        <f>'Công trình'!C242</f>
        <v>Đắp cát công trình bằng máy đầm 9T, độ chặt K=0,98</v>
      </c>
      <c r="E1687" s="168"/>
      <c r="F1687" s="20">
        <v>1</v>
      </c>
      <c r="G1687" s="45">
        <f>'Hao phí vật tư'!I1841</f>
        <v>1.5</v>
      </c>
      <c r="H1687" s="166"/>
      <c r="I1687" s="166"/>
      <c r="J1687" s="166"/>
      <c r="K1687" s="166"/>
      <c r="L1687" s="156">
        <f>ROUND((L1367+L1583)*G1687/100,2)</f>
        <v>0</v>
      </c>
      <c r="M1687" s="156">
        <f>ROUND((M1367+M1583)*G1687/100,2)</f>
        <v>223408.23</v>
      </c>
    </row>
    <row r="1688" spans="1:13" ht="30" hidden="1" x14ac:dyDescent="0.25">
      <c r="A1688" s="168"/>
      <c r="B1688" s="133" t="str">
        <f>'Công trình'!B249</f>
        <v>AF.82111</v>
      </c>
      <c r="C1688" s="34"/>
      <c r="D1688" s="133" t="str">
        <f>'Công trình'!C249</f>
        <v>Sản xuất, lắp dựng tháo dỡ ván khuôn thép, cây chống gỗ dầm, giằng, chiều cao &lt;=16m</v>
      </c>
      <c r="E1688" s="168"/>
      <c r="F1688" s="20">
        <v>1</v>
      </c>
      <c r="G1688" s="45">
        <f>'Hao phí vật tư'!I1897</f>
        <v>2</v>
      </c>
      <c r="H1688" s="166"/>
      <c r="I1688" s="166"/>
      <c r="J1688" s="166"/>
      <c r="K1688" s="166"/>
      <c r="L1688" s="156">
        <f>ROUND((L1255+L1597)*G1688/100,2)</f>
        <v>0</v>
      </c>
      <c r="M1688" s="156">
        <f>ROUND((M1255+M1597)*G1688/100,2)</f>
        <v>7236.33</v>
      </c>
    </row>
    <row r="1689" spans="1:13" ht="30" hidden="1" x14ac:dyDescent="0.25">
      <c r="A1689" s="168"/>
      <c r="B1689" s="133" t="str">
        <f>'Công trình'!B255</f>
        <v>AF.14325</v>
      </c>
      <c r="C1689" s="34"/>
      <c r="D1689" s="133" t="str">
        <f>'Công trình'!C255</f>
        <v>Bê tông lan can, gờ chắn đá 1x2, vữa BT mác 300</v>
      </c>
      <c r="E1689" s="168"/>
      <c r="F1689" s="20">
        <v>1</v>
      </c>
      <c r="G1689" s="45">
        <f>'Hao phí vật tư'!I1945</f>
        <v>5</v>
      </c>
      <c r="H1689" s="166"/>
      <c r="I1689" s="166"/>
      <c r="J1689" s="166"/>
      <c r="K1689" s="166"/>
      <c r="L1689" s="156">
        <f>ROUND((L1556)*G1689/100,2)</f>
        <v>0</v>
      </c>
      <c r="M1689" s="156">
        <f>ROUND((M1556)*G1689/100,2)</f>
        <v>33997.81</v>
      </c>
    </row>
    <row r="1690" spans="1:13" ht="30" hidden="1" x14ac:dyDescent="0.25">
      <c r="A1690" s="168"/>
      <c r="B1690" s="133" t="str">
        <f>'Công trình'!B256</f>
        <v>AF.82111</v>
      </c>
      <c r="C1690" s="34"/>
      <c r="D1690" s="133" t="str">
        <f>'Công trình'!C256</f>
        <v>Sản xuất, lắp dựng tháo dỡ ván khuôn thép lan can</v>
      </c>
      <c r="E1690" s="168"/>
      <c r="F1690" s="20">
        <v>1</v>
      </c>
      <c r="G1690" s="45">
        <f>'Hao phí vật tư'!I1958</f>
        <v>2</v>
      </c>
      <c r="H1690" s="166"/>
      <c r="I1690" s="166"/>
      <c r="J1690" s="166"/>
      <c r="K1690" s="166"/>
      <c r="L1690" s="156">
        <f>ROUND((L1256+L1598)*G1690/100,2)</f>
        <v>0</v>
      </c>
      <c r="M1690" s="156">
        <f>ROUND((M1256+M1598)*G1690/100,2)</f>
        <v>15513.09</v>
      </c>
    </row>
    <row r="1691" spans="1:13" hidden="1" x14ac:dyDescent="0.25">
      <c r="A1691" s="168"/>
      <c r="B1691" s="133" t="str">
        <f>'Công trình'!B268</f>
        <v>BB.14211</v>
      </c>
      <c r="C1691" s="34"/>
      <c r="D1691" s="133" t="str">
        <f>'Công trình'!C268</f>
        <v>Ống thép Þ120 dày 2 mm</v>
      </c>
      <c r="E1691" s="168"/>
      <c r="F1691" s="20">
        <v>1</v>
      </c>
      <c r="G1691" s="45">
        <f>'Hao phí vật tư'!I2050</f>
        <v>5</v>
      </c>
      <c r="H1691" s="166"/>
      <c r="I1691" s="166"/>
      <c r="J1691" s="166"/>
      <c r="K1691" s="166"/>
      <c r="L1691" s="156">
        <f>ROUND((L1259)*G1691/100,2)</f>
        <v>0</v>
      </c>
      <c r="M1691" s="156">
        <f>ROUND((M1259)*G1691/100,2)</f>
        <v>6599.84</v>
      </c>
    </row>
    <row r="1692" spans="1:13" ht="30" hidden="1" x14ac:dyDescent="0.25">
      <c r="A1692" s="168"/>
      <c r="B1692" s="133" t="str">
        <f>'Công trình'!B300</f>
        <v>AG.11113</v>
      </c>
      <c r="C1692" s="34"/>
      <c r="D1692" s="133" t="str">
        <f>'Công trình'!C300</f>
        <v>Sản xuất bê tông cọc, cột đúc sẵn đá 1x2, vữa BT mác 200</v>
      </c>
      <c r="E1692" s="168"/>
      <c r="F1692" s="20">
        <v>1</v>
      </c>
      <c r="G1692" s="45">
        <f>'Hao phí vật tư'!I2250</f>
        <v>10</v>
      </c>
      <c r="H1692" s="166"/>
      <c r="I1692" s="166"/>
      <c r="J1692" s="166"/>
      <c r="K1692" s="166"/>
      <c r="L1692" s="156">
        <f>ROUND((L1458+L1562)*G1692/100,2)</f>
        <v>0</v>
      </c>
      <c r="M1692" s="156">
        <f>ROUND((M1458+M1562)*G1692/100,2)</f>
        <v>6123.62</v>
      </c>
    </row>
    <row r="1693" spans="1:13" hidden="1" x14ac:dyDescent="0.25">
      <c r="A1693" s="168"/>
      <c r="B1693" s="133" t="str">
        <f>'Công trình'!B322</f>
        <v>AI.65411</v>
      </c>
      <c r="C1693" s="34"/>
      <c r="D1693" s="133" t="str">
        <f>'Công trình'!C322</f>
        <v>Lắp đặt kết cấu thép khe van, khe phai</v>
      </c>
      <c r="E1693" s="168"/>
      <c r="F1693" s="20">
        <v>1</v>
      </c>
      <c r="G1693" s="45">
        <f>'Hao phí vật tư'!I2420</f>
        <v>2</v>
      </c>
      <c r="H1693" s="166"/>
      <c r="I1693" s="166"/>
      <c r="J1693" s="166"/>
      <c r="K1693" s="166"/>
      <c r="L1693" s="156">
        <f>ROUND((L1272+L1319+L1510+L1612+L1632)*G1693/100,2)</f>
        <v>0</v>
      </c>
      <c r="M1693" s="156">
        <f>ROUND((M1272+M1319+M1510+M1612+M1632)*G1693/100,2)</f>
        <v>142207.38</v>
      </c>
    </row>
    <row r="1694" spans="1:13" hidden="1" x14ac:dyDescent="0.25">
      <c r="A1694" s="168"/>
      <c r="B1694" s="133" t="str">
        <f>'Công trình'!B316</f>
        <v>AI.52211</v>
      </c>
      <c r="C1694" s="34"/>
      <c r="D1694" s="133" t="str">
        <f>'Công trình'!C316</f>
        <v>Sản xuất kết cấu thép khe phai - thép CT3</v>
      </c>
      <c r="E1694" s="168"/>
      <c r="F1694" s="20">
        <v>1</v>
      </c>
      <c r="G1694" s="45">
        <f>'Hao phí vật tư'!I2319</f>
        <v>5</v>
      </c>
      <c r="H1694" s="166"/>
      <c r="I1694" s="166"/>
      <c r="J1694" s="166"/>
      <c r="K1694" s="166"/>
      <c r="L1694" s="156">
        <f>ROUND((L1273+L1494+L1511)*G1694/100,2)</f>
        <v>0</v>
      </c>
      <c r="M1694" s="156">
        <f>ROUND((M1273+M1494+M1511)*G1694/100,2)</f>
        <v>63269.91</v>
      </c>
    </row>
    <row r="1695" spans="1:13" hidden="1" x14ac:dyDescent="0.25">
      <c r="A1695" s="168"/>
      <c r="B1695" s="133" t="str">
        <f>'Công trình'!B317</f>
        <v>AI.52211</v>
      </c>
      <c r="C1695" s="34"/>
      <c r="D1695" s="133" t="str">
        <f>'Công trình'!C317</f>
        <v>Sản xuất kết cấu thép khe phai - thép SUS304</v>
      </c>
      <c r="E1695" s="168"/>
      <c r="F1695" s="20">
        <v>1</v>
      </c>
      <c r="G1695" s="45">
        <f>'Hao phí vật tư'!I2334</f>
        <v>5</v>
      </c>
      <c r="H1695" s="166"/>
      <c r="I1695" s="166"/>
      <c r="J1695" s="166"/>
      <c r="K1695" s="166"/>
      <c r="L1695" s="156">
        <f>ROUND((L1274+L1495+L1512)*G1695/100,2)</f>
        <v>0</v>
      </c>
      <c r="M1695" s="156">
        <f>ROUND((M1274+M1495+M1512)*G1695/100,2)</f>
        <v>86482.17</v>
      </c>
    </row>
    <row r="1696" spans="1:13" hidden="1" x14ac:dyDescent="0.25">
      <c r="A1696" s="168"/>
      <c r="B1696" s="133" t="str">
        <f>'Công trình'!B318</f>
        <v>AI.52211</v>
      </c>
      <c r="C1696" s="34"/>
      <c r="D1696" s="133" t="str">
        <f>'Công trình'!C318</f>
        <v>Sản xuất kết cấu thép khe cửa - thép CT3</v>
      </c>
      <c r="E1696" s="168"/>
      <c r="F1696" s="20">
        <v>1</v>
      </c>
      <c r="G1696" s="45">
        <f>'Hao phí vật tư'!I2350</f>
        <v>5</v>
      </c>
      <c r="H1696" s="166"/>
      <c r="I1696" s="166"/>
      <c r="J1696" s="166"/>
      <c r="K1696" s="166"/>
      <c r="L1696" s="156">
        <f>ROUND((L1275+L1496+L1513)*G1696/100,2)</f>
        <v>0</v>
      </c>
      <c r="M1696" s="156">
        <f>ROUND((M1275+M1496+M1513)*G1696/100,2)</f>
        <v>63970.28</v>
      </c>
    </row>
    <row r="1697" spans="1:13" hidden="1" x14ac:dyDescent="0.25">
      <c r="A1697" s="168"/>
      <c r="B1697" s="133" t="str">
        <f>'Công trình'!B319</f>
        <v>AI.52211</v>
      </c>
      <c r="C1697" s="34"/>
      <c r="D1697" s="133" t="str">
        <f>'Công trình'!C319</f>
        <v>Sản xuất kết cấu thép khe cửa- thép SUS304</v>
      </c>
      <c r="E1697" s="168"/>
      <c r="F1697" s="20">
        <v>1</v>
      </c>
      <c r="G1697" s="45">
        <f>'Hao phí vật tư'!I2365</f>
        <v>5</v>
      </c>
      <c r="H1697" s="166"/>
      <c r="I1697" s="166"/>
      <c r="J1697" s="166"/>
      <c r="K1697" s="166"/>
      <c r="L1697" s="156">
        <f>ROUND((L1276+L1497+L1514)*G1697/100,2)</f>
        <v>0</v>
      </c>
      <c r="M1697" s="156">
        <f>ROUND((M1276+M1497+M1514)*G1697/100,2)</f>
        <v>102134.74</v>
      </c>
    </row>
    <row r="1698" spans="1:13" ht="30" hidden="1" x14ac:dyDescent="0.25">
      <c r="A1698" s="168"/>
      <c r="B1698" s="133" t="str">
        <f>'Công trình'!B179</f>
        <v>AF.87211</v>
      </c>
      <c r="C1698" s="34"/>
      <c r="D1698" s="133" t="str">
        <f>'Công trình'!C179</f>
        <v>Sản xuất, lắp dựng, tháo dỡ ván khuôn mố, trụ cầu trên cạn</v>
      </c>
      <c r="E1698" s="168"/>
      <c r="F1698" s="20">
        <v>1</v>
      </c>
      <c r="G1698" s="45">
        <f>'Hao phí vật tư'!I1365</f>
        <v>1.5</v>
      </c>
      <c r="H1698" s="166"/>
      <c r="I1698" s="166"/>
      <c r="J1698" s="166"/>
      <c r="K1698" s="166"/>
      <c r="L1698" s="156">
        <f>ROUND((L1260+L1335+L1384)*G1698/100,2)</f>
        <v>0</v>
      </c>
      <c r="M1698" s="156">
        <f>ROUND((M1260+M1335+M1384)*G1698/100,2)</f>
        <v>92460.41</v>
      </c>
    </row>
    <row r="1699" spans="1:13" ht="30" hidden="1" x14ac:dyDescent="0.25">
      <c r="A1699" s="168"/>
      <c r="B1699" s="133" t="str">
        <f>'Công trình'!B189</f>
        <v>AF.87211</v>
      </c>
      <c r="C1699" s="34"/>
      <c r="D1699" s="133" t="str">
        <f>'Công trình'!C189</f>
        <v>Sản xuất, lắp dựng, tháo dỡ ván khuôn mố, trụ cầu trên cạn</v>
      </c>
      <c r="E1699" s="168"/>
      <c r="F1699" s="20">
        <v>1</v>
      </c>
      <c r="G1699" s="45">
        <f>'Hao phí vật tư'!I1456</f>
        <v>1.5</v>
      </c>
      <c r="H1699" s="166"/>
      <c r="I1699" s="166"/>
      <c r="J1699" s="166"/>
      <c r="K1699" s="166"/>
      <c r="L1699" s="156">
        <f>ROUND((L1261+L1336+L1385)*G1699/100,2)</f>
        <v>0</v>
      </c>
      <c r="M1699" s="156">
        <f>ROUND((M1261+M1336+M1385)*G1699/100,2)</f>
        <v>26492.93</v>
      </c>
    </row>
    <row r="1700" spans="1:13" ht="45" hidden="1" x14ac:dyDescent="0.25">
      <c r="A1700" s="168"/>
      <c r="B1700" s="133" t="str">
        <f>'Công trình'!B193</f>
        <v>TT</v>
      </c>
      <c r="C1700" s="34"/>
      <c r="D1700" s="133" t="str">
        <f>'Công trình'!C193</f>
        <v xml:space="preserve">Lắp dựng dầm cầu I DƯL bản  (TT theo MHĐM ĐQ.30010 Quyết định số 2204/QĐ-BGTVT ngày 29/07/2013) </v>
      </c>
      <c r="E1700" s="168"/>
      <c r="F1700" s="20">
        <v>1</v>
      </c>
      <c r="G1700" s="45">
        <f>'Hao phí vật tư'!I1487</f>
        <v>5</v>
      </c>
      <c r="H1700" s="166"/>
      <c r="I1700" s="166"/>
      <c r="J1700" s="166"/>
      <c r="K1700" s="166"/>
      <c r="L1700" s="156">
        <f>ROUND((L1349)*G1700/100,2)</f>
        <v>0</v>
      </c>
      <c r="M1700" s="156">
        <f>ROUND((M1349)*G1700/100,2)</f>
        <v>1287670.05</v>
      </c>
    </row>
    <row r="1701" spans="1:13" ht="30" hidden="1" x14ac:dyDescent="0.25">
      <c r="A1701" s="168"/>
      <c r="B1701" s="133" t="str">
        <f>'Công trình'!B201</f>
        <v>AF.82311</v>
      </c>
      <c r="C1701" s="34"/>
      <c r="D1701" s="133" t="str">
        <f>'Công trình'!C201</f>
        <v>Sản xuất, lắp dựng tháo dỡ ván khuôn thép, cây chống gỗ mặt cầu, chiều cao &lt;=16m</v>
      </c>
      <c r="E1701" s="168"/>
      <c r="F1701" s="20">
        <v>1</v>
      </c>
      <c r="G1701" s="45">
        <f>'Hao phí vật tư'!I1562</f>
        <v>2</v>
      </c>
      <c r="H1701" s="166"/>
      <c r="I1701" s="166"/>
      <c r="J1701" s="166"/>
      <c r="K1701" s="166"/>
      <c r="L1701" s="156">
        <f>ROUND((L1262+L1600)*G1701/100,2)</f>
        <v>0</v>
      </c>
      <c r="M1701" s="156">
        <f>ROUND((M1262+M1600)*G1701/100,2)</f>
        <v>25627.32</v>
      </c>
    </row>
    <row r="1702" spans="1:13" hidden="1" x14ac:dyDescent="0.25">
      <c r="A1702" s="168"/>
      <c r="B1702" s="133" t="str">
        <f>'Công trình'!B93</f>
        <v>AD.11212</v>
      </c>
      <c r="C1702" s="34"/>
      <c r="D1702" s="133" t="str">
        <f>'Công trình'!C93</f>
        <v>Cấp phối đá 0x4</v>
      </c>
      <c r="E1702" s="168"/>
      <c r="F1702" s="20">
        <v>1</v>
      </c>
      <c r="G1702" s="45">
        <f>'Hao phí vật tư'!I765</f>
        <v>0.5</v>
      </c>
      <c r="H1702" s="166"/>
      <c r="I1702" s="166"/>
      <c r="J1702" s="166"/>
      <c r="K1702" s="166"/>
      <c r="L1702" s="156">
        <f>ROUND((L1363+L1372+L1470+L1532+L1585+L1606)*G1702/100,2)</f>
        <v>0</v>
      </c>
      <c r="M1702" s="156">
        <f>ROUND((M1363+M1372+M1470+M1532+M1585+M1606)*G1702/100,2)</f>
        <v>9340.17</v>
      </c>
    </row>
    <row r="1703" spans="1:13" ht="30" hidden="1" x14ac:dyDescent="0.25">
      <c r="A1703" s="168"/>
      <c r="B1703" s="133" t="str">
        <f>'Công trình'!B135</f>
        <v>AC.23210</v>
      </c>
      <c r="C1703" s="34"/>
      <c r="D1703" s="133" t="str">
        <f>'Công trình'!C135</f>
        <v>Nhổ cọc cừ Larsen 3, larsen 4 trên cạn bằng búa rung, cần cẩu 25T</v>
      </c>
      <c r="E1703" s="168"/>
      <c r="F1703" s="20">
        <v>1</v>
      </c>
      <c r="G1703" s="45">
        <f>'Hao phí vật tư'!I1035</f>
        <v>3</v>
      </c>
      <c r="H1703" s="166"/>
      <c r="I1703" s="166"/>
      <c r="J1703" s="166"/>
      <c r="K1703" s="166"/>
      <c r="L1703" s="156">
        <f>ROUND((L1302+L1345)*G1703/100,2)</f>
        <v>0</v>
      </c>
      <c r="M1703" s="156">
        <f>ROUND((M1302+M1345)*G1703/100,2)</f>
        <v>8708191.0600000005</v>
      </c>
    </row>
    <row r="1704" spans="1:13" ht="30" hidden="1" x14ac:dyDescent="0.25">
      <c r="A1704" s="168"/>
      <c r="B1704" s="133" t="str">
        <f>'Công trình'!B230</f>
        <v>AG.32321</v>
      </c>
      <c r="C1704" s="34"/>
      <c r="D1704" s="133" t="str">
        <f>'Công trình'!C230</f>
        <v>Sản xuất, lắp dựng, tháo dỡ ván khuôn thép bê tông đúc sẵn cọc, cột</v>
      </c>
      <c r="E1704" s="168"/>
      <c r="F1704" s="20">
        <v>1</v>
      </c>
      <c r="G1704" s="45">
        <f>'Hao phí vật tư'!I1747</f>
        <v>10</v>
      </c>
      <c r="H1704" s="166"/>
      <c r="I1704" s="166"/>
      <c r="J1704" s="166"/>
      <c r="K1704" s="166"/>
      <c r="L1704" s="156">
        <f>ROUND((L1263)*G1704/100,2)</f>
        <v>0</v>
      </c>
      <c r="M1704" s="156">
        <f>ROUND((M1263)*G1704/100,2)</f>
        <v>66681.210000000006</v>
      </c>
    </row>
    <row r="1705" spans="1:13" ht="30" hidden="1" x14ac:dyDescent="0.25">
      <c r="A1705" s="168"/>
      <c r="B1705" s="133" t="str">
        <f>'Công trình'!B56</f>
        <v>AG.32511</v>
      </c>
      <c r="C1705" s="34"/>
      <c r="D1705" s="133" t="str">
        <f>'Công trình'!C56</f>
        <v>Sản xuất, lắp dựng, tháo dỡ ván khuôn thép bê tông đúc sẵn tấm tự chèn</v>
      </c>
      <c r="E1705" s="168"/>
      <c r="F1705" s="20">
        <v>1</v>
      </c>
      <c r="G1705" s="45">
        <f>'Hao phí vật tư'!I417</f>
        <v>10</v>
      </c>
      <c r="H1705" s="166"/>
      <c r="I1705" s="166"/>
      <c r="J1705" s="166"/>
      <c r="K1705" s="166"/>
      <c r="L1705" s="156">
        <f>ROUND((L1264)*G1705/100,2)</f>
        <v>0</v>
      </c>
      <c r="M1705" s="156">
        <f>ROUND((M1264)*G1705/100,2)</f>
        <v>144912.54999999999</v>
      </c>
    </row>
    <row r="1706" spans="1:13" ht="30" hidden="1" x14ac:dyDescent="0.25">
      <c r="A1706" s="168"/>
      <c r="B1706" s="133" t="str">
        <f>'Công trình'!B245</f>
        <v>AB.64112</v>
      </c>
      <c r="C1706" s="34"/>
      <c r="D1706" s="133" t="str">
        <f>'Công trình'!C245</f>
        <v>Đắp nền đường bằng máy đầm 9T, độ chặt K=0,90</v>
      </c>
      <c r="E1706" s="168"/>
      <c r="F1706" s="20">
        <v>1</v>
      </c>
      <c r="G1706" s="45">
        <f>'Hao phí vật tư'!I1859</f>
        <v>1.5</v>
      </c>
      <c r="H1706" s="166"/>
      <c r="I1706" s="166"/>
      <c r="J1706" s="166"/>
      <c r="K1706" s="166"/>
      <c r="L1706" s="156">
        <f>ROUND((L1368+L1586)*G1706/100,2)</f>
        <v>0</v>
      </c>
      <c r="M1706" s="156">
        <f>ROUND((M1368+M1586)*G1706/100,2)</f>
        <v>189546.42</v>
      </c>
    </row>
    <row r="1707" spans="1:13" ht="30" hidden="1" x14ac:dyDescent="0.25">
      <c r="A1707" s="168"/>
      <c r="B1707" s="133" t="str">
        <f>'Công trình'!B251</f>
        <v>AG.32511</v>
      </c>
      <c r="C1707" s="34"/>
      <c r="D1707" s="133" t="str">
        <f>'Công trình'!C251</f>
        <v>Sản xuất, lắp dựng, tháo dỡ ván khuôn thép bê tông đúc sẵn nắp đan, tấm chớp</v>
      </c>
      <c r="E1707" s="168"/>
      <c r="F1707" s="20">
        <v>1</v>
      </c>
      <c r="G1707" s="45">
        <f>'Hao phí vật tư'!I1919</f>
        <v>10</v>
      </c>
      <c r="H1707" s="166"/>
      <c r="I1707" s="166"/>
      <c r="J1707" s="166"/>
      <c r="K1707" s="166"/>
      <c r="L1707" s="156">
        <f>ROUND((L1265)*G1707/100,2)</f>
        <v>0</v>
      </c>
      <c r="M1707" s="156">
        <f>ROUND((M1265)*G1707/100,2)</f>
        <v>185123.41</v>
      </c>
    </row>
    <row r="1708" spans="1:13" hidden="1" x14ac:dyDescent="0.25">
      <c r="A1708" s="168"/>
      <c r="B1708" s="133" t="str">
        <f>'Công trình'!B262</f>
        <v>AI.21152</v>
      </c>
      <c r="C1708" s="34"/>
      <c r="D1708" s="133" t="str">
        <f>'Công trình'!C262</f>
        <v>Sản xuất kết cấu thép lan can cầu đường bộ</v>
      </c>
      <c r="E1708" s="168"/>
      <c r="F1708" s="20">
        <v>1</v>
      </c>
      <c r="G1708" s="45">
        <f>'Hao phí vật tư'!I2005</f>
        <v>1</v>
      </c>
      <c r="H1708" s="166"/>
      <c r="I1708" s="166"/>
      <c r="J1708" s="166"/>
      <c r="K1708" s="166"/>
      <c r="L1708" s="156">
        <f>ROUND((L1266+L1501+L1521)*G1708/100,2)</f>
        <v>0</v>
      </c>
      <c r="M1708" s="156">
        <f>ROUND((M1266+M1501+M1521)*G1708/100,2)</f>
        <v>255897.28</v>
      </c>
    </row>
    <row r="1709" spans="1:13" ht="30" hidden="1" x14ac:dyDescent="0.25">
      <c r="A1709" s="168"/>
      <c r="B1709" s="133" t="str">
        <f>'Công trình'!B320</f>
        <v>CV.0102</v>
      </c>
      <c r="C1709" s="34"/>
      <c r="D1709" s="133" t="str">
        <f>'Công trình'!C320</f>
        <v>Sản xuất cửa van bằng thép không gỉ, chiều rộng cống (B) &lt;= 8m</v>
      </c>
      <c r="E1709" s="168"/>
      <c r="F1709" s="20">
        <v>1</v>
      </c>
      <c r="G1709" s="45">
        <f>'Hao phí vật tư'!I2385</f>
        <v>2</v>
      </c>
      <c r="H1709" s="166"/>
      <c r="I1709" s="166"/>
      <c r="J1709" s="166"/>
      <c r="K1709" s="166"/>
      <c r="L1709" s="156">
        <f>ROUND((L1321+L1387+L1431+L1480+L1483+L1485+L1516+L1527+L1534)*G1709/100,2)</f>
        <v>0</v>
      </c>
      <c r="M1709" s="156">
        <f>ROUND((M1321+M1387+M1431+M1480+M1483+M1485+M1516+M1527+M1534)*G1709/100,2)</f>
        <v>3095042.5</v>
      </c>
    </row>
    <row r="1710" spans="1:13" ht="30" hidden="1" x14ac:dyDescent="0.25">
      <c r="A1710" s="168"/>
      <c r="B1710" s="133" t="str">
        <f>'Công trình'!B321</f>
        <v>CV.0202</v>
      </c>
      <c r="C1710" s="34"/>
      <c r="D1710" s="133" t="str">
        <f>'Công trình'!C321</f>
        <v>Lắp đặt cửa van bằng thép không gỉ, chiều rộng cống (B) &lt;= 8m</v>
      </c>
      <c r="E1710" s="168"/>
      <c r="F1710" s="20">
        <v>1</v>
      </c>
      <c r="G1710" s="45">
        <f>'Hao phí vật tư'!I2402</f>
        <v>3</v>
      </c>
      <c r="H1710" s="166"/>
      <c r="I1710" s="166"/>
      <c r="J1710" s="166"/>
      <c r="K1710" s="166"/>
      <c r="L1710" s="156">
        <f>ROUND((L1308+L1481+L1517+L1614+L1616)*G1710/100,2)</f>
        <v>0</v>
      </c>
      <c r="M1710" s="156">
        <f>ROUND((M1308+M1481+M1517+M1614+M1616)*G1710/100,2)</f>
        <v>1287267.72</v>
      </c>
    </row>
    <row r="1711" spans="1:13" ht="30" hidden="1" x14ac:dyDescent="0.25">
      <c r="A1711" s="168"/>
      <c r="B1711" s="133" t="str">
        <f>'Công trình'!B73</f>
        <v>AG.32321</v>
      </c>
      <c r="C1711" s="34"/>
      <c r="D1711" s="133" t="str">
        <f>'Công trình'!C73</f>
        <v>Sản xuất, lắp dựng, tháo dỡ ván khuôn thép bê tông đúc sẵn cọc</v>
      </c>
      <c r="E1711" s="168"/>
      <c r="F1711" s="20">
        <v>1</v>
      </c>
      <c r="G1711" s="45">
        <f>'Hao phí vật tư'!I571</f>
        <v>10</v>
      </c>
      <c r="H1711" s="166"/>
      <c r="I1711" s="166"/>
      <c r="J1711" s="166"/>
      <c r="K1711" s="166"/>
      <c r="L1711" s="156">
        <f>ROUND((L1267)*G1711/100,2)</f>
        <v>0</v>
      </c>
      <c r="M1711" s="156">
        <f>ROUND((M1267)*G1711/100,2)</f>
        <v>61634.57</v>
      </c>
    </row>
    <row r="1712" spans="1:13" ht="30" hidden="1" x14ac:dyDescent="0.25">
      <c r="A1712" s="168"/>
      <c r="B1712" s="133" t="str">
        <f>'Công trình'!B84</f>
        <v>AG.32321</v>
      </c>
      <c r="C1712" s="34"/>
      <c r="D1712" s="133" t="str">
        <f>'Công trình'!C84</f>
        <v>Sản xuất, lắp dựng, tháo dỡ ván khuôn thép bê tông đúc sẵn cọc</v>
      </c>
      <c r="E1712" s="168"/>
      <c r="F1712" s="20">
        <v>1</v>
      </c>
      <c r="G1712" s="45">
        <f>'Hao phí vật tư'!I687</f>
        <v>10</v>
      </c>
      <c r="H1712" s="166"/>
      <c r="I1712" s="166"/>
      <c r="J1712" s="166"/>
      <c r="K1712" s="166"/>
      <c r="L1712" s="156">
        <f>ROUND((L1268)*G1712/100,2)</f>
        <v>0</v>
      </c>
      <c r="M1712" s="156">
        <f>ROUND((M1268)*G1712/100,2)</f>
        <v>27890.03</v>
      </c>
    </row>
    <row r="1713" spans="1:13" ht="45" hidden="1" x14ac:dyDescent="0.25">
      <c r="A1713" s="168"/>
      <c r="B1713" s="133" t="str">
        <f>'Công trình'!B35</f>
        <v>AF.82111</v>
      </c>
      <c r="C1713" s="34"/>
      <c r="D1713" s="133" t="str">
        <f>'Công trình'!C35</f>
        <v>Sản xuất, lắp dựng tháo dỡ ván khuôn thép, cây chống gỗ tường, cột vuông (chữ nhật), xà dầm, giằng, chiều cao &lt;=16m</v>
      </c>
      <c r="E1713" s="168"/>
      <c r="F1713" s="20">
        <v>1</v>
      </c>
      <c r="G1713" s="45">
        <f>'Hao phí vật tư'!I270</f>
        <v>2</v>
      </c>
      <c r="H1713" s="166"/>
      <c r="I1713" s="166"/>
      <c r="J1713" s="166"/>
      <c r="K1713" s="166"/>
      <c r="L1713" s="156">
        <f>ROUND((L1270+L1602)*G1713/100,2)</f>
        <v>0</v>
      </c>
      <c r="M1713" s="156">
        <f>ROUND((M1270+M1602)*G1713/100,2)</f>
        <v>5897.77</v>
      </c>
    </row>
    <row r="1714" spans="1:13" x14ac:dyDescent="0.25">
      <c r="A1714" s="57"/>
      <c r="B1714" s="24"/>
      <c r="C1714" s="89"/>
      <c r="D1714" s="123" t="s">
        <v>735</v>
      </c>
      <c r="E1714" s="57"/>
      <c r="F1714" s="89"/>
      <c r="G1714" s="121"/>
      <c r="H1714" s="51"/>
      <c r="I1714" s="51"/>
      <c r="J1714" s="51"/>
      <c r="K1714" s="51"/>
      <c r="L1714" s="148">
        <f>ROUND(SUMIF(C1197:C1713,"&gt;0",L1197:L1713),0)</f>
        <v>0</v>
      </c>
      <c r="M1714" s="148">
        <f>ROUND(SUMIF(C1197:C1713,"&gt;0",M1197:M1713),0)</f>
        <v>3063891450</v>
      </c>
    </row>
    <row r="1715" spans="1:13" ht="18" customHeight="1" x14ac:dyDescent="0.25">
      <c r="A1715" s="2"/>
      <c r="B1715" s="146"/>
      <c r="C1715" s="36"/>
      <c r="D1715" s="146"/>
      <c r="E1715" s="2"/>
      <c r="F1715" s="36"/>
      <c r="G1715" s="36"/>
      <c r="H1715" s="36"/>
      <c r="I1715" s="36"/>
      <c r="J1715" s="36"/>
      <c r="K1715" s="36"/>
      <c r="L1715" s="36"/>
      <c r="M1715" s="36"/>
    </row>
    <row r="1716" spans="1:13" ht="16.5" customHeight="1" x14ac:dyDescent="0.25">
      <c r="A1716" s="2"/>
      <c r="B1716" s="146"/>
      <c r="C1716" s="36"/>
      <c r="D1716" s="146"/>
      <c r="E1716" s="2"/>
      <c r="F1716" s="36"/>
      <c r="G1716" s="36"/>
      <c r="H1716" s="36"/>
      <c r="I1716" s="36"/>
      <c r="J1716" s="36"/>
      <c r="K1716" s="36"/>
      <c r="L1716" s="36"/>
      <c r="M1716" s="36"/>
    </row>
    <row r="1717" spans="1:13" ht="16.5" customHeight="1" x14ac:dyDescent="0.25">
      <c r="A1717" s="2"/>
      <c r="B1717" s="146"/>
      <c r="C1717" s="36"/>
      <c r="D1717" s="146"/>
      <c r="E1717" s="2"/>
      <c r="F1717" s="146"/>
      <c r="G1717" s="36"/>
      <c r="H1717" s="36"/>
      <c r="I1717" s="36"/>
      <c r="J1717" s="36"/>
      <c r="K1717" s="36"/>
      <c r="L1717" s="36"/>
      <c r="M1717" s="146"/>
    </row>
  </sheetData>
  <mergeCells count="2">
    <mergeCell ref="A1:L1"/>
    <mergeCell ref="A2:L2"/>
  </mergeCells>
  <pageMargins left="0.7" right="0.7" top="0.75" bottom="0.75" header="0.3" footer="0.3"/>
  <pageSetup paperSize="9" orientation="landscape"/>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D55"/>
  <sheetViews>
    <sheetView workbookViewId="0"/>
  </sheetViews>
  <sheetFormatPr defaultColWidth="9.42578125" defaultRowHeight="15" x14ac:dyDescent="0.25"/>
  <cols>
    <col min="1" max="1" width="30.7109375" bestFit="1" customWidth="1"/>
  </cols>
  <sheetData>
    <row r="1" spans="1:4" ht="15.75" x14ac:dyDescent="0.25">
      <c r="A1" s="122" t="s">
        <v>1002</v>
      </c>
    </row>
    <row r="2" spans="1:4" x14ac:dyDescent="0.25">
      <c r="A2" s="143" t="s">
        <v>805</v>
      </c>
      <c r="B2" s="143" t="s">
        <v>67</v>
      </c>
      <c r="C2" s="143">
        <v>1</v>
      </c>
      <c r="D2" s="143">
        <v>1</v>
      </c>
    </row>
    <row r="3" spans="1:4" x14ac:dyDescent="0.25">
      <c r="A3" s="143" t="s">
        <v>511</v>
      </c>
      <c r="B3" s="143" t="s">
        <v>244</v>
      </c>
      <c r="C3" s="143">
        <v>1</v>
      </c>
      <c r="D3" s="143">
        <v>1</v>
      </c>
    </row>
    <row r="4" spans="1:4" x14ac:dyDescent="0.25">
      <c r="A4" s="143" t="s">
        <v>768</v>
      </c>
      <c r="B4" s="143" t="s">
        <v>422</v>
      </c>
      <c r="C4" s="143">
        <v>4.8899999999999999E-2</v>
      </c>
      <c r="D4" s="87">
        <v>4.8899999999999999E-2</v>
      </c>
    </row>
    <row r="5" spans="1:4" x14ac:dyDescent="0.25">
      <c r="A5" s="143" t="s">
        <v>989</v>
      </c>
      <c r="B5" s="143" t="s">
        <v>1060</v>
      </c>
      <c r="C5" s="143">
        <v>0.01</v>
      </c>
      <c r="D5" s="19">
        <v>0.01</v>
      </c>
    </row>
    <row r="6" spans="1:4" x14ac:dyDescent="0.25">
      <c r="A6" s="143" t="s">
        <v>249</v>
      </c>
      <c r="B6" s="143" t="s">
        <v>533</v>
      </c>
      <c r="C6" s="143">
        <v>0.01</v>
      </c>
      <c r="D6" s="19">
        <v>0.01</v>
      </c>
    </row>
    <row r="7" spans="1:4" x14ac:dyDescent="0.25">
      <c r="A7" s="143" t="s">
        <v>206</v>
      </c>
      <c r="B7" s="143" t="s">
        <v>675</v>
      </c>
      <c r="C7" s="143">
        <v>1</v>
      </c>
      <c r="D7" s="143">
        <v>1</v>
      </c>
    </row>
    <row r="8" spans="1:4" x14ac:dyDescent="0.25">
      <c r="A8" s="143" t="s">
        <v>119</v>
      </c>
      <c r="B8" s="143" t="s">
        <v>681</v>
      </c>
      <c r="C8" s="143">
        <v>5.5E-2</v>
      </c>
      <c r="D8" s="87">
        <v>5.5E-2</v>
      </c>
    </row>
    <row r="9" spans="1:4" x14ac:dyDescent="0.25">
      <c r="A9" s="143" t="s">
        <v>1107</v>
      </c>
      <c r="B9" s="143" t="s">
        <v>1143</v>
      </c>
      <c r="C9" s="143">
        <v>0.02</v>
      </c>
      <c r="D9" s="19">
        <v>0.02</v>
      </c>
    </row>
    <row r="10" spans="1:4" x14ac:dyDescent="0.25">
      <c r="A10" s="143" t="s">
        <v>821</v>
      </c>
      <c r="B10" s="143" t="s">
        <v>1024</v>
      </c>
      <c r="C10" s="143">
        <v>0.1</v>
      </c>
      <c r="D10" s="19">
        <v>0.1</v>
      </c>
    </row>
    <row r="11" spans="1:4" x14ac:dyDescent="0.25">
      <c r="A11" s="143" t="s">
        <v>348</v>
      </c>
      <c r="B11" s="143" t="s">
        <v>398</v>
      </c>
      <c r="C11" s="143">
        <v>0</v>
      </c>
      <c r="D11" s="143">
        <v>0</v>
      </c>
    </row>
    <row r="12" spans="1:4" x14ac:dyDescent="0.25">
      <c r="A12" s="143" t="s">
        <v>558</v>
      </c>
      <c r="B12" s="143" t="s">
        <v>1042</v>
      </c>
      <c r="C12" s="143">
        <v>0.02</v>
      </c>
      <c r="D12" s="19">
        <v>0.02</v>
      </c>
    </row>
    <row r="13" spans="1:4" x14ac:dyDescent="0.25">
      <c r="A13" s="143" t="s">
        <v>495</v>
      </c>
      <c r="B13" s="143" t="s">
        <v>808</v>
      </c>
      <c r="C13" s="143">
        <v>0.03</v>
      </c>
      <c r="D13" s="19">
        <v>0.03</v>
      </c>
    </row>
    <row r="14" spans="1:4" x14ac:dyDescent="0.25">
      <c r="A14" s="143" t="s">
        <v>862</v>
      </c>
      <c r="B14" s="143" t="s">
        <v>1187</v>
      </c>
      <c r="C14" s="143">
        <v>0</v>
      </c>
      <c r="D14" s="19">
        <v>0</v>
      </c>
    </row>
    <row r="15" spans="1:4" x14ac:dyDescent="0.25">
      <c r="A15" s="143" t="s">
        <v>215</v>
      </c>
      <c r="B15" s="143" t="s">
        <v>691</v>
      </c>
      <c r="C15" s="143">
        <v>0.1</v>
      </c>
      <c r="D15" s="19">
        <v>0.1</v>
      </c>
    </row>
    <row r="16" spans="1:4" x14ac:dyDescent="0.25">
      <c r="A16" s="143" t="s">
        <v>990</v>
      </c>
      <c r="B16" s="143" t="s">
        <v>268</v>
      </c>
      <c r="C16" s="143">
        <v>0</v>
      </c>
      <c r="D16" s="19">
        <v>0</v>
      </c>
    </row>
    <row r="17" spans="1:4" x14ac:dyDescent="0.25">
      <c r="A17" s="143" t="s">
        <v>829</v>
      </c>
      <c r="B17" s="143" t="s">
        <v>921</v>
      </c>
      <c r="C17" s="143">
        <v>0</v>
      </c>
      <c r="D17" s="143"/>
    </row>
    <row r="18" spans="1:4" x14ac:dyDescent="0.25">
      <c r="A18" s="143" t="s">
        <v>1088</v>
      </c>
      <c r="B18" s="143" t="s">
        <v>844</v>
      </c>
      <c r="C18" s="143">
        <v>0</v>
      </c>
      <c r="D18" s="19">
        <v>0</v>
      </c>
    </row>
    <row r="19" spans="1:4" x14ac:dyDescent="0.25">
      <c r="A19" s="143" t="s">
        <v>951</v>
      </c>
      <c r="B19" s="143" t="s">
        <v>141</v>
      </c>
      <c r="C19" s="143">
        <v>0</v>
      </c>
      <c r="D19" s="19">
        <v>0</v>
      </c>
    </row>
    <row r="20" spans="1:4" x14ac:dyDescent="0.25">
      <c r="A20" s="143" t="s">
        <v>559</v>
      </c>
      <c r="B20" s="143" t="s">
        <v>124</v>
      </c>
      <c r="C20" s="143">
        <v>0</v>
      </c>
      <c r="D20" s="19">
        <v>0</v>
      </c>
    </row>
    <row r="21" spans="1:4" x14ac:dyDescent="0.25">
      <c r="A21" s="143" t="s">
        <v>207</v>
      </c>
      <c r="B21" s="143" t="s">
        <v>359</v>
      </c>
      <c r="C21" s="143">
        <v>0</v>
      </c>
      <c r="D21" s="19">
        <v>0</v>
      </c>
    </row>
    <row r="22" spans="1:4" x14ac:dyDescent="0.25">
      <c r="A22" s="143" t="s">
        <v>246</v>
      </c>
      <c r="B22" s="143" t="s">
        <v>515</v>
      </c>
      <c r="C22" s="143">
        <v>0</v>
      </c>
      <c r="D22" s="19">
        <v>0</v>
      </c>
    </row>
    <row r="23" spans="1:4" x14ac:dyDescent="0.25">
      <c r="A23" s="143" t="s">
        <v>588</v>
      </c>
      <c r="B23" s="143" t="s">
        <v>1063</v>
      </c>
      <c r="C23" s="143">
        <v>0</v>
      </c>
      <c r="D23" s="19">
        <v>0</v>
      </c>
    </row>
    <row r="24" spans="1:4" x14ac:dyDescent="0.25">
      <c r="A24" s="143" t="s">
        <v>608</v>
      </c>
      <c r="B24" s="143" t="s">
        <v>1058</v>
      </c>
      <c r="C24" s="143">
        <v>0</v>
      </c>
      <c r="D24" s="19">
        <v>0</v>
      </c>
    </row>
    <row r="25" spans="1:4" x14ac:dyDescent="0.25">
      <c r="A25" s="143" t="s">
        <v>259</v>
      </c>
      <c r="B25" s="143" t="s">
        <v>580</v>
      </c>
      <c r="C25" s="143">
        <v>0</v>
      </c>
      <c r="D25" s="19">
        <v>0</v>
      </c>
    </row>
    <row r="26" spans="1:4" x14ac:dyDescent="0.25">
      <c r="A26" s="143" t="s">
        <v>560</v>
      </c>
      <c r="B26" s="143" t="s">
        <v>833</v>
      </c>
      <c r="C26" s="143">
        <v>0</v>
      </c>
      <c r="D26" s="19">
        <v>0</v>
      </c>
    </row>
    <row r="27" spans="1:4" x14ac:dyDescent="0.25">
      <c r="A27" s="143" t="s">
        <v>263</v>
      </c>
      <c r="B27" s="143" t="s">
        <v>240</v>
      </c>
      <c r="C27" s="143">
        <v>0</v>
      </c>
      <c r="D27" s="19">
        <v>0</v>
      </c>
    </row>
    <row r="29" spans="1:4" ht="15.75" x14ac:dyDescent="0.25">
      <c r="A29" s="122" t="s">
        <v>645</v>
      </c>
    </row>
    <row r="30" spans="1:4" x14ac:dyDescent="0.25">
      <c r="A30" s="143" t="s">
        <v>805</v>
      </c>
      <c r="B30" s="143" t="s">
        <v>67</v>
      </c>
      <c r="C30" s="143">
        <v>1</v>
      </c>
      <c r="D30" s="143">
        <v>1</v>
      </c>
    </row>
    <row r="31" spans="1:4" x14ac:dyDescent="0.25">
      <c r="A31" s="143" t="s">
        <v>511</v>
      </c>
      <c r="B31" s="143" t="s">
        <v>244</v>
      </c>
      <c r="C31" s="143">
        <v>1</v>
      </c>
      <c r="D31" s="143">
        <v>1</v>
      </c>
    </row>
    <row r="32" spans="1:4" x14ac:dyDescent="0.25">
      <c r="A32" s="143" t="s">
        <v>768</v>
      </c>
      <c r="B32" s="143" t="s">
        <v>422</v>
      </c>
      <c r="C32" s="143">
        <v>4.8899999999999999E-2</v>
      </c>
      <c r="D32" s="87">
        <v>4.8899999999999999E-2</v>
      </c>
    </row>
    <row r="33" spans="1:4" x14ac:dyDescent="0.25">
      <c r="A33" s="143" t="s">
        <v>989</v>
      </c>
      <c r="B33" s="143" t="s">
        <v>1060</v>
      </c>
      <c r="C33" s="143">
        <v>0.01</v>
      </c>
      <c r="D33" s="19">
        <v>0.01</v>
      </c>
    </row>
    <row r="34" spans="1:4" x14ac:dyDescent="0.25">
      <c r="A34" s="143" t="s">
        <v>249</v>
      </c>
      <c r="B34" s="143" t="s">
        <v>533</v>
      </c>
      <c r="C34" s="143">
        <v>0.01</v>
      </c>
      <c r="D34" s="19">
        <v>0.01</v>
      </c>
    </row>
    <row r="35" spans="1:4" x14ac:dyDescent="0.25">
      <c r="A35" s="143" t="s">
        <v>206</v>
      </c>
      <c r="B35" s="143" t="s">
        <v>675</v>
      </c>
      <c r="C35" s="143">
        <v>1</v>
      </c>
      <c r="D35" s="143">
        <v>1</v>
      </c>
    </row>
    <row r="36" spans="1:4" x14ac:dyDescent="0.25">
      <c r="A36" s="143" t="s">
        <v>119</v>
      </c>
      <c r="B36" s="143" t="s">
        <v>681</v>
      </c>
      <c r="C36" s="143">
        <v>5.5E-2</v>
      </c>
      <c r="D36" s="87">
        <v>5.5E-2</v>
      </c>
    </row>
    <row r="37" spans="1:4" x14ac:dyDescent="0.25">
      <c r="A37" s="143" t="s">
        <v>1107</v>
      </c>
      <c r="B37" s="143" t="s">
        <v>1143</v>
      </c>
      <c r="C37" s="143">
        <v>0.02</v>
      </c>
      <c r="D37" s="19">
        <v>0.02</v>
      </c>
    </row>
    <row r="38" spans="1:4" x14ac:dyDescent="0.25">
      <c r="A38" s="143" t="s">
        <v>821</v>
      </c>
      <c r="B38" s="143" t="s">
        <v>1024</v>
      </c>
      <c r="C38" s="143">
        <v>0.1</v>
      </c>
      <c r="D38" s="19">
        <v>0.1</v>
      </c>
    </row>
    <row r="39" spans="1:4" x14ac:dyDescent="0.25">
      <c r="A39" s="143" t="s">
        <v>348</v>
      </c>
      <c r="B39" s="143" t="s">
        <v>398</v>
      </c>
      <c r="C39" s="143">
        <v>0</v>
      </c>
      <c r="D39" s="143">
        <v>0</v>
      </c>
    </row>
    <row r="40" spans="1:4" x14ac:dyDescent="0.25">
      <c r="A40" s="143" t="s">
        <v>558</v>
      </c>
      <c r="B40" s="143" t="s">
        <v>1042</v>
      </c>
      <c r="C40" s="143">
        <v>0.02</v>
      </c>
      <c r="D40" s="19">
        <v>0.02</v>
      </c>
    </row>
    <row r="41" spans="1:4" x14ac:dyDescent="0.25">
      <c r="A41" s="143" t="s">
        <v>495</v>
      </c>
      <c r="B41" s="143" t="s">
        <v>808</v>
      </c>
      <c r="C41" s="143">
        <v>0.03</v>
      </c>
      <c r="D41" s="19">
        <v>0.03</v>
      </c>
    </row>
    <row r="42" spans="1:4" x14ac:dyDescent="0.25">
      <c r="A42" s="143" t="s">
        <v>862</v>
      </c>
      <c r="B42" s="143" t="s">
        <v>1187</v>
      </c>
      <c r="C42" s="143">
        <v>0</v>
      </c>
      <c r="D42" s="19">
        <v>0</v>
      </c>
    </row>
    <row r="43" spans="1:4" x14ac:dyDescent="0.25">
      <c r="A43" s="143" t="s">
        <v>215</v>
      </c>
      <c r="B43" s="143" t="s">
        <v>691</v>
      </c>
      <c r="C43" s="143">
        <v>0.1</v>
      </c>
      <c r="D43" s="19">
        <v>0.1</v>
      </c>
    </row>
    <row r="44" spans="1:4" x14ac:dyDescent="0.25">
      <c r="A44" s="143" t="s">
        <v>990</v>
      </c>
      <c r="B44" s="143" t="s">
        <v>268</v>
      </c>
      <c r="C44" s="143">
        <v>0</v>
      </c>
      <c r="D44" s="19">
        <v>0</v>
      </c>
    </row>
    <row r="45" spans="1:4" x14ac:dyDescent="0.25">
      <c r="A45" s="143" t="s">
        <v>829</v>
      </c>
      <c r="B45" s="143" t="s">
        <v>921</v>
      </c>
      <c r="C45" s="143">
        <v>0</v>
      </c>
      <c r="D45" s="143"/>
    </row>
    <row r="46" spans="1:4" x14ac:dyDescent="0.25">
      <c r="A46" s="143" t="s">
        <v>1088</v>
      </c>
      <c r="B46" s="143" t="s">
        <v>844</v>
      </c>
      <c r="C46" s="143">
        <v>0</v>
      </c>
      <c r="D46" s="19">
        <v>0</v>
      </c>
    </row>
    <row r="47" spans="1:4" x14ac:dyDescent="0.25">
      <c r="A47" s="143" t="s">
        <v>951</v>
      </c>
      <c r="B47" s="143" t="s">
        <v>141</v>
      </c>
      <c r="C47" s="143">
        <v>0</v>
      </c>
      <c r="D47" s="19">
        <v>0</v>
      </c>
    </row>
    <row r="48" spans="1:4" x14ac:dyDescent="0.25">
      <c r="A48" s="143" t="s">
        <v>559</v>
      </c>
      <c r="B48" s="143" t="s">
        <v>124</v>
      </c>
      <c r="C48" s="143">
        <v>0</v>
      </c>
      <c r="D48" s="19">
        <v>0</v>
      </c>
    </row>
    <row r="49" spans="1:4" x14ac:dyDescent="0.25">
      <c r="A49" s="143" t="s">
        <v>207</v>
      </c>
      <c r="B49" s="143" t="s">
        <v>359</v>
      </c>
      <c r="C49" s="143">
        <v>0</v>
      </c>
      <c r="D49" s="19">
        <v>0</v>
      </c>
    </row>
    <row r="50" spans="1:4" x14ac:dyDescent="0.25">
      <c r="A50" s="143" t="s">
        <v>246</v>
      </c>
      <c r="B50" s="143" t="s">
        <v>515</v>
      </c>
      <c r="C50" s="143">
        <v>0</v>
      </c>
      <c r="D50" s="19">
        <v>0</v>
      </c>
    </row>
    <row r="51" spans="1:4" x14ac:dyDescent="0.25">
      <c r="A51" s="143" t="s">
        <v>588</v>
      </c>
      <c r="B51" s="143" t="s">
        <v>1063</v>
      </c>
      <c r="C51" s="143">
        <v>0</v>
      </c>
      <c r="D51" s="19">
        <v>0</v>
      </c>
    </row>
    <row r="52" spans="1:4" x14ac:dyDescent="0.25">
      <c r="A52" s="143" t="s">
        <v>608</v>
      </c>
      <c r="B52" s="143" t="s">
        <v>1058</v>
      </c>
      <c r="C52" s="143">
        <v>0</v>
      </c>
      <c r="D52" s="19">
        <v>0</v>
      </c>
    </row>
    <row r="53" spans="1:4" x14ac:dyDescent="0.25">
      <c r="A53" s="143" t="s">
        <v>259</v>
      </c>
      <c r="B53" s="143" t="s">
        <v>580</v>
      </c>
      <c r="C53" s="143">
        <v>0</v>
      </c>
      <c r="D53" s="19">
        <v>0</v>
      </c>
    </row>
    <row r="54" spans="1:4" x14ac:dyDescent="0.25">
      <c r="A54" s="143" t="s">
        <v>560</v>
      </c>
      <c r="B54" s="143" t="s">
        <v>833</v>
      </c>
      <c r="C54" s="143">
        <v>0</v>
      </c>
      <c r="D54" s="19">
        <v>0</v>
      </c>
    </row>
    <row r="55" spans="1:4" x14ac:dyDescent="0.25">
      <c r="A55" s="143" t="s">
        <v>263</v>
      </c>
      <c r="B55" s="143" t="s">
        <v>240</v>
      </c>
      <c r="C55" s="143">
        <v>0</v>
      </c>
      <c r="D55" s="19">
        <v>0</v>
      </c>
    </row>
  </sheetData>
  <pageMargins left="0.7" right="0.7" top="0.75" bottom="0.75" header="0.3" footer="0.3"/>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14</vt:i4>
      </vt:variant>
    </vt:vector>
  </HeadingPairs>
  <TitlesOfParts>
    <vt:vector size="31" baseType="lpstr">
      <vt:lpstr>Công trình</vt:lpstr>
      <vt:lpstr>Hao phí vật tư</vt:lpstr>
      <vt:lpstr>Vật liệu</vt:lpstr>
      <vt:lpstr>Nhân công</vt:lpstr>
      <vt:lpstr>Máy thi công</vt:lpstr>
      <vt:lpstr>TH dự toán hạng mục</vt:lpstr>
      <vt:lpstr>TH dự toán công trình</vt:lpstr>
      <vt:lpstr>Đơn giá chi tiết</vt:lpstr>
      <vt:lpstr>Hạng mục chung</vt:lpstr>
      <vt:lpstr>Khoi Luong</vt:lpstr>
      <vt:lpstr>DTOAN</vt:lpstr>
      <vt:lpstr>Dự phòng trượt giá</vt:lpstr>
      <vt:lpstr>Dự toán gói thầu</vt:lpstr>
      <vt:lpstr>Tổng mức đầu tư</vt:lpstr>
      <vt:lpstr>Chi phí thiết bị</vt:lpstr>
      <vt:lpstr>Tổng hợp VL,NC,M</vt:lpstr>
      <vt:lpstr>Hệ số</vt:lpstr>
      <vt:lpstr>'Công trình'!Print_Titles</vt:lpstr>
      <vt:lpstr>'Chi phí thiết bị'!Print_Titles</vt:lpstr>
      <vt:lpstr>DTOAN!Print_Titles</vt:lpstr>
      <vt:lpstr>'Dự toán gói thầu'!Print_Titles</vt:lpstr>
      <vt:lpstr>'Đơn giá chi tiết'!Print_Titles</vt:lpstr>
      <vt:lpstr>'Hạng mục chung'!Print_Titles</vt:lpstr>
      <vt:lpstr>'Hao phí vật tư'!Print_Titles</vt:lpstr>
      <vt:lpstr>'Máy thi công'!Print_Titles</vt:lpstr>
      <vt:lpstr>'Nhân công'!Print_Titles</vt:lpstr>
      <vt:lpstr>'Tổng hợp VL,NC,M'!Print_Titles</vt:lpstr>
      <vt:lpstr>'Tổng mức đầu tư'!Print_Titles</vt:lpstr>
      <vt:lpstr>'TH dự toán công trình'!Print_Titles</vt:lpstr>
      <vt:lpstr>'TH dự toán hạng mục'!Print_Titles</vt:lpstr>
      <vt:lpstr>'Vật liệu'!Print_Titles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KHANH TRUNG</dc:creator>
  <cp:lastModifiedBy>Windows User</cp:lastModifiedBy>
  <cp:lastPrinted>2018-05-15T10:00:51Z</cp:lastPrinted>
  <dcterms:created xsi:type="dcterms:W3CDTF">2018-04-27T10:01:35Z</dcterms:created>
  <dcterms:modified xsi:type="dcterms:W3CDTF">2018-05-21T11:29:21Z</dcterms:modified>
</cp:coreProperties>
</file>